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VEDA\VEDA_Models\JRC-EU-TIMES_2019_05 TestIDEES\SubRES_TMPL\"/>
    </mc:Choice>
  </mc:AlternateContent>
  <bookViews>
    <workbookView xWindow="-960" yWindow="7290" windowWidth="23250" windowHeight="5850" tabRatio="771"/>
  </bookViews>
  <sheets>
    <sheet name="Explanation" sheetId="29" r:id="rId1"/>
    <sheet name="CHP Fuel_IN Heat_OUT" sheetId="18" r:id="rId2"/>
    <sheet name="CHP BY IND" sheetId="17" r:id="rId3"/>
    <sheet name="ELC Autoprod" sheetId="16" r:id="rId4"/>
    <sheet name="ToBeSubtracted REKK data" sheetId="46" r:id="rId5"/>
    <sheet name="CHP_DATA2005" sheetId="2" r:id="rId6"/>
    <sheet name="CAP_Autoproducers" sheetId="13" r:id="rId7"/>
    <sheet name="CHP2002By cycle" sheetId="32" r:id="rId8"/>
    <sheet name="CHP2002bySector" sheetId="4" r:id="rId9"/>
    <sheet name="BY_Templates_DataAUTO" sheetId="3" r:id="rId10"/>
    <sheet name="Eurostat Resume" sheetId="35" r:id="rId11"/>
    <sheet name="Autoproducers Calculations" sheetId="5" r:id="rId12"/>
    <sheet name="INDCONSby Product" sheetId="14" r:id="rId13"/>
    <sheet name="IND_CONS Sector all" sheetId="7" r:id="rId14"/>
    <sheet name="Transformation Input" sheetId="36" r:id="rId15"/>
    <sheet name="Electricity Generation" sheetId="42" r:id="rId16"/>
    <sheet name="EL Cap ALL Autoprod" sheetId="44" r:id="rId17"/>
    <sheet name="Solid Fuels Input" sheetId="37" r:id="rId18"/>
    <sheet name="Oil Input" sheetId="38" r:id="rId19"/>
    <sheet name="Gas Input" sheetId="39" r:id="rId20"/>
    <sheet name="Ren &amp; Waste" sheetId="40" r:id="rId21"/>
    <sheet name="Biofuels Input" sheetId="41" r:id="rId22"/>
    <sheet name="Derived Heat Gen" sheetId="43" r:id="rId23"/>
    <sheet name="Derived Heat Tot" sheetId="45" r:id="rId24"/>
  </sheets>
  <externalReferences>
    <externalReference r:id="rId25"/>
    <externalReference r:id="rId26"/>
    <externalReference r:id="rId27"/>
  </externalReferences>
  <definedNames>
    <definedName name="_.DMD.">#REF!</definedName>
    <definedName name="_xlnm._FilterDatabase" localSheetId="22" hidden="1">'Derived Heat Gen'!$A$11:$B$47</definedName>
    <definedName name="_xlnm._FilterDatabase" localSheetId="16" hidden="1">'EL Cap ALL Autoprod'!$A$11:$AM$53</definedName>
    <definedName name="_xlnm._FilterDatabase" localSheetId="15" hidden="1">'Electricity Generation'!$A$32:$AL$211</definedName>
    <definedName name="Cars_12">'[1]TechRep-Doc'!#REF!</definedName>
    <definedName name="ddddd">[2]AGR_Fuels!$A$2</definedName>
    <definedName name="DISCRATE">'[1]TechRep-Doc'!#REF!</definedName>
    <definedName name="FID_1">[3]AGR_Fuels!$A$2</definedName>
    <definedName name="GROWTH">'[1]TechRep-Doc'!#REF!</definedName>
    <definedName name="GROWTH_TID">'[1]TechRep-Doc'!#REF!</definedName>
    <definedName name="INVCOST">'[1]TechRep-Doc'!#REF!</definedName>
    <definedName name="LIFE">'[1]TechRep-Doc'!#REF!</definedName>
    <definedName name="NAs_CCAR">'[1]TechRep-Doc'!#REF!</definedName>
    <definedName name="_xlnm.Print_Area" localSheetId="7">'CHP2002By cycle'!$A$1:$S$2030</definedName>
    <definedName name="SETS">'[1]TechRep-Doc'!#REF!</definedName>
    <definedName name="solver_adj" localSheetId="11" hidden="1">'Autoproducers Calculations'!$E$280:$E$282</definedName>
    <definedName name="solver_adj" localSheetId="0" hidden="1">Explanation!$N$73,Explanation!$Q$74,Explanation!$Q$73</definedName>
    <definedName name="solver_cvg" localSheetId="11" hidden="1">0.0001</definedName>
    <definedName name="solver_cvg" localSheetId="0" hidden="1">0.0001</definedName>
    <definedName name="solver_drv" localSheetId="11" hidden="1">1</definedName>
    <definedName name="solver_drv" localSheetId="0" hidden="1">1</definedName>
    <definedName name="solver_eng" localSheetId="11" hidden="1">1</definedName>
    <definedName name="solver_eng" localSheetId="0" hidden="1">1</definedName>
    <definedName name="solver_est" localSheetId="11" hidden="1">1</definedName>
    <definedName name="solver_est" localSheetId="0" hidden="1">1</definedName>
    <definedName name="solver_itr" localSheetId="11" hidden="1">2147483647</definedName>
    <definedName name="solver_itr" localSheetId="0" hidden="1">2147483647</definedName>
    <definedName name="solver_lhs1" localSheetId="11" hidden="1">'Autoproducers Calculations'!$D$162:$D$164</definedName>
    <definedName name="solver_lhs1" localSheetId="0" hidden="1">Explanation!$R$75</definedName>
    <definedName name="solver_lhs2" localSheetId="11" hidden="1">'Autoproducers Calculations'!$E$280:$E$282</definedName>
    <definedName name="solver_lhs2" localSheetId="0" hidden="1">Explanation!$T$75</definedName>
    <definedName name="solver_mip" localSheetId="11" hidden="1">2147483647</definedName>
    <definedName name="solver_mip" localSheetId="0" hidden="1">2147483647</definedName>
    <definedName name="solver_mni" localSheetId="11" hidden="1">30</definedName>
    <definedName name="solver_mni" localSheetId="0" hidden="1">30</definedName>
    <definedName name="solver_mrt" localSheetId="11" hidden="1">0.075</definedName>
    <definedName name="solver_mrt" localSheetId="0" hidden="1">0.075</definedName>
    <definedName name="solver_msl" localSheetId="11" hidden="1">2</definedName>
    <definedName name="solver_msl" localSheetId="0" hidden="1">2</definedName>
    <definedName name="solver_neg" localSheetId="11" hidden="1">1</definedName>
    <definedName name="solver_neg" localSheetId="0" hidden="1">1</definedName>
    <definedName name="solver_nod" localSheetId="11" hidden="1">2147483647</definedName>
    <definedName name="solver_nod" localSheetId="0" hidden="1">2147483647</definedName>
    <definedName name="solver_num" localSheetId="11" hidden="1">2</definedName>
    <definedName name="solver_num" localSheetId="0" hidden="1">2</definedName>
    <definedName name="solver_nwt" localSheetId="11" hidden="1">1</definedName>
    <definedName name="solver_nwt" localSheetId="0" hidden="1">1</definedName>
    <definedName name="solver_opt" localSheetId="11" hidden="1">'Autoproducers Calculations'!$F$282</definedName>
    <definedName name="solver_opt" localSheetId="0" hidden="1">Explanation!$N$74</definedName>
    <definedName name="solver_pre" localSheetId="11" hidden="1">0.000001</definedName>
    <definedName name="solver_pre" localSheetId="0" hidden="1">0.000001</definedName>
    <definedName name="solver_rbv" localSheetId="11" hidden="1">1</definedName>
    <definedName name="solver_rbv" localSheetId="0" hidden="1">1</definedName>
    <definedName name="solver_rel1" localSheetId="11" hidden="1">2</definedName>
    <definedName name="solver_rel1" localSheetId="0" hidden="1">2</definedName>
    <definedName name="solver_rel2" localSheetId="11" hidden="1">1</definedName>
    <definedName name="solver_rel2" localSheetId="0" hidden="1">2</definedName>
    <definedName name="solver_rhs1" localSheetId="11" hidden="1">'Autoproducers Calculations'!$D$169:$D$171</definedName>
    <definedName name="solver_rhs1" localSheetId="0" hidden="1">Explanation!$R$76</definedName>
    <definedName name="solver_rhs2" localSheetId="11" hidden="1">1</definedName>
    <definedName name="solver_rhs2" localSheetId="0" hidden="1">Explanation!$T$76</definedName>
    <definedName name="solver_rlx" localSheetId="11" hidden="1">2</definedName>
    <definedName name="solver_rlx" localSheetId="0" hidden="1">2</definedName>
    <definedName name="solver_rsd" localSheetId="11" hidden="1">0</definedName>
    <definedName name="solver_rsd" localSheetId="0" hidden="1">0</definedName>
    <definedName name="solver_scl" localSheetId="11" hidden="1">1</definedName>
    <definedName name="solver_scl" localSheetId="0" hidden="1">1</definedName>
    <definedName name="solver_sho" localSheetId="11" hidden="1">2</definedName>
    <definedName name="solver_sho" localSheetId="0" hidden="1">2</definedName>
    <definedName name="solver_ssz" localSheetId="11" hidden="1">100</definedName>
    <definedName name="solver_ssz" localSheetId="0" hidden="1">100</definedName>
    <definedName name="solver_tim" localSheetId="11" hidden="1">2147483647</definedName>
    <definedName name="solver_tim" localSheetId="0" hidden="1">2147483647</definedName>
    <definedName name="solver_tol" localSheetId="11" hidden="1">0.01</definedName>
    <definedName name="solver_tol" localSheetId="0" hidden="1">0.01</definedName>
    <definedName name="solver_typ" localSheetId="11" hidden="1">1</definedName>
    <definedName name="solver_typ" localSheetId="0" hidden="1">2</definedName>
    <definedName name="solver_val" localSheetId="11" hidden="1">0</definedName>
    <definedName name="solver_val" localSheetId="0" hidden="1">0</definedName>
    <definedName name="solver_ver" localSheetId="11" hidden="1">3</definedName>
    <definedName name="solver_ver" localSheetId="0" hidden="1">3</definedName>
    <definedName name="TRTGAB005">'[1]TechRep-Doc'!#REF!</definedName>
    <definedName name="TRTGAC005">'[1]TechRep-Doc'!#REF!</definedName>
    <definedName name="Trucks_15">'[1]TechRep-Doc'!#REF!</definedName>
    <definedName name="TSUB_COST">'[1]TechRep-Doc'!#REF!</definedName>
    <definedName name="x">[1]AGR_Fuels!$A$2</definedName>
  </definedNames>
  <calcPr calcId="162913"/>
</workbook>
</file>

<file path=xl/calcChain.xml><?xml version="1.0" encoding="utf-8"?>
<calcChain xmlns="http://schemas.openxmlformats.org/spreadsheetml/2006/main">
  <c r="V1835" i="32" l="1"/>
  <c r="AH282" i="5" l="1"/>
  <c r="AG282" i="5"/>
  <c r="AF282" i="5"/>
  <c r="AE282" i="5"/>
  <c r="AD282" i="5"/>
  <c r="AC282" i="5"/>
  <c r="AB282" i="5"/>
  <c r="AA282" i="5"/>
  <c r="Z282" i="5"/>
  <c r="Y282" i="5"/>
  <c r="X282" i="5"/>
  <c r="W282" i="5"/>
  <c r="V282" i="5"/>
  <c r="U282" i="5"/>
  <c r="T282" i="5"/>
  <c r="S282" i="5"/>
  <c r="R282" i="5"/>
  <c r="Q282" i="5"/>
  <c r="P282" i="5"/>
  <c r="O282" i="5"/>
  <c r="AH281" i="5"/>
  <c r="AG281" i="5"/>
  <c r="AF281" i="5"/>
  <c r="AE281" i="5"/>
  <c r="AD281" i="5"/>
  <c r="AC281" i="5"/>
  <c r="AB281" i="5"/>
  <c r="AA281" i="5"/>
  <c r="Z281" i="5"/>
  <c r="Y281" i="5"/>
  <c r="X281" i="5"/>
  <c r="W281" i="5"/>
  <c r="V281" i="5"/>
  <c r="U281" i="5"/>
  <c r="T281" i="5"/>
  <c r="S281" i="5"/>
  <c r="R281" i="5"/>
  <c r="Q281" i="5"/>
  <c r="P281" i="5"/>
  <c r="O281" i="5"/>
  <c r="AH280" i="5"/>
  <c r="AG280" i="5"/>
  <c r="AF280" i="5"/>
  <c r="AE280" i="5"/>
  <c r="AD280" i="5"/>
  <c r="AC280" i="5"/>
  <c r="AB280" i="5"/>
  <c r="AA280" i="5"/>
  <c r="Z280" i="5"/>
  <c r="Y280" i="5"/>
  <c r="X280" i="5"/>
  <c r="W280" i="5"/>
  <c r="V280" i="5"/>
  <c r="U280" i="5"/>
  <c r="T280" i="5"/>
  <c r="S280" i="5"/>
  <c r="R280" i="5"/>
  <c r="Q280" i="5"/>
  <c r="P280" i="5"/>
  <c r="O280" i="5"/>
  <c r="M282" i="5"/>
  <c r="L282" i="5"/>
  <c r="K282" i="5"/>
  <c r="J282" i="5"/>
  <c r="I282" i="5"/>
  <c r="H282" i="5"/>
  <c r="G282" i="5"/>
  <c r="M281" i="5"/>
  <c r="L281" i="5"/>
  <c r="K281" i="5"/>
  <c r="J281" i="5"/>
  <c r="I281" i="5"/>
  <c r="H281" i="5"/>
  <c r="G281" i="5"/>
  <c r="M280" i="5"/>
  <c r="L280" i="5"/>
  <c r="K280" i="5"/>
  <c r="J280" i="5"/>
  <c r="I280" i="5"/>
  <c r="H280" i="5"/>
  <c r="G280" i="5"/>
  <c r="F282" i="5"/>
  <c r="F281" i="5"/>
  <c r="F280" i="5"/>
  <c r="W109" i="5" l="1"/>
  <c r="AG109" i="5"/>
  <c r="AH109" i="5"/>
  <c r="AH97" i="5"/>
  <c r="W97" i="5"/>
  <c r="AG97" i="5"/>
  <c r="C55" i="5" l="1"/>
  <c r="C54" i="5"/>
  <c r="C53" i="5"/>
  <c r="C52" i="5"/>
  <c r="C51" i="5"/>
  <c r="AP185" i="38"/>
  <c r="R5" i="38"/>
  <c r="V16" i="38" s="1"/>
  <c r="J82" i="5" l="1"/>
  <c r="J116" i="5" s="1"/>
  <c r="E93" i="35"/>
  <c r="E92" i="35"/>
  <c r="E91" i="35"/>
  <c r="E82" i="35"/>
  <c r="E81" i="35"/>
  <c r="E80" i="35"/>
  <c r="E79" i="35"/>
  <c r="E73" i="35"/>
  <c r="E72" i="35"/>
  <c r="E71" i="35"/>
  <c r="E59" i="35"/>
  <c r="E54" i="35"/>
  <c r="E53" i="35"/>
  <c r="E52" i="35"/>
  <c r="E50" i="35"/>
  <c r="AF16" i="35" l="1"/>
  <c r="AM10" i="35"/>
  <c r="AM11" i="35"/>
  <c r="AM12" i="35"/>
  <c r="AM13" i="35"/>
  <c r="AM14" i="35"/>
  <c r="AM15" i="35"/>
  <c r="AM16" i="35"/>
  <c r="AM17" i="35"/>
  <c r="AM18" i="35"/>
  <c r="AM19" i="35"/>
  <c r="AM20" i="35"/>
  <c r="AM21" i="35"/>
  <c r="AM22" i="35"/>
  <c r="AM9" i="35"/>
  <c r="K25" i="5" l="1"/>
  <c r="K27" i="5" s="1"/>
  <c r="K26" i="5" l="1"/>
  <c r="B21" i="46"/>
  <c r="B22" i="46"/>
  <c r="B23" i="46"/>
  <c r="B24" i="46"/>
  <c r="B25" i="46"/>
  <c r="B26" i="46"/>
  <c r="D5" i="46"/>
  <c r="D20" i="46" s="1"/>
  <c r="E5" i="46"/>
  <c r="E20" i="46" s="1"/>
  <c r="F5" i="46"/>
  <c r="F20" i="46" s="1"/>
  <c r="G5" i="46"/>
  <c r="G20" i="46" s="1"/>
  <c r="H5" i="46"/>
  <c r="H20" i="46" s="1"/>
  <c r="I5" i="46"/>
  <c r="I20" i="46" s="1"/>
  <c r="J5" i="46"/>
  <c r="J20" i="46" s="1"/>
  <c r="K5" i="46"/>
  <c r="K20" i="46" s="1"/>
  <c r="L5" i="46"/>
  <c r="L20" i="46" s="1"/>
  <c r="M5" i="46"/>
  <c r="M20" i="46" s="1"/>
  <c r="N5" i="46"/>
  <c r="N20" i="46" s="1"/>
  <c r="O5" i="46"/>
  <c r="O20" i="46" s="1"/>
  <c r="P5" i="46"/>
  <c r="P20" i="46" s="1"/>
  <c r="Q5" i="46"/>
  <c r="Q20" i="46" s="1"/>
  <c r="R5" i="46"/>
  <c r="R20" i="46" s="1"/>
  <c r="S5" i="46"/>
  <c r="S20" i="46" s="1"/>
  <c r="T5" i="46"/>
  <c r="T20" i="46" s="1"/>
  <c r="U5" i="46"/>
  <c r="U20" i="46" s="1"/>
  <c r="V5" i="46"/>
  <c r="V20" i="46" s="1"/>
  <c r="W5" i="46"/>
  <c r="W20" i="46" s="1"/>
  <c r="X5" i="46"/>
  <c r="X20" i="46" s="1"/>
  <c r="Y5" i="46"/>
  <c r="Y20" i="46" s="1"/>
  <c r="Z5" i="46"/>
  <c r="Z20" i="46" s="1"/>
  <c r="AA5" i="46"/>
  <c r="AA20" i="46" s="1"/>
  <c r="AB5" i="46"/>
  <c r="AB20" i="46" s="1"/>
  <c r="AC5" i="46"/>
  <c r="AC20" i="46" s="1"/>
  <c r="AD5" i="46"/>
  <c r="AD20" i="46" s="1"/>
  <c r="AE5" i="46"/>
  <c r="AE20" i="46" s="1"/>
  <c r="AF5" i="46"/>
  <c r="AF20" i="46" s="1"/>
  <c r="AG5" i="46"/>
  <c r="AG20" i="46" s="1"/>
  <c r="C5" i="46"/>
  <c r="C20" i="46" s="1"/>
  <c r="B6" i="46"/>
  <c r="B7" i="46"/>
  <c r="B8" i="46"/>
  <c r="B9" i="46"/>
  <c r="B10" i="46"/>
  <c r="B11" i="46"/>
  <c r="G265" i="16"/>
  <c r="Z15" i="39"/>
  <c r="Z16" i="39"/>
  <c r="Z17" i="39"/>
  <c r="Z18" i="39"/>
  <c r="Z19" i="39"/>
  <c r="Z14" i="39" l="1"/>
  <c r="X18" i="35"/>
  <c r="AH18" i="35"/>
  <c r="AI18" i="35"/>
  <c r="X19" i="35"/>
  <c r="AH19" i="35"/>
  <c r="AI19" i="35"/>
  <c r="X39" i="35"/>
  <c r="AG39" i="35"/>
  <c r="AH39" i="35"/>
  <c r="AI39" i="35"/>
  <c r="X38" i="35"/>
  <c r="AG38" i="35"/>
  <c r="AH38" i="35"/>
  <c r="AI38" i="35"/>
  <c r="H21" i="39"/>
  <c r="L535" i="39"/>
  <c r="L534" i="39"/>
  <c r="L533" i="39"/>
  <c r="L532" i="39"/>
  <c r="L531" i="39"/>
  <c r="L530" i="39"/>
  <c r="L529" i="39"/>
  <c r="L528" i="39"/>
  <c r="L519" i="39"/>
  <c r="L518" i="39"/>
  <c r="L517" i="39"/>
  <c r="L516" i="39"/>
  <c r="L515" i="39"/>
  <c r="L514" i="39"/>
  <c r="L513" i="39"/>
  <c r="L512" i="39"/>
  <c r="L503" i="39"/>
  <c r="L502" i="39"/>
  <c r="L501" i="39"/>
  <c r="L500" i="39"/>
  <c r="L499" i="39"/>
  <c r="L498" i="39"/>
  <c r="L497" i="39"/>
  <c r="L496" i="39"/>
  <c r="L487" i="39"/>
  <c r="AJ9" i="39" s="1"/>
  <c r="L486" i="39"/>
  <c r="AJ8" i="39" s="1"/>
  <c r="L485" i="39"/>
  <c r="AJ7" i="39" s="1"/>
  <c r="L484" i="39"/>
  <c r="AJ6" i="39" s="1"/>
  <c r="L483" i="39"/>
  <c r="AJ5" i="39" s="1"/>
  <c r="L482" i="39"/>
  <c r="AJ4" i="39" s="1"/>
  <c r="L481" i="39"/>
  <c r="AJ3" i="39" s="1"/>
  <c r="L480" i="39"/>
  <c r="L471" i="39"/>
  <c r="AI9" i="39" s="1"/>
  <c r="L470" i="39"/>
  <c r="AI8" i="39" s="1"/>
  <c r="L469" i="39"/>
  <c r="AI7" i="39" s="1"/>
  <c r="L468" i="39"/>
  <c r="AI6" i="39" s="1"/>
  <c r="L467" i="39"/>
  <c r="AI5" i="39" s="1"/>
  <c r="L466" i="39"/>
  <c r="AI4" i="39" s="1"/>
  <c r="L465" i="39"/>
  <c r="AI3" i="39" s="1"/>
  <c r="L464" i="39"/>
  <c r="L455" i="39"/>
  <c r="AH9" i="39" s="1"/>
  <c r="L454" i="39"/>
  <c r="AH8" i="39" s="1"/>
  <c r="L453" i="39"/>
  <c r="AH7" i="39" s="1"/>
  <c r="L452" i="39"/>
  <c r="AH6" i="39" s="1"/>
  <c r="L451" i="39"/>
  <c r="AH5" i="39" s="1"/>
  <c r="L450" i="39"/>
  <c r="AH4" i="39" s="1"/>
  <c r="L449" i="39"/>
  <c r="AH3" i="39" s="1"/>
  <c r="L448" i="39"/>
  <c r="L439" i="39"/>
  <c r="AG9" i="39" s="1"/>
  <c r="L438" i="39"/>
  <c r="AG8" i="39" s="1"/>
  <c r="AH19" i="39" s="1"/>
  <c r="AF19" i="35" s="1"/>
  <c r="L437" i="39"/>
  <c r="AG7" i="39" s="1"/>
  <c r="AH18" i="39" s="1"/>
  <c r="AF18" i="35" s="1"/>
  <c r="L436" i="39"/>
  <c r="AG6" i="39" s="1"/>
  <c r="AH17" i="39" s="1"/>
  <c r="AF39" i="35" s="1"/>
  <c r="L435" i="39"/>
  <c r="AG5" i="39" s="1"/>
  <c r="AH16" i="39" s="1"/>
  <c r="AF38" i="35" s="1"/>
  <c r="L434" i="39"/>
  <c r="AG4" i="39" s="1"/>
  <c r="AH15" i="39" s="1"/>
  <c r="L433" i="39"/>
  <c r="AG3" i="39" s="1"/>
  <c r="AH14" i="39" s="1"/>
  <c r="L432" i="39"/>
  <c r="L423" i="39"/>
  <c r="AF9" i="39" s="1"/>
  <c r="L422" i="39"/>
  <c r="AF8" i="39" s="1"/>
  <c r="AE19" i="39" s="1"/>
  <c r="AC19" i="35" s="1"/>
  <c r="L421" i="39"/>
  <c r="AF7" i="39" s="1"/>
  <c r="AE18" i="39" s="1"/>
  <c r="AC18" i="35" s="1"/>
  <c r="L420" i="39"/>
  <c r="AF6" i="39" s="1"/>
  <c r="AE17" i="39" s="1"/>
  <c r="AC39" i="35" s="1"/>
  <c r="L419" i="39"/>
  <c r="AF5" i="39" s="1"/>
  <c r="AE16" i="39" s="1"/>
  <c r="AC38" i="35" s="1"/>
  <c r="L418" i="39"/>
  <c r="AF4" i="39" s="1"/>
  <c r="AE15" i="39" s="1"/>
  <c r="L417" i="39"/>
  <c r="AF3" i="39" s="1"/>
  <c r="AE14" i="39" s="1"/>
  <c r="L416" i="39"/>
  <c r="L407" i="39"/>
  <c r="AE9" i="39" s="1"/>
  <c r="L406" i="39"/>
  <c r="AE8" i="39" s="1"/>
  <c r="Q19" i="39" s="1"/>
  <c r="O19" i="35" s="1"/>
  <c r="L405" i="39"/>
  <c r="AE7" i="39" s="1"/>
  <c r="Q18" i="39" s="1"/>
  <c r="O18" i="35" s="1"/>
  <c r="L404" i="39"/>
  <c r="AE6" i="39" s="1"/>
  <c r="Q17" i="39" s="1"/>
  <c r="O39" i="35" s="1"/>
  <c r="L403" i="39"/>
  <c r="AE5" i="39" s="1"/>
  <c r="Q16" i="39" s="1"/>
  <c r="O38" i="35" s="1"/>
  <c r="L402" i="39"/>
  <c r="AE4" i="39" s="1"/>
  <c r="Q15" i="39" s="1"/>
  <c r="L401" i="39"/>
  <c r="AE3" i="39" s="1"/>
  <c r="Q14" i="39" s="1"/>
  <c r="L400" i="39"/>
  <c r="L391" i="39"/>
  <c r="AD9" i="39" s="1"/>
  <c r="L390" i="39"/>
  <c r="AD8" i="39" s="1"/>
  <c r="AG19" i="39" s="1"/>
  <c r="AE19" i="35" s="1"/>
  <c r="L389" i="39"/>
  <c r="AD7" i="39" s="1"/>
  <c r="AG18" i="39" s="1"/>
  <c r="AE18" i="35" s="1"/>
  <c r="L388" i="39"/>
  <c r="AD6" i="39" s="1"/>
  <c r="AG17" i="39" s="1"/>
  <c r="AE39" i="35" s="1"/>
  <c r="L387" i="39"/>
  <c r="AD5" i="39" s="1"/>
  <c r="AG16" i="39" s="1"/>
  <c r="AE38" i="35" s="1"/>
  <c r="L386" i="39"/>
  <c r="AD4" i="39" s="1"/>
  <c r="AG15" i="39" s="1"/>
  <c r="L385" i="39"/>
  <c r="AD3" i="39" s="1"/>
  <c r="AG14" i="39" s="1"/>
  <c r="L384" i="39"/>
  <c r="L375" i="39"/>
  <c r="AC9" i="39" s="1"/>
  <c r="L374" i="39"/>
  <c r="AC8" i="39" s="1"/>
  <c r="AF19" i="39" s="1"/>
  <c r="AD19" i="35" s="1"/>
  <c r="L373" i="39"/>
  <c r="AC7" i="39" s="1"/>
  <c r="AF18" i="39" s="1"/>
  <c r="AD18" i="35" s="1"/>
  <c r="L372" i="39"/>
  <c r="AC6" i="39" s="1"/>
  <c r="AF17" i="39" s="1"/>
  <c r="AD39" i="35" s="1"/>
  <c r="L371" i="39"/>
  <c r="AC5" i="39" s="1"/>
  <c r="AF16" i="39" s="1"/>
  <c r="AD38" i="35" s="1"/>
  <c r="L370" i="39"/>
  <c r="AC4" i="39" s="1"/>
  <c r="AF15" i="39" s="1"/>
  <c r="L369" i="39"/>
  <c r="AC3" i="39" s="1"/>
  <c r="AF14" i="39" s="1"/>
  <c r="L368" i="39"/>
  <c r="L359" i="39"/>
  <c r="AB9" i="39" s="1"/>
  <c r="L358" i="39"/>
  <c r="AB8" i="39" s="1"/>
  <c r="AD19" i="39" s="1"/>
  <c r="AB19" i="35" s="1"/>
  <c r="L357" i="39"/>
  <c r="AB7" i="39" s="1"/>
  <c r="AD18" i="39" s="1"/>
  <c r="AB18" i="35" s="1"/>
  <c r="L356" i="39"/>
  <c r="AB6" i="39" s="1"/>
  <c r="AD17" i="39" s="1"/>
  <c r="AB39" i="35" s="1"/>
  <c r="L355" i="39"/>
  <c r="AB5" i="39" s="1"/>
  <c r="AD16" i="39" s="1"/>
  <c r="AB38" i="35" s="1"/>
  <c r="L354" i="39"/>
  <c r="AB4" i="39" s="1"/>
  <c r="AD15" i="39" s="1"/>
  <c r="L353" i="39"/>
  <c r="AB3" i="39" s="1"/>
  <c r="AD14" i="39" s="1"/>
  <c r="L352" i="39"/>
  <c r="L343" i="39"/>
  <c r="AA9" i="39" s="1"/>
  <c r="L342" i="39"/>
  <c r="AA8" i="39" s="1"/>
  <c r="AC19" i="39" s="1"/>
  <c r="AA19" i="35" s="1"/>
  <c r="L341" i="39"/>
  <c r="AA7" i="39" s="1"/>
  <c r="AC18" i="39" s="1"/>
  <c r="AA18" i="35" s="1"/>
  <c r="L340" i="39"/>
  <c r="AA6" i="39" s="1"/>
  <c r="AC17" i="39" s="1"/>
  <c r="AA39" i="35" s="1"/>
  <c r="L339" i="39"/>
  <c r="AA5" i="39" s="1"/>
  <c r="AC16" i="39" s="1"/>
  <c r="AA38" i="35" s="1"/>
  <c r="L338" i="39"/>
  <c r="AA4" i="39" s="1"/>
  <c r="AC15" i="39" s="1"/>
  <c r="L337" i="39"/>
  <c r="AA3" i="39" s="1"/>
  <c r="AC14" i="39" s="1"/>
  <c r="L336" i="39"/>
  <c r="L327" i="39"/>
  <c r="Z9" i="39" s="1"/>
  <c r="L326" i="39"/>
  <c r="Z8" i="39" s="1"/>
  <c r="AB19" i="39" s="1"/>
  <c r="Z19" i="35" s="1"/>
  <c r="L325" i="39"/>
  <c r="Z7" i="39" s="1"/>
  <c r="AB18" i="39" s="1"/>
  <c r="Z18" i="35" s="1"/>
  <c r="L324" i="39"/>
  <c r="Z6" i="39" s="1"/>
  <c r="AB17" i="39" s="1"/>
  <c r="Z39" i="35" s="1"/>
  <c r="L323" i="39"/>
  <c r="Z5" i="39" s="1"/>
  <c r="AB16" i="39" s="1"/>
  <c r="Z38" i="35" s="1"/>
  <c r="L322" i="39"/>
  <c r="Z4" i="39" s="1"/>
  <c r="AB15" i="39" s="1"/>
  <c r="L321" i="39"/>
  <c r="Z3" i="39" s="1"/>
  <c r="AB14" i="39" s="1"/>
  <c r="L320" i="39"/>
  <c r="L311" i="39"/>
  <c r="Y9" i="39" s="1"/>
  <c r="H20" i="39" s="1"/>
  <c r="L310" i="39"/>
  <c r="Y8" i="39" s="1"/>
  <c r="H19" i="39" s="1"/>
  <c r="F19" i="35" s="1"/>
  <c r="L309" i="39"/>
  <c r="Y7" i="39" s="1"/>
  <c r="H18" i="39" s="1"/>
  <c r="F18" i="35" s="1"/>
  <c r="L308" i="39"/>
  <c r="Y6" i="39" s="1"/>
  <c r="H17" i="39" s="1"/>
  <c r="F39" i="35" s="1"/>
  <c r="L307" i="39"/>
  <c r="Y5" i="39" s="1"/>
  <c r="H16" i="39" s="1"/>
  <c r="F38" i="35" s="1"/>
  <c r="L306" i="39"/>
  <c r="Y4" i="39" s="1"/>
  <c r="H15" i="39" s="1"/>
  <c r="L305" i="39"/>
  <c r="Y3" i="39" s="1"/>
  <c r="H14" i="39" s="1"/>
  <c r="L304" i="39"/>
  <c r="L295" i="39"/>
  <c r="X9" i="39" s="1"/>
  <c r="L294" i="39"/>
  <c r="X8" i="39" s="1"/>
  <c r="AA19" i="39" s="1"/>
  <c r="Y19" i="35" s="1"/>
  <c r="L293" i="39"/>
  <c r="X7" i="39" s="1"/>
  <c r="AA18" i="39" s="1"/>
  <c r="Y18" i="35" s="1"/>
  <c r="L292" i="39"/>
  <c r="X6" i="39" s="1"/>
  <c r="AA17" i="39" s="1"/>
  <c r="Y39" i="35" s="1"/>
  <c r="L291" i="39"/>
  <c r="X5" i="39" s="1"/>
  <c r="AA16" i="39" s="1"/>
  <c r="Y38" i="35" s="1"/>
  <c r="L290" i="39"/>
  <c r="X4" i="39" s="1"/>
  <c r="AA15" i="39" s="1"/>
  <c r="L289" i="39"/>
  <c r="X3" i="39" s="1"/>
  <c r="AA14" i="39" s="1"/>
  <c r="L288" i="39"/>
  <c r="L279" i="39"/>
  <c r="W9" i="39" s="1"/>
  <c r="L278" i="39"/>
  <c r="W8" i="39" s="1"/>
  <c r="T19" i="39" s="1"/>
  <c r="R19" i="35" s="1"/>
  <c r="L277" i="39"/>
  <c r="W7" i="39" s="1"/>
  <c r="T18" i="39" s="1"/>
  <c r="R18" i="35" s="1"/>
  <c r="L276" i="39"/>
  <c r="W6" i="39" s="1"/>
  <c r="T17" i="39" s="1"/>
  <c r="R39" i="35" s="1"/>
  <c r="L275" i="39"/>
  <c r="W5" i="39" s="1"/>
  <c r="T16" i="39" s="1"/>
  <c r="R38" i="35" s="1"/>
  <c r="L274" i="39"/>
  <c r="W4" i="39" s="1"/>
  <c r="T15" i="39" s="1"/>
  <c r="L273" i="39"/>
  <c r="W3" i="39" s="1"/>
  <c r="T14" i="39" s="1"/>
  <c r="L272" i="39"/>
  <c r="L263" i="39"/>
  <c r="V9" i="39" s="1"/>
  <c r="L262" i="39"/>
  <c r="V8" i="39" s="1"/>
  <c r="X19" i="39" s="1"/>
  <c r="V19" i="35" s="1"/>
  <c r="L261" i="39"/>
  <c r="V7" i="39" s="1"/>
  <c r="X18" i="39" s="1"/>
  <c r="V18" i="35" s="1"/>
  <c r="L260" i="39"/>
  <c r="V6" i="39" s="1"/>
  <c r="X17" i="39" s="1"/>
  <c r="V39" i="35" s="1"/>
  <c r="L259" i="39"/>
  <c r="V5" i="39" s="1"/>
  <c r="X16" i="39" s="1"/>
  <c r="V38" i="35" s="1"/>
  <c r="L258" i="39"/>
  <c r="V4" i="39" s="1"/>
  <c r="X15" i="39" s="1"/>
  <c r="L257" i="39"/>
  <c r="V3" i="39" s="1"/>
  <c r="X14" i="39" s="1"/>
  <c r="L256" i="39"/>
  <c r="L247" i="39"/>
  <c r="U9" i="39" s="1"/>
  <c r="L246" i="39"/>
  <c r="U8" i="39" s="1"/>
  <c r="W19" i="39" s="1"/>
  <c r="U19" i="35" s="1"/>
  <c r="L245" i="39"/>
  <c r="U7" i="39" s="1"/>
  <c r="W18" i="39" s="1"/>
  <c r="U18" i="35" s="1"/>
  <c r="L244" i="39"/>
  <c r="U6" i="39" s="1"/>
  <c r="W17" i="39" s="1"/>
  <c r="U39" i="35" s="1"/>
  <c r="L243" i="39"/>
  <c r="U5" i="39" s="1"/>
  <c r="W16" i="39" s="1"/>
  <c r="U38" i="35" s="1"/>
  <c r="L242" i="39"/>
  <c r="U4" i="39" s="1"/>
  <c r="W15" i="39" s="1"/>
  <c r="L241" i="39"/>
  <c r="U3" i="39" s="1"/>
  <c r="W14" i="39" s="1"/>
  <c r="L240" i="39"/>
  <c r="L231" i="39"/>
  <c r="T9" i="39" s="1"/>
  <c r="L230" i="39"/>
  <c r="T8" i="39" s="1"/>
  <c r="Y19" i="39" s="1"/>
  <c r="W19" i="35" s="1"/>
  <c r="L229" i="39"/>
  <c r="T7" i="39" s="1"/>
  <c r="Y18" i="39" s="1"/>
  <c r="W18" i="35" s="1"/>
  <c r="L228" i="39"/>
  <c r="T6" i="39" s="1"/>
  <c r="Y17" i="39" s="1"/>
  <c r="W39" i="35" s="1"/>
  <c r="L227" i="39"/>
  <c r="T5" i="39" s="1"/>
  <c r="Y16" i="39" s="1"/>
  <c r="W38" i="35" s="1"/>
  <c r="L226" i="39"/>
  <c r="T4" i="39" s="1"/>
  <c r="Y15" i="39" s="1"/>
  <c r="L225" i="39"/>
  <c r="T3" i="39" s="1"/>
  <c r="Y14" i="39" s="1"/>
  <c r="L224" i="39"/>
  <c r="L215" i="39"/>
  <c r="S9" i="39" s="1"/>
  <c r="L214" i="39"/>
  <c r="S8" i="39" s="1"/>
  <c r="K19" i="39" s="1"/>
  <c r="I19" i="35" s="1"/>
  <c r="L213" i="39"/>
  <c r="S7" i="39" s="1"/>
  <c r="K18" i="39" s="1"/>
  <c r="I18" i="35" s="1"/>
  <c r="L212" i="39"/>
  <c r="S6" i="39" s="1"/>
  <c r="K17" i="39" s="1"/>
  <c r="I39" i="35" s="1"/>
  <c r="L211" i="39"/>
  <c r="S5" i="39" s="1"/>
  <c r="K16" i="39" s="1"/>
  <c r="I38" i="35" s="1"/>
  <c r="L210" i="39"/>
  <c r="S4" i="39" s="1"/>
  <c r="K15" i="39" s="1"/>
  <c r="L209" i="39"/>
  <c r="S3" i="39" s="1"/>
  <c r="K14" i="39" s="1"/>
  <c r="L208" i="39"/>
  <c r="L199" i="39"/>
  <c r="R9" i="39" s="1"/>
  <c r="L198" i="39"/>
  <c r="R8" i="39" s="1"/>
  <c r="V19" i="39" s="1"/>
  <c r="T19" i="35" s="1"/>
  <c r="L197" i="39"/>
  <c r="R7" i="39" s="1"/>
  <c r="V18" i="39" s="1"/>
  <c r="T18" i="35" s="1"/>
  <c r="L196" i="39"/>
  <c r="R6" i="39" s="1"/>
  <c r="V17" i="39" s="1"/>
  <c r="T39" i="35" s="1"/>
  <c r="L195" i="39"/>
  <c r="R5" i="39" s="1"/>
  <c r="V16" i="39" s="1"/>
  <c r="T38" i="35" s="1"/>
  <c r="L194" i="39"/>
  <c r="R4" i="39" s="1"/>
  <c r="V15" i="39" s="1"/>
  <c r="L193" i="39"/>
  <c r="R3" i="39" s="1"/>
  <c r="V14" i="39" s="1"/>
  <c r="L192" i="39"/>
  <c r="L183" i="39"/>
  <c r="Q9" i="39" s="1"/>
  <c r="L182" i="39"/>
  <c r="Q8" i="39" s="1"/>
  <c r="R19" i="39" s="1"/>
  <c r="P19" i="35" s="1"/>
  <c r="L181" i="39"/>
  <c r="Q7" i="39" s="1"/>
  <c r="R18" i="39" s="1"/>
  <c r="P18" i="35" s="1"/>
  <c r="L180" i="39"/>
  <c r="Q6" i="39" s="1"/>
  <c r="R17" i="39" s="1"/>
  <c r="P39" i="35" s="1"/>
  <c r="L179" i="39"/>
  <c r="Q5" i="39" s="1"/>
  <c r="R16" i="39" s="1"/>
  <c r="P38" i="35" s="1"/>
  <c r="L178" i="39"/>
  <c r="Q4" i="39" s="1"/>
  <c r="R15" i="39" s="1"/>
  <c r="L177" i="39"/>
  <c r="Q3" i="39" s="1"/>
  <c r="R14" i="39" s="1"/>
  <c r="L176" i="39"/>
  <c r="L167" i="39"/>
  <c r="P9" i="39" s="1"/>
  <c r="L166" i="39"/>
  <c r="P8" i="39" s="1"/>
  <c r="P19" i="39" s="1"/>
  <c r="N19" i="35" s="1"/>
  <c r="L165" i="39"/>
  <c r="P7" i="39" s="1"/>
  <c r="P18" i="39" s="1"/>
  <c r="N18" i="35" s="1"/>
  <c r="L164" i="39"/>
  <c r="P6" i="39" s="1"/>
  <c r="P17" i="39" s="1"/>
  <c r="L163" i="39"/>
  <c r="P5" i="39" s="1"/>
  <c r="P16" i="39" s="1"/>
  <c r="N38" i="35" s="1"/>
  <c r="L162" i="39"/>
  <c r="P4" i="39" s="1"/>
  <c r="P15" i="39" s="1"/>
  <c r="L161" i="39"/>
  <c r="P3" i="39" s="1"/>
  <c r="P14" i="39" s="1"/>
  <c r="L160" i="39"/>
  <c r="L151" i="39"/>
  <c r="O9" i="39" s="1"/>
  <c r="L150" i="39"/>
  <c r="O8" i="39" s="1"/>
  <c r="S19" i="39" s="1"/>
  <c r="Q19" i="35" s="1"/>
  <c r="L149" i="39"/>
  <c r="O7" i="39" s="1"/>
  <c r="S18" i="39" s="1"/>
  <c r="Q18" i="35" s="1"/>
  <c r="L148" i="39"/>
  <c r="O6" i="39" s="1"/>
  <c r="S17" i="39" s="1"/>
  <c r="Q39" i="35" s="1"/>
  <c r="L147" i="39"/>
  <c r="O5" i="39" s="1"/>
  <c r="S16" i="39" s="1"/>
  <c r="Q38" i="35" s="1"/>
  <c r="L146" i="39"/>
  <c r="O4" i="39" s="1"/>
  <c r="S15" i="39" s="1"/>
  <c r="L145" i="39"/>
  <c r="O3" i="39" s="1"/>
  <c r="S14" i="39" s="1"/>
  <c r="L144" i="39"/>
  <c r="L135" i="39"/>
  <c r="N9" i="39" s="1"/>
  <c r="L134" i="39"/>
  <c r="N8" i="39" s="1"/>
  <c r="U19" i="39" s="1"/>
  <c r="S19" i="35" s="1"/>
  <c r="L133" i="39"/>
  <c r="N7" i="39" s="1"/>
  <c r="U18" i="39" s="1"/>
  <c r="S18" i="35" s="1"/>
  <c r="L132" i="39"/>
  <c r="N6" i="39" s="1"/>
  <c r="U17" i="39" s="1"/>
  <c r="S39" i="35" s="1"/>
  <c r="L131" i="39"/>
  <c r="N5" i="39" s="1"/>
  <c r="U16" i="39" s="1"/>
  <c r="S38" i="35" s="1"/>
  <c r="L130" i="39"/>
  <c r="N4" i="39" s="1"/>
  <c r="U15" i="39" s="1"/>
  <c r="L129" i="39"/>
  <c r="N3" i="39" s="1"/>
  <c r="U14" i="39" s="1"/>
  <c r="L128" i="39"/>
  <c r="L119" i="39"/>
  <c r="M9" i="39" s="1"/>
  <c r="L118" i="39"/>
  <c r="M8" i="39" s="1"/>
  <c r="O19" i="39" s="1"/>
  <c r="M19" i="35" s="1"/>
  <c r="L117" i="39"/>
  <c r="M7" i="39" s="1"/>
  <c r="O18" i="39" s="1"/>
  <c r="M18" i="35" s="1"/>
  <c r="L116" i="39"/>
  <c r="M6" i="39" s="1"/>
  <c r="O17" i="39" s="1"/>
  <c r="M39" i="35" s="1"/>
  <c r="L115" i="39"/>
  <c r="M5" i="39" s="1"/>
  <c r="O16" i="39" s="1"/>
  <c r="M38" i="35" s="1"/>
  <c r="L114" i="39"/>
  <c r="M4" i="39" s="1"/>
  <c r="O15" i="39" s="1"/>
  <c r="L113" i="39"/>
  <c r="M3" i="39" s="1"/>
  <c r="O14" i="39" s="1"/>
  <c r="L112" i="39"/>
  <c r="L103" i="39"/>
  <c r="L9" i="39" s="1"/>
  <c r="L102" i="39"/>
  <c r="L8" i="39" s="1"/>
  <c r="M19" i="39" s="1"/>
  <c r="K19" i="35" s="1"/>
  <c r="L101" i="39"/>
  <c r="L7" i="39" s="1"/>
  <c r="M18" i="39" s="1"/>
  <c r="K18" i="35" s="1"/>
  <c r="L100" i="39"/>
  <c r="L6" i="39" s="1"/>
  <c r="M17" i="39" s="1"/>
  <c r="K39" i="35" s="1"/>
  <c r="L99" i="39"/>
  <c r="L5" i="39" s="1"/>
  <c r="M16" i="39" s="1"/>
  <c r="K38" i="35" s="1"/>
  <c r="L98" i="39"/>
  <c r="L4" i="39" s="1"/>
  <c r="M15" i="39" s="1"/>
  <c r="L97" i="39"/>
  <c r="L3" i="39" s="1"/>
  <c r="M14" i="39" s="1"/>
  <c r="L96" i="39"/>
  <c r="L87" i="39"/>
  <c r="K9" i="39" s="1"/>
  <c r="L86" i="39"/>
  <c r="K8" i="39" s="1"/>
  <c r="N19" i="39" s="1"/>
  <c r="L19" i="35" s="1"/>
  <c r="L85" i="39"/>
  <c r="K7" i="39" s="1"/>
  <c r="N18" i="39" s="1"/>
  <c r="L18" i="35" s="1"/>
  <c r="L84" i="39"/>
  <c r="K6" i="39" s="1"/>
  <c r="N17" i="39" s="1"/>
  <c r="L39" i="35" s="1"/>
  <c r="L83" i="39"/>
  <c r="K5" i="39" s="1"/>
  <c r="N16" i="39" s="1"/>
  <c r="L38" i="35" s="1"/>
  <c r="L82" i="39"/>
  <c r="K4" i="39" s="1"/>
  <c r="N15" i="39" s="1"/>
  <c r="L81" i="39"/>
  <c r="K3" i="39" s="1"/>
  <c r="N14" i="39" s="1"/>
  <c r="L80" i="39"/>
  <c r="K2" i="39" s="1"/>
  <c r="L71" i="39"/>
  <c r="J9" i="39" s="1"/>
  <c r="L70" i="39"/>
  <c r="J8" i="39" s="1"/>
  <c r="L19" i="39" s="1"/>
  <c r="J19" i="35" s="1"/>
  <c r="L69" i="39"/>
  <c r="J7" i="39" s="1"/>
  <c r="L18" i="39" s="1"/>
  <c r="J18" i="35" s="1"/>
  <c r="L68" i="39"/>
  <c r="J6" i="39" s="1"/>
  <c r="L17" i="39" s="1"/>
  <c r="J39" i="35" s="1"/>
  <c r="L67" i="39"/>
  <c r="J5" i="39" s="1"/>
  <c r="L16" i="39" s="1"/>
  <c r="J38" i="35" s="1"/>
  <c r="L66" i="39"/>
  <c r="J4" i="39" s="1"/>
  <c r="L15" i="39" s="1"/>
  <c r="L65" i="39"/>
  <c r="J3" i="39" s="1"/>
  <c r="L14" i="39" s="1"/>
  <c r="L64" i="39"/>
  <c r="L55" i="39"/>
  <c r="L54" i="39"/>
  <c r="L53" i="39"/>
  <c r="L52" i="39"/>
  <c r="L51" i="39"/>
  <c r="L50" i="39"/>
  <c r="L49" i="39"/>
  <c r="L48" i="39"/>
  <c r="L39" i="39"/>
  <c r="H9" i="39" s="1"/>
  <c r="L38" i="39"/>
  <c r="I8" i="39" s="1"/>
  <c r="J19" i="39" s="1"/>
  <c r="H19" i="35" s="1"/>
  <c r="L37" i="39"/>
  <c r="H7" i="39" s="1"/>
  <c r="I18" i="39" s="1"/>
  <c r="G18" i="35" s="1"/>
  <c r="L36" i="39"/>
  <c r="L35" i="39"/>
  <c r="H5" i="39" s="1"/>
  <c r="I16" i="39" s="1"/>
  <c r="G38" i="35" s="1"/>
  <c r="L34" i="39"/>
  <c r="I4" i="39" s="1"/>
  <c r="J15" i="39" s="1"/>
  <c r="L33" i="39"/>
  <c r="H3" i="39" s="1"/>
  <c r="I14" i="39" s="1"/>
  <c r="G325" i="16"/>
  <c r="A324" i="16"/>
  <c r="A302" i="16"/>
  <c r="A313" i="16"/>
  <c r="A291" i="16"/>
  <c r="A236" i="16"/>
  <c r="A247" i="16"/>
  <c r="A258" i="16"/>
  <c r="A269" i="16"/>
  <c r="A280" i="16"/>
  <c r="A170" i="16"/>
  <c r="A181" i="16"/>
  <c r="A192" i="16"/>
  <c r="A203" i="16"/>
  <c r="A214" i="16"/>
  <c r="A225" i="16"/>
  <c r="A93" i="16"/>
  <c r="A104" i="16"/>
  <c r="A115" i="16"/>
  <c r="A126" i="16"/>
  <c r="A137" i="16"/>
  <c r="A148" i="16"/>
  <c r="A159" i="16"/>
  <c r="A16" i="16"/>
  <c r="A27" i="16"/>
  <c r="A38" i="16"/>
  <c r="A49" i="16"/>
  <c r="A60" i="16"/>
  <c r="A71" i="16"/>
  <c r="A82" i="16"/>
  <c r="A5" i="16"/>
  <c r="V714" i="32"/>
  <c r="AF13" i="32"/>
  <c r="E140" i="5" s="1"/>
  <c r="E344" i="17"/>
  <c r="E21" i="17"/>
  <c r="AG34" i="35"/>
  <c r="AH34" i="35"/>
  <c r="AI34" i="35"/>
  <c r="AG33" i="35"/>
  <c r="AH33" i="35"/>
  <c r="AI33" i="35"/>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AH20" i="38"/>
  <c r="K14" i="35"/>
  <c r="L14" i="35"/>
  <c r="M14" i="35"/>
  <c r="N14" i="35"/>
  <c r="O14" i="35"/>
  <c r="P14" i="35"/>
  <c r="Q14" i="35"/>
  <c r="R14" i="35"/>
  <c r="S14" i="35"/>
  <c r="T14" i="35"/>
  <c r="U14" i="35"/>
  <c r="V14" i="35"/>
  <c r="W14" i="35"/>
  <c r="X14" i="35"/>
  <c r="Y14" i="35"/>
  <c r="Z14" i="35"/>
  <c r="AA14" i="35"/>
  <c r="AB14" i="35"/>
  <c r="AC14" i="35"/>
  <c r="AD14" i="35"/>
  <c r="AE14" i="35"/>
  <c r="AF14" i="35"/>
  <c r="AG14" i="35"/>
  <c r="AH14" i="35"/>
  <c r="AI14" i="35"/>
  <c r="AH13" i="35"/>
  <c r="AI13" i="35"/>
  <c r="H20" i="38"/>
  <c r="AP519" i="38"/>
  <c r="AP518" i="38"/>
  <c r="AP517" i="38"/>
  <c r="AP516" i="38"/>
  <c r="AP515" i="38"/>
  <c r="AP514" i="38"/>
  <c r="AQ513" i="38"/>
  <c r="AP513" i="38"/>
  <c r="AO513" i="38"/>
  <c r="AP512" i="38"/>
  <c r="AP504" i="38"/>
  <c r="AP503" i="38"/>
  <c r="AP502" i="38"/>
  <c r="AP501" i="38"/>
  <c r="AP500" i="38"/>
  <c r="AP499" i="38"/>
  <c r="AQ498" i="38"/>
  <c r="AP498" i="38"/>
  <c r="AO498" i="38"/>
  <c r="AP497" i="38"/>
  <c r="AP489" i="38"/>
  <c r="AP488" i="38"/>
  <c r="AP487" i="38"/>
  <c r="AP486" i="38"/>
  <c r="AP485" i="38"/>
  <c r="AP484" i="38"/>
  <c r="AQ483" i="38"/>
  <c r="AP483" i="38"/>
  <c r="AO483" i="38"/>
  <c r="AP482" i="38"/>
  <c r="AP474" i="38"/>
  <c r="AP473" i="38"/>
  <c r="AP472" i="38"/>
  <c r="AP471" i="38"/>
  <c r="AP470" i="38"/>
  <c r="AP469" i="38"/>
  <c r="AQ468" i="38"/>
  <c r="AP468" i="38"/>
  <c r="AO468" i="38"/>
  <c r="AP467" i="38"/>
  <c r="AP459" i="38"/>
  <c r="AP458" i="38"/>
  <c r="AP457" i="38"/>
  <c r="AP456" i="38"/>
  <c r="AP455" i="38"/>
  <c r="AP454" i="38"/>
  <c r="AQ453" i="38"/>
  <c r="AP453" i="38"/>
  <c r="AO453" i="38"/>
  <c r="AP452" i="38"/>
  <c r="AP444" i="38"/>
  <c r="AP443" i="38"/>
  <c r="AP442" i="38"/>
  <c r="AP441" i="38"/>
  <c r="AP440" i="38"/>
  <c r="AP439" i="38"/>
  <c r="AQ438" i="38"/>
  <c r="AP438" i="38"/>
  <c r="AO438" i="38"/>
  <c r="AP437" i="38"/>
  <c r="AP429" i="38"/>
  <c r="AP428" i="38"/>
  <c r="AH8" i="38" s="1"/>
  <c r="AH19" i="38" s="1"/>
  <c r="AF34" i="35" s="1"/>
  <c r="AP427" i="38"/>
  <c r="AH7" i="38" s="1"/>
  <c r="AH18" i="38" s="1"/>
  <c r="AF13" i="35" s="1"/>
  <c r="AP426" i="38"/>
  <c r="AH6" i="38" s="1"/>
  <c r="AH17" i="38" s="1"/>
  <c r="AF33" i="35" s="1"/>
  <c r="AP425" i="38"/>
  <c r="AP424" i="38"/>
  <c r="AQ423" i="38"/>
  <c r="AP423" i="38"/>
  <c r="AO423" i="38"/>
  <c r="AP422" i="38"/>
  <c r="AP414" i="38"/>
  <c r="AP413" i="38"/>
  <c r="AG8" i="38" s="1"/>
  <c r="AE19" i="38" s="1"/>
  <c r="AC34" i="35" s="1"/>
  <c r="AP412" i="38"/>
  <c r="AG7" i="38" s="1"/>
  <c r="AE18" i="38" s="1"/>
  <c r="AC13" i="35" s="1"/>
  <c r="AP411" i="38"/>
  <c r="AG6" i="38" s="1"/>
  <c r="AE17" i="38" s="1"/>
  <c r="AC33" i="35" s="1"/>
  <c r="AP410" i="38"/>
  <c r="AP409" i="38"/>
  <c r="AQ408" i="38"/>
  <c r="AP408" i="38"/>
  <c r="AO408" i="38"/>
  <c r="AP407" i="38"/>
  <c r="AP399" i="38"/>
  <c r="AP398" i="38"/>
  <c r="AF8" i="38" s="1"/>
  <c r="Q19" i="38" s="1"/>
  <c r="O34" i="35" s="1"/>
  <c r="AP397" i="38"/>
  <c r="AF7" i="38" s="1"/>
  <c r="Q18" i="38" s="1"/>
  <c r="O13" i="35" s="1"/>
  <c r="AP396" i="38"/>
  <c r="AF6" i="38" s="1"/>
  <c r="Q17" i="38" s="1"/>
  <c r="O33" i="35" s="1"/>
  <c r="AP395" i="38"/>
  <c r="AP394" i="38"/>
  <c r="AQ393" i="38"/>
  <c r="AP393" i="38"/>
  <c r="AO393" i="38"/>
  <c r="AP392" i="38"/>
  <c r="AP384" i="38"/>
  <c r="AP383" i="38"/>
  <c r="AE8" i="38" s="1"/>
  <c r="AG19" i="38" s="1"/>
  <c r="AE34" i="35" s="1"/>
  <c r="AP382" i="38"/>
  <c r="AE7" i="38" s="1"/>
  <c r="AG18" i="38" s="1"/>
  <c r="AE13" i="35" s="1"/>
  <c r="AP381" i="38"/>
  <c r="AE6" i="38" s="1"/>
  <c r="AG17" i="38" s="1"/>
  <c r="AE33" i="35" s="1"/>
  <c r="AP380" i="38"/>
  <c r="AP379" i="38"/>
  <c r="AQ378" i="38"/>
  <c r="AP378" i="38"/>
  <c r="AO378" i="38"/>
  <c r="AP377" i="38"/>
  <c r="AP369" i="38"/>
  <c r="AP368" i="38"/>
  <c r="AD8" i="38" s="1"/>
  <c r="AF19" i="38" s="1"/>
  <c r="AD34" i="35" s="1"/>
  <c r="AP367" i="38"/>
  <c r="AD7" i="38" s="1"/>
  <c r="AF18" i="38" s="1"/>
  <c r="AD13" i="35" s="1"/>
  <c r="AP366" i="38"/>
  <c r="AD6" i="38" s="1"/>
  <c r="AF17" i="38" s="1"/>
  <c r="AD33" i="35" s="1"/>
  <c r="AP365" i="38"/>
  <c r="AP364" i="38"/>
  <c r="AQ363" i="38"/>
  <c r="AP363" i="38"/>
  <c r="AO363" i="38"/>
  <c r="AP362" i="38"/>
  <c r="AP354" i="38"/>
  <c r="AP353" i="38"/>
  <c r="AC8" i="38" s="1"/>
  <c r="AD19" i="38" s="1"/>
  <c r="AB34" i="35" s="1"/>
  <c r="AP352" i="38"/>
  <c r="AC7" i="38" s="1"/>
  <c r="AD18" i="38" s="1"/>
  <c r="AB13" i="35" s="1"/>
  <c r="AP351" i="38"/>
  <c r="AC6" i="38" s="1"/>
  <c r="AD17" i="38" s="1"/>
  <c r="AB33" i="35" s="1"/>
  <c r="AP350" i="38"/>
  <c r="AP349" i="38"/>
  <c r="AQ348" i="38"/>
  <c r="AP348" i="38"/>
  <c r="AO348" i="38"/>
  <c r="AP347" i="38"/>
  <c r="AP339" i="38"/>
  <c r="AP338" i="38"/>
  <c r="AB8" i="38" s="1"/>
  <c r="AC19" i="38" s="1"/>
  <c r="AA34" i="35" s="1"/>
  <c r="AP337" i="38"/>
  <c r="AB7" i="38" s="1"/>
  <c r="AC18" i="38" s="1"/>
  <c r="AA13" i="35" s="1"/>
  <c r="AP336" i="38"/>
  <c r="AB6" i="38" s="1"/>
  <c r="AC17" i="38" s="1"/>
  <c r="AA33" i="35" s="1"/>
  <c r="AP335" i="38"/>
  <c r="AP334" i="38"/>
  <c r="AQ333" i="38"/>
  <c r="AP333" i="38"/>
  <c r="AO333" i="38"/>
  <c r="AP332" i="38"/>
  <c r="AP324" i="38"/>
  <c r="AP323" i="38"/>
  <c r="AA8" i="38" s="1"/>
  <c r="AB19" i="38" s="1"/>
  <c r="Z34" i="35" s="1"/>
  <c r="AP322" i="38"/>
  <c r="AA7" i="38" s="1"/>
  <c r="AB18" i="38" s="1"/>
  <c r="Z13" i="35" s="1"/>
  <c r="AP321" i="38"/>
  <c r="AA6" i="38" s="1"/>
  <c r="AB17" i="38" s="1"/>
  <c r="Z33" i="35" s="1"/>
  <c r="AP320" i="38"/>
  <c r="AP319" i="38"/>
  <c r="AQ318" i="38"/>
  <c r="AP318" i="38"/>
  <c r="AO318" i="38"/>
  <c r="AP317" i="38"/>
  <c r="AP309" i="38"/>
  <c r="AP308" i="38"/>
  <c r="Z8" i="38" s="1"/>
  <c r="H19" i="38" s="1"/>
  <c r="F34" i="35" s="1"/>
  <c r="AP307" i="38"/>
  <c r="Z7" i="38" s="1"/>
  <c r="H18" i="38" s="1"/>
  <c r="F13" i="35" s="1"/>
  <c r="AP306" i="38"/>
  <c r="Z6" i="38" s="1"/>
  <c r="H17" i="38" s="1"/>
  <c r="F33" i="35" s="1"/>
  <c r="AP305" i="38"/>
  <c r="AP304" i="38"/>
  <c r="AQ303" i="38"/>
  <c r="AP303" i="38"/>
  <c r="AO303" i="38"/>
  <c r="AP302" i="38"/>
  <c r="AP294" i="38"/>
  <c r="AP293" i="38"/>
  <c r="Y8" i="38" s="1"/>
  <c r="AA19" i="38" s="1"/>
  <c r="Y34" i="35" s="1"/>
  <c r="AP292" i="38"/>
  <c r="Y7" i="38" s="1"/>
  <c r="AA18" i="38" s="1"/>
  <c r="Y13" i="35" s="1"/>
  <c r="AP291" i="38"/>
  <c r="Y6" i="38" s="1"/>
  <c r="AA17" i="38" s="1"/>
  <c r="Y33" i="35" s="1"/>
  <c r="AP290" i="38"/>
  <c r="AP289" i="38"/>
  <c r="AQ288" i="38"/>
  <c r="AP288" i="38"/>
  <c r="AO288" i="38"/>
  <c r="AP287" i="38"/>
  <c r="AP279" i="38"/>
  <c r="AP278" i="38"/>
  <c r="X8" i="38" s="1"/>
  <c r="Z19" i="38" s="1"/>
  <c r="X34" i="35" s="1"/>
  <c r="AP277" i="38"/>
  <c r="X7" i="38" s="1"/>
  <c r="Z18" i="38" s="1"/>
  <c r="X13" i="35" s="1"/>
  <c r="AP276" i="38"/>
  <c r="X6" i="38" s="1"/>
  <c r="Z17" i="38" s="1"/>
  <c r="X33" i="35" s="1"/>
  <c r="AP275" i="38"/>
  <c r="AP274" i="38"/>
  <c r="AQ273" i="38"/>
  <c r="AP273" i="38"/>
  <c r="AO273" i="38"/>
  <c r="AP272" i="38"/>
  <c r="AP264" i="38"/>
  <c r="AP263" i="38"/>
  <c r="W8" i="38" s="1"/>
  <c r="T19" i="38" s="1"/>
  <c r="R34" i="35" s="1"/>
  <c r="AP262" i="38"/>
  <c r="W7" i="38" s="1"/>
  <c r="T18" i="38" s="1"/>
  <c r="R13" i="35" s="1"/>
  <c r="AP261" i="38"/>
  <c r="W6" i="38" s="1"/>
  <c r="T17" i="38" s="1"/>
  <c r="R33" i="35" s="1"/>
  <c r="AP260" i="38"/>
  <c r="AP259" i="38"/>
  <c r="AQ258" i="38"/>
  <c r="AP258" i="38"/>
  <c r="AO258" i="38"/>
  <c r="AP257" i="38"/>
  <c r="AP249" i="38"/>
  <c r="AP248" i="38"/>
  <c r="V8" i="38" s="1"/>
  <c r="X19" i="38" s="1"/>
  <c r="V34" i="35" s="1"/>
  <c r="AP247" i="38"/>
  <c r="V7" i="38" s="1"/>
  <c r="X18" i="38" s="1"/>
  <c r="V13" i="35" s="1"/>
  <c r="AP246" i="38"/>
  <c r="V6" i="38" s="1"/>
  <c r="X17" i="38" s="1"/>
  <c r="V33" i="35" s="1"/>
  <c r="AP245" i="38"/>
  <c r="AP244" i="38"/>
  <c r="AQ243" i="38"/>
  <c r="AP243" i="38"/>
  <c r="AO243" i="38"/>
  <c r="AP242" i="38"/>
  <c r="AP234" i="38"/>
  <c r="AP233" i="38"/>
  <c r="U8" i="38" s="1"/>
  <c r="W19" i="38" s="1"/>
  <c r="U34" i="35" s="1"/>
  <c r="AP232" i="38"/>
  <c r="U7" i="38" s="1"/>
  <c r="W18" i="38" s="1"/>
  <c r="U13" i="35" s="1"/>
  <c r="AP231" i="38"/>
  <c r="U6" i="38" s="1"/>
  <c r="W17" i="38" s="1"/>
  <c r="U33" i="35" s="1"/>
  <c r="AP230" i="38"/>
  <c r="AP229" i="38"/>
  <c r="AQ228" i="38"/>
  <c r="AP228" i="38"/>
  <c r="AO228" i="38"/>
  <c r="AP227" i="38"/>
  <c r="AP219" i="38"/>
  <c r="AP218" i="38"/>
  <c r="T8" i="38" s="1"/>
  <c r="Y19" i="38" s="1"/>
  <c r="W34" i="35" s="1"/>
  <c r="AP217" i="38"/>
  <c r="T7" i="38" s="1"/>
  <c r="Y18" i="38" s="1"/>
  <c r="W13" i="35" s="1"/>
  <c r="AP216" i="38"/>
  <c r="T6" i="38" s="1"/>
  <c r="Y17" i="38" s="1"/>
  <c r="W33" i="35" s="1"/>
  <c r="AP215" i="38"/>
  <c r="AP214" i="38"/>
  <c r="AQ213" i="38"/>
  <c r="AP213" i="38"/>
  <c r="AO213" i="38"/>
  <c r="AP212" i="38"/>
  <c r="AP204" i="38"/>
  <c r="AP203" i="38"/>
  <c r="S8" i="38" s="1"/>
  <c r="K19" i="38" s="1"/>
  <c r="I34" i="35" s="1"/>
  <c r="AP202" i="38"/>
  <c r="S7" i="38" s="1"/>
  <c r="K18" i="38" s="1"/>
  <c r="I13" i="35" s="1"/>
  <c r="AP201" i="38"/>
  <c r="S6" i="38" s="1"/>
  <c r="K17" i="38" s="1"/>
  <c r="I33" i="35" s="1"/>
  <c r="AP200" i="38"/>
  <c r="AP199" i="38"/>
  <c r="AQ198" i="38"/>
  <c r="AP198" i="38"/>
  <c r="AO198" i="38"/>
  <c r="AP197" i="38"/>
  <c r="AP189" i="38"/>
  <c r="AP188" i="38"/>
  <c r="R8" i="38" s="1"/>
  <c r="V19" i="38" s="1"/>
  <c r="T34" i="35" s="1"/>
  <c r="AP187" i="38"/>
  <c r="R7" i="38" s="1"/>
  <c r="V18" i="38" s="1"/>
  <c r="T13" i="35" s="1"/>
  <c r="AP186" i="38"/>
  <c r="R6" i="38" s="1"/>
  <c r="V17" i="38" s="1"/>
  <c r="T33" i="35" s="1"/>
  <c r="AP184" i="38"/>
  <c r="AQ183" i="38"/>
  <c r="AP183" i="38"/>
  <c r="AO183" i="38"/>
  <c r="AP182" i="38"/>
  <c r="AP174" i="38"/>
  <c r="AP173" i="38"/>
  <c r="Q8" i="38" s="1"/>
  <c r="R19" i="38" s="1"/>
  <c r="P34" i="35" s="1"/>
  <c r="AP172" i="38"/>
  <c r="Q7" i="38" s="1"/>
  <c r="R18" i="38" s="1"/>
  <c r="P13" i="35" s="1"/>
  <c r="AP171" i="38"/>
  <c r="Q6" i="38" s="1"/>
  <c r="R17" i="38" s="1"/>
  <c r="P33" i="35" s="1"/>
  <c r="AP170" i="38"/>
  <c r="AP169" i="38"/>
  <c r="AQ168" i="38"/>
  <c r="AP168" i="38"/>
  <c r="AO168" i="38"/>
  <c r="AP167" i="38"/>
  <c r="AP159" i="38"/>
  <c r="AP158" i="38"/>
  <c r="P8" i="38" s="1"/>
  <c r="P19" i="38" s="1"/>
  <c r="N34" i="35" s="1"/>
  <c r="AP157" i="38"/>
  <c r="P7" i="38" s="1"/>
  <c r="P18" i="38" s="1"/>
  <c r="N13" i="35" s="1"/>
  <c r="AP156" i="38"/>
  <c r="P6" i="38" s="1"/>
  <c r="P17" i="38" s="1"/>
  <c r="N33" i="35" s="1"/>
  <c r="AP155" i="38"/>
  <c r="AP154" i="38"/>
  <c r="AQ153" i="38"/>
  <c r="AP153" i="38"/>
  <c r="AO153" i="38"/>
  <c r="AP152" i="38"/>
  <c r="AP144" i="38"/>
  <c r="AP143" i="38"/>
  <c r="O8" i="38" s="1"/>
  <c r="S19" i="38" s="1"/>
  <c r="Q34" i="35" s="1"/>
  <c r="AP142" i="38"/>
  <c r="O7" i="38" s="1"/>
  <c r="S18" i="38" s="1"/>
  <c r="Q13" i="35" s="1"/>
  <c r="AP141" i="38"/>
  <c r="O6" i="38" s="1"/>
  <c r="S17" i="38" s="1"/>
  <c r="Q33" i="35" s="1"/>
  <c r="AP140" i="38"/>
  <c r="AP139" i="38"/>
  <c r="AQ138" i="38"/>
  <c r="AP138" i="38"/>
  <c r="AO138" i="38"/>
  <c r="AP137" i="38"/>
  <c r="AP129" i="38"/>
  <c r="AP128" i="38"/>
  <c r="N8" i="38" s="1"/>
  <c r="U19" i="38" s="1"/>
  <c r="S34" i="35" s="1"/>
  <c r="AP127" i="38"/>
  <c r="N7" i="38" s="1"/>
  <c r="U18" i="38" s="1"/>
  <c r="S13" i="35" s="1"/>
  <c r="AP126" i="38"/>
  <c r="N6" i="38" s="1"/>
  <c r="U17" i="38" s="1"/>
  <c r="S33" i="35" s="1"/>
  <c r="AP125" i="38"/>
  <c r="AP124" i="38"/>
  <c r="AQ123" i="38"/>
  <c r="AP123" i="38"/>
  <c r="AO123" i="38"/>
  <c r="AP122" i="38"/>
  <c r="AP114" i="38"/>
  <c r="AP113" i="38"/>
  <c r="M8" i="38" s="1"/>
  <c r="O19" i="38" s="1"/>
  <c r="M34" i="35" s="1"/>
  <c r="AP112" i="38"/>
  <c r="M7" i="38" s="1"/>
  <c r="O18" i="38" s="1"/>
  <c r="M13" i="35" s="1"/>
  <c r="AP111" i="38"/>
  <c r="M6" i="38" s="1"/>
  <c r="O17" i="38" s="1"/>
  <c r="M33" i="35" s="1"/>
  <c r="AP110" i="38"/>
  <c r="AP109" i="38"/>
  <c r="AQ108" i="38"/>
  <c r="AP108" i="38"/>
  <c r="AO108" i="38"/>
  <c r="AP107" i="38"/>
  <c r="AP99" i="38"/>
  <c r="L9" i="38" s="1"/>
  <c r="J14" i="35" s="1"/>
  <c r="AP98" i="38"/>
  <c r="L8" i="38" s="1"/>
  <c r="M19" i="38" s="1"/>
  <c r="K34" i="35" s="1"/>
  <c r="AP97" i="38"/>
  <c r="L7" i="38" s="1"/>
  <c r="M18" i="38" s="1"/>
  <c r="K13" i="35" s="1"/>
  <c r="AP96" i="38"/>
  <c r="L6" i="38" s="1"/>
  <c r="M17" i="38" s="1"/>
  <c r="K33" i="35" s="1"/>
  <c r="AP95" i="38"/>
  <c r="AP94" i="38"/>
  <c r="AQ93" i="38"/>
  <c r="AP93" i="38"/>
  <c r="AO93" i="38"/>
  <c r="AP92" i="38"/>
  <c r="AP84" i="38"/>
  <c r="K9" i="38" s="1"/>
  <c r="I14" i="35" s="1"/>
  <c r="AP83" i="38"/>
  <c r="K8" i="38" s="1"/>
  <c r="N19" i="38" s="1"/>
  <c r="L34" i="35" s="1"/>
  <c r="AP82" i="38"/>
  <c r="K7" i="38" s="1"/>
  <c r="N18" i="38" s="1"/>
  <c r="L13" i="35" s="1"/>
  <c r="AP81" i="38"/>
  <c r="K6" i="38" s="1"/>
  <c r="N17" i="38" s="1"/>
  <c r="L33" i="35" s="1"/>
  <c r="AP80" i="38"/>
  <c r="AP79" i="38"/>
  <c r="AQ78" i="38"/>
  <c r="AP78" i="38"/>
  <c r="AO78" i="38"/>
  <c r="AP77" i="38"/>
  <c r="AP69" i="38"/>
  <c r="J9" i="38" s="1"/>
  <c r="H14" i="35" s="1"/>
  <c r="AP68" i="38"/>
  <c r="J8" i="38" s="1"/>
  <c r="L19" i="38" s="1"/>
  <c r="J34" i="35" s="1"/>
  <c r="AP67" i="38"/>
  <c r="J7" i="38" s="1"/>
  <c r="L18" i="38" s="1"/>
  <c r="J13" i="35" s="1"/>
  <c r="AP66" i="38"/>
  <c r="J6" i="38" s="1"/>
  <c r="L17" i="38" s="1"/>
  <c r="J33" i="35" s="1"/>
  <c r="AP65" i="38"/>
  <c r="AP64" i="38"/>
  <c r="AQ63" i="38"/>
  <c r="AP63" i="38"/>
  <c r="AO63" i="38"/>
  <c r="AP62" i="38"/>
  <c r="AP54" i="38"/>
  <c r="I9" i="38" s="1"/>
  <c r="G14" i="35" s="1"/>
  <c r="AP53" i="38"/>
  <c r="I8" i="38" s="1"/>
  <c r="J19" i="38" s="1"/>
  <c r="H34" i="35" s="1"/>
  <c r="AP52" i="38"/>
  <c r="I7" i="38" s="1"/>
  <c r="J18" i="38" s="1"/>
  <c r="H13" i="35" s="1"/>
  <c r="AP51" i="38"/>
  <c r="I6" i="38" s="1"/>
  <c r="J17" i="38" s="1"/>
  <c r="H33" i="35" s="1"/>
  <c r="AP50" i="38"/>
  <c r="AP49" i="38"/>
  <c r="AQ48" i="38"/>
  <c r="AP48" i="38"/>
  <c r="AO48" i="38"/>
  <c r="AP47" i="38"/>
  <c r="AP39" i="38"/>
  <c r="H9" i="38" s="1"/>
  <c r="F14" i="35" s="1"/>
  <c r="AP38" i="38"/>
  <c r="H8" i="38" s="1"/>
  <c r="I19" i="38" s="1"/>
  <c r="G34" i="35" s="1"/>
  <c r="AP37" i="38"/>
  <c r="H7" i="38" s="1"/>
  <c r="I18" i="38" s="1"/>
  <c r="G13" i="35" s="1"/>
  <c r="AP36" i="38"/>
  <c r="H6" i="38" s="1"/>
  <c r="I17" i="38" s="1"/>
  <c r="G33" i="35" s="1"/>
  <c r="AP35" i="38"/>
  <c r="AP34" i="38"/>
  <c r="AQ33" i="38"/>
  <c r="AP33" i="38"/>
  <c r="AO33" i="38"/>
  <c r="F16" i="35"/>
  <c r="F20" i="35"/>
  <c r="F22" i="35"/>
  <c r="E14" i="35" l="1"/>
  <c r="E619" i="17"/>
  <c r="E159" i="17"/>
  <c r="E711" i="17"/>
  <c r="E527" i="17"/>
  <c r="H6" i="39"/>
  <c r="I17" i="39" s="1"/>
  <c r="G39" i="35" s="1"/>
  <c r="I6" i="39"/>
  <c r="J17" i="39" s="1"/>
  <c r="H39" i="35" s="1"/>
  <c r="H8" i="39"/>
  <c r="I19" i="39" s="1"/>
  <c r="G19" i="35" s="1"/>
  <c r="H4" i="39"/>
  <c r="I15" i="39" s="1"/>
  <c r="I7" i="39"/>
  <c r="J18" i="39" s="1"/>
  <c r="H18" i="35" s="1"/>
  <c r="I3" i="39"/>
  <c r="J14" i="39" s="1"/>
  <c r="I9" i="39"/>
  <c r="I5" i="39"/>
  <c r="J16" i="39" s="1"/>
  <c r="H38" i="35" s="1"/>
  <c r="X30" i="35"/>
  <c r="X45" i="35" s="1"/>
  <c r="AG30" i="35"/>
  <c r="AH30" i="35"/>
  <c r="AH45" i="35" s="1"/>
  <c r="G303" i="16" s="1"/>
  <c r="AI30" i="35"/>
  <c r="X10" i="35"/>
  <c r="AG10" i="35"/>
  <c r="E1249" i="17" s="1"/>
  <c r="AH10" i="35"/>
  <c r="AI10" i="35"/>
  <c r="H3" i="37"/>
  <c r="I3" i="37" s="1"/>
  <c r="J3" i="37" s="1"/>
  <c r="K3" i="37" s="1"/>
  <c r="L3" i="37" s="1"/>
  <c r="M3" i="37" s="1"/>
  <c r="N3" i="37" s="1"/>
  <c r="O3" i="37" s="1"/>
  <c r="P3" i="37" s="1"/>
  <c r="Q3" i="37" s="1"/>
  <c r="R3" i="37" s="1"/>
  <c r="S3" i="37" s="1"/>
  <c r="T3" i="37" s="1"/>
  <c r="U3" i="37" s="1"/>
  <c r="V3" i="37" s="1"/>
  <c r="W3" i="37" s="1"/>
  <c r="X3" i="37" s="1"/>
  <c r="Y3" i="37" s="1"/>
  <c r="Z3" i="37" s="1"/>
  <c r="AA3" i="37" s="1"/>
  <c r="AB3" i="37" s="1"/>
  <c r="AC3" i="37" s="1"/>
  <c r="AD3" i="37" s="1"/>
  <c r="AE3" i="37" s="1"/>
  <c r="AF3" i="37" s="1"/>
  <c r="AG3" i="37" s="1"/>
  <c r="AH3" i="37" s="1"/>
  <c r="AI3" i="37" s="1"/>
  <c r="AJ3" i="37" s="1"/>
  <c r="AK3" i="37" s="1"/>
  <c r="AL3" i="37" s="1"/>
  <c r="AM3" i="37" s="1"/>
  <c r="AN3" i="37" s="1"/>
  <c r="G3" i="37"/>
  <c r="S566" i="37"/>
  <c r="AK6" i="37" s="1"/>
  <c r="S565" i="37"/>
  <c r="AK5" i="37" s="1"/>
  <c r="S564" i="37"/>
  <c r="AK4" i="37" s="1"/>
  <c r="S549" i="37"/>
  <c r="AJ6" i="37" s="1"/>
  <c r="S548" i="37"/>
  <c r="AJ5" i="37" s="1"/>
  <c r="S547" i="37"/>
  <c r="AJ4" i="37" s="1"/>
  <c r="S532" i="37"/>
  <c r="AI6" i="37" s="1"/>
  <c r="S531" i="37"/>
  <c r="AI5" i="37" s="1"/>
  <c r="S530" i="37"/>
  <c r="AI4" i="37" s="1"/>
  <c r="S515" i="37"/>
  <c r="AH6" i="37" s="1"/>
  <c r="S514" i="37"/>
  <c r="AH5" i="37" s="1"/>
  <c r="S513" i="37"/>
  <c r="AH4" i="37" s="1"/>
  <c r="S498" i="37"/>
  <c r="AG6" i="37" s="1"/>
  <c r="S497" i="37"/>
  <c r="AG5" i="37" s="1"/>
  <c r="S496" i="37"/>
  <c r="AG4" i="37" s="1"/>
  <c r="S481" i="37"/>
  <c r="AF6" i="37" s="1"/>
  <c r="S480" i="37"/>
  <c r="AF5" i="37" s="1"/>
  <c r="S479" i="37"/>
  <c r="AF4" i="37" s="1"/>
  <c r="S464" i="37"/>
  <c r="AE6" i="37" s="1"/>
  <c r="AF10" i="37" s="1"/>
  <c r="AF30" i="35" s="1"/>
  <c r="S463" i="37"/>
  <c r="AE5" i="37" s="1"/>
  <c r="AF9" i="37" s="1"/>
  <c r="AF10" i="35" s="1"/>
  <c r="S462" i="37"/>
  <c r="AE4" i="37" s="1"/>
  <c r="S447" i="37"/>
  <c r="AD6" i="37" s="1"/>
  <c r="AC10" i="37" s="1"/>
  <c r="AC30" i="35" s="1"/>
  <c r="S446" i="37"/>
  <c r="AD5" i="37" s="1"/>
  <c r="AC9" i="37" s="1"/>
  <c r="AC10" i="35" s="1"/>
  <c r="S445" i="37"/>
  <c r="AD4" i="37" s="1"/>
  <c r="S430" i="37"/>
  <c r="AC6" i="37" s="1"/>
  <c r="O10" i="37" s="1"/>
  <c r="O30" i="35" s="1"/>
  <c r="S429" i="37"/>
  <c r="AC5" i="37" s="1"/>
  <c r="O9" i="37" s="1"/>
  <c r="O10" i="35" s="1"/>
  <c r="S428" i="37"/>
  <c r="AC4" i="37" s="1"/>
  <c r="S413" i="37"/>
  <c r="AB6" i="37" s="1"/>
  <c r="AE10" i="37" s="1"/>
  <c r="AE30" i="35" s="1"/>
  <c r="S412" i="37"/>
  <c r="AB5" i="37" s="1"/>
  <c r="AE9" i="37" s="1"/>
  <c r="AE10" i="35" s="1"/>
  <c r="S411" i="37"/>
  <c r="AB4" i="37" s="1"/>
  <c r="S396" i="37"/>
  <c r="AA6" i="37" s="1"/>
  <c r="AD10" i="37" s="1"/>
  <c r="AD30" i="35" s="1"/>
  <c r="S395" i="37"/>
  <c r="AA5" i="37" s="1"/>
  <c r="AD9" i="37" s="1"/>
  <c r="AD10" i="35" s="1"/>
  <c r="S394" i="37"/>
  <c r="AA4" i="37" s="1"/>
  <c r="S379" i="37"/>
  <c r="Z6" i="37" s="1"/>
  <c r="AB10" i="37" s="1"/>
  <c r="AB30" i="35" s="1"/>
  <c r="S378" i="37"/>
  <c r="Z5" i="37" s="1"/>
  <c r="AB9" i="37" s="1"/>
  <c r="AB10" i="35" s="1"/>
  <c r="E1019" i="17" s="1"/>
  <c r="S377" i="37"/>
  <c r="Z4" i="37" s="1"/>
  <c r="S362" i="37"/>
  <c r="Y6" i="37" s="1"/>
  <c r="AA10" i="37" s="1"/>
  <c r="AA30" i="35" s="1"/>
  <c r="S361" i="37"/>
  <c r="Y5" i="37" s="1"/>
  <c r="AA9" i="37" s="1"/>
  <c r="AA10" i="35" s="1"/>
  <c r="E973" i="17" s="1"/>
  <c r="S360" i="37"/>
  <c r="Y4" i="37" s="1"/>
  <c r="S345" i="37"/>
  <c r="X6" i="37" s="1"/>
  <c r="Z10" i="37" s="1"/>
  <c r="Z30" i="35" s="1"/>
  <c r="S344" i="37"/>
  <c r="X5" i="37" s="1"/>
  <c r="Z9" i="37" s="1"/>
  <c r="Z10" i="35" s="1"/>
  <c r="S343" i="37"/>
  <c r="X4" i="37" s="1"/>
  <c r="S328" i="37"/>
  <c r="W6" i="37" s="1"/>
  <c r="F10" i="37" s="1"/>
  <c r="F30" i="35" s="1"/>
  <c r="S327" i="37"/>
  <c r="W5" i="37" s="1"/>
  <c r="F9" i="37" s="1"/>
  <c r="F10" i="35" s="1"/>
  <c r="S326" i="37"/>
  <c r="W4" i="37" s="1"/>
  <c r="S311" i="37"/>
  <c r="V6" i="37" s="1"/>
  <c r="Y10" i="37" s="1"/>
  <c r="Y30" i="35" s="1"/>
  <c r="S310" i="37"/>
  <c r="V5" i="37" s="1"/>
  <c r="Y9" i="37" s="1"/>
  <c r="Y10" i="35" s="1"/>
  <c r="S309" i="37"/>
  <c r="V4" i="37" s="1"/>
  <c r="S294" i="37"/>
  <c r="U6" i="37" s="1"/>
  <c r="R10" i="37" s="1"/>
  <c r="R30" i="35" s="1"/>
  <c r="S293" i="37"/>
  <c r="U5" i="37" s="1"/>
  <c r="R9" i="37" s="1"/>
  <c r="R10" i="35" s="1"/>
  <c r="E559" i="17" s="1"/>
  <c r="S292" i="37"/>
  <c r="U4" i="37" s="1"/>
  <c r="S277" i="37"/>
  <c r="T6" i="37" s="1"/>
  <c r="V10" i="37" s="1"/>
  <c r="V30" i="35" s="1"/>
  <c r="S276" i="37"/>
  <c r="T5" i="37" s="1"/>
  <c r="V9" i="37" s="1"/>
  <c r="V10" i="35" s="1"/>
  <c r="E743" i="17" s="1"/>
  <c r="S275" i="37"/>
  <c r="T4" i="37" s="1"/>
  <c r="S260" i="37"/>
  <c r="S6" i="37" s="1"/>
  <c r="U10" i="37" s="1"/>
  <c r="U30" i="35" s="1"/>
  <c r="S259" i="37"/>
  <c r="S5" i="37" s="1"/>
  <c r="U9" i="37" s="1"/>
  <c r="U10" i="35" s="1"/>
  <c r="E697" i="17" s="1"/>
  <c r="S258" i="37"/>
  <c r="S4" i="37" s="1"/>
  <c r="S243" i="37"/>
  <c r="R6" i="37" s="1"/>
  <c r="W10" i="37" s="1"/>
  <c r="W30" i="35" s="1"/>
  <c r="S242" i="37"/>
  <c r="R5" i="37" s="1"/>
  <c r="W9" i="37" s="1"/>
  <c r="W10" i="35" s="1"/>
  <c r="E789" i="17" s="1"/>
  <c r="S241" i="37"/>
  <c r="R4" i="37" s="1"/>
  <c r="S226" i="37"/>
  <c r="Q6" i="37" s="1"/>
  <c r="I10" i="37" s="1"/>
  <c r="I30" i="35" s="1"/>
  <c r="I45" i="35" s="1"/>
  <c r="G39" i="16" s="1"/>
  <c r="S225" i="37"/>
  <c r="Q5" i="37" s="1"/>
  <c r="I9" i="37" s="1"/>
  <c r="I10" i="35" s="1"/>
  <c r="S224" i="37"/>
  <c r="Q4" i="37" s="1"/>
  <c r="S209" i="37"/>
  <c r="P6" i="37" s="1"/>
  <c r="T10" i="37" s="1"/>
  <c r="T30" i="35" s="1"/>
  <c r="S208" i="37"/>
  <c r="P5" i="37" s="1"/>
  <c r="T9" i="37" s="1"/>
  <c r="T10" i="35" s="1"/>
  <c r="S207" i="37"/>
  <c r="P4" i="37" s="1"/>
  <c r="S192" i="37"/>
  <c r="O6" i="37" s="1"/>
  <c r="P10" i="37" s="1"/>
  <c r="P30" i="35" s="1"/>
  <c r="S191" i="37"/>
  <c r="O5" i="37" s="1"/>
  <c r="P9" i="37" s="1"/>
  <c r="P10" i="35" s="1"/>
  <c r="S190" i="37"/>
  <c r="O4" i="37" s="1"/>
  <c r="S175" i="37"/>
  <c r="N6" i="37" s="1"/>
  <c r="N10" i="37" s="1"/>
  <c r="N30" i="35" s="1"/>
  <c r="S174" i="37"/>
  <c r="N5" i="37" s="1"/>
  <c r="N9" i="37" s="1"/>
  <c r="N10" i="35" s="1"/>
  <c r="S173" i="37"/>
  <c r="N4" i="37" s="1"/>
  <c r="S158" i="37"/>
  <c r="M6" i="37" s="1"/>
  <c r="Q10" i="37" s="1"/>
  <c r="Q30" i="35" s="1"/>
  <c r="S157" i="37"/>
  <c r="M5" i="37" s="1"/>
  <c r="Q9" i="37" s="1"/>
  <c r="Q10" i="35" s="1"/>
  <c r="E513" i="17" s="1"/>
  <c r="S156" i="37"/>
  <c r="M4" i="37" s="1"/>
  <c r="S141" i="37"/>
  <c r="L6" i="37" s="1"/>
  <c r="S10" i="37" s="1"/>
  <c r="S30" i="35" s="1"/>
  <c r="S140" i="37"/>
  <c r="L5" i="37" s="1"/>
  <c r="S9" i="37" s="1"/>
  <c r="S10" i="35" s="1"/>
  <c r="S139" i="37"/>
  <c r="L4" i="37" s="1"/>
  <c r="S124" i="37"/>
  <c r="K6" i="37" s="1"/>
  <c r="M10" i="37" s="1"/>
  <c r="M30" i="35" s="1"/>
  <c r="S123" i="37"/>
  <c r="K5" i="37" s="1"/>
  <c r="M9" i="37" s="1"/>
  <c r="M10" i="35" s="1"/>
  <c r="S122" i="37"/>
  <c r="K4" i="37" s="1"/>
  <c r="S107" i="37"/>
  <c r="J6" i="37" s="1"/>
  <c r="K10" i="37" s="1"/>
  <c r="K30" i="35" s="1"/>
  <c r="S106" i="37"/>
  <c r="J5" i="37" s="1"/>
  <c r="K9" i="37" s="1"/>
  <c r="K10" i="35" s="1"/>
  <c r="S105" i="37"/>
  <c r="J4" i="37" s="1"/>
  <c r="S90" i="37"/>
  <c r="I6" i="37" s="1"/>
  <c r="L10" i="37" s="1"/>
  <c r="L30" i="35" s="1"/>
  <c r="S89" i="37"/>
  <c r="I5" i="37" s="1"/>
  <c r="L9" i="37" s="1"/>
  <c r="L10" i="35" s="1"/>
  <c r="S88" i="37"/>
  <c r="I4" i="37" s="1"/>
  <c r="S73" i="37"/>
  <c r="H6" i="37" s="1"/>
  <c r="J10" i="37" s="1"/>
  <c r="J30" i="35" s="1"/>
  <c r="S72" i="37"/>
  <c r="H5" i="37" s="1"/>
  <c r="J9" i="37" s="1"/>
  <c r="J10" i="35" s="1"/>
  <c r="S71" i="37"/>
  <c r="H4" i="37" s="1"/>
  <c r="S56" i="37"/>
  <c r="G6" i="37" s="1"/>
  <c r="H10" i="37" s="1"/>
  <c r="H30" i="35" s="1"/>
  <c r="S55" i="37"/>
  <c r="G5" i="37" s="1"/>
  <c r="H9" i="37" s="1"/>
  <c r="H10" i="35" s="1"/>
  <c r="S54" i="37"/>
  <c r="G4" i="37" s="1"/>
  <c r="S39" i="37"/>
  <c r="F6" i="37" s="1"/>
  <c r="G10" i="37" s="1"/>
  <c r="G30" i="35" s="1"/>
  <c r="S38" i="37"/>
  <c r="F5" i="37" s="1"/>
  <c r="G9" i="37" s="1"/>
  <c r="G10" i="35" s="1"/>
  <c r="S37" i="37"/>
  <c r="F4" i="37" s="1"/>
  <c r="AH74" i="5"/>
  <c r="AG75" i="5"/>
  <c r="AG93" i="5" s="1"/>
  <c r="AG78" i="35"/>
  <c r="AF95" i="5" s="1"/>
  <c r="AH78" i="35"/>
  <c r="AG95" i="5" s="1"/>
  <c r="AG110" i="5" s="1"/>
  <c r="AI78" i="35"/>
  <c r="AH95" i="5" s="1"/>
  <c r="AH110" i="5" s="1"/>
  <c r="AI41" i="35"/>
  <c r="AI42" i="35"/>
  <c r="AI40" i="35"/>
  <c r="AI36" i="35"/>
  <c r="AI31" i="35"/>
  <c r="AI48" i="35" s="1"/>
  <c r="H327" i="16" s="1"/>
  <c r="AI29" i="35"/>
  <c r="AG42" i="35"/>
  <c r="AG41" i="35"/>
  <c r="AA97" i="40"/>
  <c r="AG40" i="35"/>
  <c r="AG36" i="35"/>
  <c r="AG31" i="35"/>
  <c r="AG48" i="35" s="1"/>
  <c r="H305" i="16" s="1"/>
  <c r="AG29" i="35"/>
  <c r="AI8" i="35"/>
  <c r="AH8" i="35"/>
  <c r="AG8" i="35"/>
  <c r="AF24" i="36"/>
  <c r="AD29" i="36" s="1"/>
  <c r="AI22" i="35"/>
  <c r="AI20" i="35"/>
  <c r="AI16" i="35"/>
  <c r="AH66" i="5" s="1"/>
  <c r="AI11" i="35"/>
  <c r="AI9" i="35"/>
  <c r="AH22" i="35"/>
  <c r="AH20" i="35"/>
  <c r="AG68" i="5" s="1"/>
  <c r="AH16" i="35"/>
  <c r="AG66" i="5" s="1"/>
  <c r="AH11" i="35"/>
  <c r="AH9" i="35"/>
  <c r="AH17" i="35"/>
  <c r="AI17" i="35"/>
  <c r="AH12" i="35"/>
  <c r="AI12" i="35"/>
  <c r="AG64" i="5" l="1"/>
  <c r="AH68" i="5"/>
  <c r="AG16" i="35"/>
  <c r="AG11" i="35"/>
  <c r="AG9" i="35"/>
  <c r="AG20" i="35"/>
  <c r="AG22" i="35"/>
  <c r="AG21" i="35"/>
  <c r="AF69" i="5" s="1"/>
  <c r="AI46" i="35"/>
  <c r="G319" i="16" s="1"/>
  <c r="AI47" i="35"/>
  <c r="G320" i="16" s="1"/>
  <c r="AG47" i="35"/>
  <c r="G298" i="16" s="1"/>
  <c r="AG46" i="35"/>
  <c r="AI45" i="35"/>
  <c r="G314" i="16" s="1"/>
  <c r="AG45" i="35"/>
  <c r="G292" i="16" s="1"/>
  <c r="AF65" i="5"/>
  <c r="AG65" i="5"/>
  <c r="AH15" i="35"/>
  <c r="AH65" i="5"/>
  <c r="AI15" i="35"/>
  <c r="AH64" i="5"/>
  <c r="C49" i="5"/>
  <c r="C48" i="5"/>
  <c r="C47" i="5"/>
  <c r="C46" i="5"/>
  <c r="C45" i="5"/>
  <c r="H184" i="5"/>
  <c r="I184" i="5"/>
  <c r="K184" i="5"/>
  <c r="L184" i="5"/>
  <c r="M184" i="5"/>
  <c r="N184" i="5"/>
  <c r="O184" i="5"/>
  <c r="P184" i="5"/>
  <c r="Q184" i="5"/>
  <c r="R184" i="5"/>
  <c r="S184" i="5"/>
  <c r="T184" i="5"/>
  <c r="U184" i="5"/>
  <c r="V184" i="5"/>
  <c r="W184" i="5"/>
  <c r="X184" i="5"/>
  <c r="Y184" i="5"/>
  <c r="Z184" i="5"/>
  <c r="AA184" i="5"/>
  <c r="AC184" i="5"/>
  <c r="AD184" i="5"/>
  <c r="AE184" i="5"/>
  <c r="AF184" i="5"/>
  <c r="AG184" i="5"/>
  <c r="AH184"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0" i="5"/>
  <c r="C29" i="5"/>
  <c r="C28" i="5"/>
  <c r="C27" i="5"/>
  <c r="C26" i="5"/>
  <c r="H206" i="5"/>
  <c r="W206" i="5"/>
  <c r="AF206" i="5"/>
  <c r="AG206" i="5"/>
  <c r="AH206" i="5"/>
  <c r="W215" i="5"/>
  <c r="D25" i="5"/>
  <c r="D29" i="5" s="1"/>
  <c r="E25" i="5"/>
  <c r="F25" i="5"/>
  <c r="G25" i="5"/>
  <c r="G28" i="5" s="1"/>
  <c r="H25" i="5"/>
  <c r="I25" i="5"/>
  <c r="I26" i="5" s="1"/>
  <c r="J25" i="5"/>
  <c r="L25" i="5"/>
  <c r="L26" i="5" s="1"/>
  <c r="M25" i="5"/>
  <c r="M28" i="5" s="1"/>
  <c r="N25" i="5"/>
  <c r="O25" i="5"/>
  <c r="P25" i="5"/>
  <c r="Q25" i="5"/>
  <c r="R25" i="5"/>
  <c r="R28" i="5" s="1"/>
  <c r="S25" i="5"/>
  <c r="S26" i="5" s="1"/>
  <c r="T25" i="5"/>
  <c r="T28" i="5" s="1"/>
  <c r="U25" i="5"/>
  <c r="U29" i="5" s="1"/>
  <c r="V25" i="5"/>
  <c r="V26" i="5" s="1"/>
  <c r="W25" i="5"/>
  <c r="X25" i="5"/>
  <c r="X30" i="5" s="1"/>
  <c r="Y25" i="5"/>
  <c r="Y27" i="5" s="1"/>
  <c r="Z25" i="5"/>
  <c r="Z29" i="5" s="1"/>
  <c r="AA25" i="5"/>
  <c r="AA29" i="5" s="1"/>
  <c r="AB25" i="5"/>
  <c r="AB28" i="5" s="1"/>
  <c r="AC25" i="5"/>
  <c r="AC27" i="5" s="1"/>
  <c r="AD25" i="5"/>
  <c r="AE25" i="5"/>
  <c r="AR6" i="7"/>
  <c r="E33" i="5"/>
  <c r="E34" i="5" s="1"/>
  <c r="F33" i="5"/>
  <c r="F34" i="5" s="1"/>
  <c r="G33" i="5"/>
  <c r="G34" i="5" s="1"/>
  <c r="H33" i="5"/>
  <c r="H34" i="5" s="1"/>
  <c r="I33" i="5"/>
  <c r="I34" i="5" s="1"/>
  <c r="J33" i="5"/>
  <c r="J34" i="5" s="1"/>
  <c r="K33" i="5"/>
  <c r="K34" i="5" s="1"/>
  <c r="L33" i="5"/>
  <c r="L34" i="5" s="1"/>
  <c r="M33" i="5"/>
  <c r="M34" i="5" s="1"/>
  <c r="N33" i="5"/>
  <c r="N34" i="5" s="1"/>
  <c r="O33" i="5"/>
  <c r="O34" i="5" s="1"/>
  <c r="P33" i="5"/>
  <c r="P34" i="5" s="1"/>
  <c r="Q33" i="5"/>
  <c r="Q34" i="5" s="1"/>
  <c r="R33" i="5"/>
  <c r="R34" i="5" s="1"/>
  <c r="S33" i="5"/>
  <c r="S34" i="5" s="1"/>
  <c r="T33" i="5"/>
  <c r="T34" i="5" s="1"/>
  <c r="U33" i="5"/>
  <c r="U34" i="5" s="1"/>
  <c r="V33" i="5"/>
  <c r="V34" i="5" s="1"/>
  <c r="W33" i="5"/>
  <c r="W34" i="5" s="1"/>
  <c r="X34" i="5"/>
  <c r="Y33" i="5"/>
  <c r="Y34" i="5" s="1"/>
  <c r="Z33" i="5"/>
  <c r="Z34" i="5" s="1"/>
  <c r="AA33" i="5"/>
  <c r="AA34" i="5" s="1"/>
  <c r="AB33" i="5"/>
  <c r="AB34" i="5" s="1"/>
  <c r="AC33" i="5"/>
  <c r="AC34" i="5" s="1"/>
  <c r="AD33" i="5"/>
  <c r="AD34" i="5" s="1"/>
  <c r="AE33" i="5"/>
  <c r="AE34" i="5" s="1"/>
  <c r="D38" i="5"/>
  <c r="E38" i="5"/>
  <c r="F38" i="5"/>
  <c r="G38" i="5"/>
  <c r="H38" i="5"/>
  <c r="I38" i="5"/>
  <c r="J38" i="5"/>
  <c r="K38" i="5"/>
  <c r="L38" i="5"/>
  <c r="M38" i="5"/>
  <c r="N38" i="5"/>
  <c r="O38" i="5"/>
  <c r="P38" i="5"/>
  <c r="Q38" i="5"/>
  <c r="R38" i="5"/>
  <c r="S38" i="5"/>
  <c r="S127" i="5" s="1"/>
  <c r="AU13" i="7" s="1"/>
  <c r="T38" i="5"/>
  <c r="T127" i="5" s="1"/>
  <c r="U38" i="5"/>
  <c r="V38" i="5"/>
  <c r="W38" i="5"/>
  <c r="X38" i="5"/>
  <c r="Y38" i="5"/>
  <c r="Z38" i="5"/>
  <c r="Z127" i="5" s="1"/>
  <c r="BB13" i="7" s="1"/>
  <c r="AA38" i="5"/>
  <c r="AB38" i="5"/>
  <c r="AB127" i="5" s="1"/>
  <c r="BD13" i="7" s="1"/>
  <c r="AC38" i="5"/>
  <c r="AD38" i="5"/>
  <c r="AE38"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F9" i="5"/>
  <c r="G9" i="5"/>
  <c r="H9" i="5"/>
  <c r="H11" i="5" s="1"/>
  <c r="I9" i="5"/>
  <c r="K9" i="5"/>
  <c r="L9" i="5"/>
  <c r="M9" i="5"/>
  <c r="N9" i="5"/>
  <c r="O9" i="5"/>
  <c r="P9" i="5"/>
  <c r="Q9" i="5"/>
  <c r="R9" i="5"/>
  <c r="S9" i="5"/>
  <c r="T9" i="5"/>
  <c r="U9" i="5"/>
  <c r="V9" i="5"/>
  <c r="W9" i="5"/>
  <c r="W11" i="5" s="1"/>
  <c r="X9" i="5"/>
  <c r="Y9" i="5"/>
  <c r="Z9" i="5"/>
  <c r="AA9" i="5"/>
  <c r="AB9" i="5"/>
  <c r="AC9" i="5"/>
  <c r="AD9" i="5"/>
  <c r="AE9" i="5"/>
  <c r="AF9" i="5"/>
  <c r="AG9" i="5"/>
  <c r="AG11" i="5" s="1"/>
  <c r="AH9" i="5"/>
  <c r="H104" i="5"/>
  <c r="H114" i="5"/>
  <c r="H74"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E36" i="5"/>
  <c r="E37" i="5" s="1"/>
  <c r="F36" i="5"/>
  <c r="F37" i="5" s="1"/>
  <c r="G36" i="5"/>
  <c r="G37" i="5" s="1"/>
  <c r="H36" i="5"/>
  <c r="H37" i="5" s="1"/>
  <c r="I36" i="5"/>
  <c r="I37" i="5" s="1"/>
  <c r="J36" i="5"/>
  <c r="J37" i="5" s="1"/>
  <c r="K36" i="5"/>
  <c r="K37" i="5" s="1"/>
  <c r="L36" i="5"/>
  <c r="L37" i="5" s="1"/>
  <c r="M36" i="5"/>
  <c r="M37" i="5" s="1"/>
  <c r="N36" i="5"/>
  <c r="N37" i="5" s="1"/>
  <c r="O36" i="5"/>
  <c r="O37" i="5" s="1"/>
  <c r="P36" i="5"/>
  <c r="P37" i="5" s="1"/>
  <c r="Q36" i="5"/>
  <c r="Q37" i="5" s="1"/>
  <c r="R36" i="5"/>
  <c r="R37" i="5" s="1"/>
  <c r="S36" i="5"/>
  <c r="S37" i="5" s="1"/>
  <c r="T36" i="5"/>
  <c r="T37" i="5" s="1"/>
  <c r="U36" i="5"/>
  <c r="U37" i="5" s="1"/>
  <c r="V36" i="5"/>
  <c r="V37" i="5" s="1"/>
  <c r="W36" i="5"/>
  <c r="W37" i="5" s="1"/>
  <c r="X37" i="5"/>
  <c r="Y36" i="5"/>
  <c r="Y37" i="5" s="1"/>
  <c r="Z36" i="5"/>
  <c r="Z37" i="5" s="1"/>
  <c r="AA36" i="5"/>
  <c r="AA37" i="5" s="1"/>
  <c r="AB36" i="5"/>
  <c r="AB37" i="5" s="1"/>
  <c r="AC36" i="5"/>
  <c r="AC37" i="5" s="1"/>
  <c r="AD36" i="5"/>
  <c r="AD37" i="5" s="1"/>
  <c r="AE36" i="5"/>
  <c r="AE37" i="5" s="1"/>
  <c r="E215" i="42"/>
  <c r="F223" i="42" s="1"/>
  <c r="G62" i="35" s="1"/>
  <c r="H380" i="5"/>
  <c r="H393" i="5" s="1"/>
  <c r="W380" i="5"/>
  <c r="W393" i="5" s="1"/>
  <c r="AF380" i="5"/>
  <c r="AF393" i="5" s="1"/>
  <c r="AG380" i="5"/>
  <c r="AH380" i="5"/>
  <c r="H179" i="5"/>
  <c r="W179" i="5"/>
  <c r="AF179" i="5"/>
  <c r="AG179" i="5"/>
  <c r="E1295" i="17" s="1"/>
  <c r="AH179" i="5"/>
  <c r="E1341" i="17" s="1"/>
  <c r="AG180" i="5"/>
  <c r="AH180" i="5"/>
  <c r="AG181" i="5"/>
  <c r="AH181" i="5"/>
  <c r="E1355" i="17" s="1"/>
  <c r="AG182" i="5"/>
  <c r="AH182" i="5"/>
  <c r="AG183" i="5"/>
  <c r="AH183" i="5"/>
  <c r="H186" i="5"/>
  <c r="W186" i="5"/>
  <c r="AG186" i="5"/>
  <c r="AH186" i="5"/>
  <c r="I23" i="35"/>
  <c r="X23" i="35"/>
  <c r="N21" i="39"/>
  <c r="L17" i="35" s="1"/>
  <c r="K183" i="5" s="1"/>
  <c r="L21" i="39"/>
  <c r="J17" i="35" s="1"/>
  <c r="I183" i="5" s="1"/>
  <c r="J21" i="39"/>
  <c r="H17" i="35" s="1"/>
  <c r="G183" i="5" s="1"/>
  <c r="AH21" i="39"/>
  <c r="AF17" i="35" s="1"/>
  <c r="AE183" i="5" s="1"/>
  <c r="AE21" i="39"/>
  <c r="AC17" i="35" s="1"/>
  <c r="AB183" i="5" s="1"/>
  <c r="Q21" i="39"/>
  <c r="O17" i="35" s="1"/>
  <c r="N183" i="5" s="1"/>
  <c r="AG21" i="39"/>
  <c r="AE17" i="35" s="1"/>
  <c r="AD183" i="5" s="1"/>
  <c r="AF21" i="39"/>
  <c r="AD17" i="35" s="1"/>
  <c r="AC183" i="5" s="1"/>
  <c r="AD21" i="39"/>
  <c r="AB17" i="35" s="1"/>
  <c r="AA183" i="5" s="1"/>
  <c r="AC21" i="39"/>
  <c r="AA17" i="35" s="1"/>
  <c r="Z183" i="5" s="1"/>
  <c r="AB21" i="39"/>
  <c r="Z17" i="35" s="1"/>
  <c r="Y183" i="5" s="1"/>
  <c r="AA21" i="39"/>
  <c r="Y17" i="35" s="1"/>
  <c r="X183" i="5" s="1"/>
  <c r="Z21" i="39"/>
  <c r="X17" i="35" s="1"/>
  <c r="T21" i="39"/>
  <c r="R17" i="35" s="1"/>
  <c r="Q183" i="5" s="1"/>
  <c r="X21" i="39"/>
  <c r="V17" i="35" s="1"/>
  <c r="U183" i="5" s="1"/>
  <c r="W21" i="39"/>
  <c r="U17" i="35" s="1"/>
  <c r="T183" i="5" s="1"/>
  <c r="Y21" i="39"/>
  <c r="W17" i="35" s="1"/>
  <c r="V183" i="5" s="1"/>
  <c r="K21" i="39"/>
  <c r="I17" i="35" s="1"/>
  <c r="V21" i="39"/>
  <c r="T17" i="35" s="1"/>
  <c r="S183" i="5" s="1"/>
  <c r="R21" i="39"/>
  <c r="P17" i="35" s="1"/>
  <c r="O183" i="5" s="1"/>
  <c r="P21" i="39"/>
  <c r="N17" i="35" s="1"/>
  <c r="M183" i="5" s="1"/>
  <c r="S21" i="39"/>
  <c r="Q17" i="35" s="1"/>
  <c r="P183" i="5" s="1"/>
  <c r="O2" i="39"/>
  <c r="U21" i="39"/>
  <c r="S17" i="35" s="1"/>
  <c r="R183" i="5" s="1"/>
  <c r="O21" i="39"/>
  <c r="M17" i="35" s="1"/>
  <c r="L183" i="5" s="1"/>
  <c r="M21" i="39"/>
  <c r="K17" i="35" s="1"/>
  <c r="J183" i="5" s="1"/>
  <c r="I21" i="39"/>
  <c r="G17" i="35" s="1"/>
  <c r="F183" i="5" s="1"/>
  <c r="AH5" i="38"/>
  <c r="AH16" i="38" s="1"/>
  <c r="AF12" i="35" s="1"/>
  <c r="AE180" i="5" s="1"/>
  <c r="AH2" i="38"/>
  <c r="AG5" i="38"/>
  <c r="AE16" i="38" s="1"/>
  <c r="AC12" i="35" s="1"/>
  <c r="AB180" i="5" s="1"/>
  <c r="AG2" i="38"/>
  <c r="AF5" i="38"/>
  <c r="Q16" i="38" s="1"/>
  <c r="O12" i="35" s="1"/>
  <c r="N180" i="5" s="1"/>
  <c r="AF2" i="38"/>
  <c r="AE5" i="38"/>
  <c r="AG16" i="38" s="1"/>
  <c r="AE12" i="35" s="1"/>
  <c r="AD180" i="5" s="1"/>
  <c r="AE2" i="38"/>
  <c r="AD5" i="38"/>
  <c r="AF16" i="38" s="1"/>
  <c r="AD12" i="35" s="1"/>
  <c r="AC180" i="5" s="1"/>
  <c r="AD2" i="38"/>
  <c r="AC5" i="38"/>
  <c r="AD16" i="38" s="1"/>
  <c r="AB12" i="35" s="1"/>
  <c r="AA180" i="5" s="1"/>
  <c r="AC2" i="38"/>
  <c r="AB5" i="38"/>
  <c r="AC16" i="38" s="1"/>
  <c r="AA12" i="35" s="1"/>
  <c r="Z180" i="5" s="1"/>
  <c r="AB4" i="38"/>
  <c r="AC15" i="38" s="1"/>
  <c r="AA32" i="35" s="1"/>
  <c r="Z381" i="5" s="1"/>
  <c r="AB2" i="38"/>
  <c r="AA5" i="38"/>
  <c r="AB16" i="38" s="1"/>
  <c r="Z12" i="35" s="1"/>
  <c r="Y180" i="5" s="1"/>
  <c r="Z5" i="38"/>
  <c r="Y5" i="38"/>
  <c r="AA16" i="38" s="1"/>
  <c r="Y12" i="35" s="1"/>
  <c r="X180" i="5" s="1"/>
  <c r="X5" i="38"/>
  <c r="Z16" i="38" s="1"/>
  <c r="X12" i="35" s="1"/>
  <c r="X15" i="35" s="1"/>
  <c r="W5" i="38"/>
  <c r="T16" i="38" s="1"/>
  <c r="R12" i="35" s="1"/>
  <c r="Q180" i="5" s="1"/>
  <c r="V5" i="38"/>
  <c r="X16" i="38" s="1"/>
  <c r="V12" i="35" s="1"/>
  <c r="U180" i="5" s="1"/>
  <c r="U5" i="38"/>
  <c r="W16" i="38" s="1"/>
  <c r="U12" i="35" s="1"/>
  <c r="T180" i="5" s="1"/>
  <c r="T5" i="38"/>
  <c r="Y16" i="38" s="1"/>
  <c r="W12" i="35" s="1"/>
  <c r="V180" i="5" s="1"/>
  <c r="S5" i="38"/>
  <c r="K16" i="38" s="1"/>
  <c r="I12" i="35" s="1"/>
  <c r="T12" i="35"/>
  <c r="S180" i="5" s="1"/>
  <c r="Q5" i="38"/>
  <c r="R16" i="38" s="1"/>
  <c r="P12" i="35" s="1"/>
  <c r="O180" i="5" s="1"/>
  <c r="P5" i="38"/>
  <c r="P16" i="38" s="1"/>
  <c r="N12" i="35" s="1"/>
  <c r="M180" i="5" s="1"/>
  <c r="O5" i="38"/>
  <c r="S16" i="38" s="1"/>
  <c r="Q12" i="35" s="1"/>
  <c r="P180" i="5" s="1"/>
  <c r="N5" i="38"/>
  <c r="U16" i="38" s="1"/>
  <c r="S12" i="35" s="1"/>
  <c r="R180" i="5" s="1"/>
  <c r="M5" i="38"/>
  <c r="O16" i="38" s="1"/>
  <c r="M12" i="35" s="1"/>
  <c r="L180" i="5" s="1"/>
  <c r="L5" i="38"/>
  <c r="M16" i="38" s="1"/>
  <c r="K12" i="35" s="1"/>
  <c r="J180" i="5" s="1"/>
  <c r="K5" i="38"/>
  <c r="N16" i="38" s="1"/>
  <c r="L12" i="35" s="1"/>
  <c r="K180" i="5" s="1"/>
  <c r="J5" i="38"/>
  <c r="L16" i="38" s="1"/>
  <c r="J12" i="35" s="1"/>
  <c r="I180" i="5" s="1"/>
  <c r="I5" i="38"/>
  <c r="J16" i="38" s="1"/>
  <c r="H12" i="35" s="1"/>
  <c r="G180" i="5" s="1"/>
  <c r="H5" i="38"/>
  <c r="I16" i="38" s="1"/>
  <c r="G12" i="35" s="1"/>
  <c r="F180" i="5" s="1"/>
  <c r="AG37" i="35"/>
  <c r="AF384" i="5" s="1"/>
  <c r="AH37" i="35"/>
  <c r="AG384" i="5" s="1"/>
  <c r="AI37" i="35"/>
  <c r="AH384" i="5" s="1"/>
  <c r="AF37" i="35"/>
  <c r="AE384" i="5" s="1"/>
  <c r="AC37" i="35"/>
  <c r="AB384" i="5" s="1"/>
  <c r="O37" i="35"/>
  <c r="N384" i="5" s="1"/>
  <c r="AE37" i="35"/>
  <c r="AD384" i="5" s="1"/>
  <c r="AD37" i="35"/>
  <c r="AC384" i="5" s="1"/>
  <c r="AB37" i="35"/>
  <c r="AA384" i="5" s="1"/>
  <c r="AA37" i="35"/>
  <c r="Z384" i="5" s="1"/>
  <c r="Z37" i="35"/>
  <c r="Y384" i="5" s="1"/>
  <c r="F37" i="35"/>
  <c r="E384" i="5" s="1"/>
  <c r="Y37" i="35"/>
  <c r="X384" i="5" s="1"/>
  <c r="X37" i="35"/>
  <c r="W384" i="5" s="1"/>
  <c r="R37" i="35"/>
  <c r="Q384" i="5" s="1"/>
  <c r="V37" i="35"/>
  <c r="U384" i="5" s="1"/>
  <c r="U37" i="35"/>
  <c r="T384" i="5" s="1"/>
  <c r="W37" i="35"/>
  <c r="V384" i="5" s="1"/>
  <c r="I37" i="35"/>
  <c r="H384" i="5" s="1"/>
  <c r="T37" i="35"/>
  <c r="S384" i="5" s="1"/>
  <c r="P37" i="35"/>
  <c r="O384" i="5" s="1"/>
  <c r="N37" i="35"/>
  <c r="Q37" i="35"/>
  <c r="P384" i="5" s="1"/>
  <c r="S37" i="35"/>
  <c r="R384" i="5" s="1"/>
  <c r="G37" i="35"/>
  <c r="F384" i="5" s="1"/>
  <c r="M37" i="35"/>
  <c r="L384" i="5" s="1"/>
  <c r="K37" i="35"/>
  <c r="J384" i="5" s="1"/>
  <c r="L37" i="35"/>
  <c r="K384" i="5" s="1"/>
  <c r="J37" i="35"/>
  <c r="I384" i="5" s="1"/>
  <c r="H37" i="35"/>
  <c r="G384" i="5" s="1"/>
  <c r="AG32" i="35"/>
  <c r="AF381" i="5" s="1"/>
  <c r="AF400" i="5" s="1"/>
  <c r="AH32" i="35"/>
  <c r="AG381" i="5" s="1"/>
  <c r="AG400" i="5" s="1"/>
  <c r="AI32" i="35"/>
  <c r="AH381" i="5" s="1"/>
  <c r="AH382" i="5" s="1"/>
  <c r="AH407" i="5" s="1"/>
  <c r="AB15" i="38"/>
  <c r="Z32" i="35" s="1"/>
  <c r="Y381" i="5" s="1"/>
  <c r="Y400" i="5" s="1"/>
  <c r="AH4" i="38"/>
  <c r="AH15" i="38" s="1"/>
  <c r="AF32" i="35" s="1"/>
  <c r="AE381" i="5" s="1"/>
  <c r="AG4" i="38"/>
  <c r="AE15" i="38" s="1"/>
  <c r="AC32" i="35" s="1"/>
  <c r="AB381" i="5" s="1"/>
  <c r="AB400" i="5" s="1"/>
  <c r="AF4" i="38"/>
  <c r="Q15" i="38" s="1"/>
  <c r="O32" i="35" s="1"/>
  <c r="N381" i="5" s="1"/>
  <c r="AE4" i="38"/>
  <c r="AG15" i="38"/>
  <c r="AE32" i="35" s="1"/>
  <c r="AD381" i="5" s="1"/>
  <c r="AD4" i="38"/>
  <c r="AF15" i="38" s="1"/>
  <c r="AD32" i="35" s="1"/>
  <c r="AC381" i="5" s="1"/>
  <c r="AC400" i="5" s="1"/>
  <c r="AC4" i="38"/>
  <c r="AD15" i="38" s="1"/>
  <c r="AB32" i="35" s="1"/>
  <c r="AA381" i="5" s="1"/>
  <c r="AA4" i="38"/>
  <c r="Z4" i="38"/>
  <c r="Y4" i="38"/>
  <c r="AA15" i="38"/>
  <c r="Y32" i="35" s="1"/>
  <c r="X381" i="5" s="1"/>
  <c r="X400" i="5" s="1"/>
  <c r="X4" i="38"/>
  <c r="Z15" i="38" s="1"/>
  <c r="X32" i="35" s="1"/>
  <c r="W381" i="5" s="1"/>
  <c r="W4" i="38"/>
  <c r="T15" i="38" s="1"/>
  <c r="R32" i="35" s="1"/>
  <c r="Q381" i="5" s="1"/>
  <c r="Q400" i="5" s="1"/>
  <c r="V4" i="38"/>
  <c r="X15" i="38" s="1"/>
  <c r="V32" i="35" s="1"/>
  <c r="U381" i="5" s="1"/>
  <c r="U400" i="5" s="1"/>
  <c r="U4" i="38"/>
  <c r="W15" i="38" s="1"/>
  <c r="U32" i="35" s="1"/>
  <c r="T381" i="5" s="1"/>
  <c r="T4" i="38"/>
  <c r="Y15" i="38" s="1"/>
  <c r="W32" i="35" s="1"/>
  <c r="V381" i="5" s="1"/>
  <c r="S4" i="38"/>
  <c r="K15" i="38" s="1"/>
  <c r="I32" i="35" s="1"/>
  <c r="H381" i="5" s="1"/>
  <c r="H400" i="5" s="1"/>
  <c r="R4" i="38"/>
  <c r="V15" i="38" s="1"/>
  <c r="T32" i="35" s="1"/>
  <c r="S381" i="5" s="1"/>
  <c r="Q4" i="38"/>
  <c r="R15" i="38" s="1"/>
  <c r="P32" i="35" s="1"/>
  <c r="O381" i="5" s="1"/>
  <c r="O400" i="5" s="1"/>
  <c r="P4" i="38"/>
  <c r="P15" i="38" s="1"/>
  <c r="N32" i="35" s="1"/>
  <c r="M381" i="5" s="1"/>
  <c r="M400" i="5" s="1"/>
  <c r="O4" i="38"/>
  <c r="S15" i="38" s="1"/>
  <c r="Q32" i="35" s="1"/>
  <c r="P381" i="5" s="1"/>
  <c r="P400" i="5" s="1"/>
  <c r="N4" i="38"/>
  <c r="U15" i="38" s="1"/>
  <c r="S32" i="35" s="1"/>
  <c r="R381" i="5" s="1"/>
  <c r="M4" i="38"/>
  <c r="O15" i="38" s="1"/>
  <c r="M32" i="35" s="1"/>
  <c r="L381" i="5" s="1"/>
  <c r="L4" i="38"/>
  <c r="M15" i="38" s="1"/>
  <c r="K32" i="35" s="1"/>
  <c r="J381" i="5" s="1"/>
  <c r="J400" i="5" s="1"/>
  <c r="K4" i="38"/>
  <c r="N15" i="38" s="1"/>
  <c r="L32" i="35" s="1"/>
  <c r="K381" i="5" s="1"/>
  <c r="K400" i="5" s="1"/>
  <c r="J4" i="38"/>
  <c r="L15" i="38" s="1"/>
  <c r="J32" i="35" s="1"/>
  <c r="I381" i="5" s="1"/>
  <c r="I4" i="38"/>
  <c r="J15" i="38" s="1"/>
  <c r="H32" i="35" s="1"/>
  <c r="G381" i="5" s="1"/>
  <c r="G400" i="5" s="1"/>
  <c r="H4" i="38"/>
  <c r="I15" i="38" s="1"/>
  <c r="G32" i="35" s="1"/>
  <c r="F381" i="5" s="1"/>
  <c r="F400" i="5" s="1"/>
  <c r="H316" i="5"/>
  <c r="W316" i="5"/>
  <c r="AF316" i="5"/>
  <c r="AG316" i="5"/>
  <c r="AH316" i="5"/>
  <c r="M214" i="42"/>
  <c r="M222" i="42" s="1"/>
  <c r="N61" i="35" s="1"/>
  <c r="C330" i="5"/>
  <c r="AG105" i="5"/>
  <c r="AG207" i="5" s="1"/>
  <c r="C326" i="5"/>
  <c r="C332" i="5" s="1"/>
  <c r="C327" i="5"/>
  <c r="C333" i="5" s="1"/>
  <c r="C325" i="5"/>
  <c r="C331" i="5" s="1"/>
  <c r="G95" i="44"/>
  <c r="H102" i="44" s="1"/>
  <c r="H95" i="44"/>
  <c r="J102" i="44" s="1"/>
  <c r="J90" i="35" s="1"/>
  <c r="I327" i="5" s="1"/>
  <c r="I95" i="44"/>
  <c r="L102" i="44" s="1"/>
  <c r="L90" i="35" s="1"/>
  <c r="K327" i="5" s="1"/>
  <c r="J95" i="44"/>
  <c r="K95" i="44"/>
  <c r="M102" i="44" s="1"/>
  <c r="M90" i="35" s="1"/>
  <c r="L327" i="5" s="1"/>
  <c r="L95" i="44"/>
  <c r="S102" i="44" s="1"/>
  <c r="S90" i="35" s="1"/>
  <c r="R327" i="5" s="1"/>
  <c r="M95" i="44"/>
  <c r="N95" i="44"/>
  <c r="O95" i="44"/>
  <c r="P102" i="44" s="1"/>
  <c r="P90" i="35" s="1"/>
  <c r="P95" i="44"/>
  <c r="T102" i="44"/>
  <c r="T90" i="35" s="1"/>
  <c r="S327" i="5" s="1"/>
  <c r="Q95" i="44"/>
  <c r="I102" i="44" s="1"/>
  <c r="R95" i="44"/>
  <c r="S95" i="44"/>
  <c r="U102" i="44" s="1"/>
  <c r="U90" i="35" s="1"/>
  <c r="T327" i="5" s="1"/>
  <c r="T95" i="44"/>
  <c r="V102" i="44" s="1"/>
  <c r="V90" i="35" s="1"/>
  <c r="U327" i="5" s="1"/>
  <c r="U95" i="44"/>
  <c r="V95" i="44"/>
  <c r="X102" i="44" s="1"/>
  <c r="X90" i="35" s="1"/>
  <c r="W327" i="5" s="1"/>
  <c r="W95" i="44"/>
  <c r="Y102" i="44" s="1"/>
  <c r="Y90" i="35" s="1"/>
  <c r="X327" i="5" s="1"/>
  <c r="X95" i="44"/>
  <c r="F102" i="44" s="1"/>
  <c r="F90" i="35" s="1"/>
  <c r="E327" i="5" s="1"/>
  <c r="Y95" i="44"/>
  <c r="Z95" i="44"/>
  <c r="AA102" i="44" s="1"/>
  <c r="AA90" i="35" s="1"/>
  <c r="Z327" i="5" s="1"/>
  <c r="AA95" i="44"/>
  <c r="AB95" i="44"/>
  <c r="AD102" i="44" s="1"/>
  <c r="AD90" i="35" s="1"/>
  <c r="AC327" i="5" s="1"/>
  <c r="AC95" i="44"/>
  <c r="AE102" i="44" s="1"/>
  <c r="AE90" i="35" s="1"/>
  <c r="AD327" i="5" s="1"/>
  <c r="AD95" i="44"/>
  <c r="O102" i="44" s="1"/>
  <c r="AE95" i="44"/>
  <c r="AC102" i="44" s="1"/>
  <c r="AC90" i="35" s="1"/>
  <c r="AB327" i="5" s="1"/>
  <c r="AF95" i="44"/>
  <c r="AF102" i="44" s="1"/>
  <c r="AF90" i="35" s="1"/>
  <c r="AE327" i="5" s="1"/>
  <c r="AG95" i="44"/>
  <c r="AH95" i="44"/>
  <c r="AH102" i="44" s="1"/>
  <c r="AH90" i="35" s="1"/>
  <c r="AG327" i="5" s="1"/>
  <c r="AI95" i="44"/>
  <c r="AI102" i="44" s="1"/>
  <c r="AI90" i="35" s="1"/>
  <c r="AH327" i="5" s="1"/>
  <c r="AJ95" i="44"/>
  <c r="AG102" i="44" s="1"/>
  <c r="AG90" i="35" s="1"/>
  <c r="AF327" i="5" s="1"/>
  <c r="AK95" i="44"/>
  <c r="AL95" i="44"/>
  <c r="AM95" i="44"/>
  <c r="F95" i="44"/>
  <c r="G102" i="44" s="1"/>
  <c r="G90" i="35" s="1"/>
  <c r="F327" i="5" s="1"/>
  <c r="AB102" i="44"/>
  <c r="AB90" i="35" s="1"/>
  <c r="AA327" i="5" s="1"/>
  <c r="Z102" i="44"/>
  <c r="Z90" i="35" s="1"/>
  <c r="Y327" i="5" s="1"/>
  <c r="W102" i="44"/>
  <c r="W90" i="35" s="1"/>
  <c r="V327" i="5" s="1"/>
  <c r="R102" i="44"/>
  <c r="R90" i="35" s="1"/>
  <c r="Q327" i="5" s="1"/>
  <c r="Q102" i="44"/>
  <c r="Q90" i="35" s="1"/>
  <c r="P327" i="5" s="1"/>
  <c r="O90" i="35"/>
  <c r="N327" i="5" s="1"/>
  <c r="N102" i="44"/>
  <c r="N90" i="35" s="1"/>
  <c r="M327" i="5" s="1"/>
  <c r="L89" i="35"/>
  <c r="K326" i="5" s="1"/>
  <c r="K102" i="44"/>
  <c r="K90" i="35"/>
  <c r="J327" i="5" s="1"/>
  <c r="I90" i="35"/>
  <c r="H327" i="5" s="1"/>
  <c r="H90" i="35"/>
  <c r="G327" i="5" s="1"/>
  <c r="G94" i="44"/>
  <c r="H101" i="44" s="1"/>
  <c r="H89" i="35" s="1"/>
  <c r="G326" i="5" s="1"/>
  <c r="H94" i="44"/>
  <c r="J101" i="44" s="1"/>
  <c r="J89" i="35" s="1"/>
  <c r="I326" i="5" s="1"/>
  <c r="I94" i="44"/>
  <c r="L101" i="44" s="1"/>
  <c r="J94" i="44"/>
  <c r="K101" i="44" s="1"/>
  <c r="K89" i="35" s="1"/>
  <c r="J326" i="5" s="1"/>
  <c r="K94" i="44"/>
  <c r="M101" i="44" s="1"/>
  <c r="M89" i="35"/>
  <c r="L326" i="5" s="1"/>
  <c r="L94" i="44"/>
  <c r="S101" i="44" s="1"/>
  <c r="S89" i="35" s="1"/>
  <c r="R326" i="5" s="1"/>
  <c r="M94" i="44"/>
  <c r="Q101" i="44" s="1"/>
  <c r="Q89" i="35" s="1"/>
  <c r="P326" i="5" s="1"/>
  <c r="N94" i="44"/>
  <c r="N101" i="44" s="1"/>
  <c r="N89" i="35" s="1"/>
  <c r="O94" i="44"/>
  <c r="P101" i="44" s="1"/>
  <c r="P89" i="35" s="1"/>
  <c r="O326" i="5" s="1"/>
  <c r="P94" i="44"/>
  <c r="T101" i="44" s="1"/>
  <c r="T89" i="35" s="1"/>
  <c r="S326" i="5" s="1"/>
  <c r="Q94" i="44"/>
  <c r="I101" i="44" s="1"/>
  <c r="I89" i="35" s="1"/>
  <c r="R94" i="44"/>
  <c r="W101" i="44" s="1"/>
  <c r="W89" i="35" s="1"/>
  <c r="V326" i="5" s="1"/>
  <c r="S94" i="44"/>
  <c r="U101" i="44" s="1"/>
  <c r="U89" i="35" s="1"/>
  <c r="T326" i="5" s="1"/>
  <c r="T94" i="44"/>
  <c r="V101" i="44" s="1"/>
  <c r="V89" i="35" s="1"/>
  <c r="U326" i="5" s="1"/>
  <c r="U94" i="44"/>
  <c r="R101" i="44" s="1"/>
  <c r="R89" i="35" s="1"/>
  <c r="Q326" i="5" s="1"/>
  <c r="V94" i="44"/>
  <c r="X101" i="44" s="1"/>
  <c r="X89" i="35" s="1"/>
  <c r="W326" i="5" s="1"/>
  <c r="W94" i="44"/>
  <c r="Y101" i="44" s="1"/>
  <c r="Y89" i="35" s="1"/>
  <c r="X326" i="5" s="1"/>
  <c r="X94" i="44"/>
  <c r="F101" i="44" s="1"/>
  <c r="F89" i="35" s="1"/>
  <c r="E326" i="5" s="1"/>
  <c r="Y94" i="44"/>
  <c r="Z101" i="44" s="1"/>
  <c r="Z89" i="35" s="1"/>
  <c r="Y326" i="5" s="1"/>
  <c r="Z94" i="44"/>
  <c r="AA101" i="44" s="1"/>
  <c r="AA89" i="35" s="1"/>
  <c r="Z326" i="5" s="1"/>
  <c r="AA94" i="44"/>
  <c r="AB101" i="44"/>
  <c r="AB89" i="35" s="1"/>
  <c r="AA326" i="5" s="1"/>
  <c r="AB94" i="44"/>
  <c r="AD101" i="44" s="1"/>
  <c r="AD89" i="35" s="1"/>
  <c r="AC326" i="5" s="1"/>
  <c r="AC94" i="44"/>
  <c r="AE101" i="44" s="1"/>
  <c r="AE89" i="35" s="1"/>
  <c r="AD326" i="5" s="1"/>
  <c r="AD94" i="44"/>
  <c r="O101" i="44" s="1"/>
  <c r="O89" i="35" s="1"/>
  <c r="N326" i="5" s="1"/>
  <c r="AE94" i="44"/>
  <c r="AC101" i="44" s="1"/>
  <c r="AC89" i="35" s="1"/>
  <c r="AB326" i="5" s="1"/>
  <c r="AF94" i="44"/>
  <c r="AF101" i="44" s="1"/>
  <c r="AF89" i="35" s="1"/>
  <c r="AE326" i="5" s="1"/>
  <c r="AG94" i="44"/>
  <c r="AH94" i="44"/>
  <c r="AH101" i="44" s="1"/>
  <c r="AH89" i="35" s="1"/>
  <c r="AG326" i="5" s="1"/>
  <c r="AI94" i="44"/>
  <c r="AI101" i="44" s="1"/>
  <c r="AI89" i="35" s="1"/>
  <c r="AH326" i="5" s="1"/>
  <c r="AJ94" i="44"/>
  <c r="AG101" i="44" s="1"/>
  <c r="AG89" i="35" s="1"/>
  <c r="AF326" i="5" s="1"/>
  <c r="AK94" i="44"/>
  <c r="AL94" i="44"/>
  <c r="AM94" i="44"/>
  <c r="F94" i="44"/>
  <c r="G101" i="44" s="1"/>
  <c r="G89" i="35" s="1"/>
  <c r="F326" i="5" s="1"/>
  <c r="G93" i="44"/>
  <c r="H100" i="44" s="1"/>
  <c r="H88" i="35" s="1"/>
  <c r="G325" i="5" s="1"/>
  <c r="H93" i="44"/>
  <c r="J100" i="44" s="1"/>
  <c r="J88" i="35" s="1"/>
  <c r="I325" i="5" s="1"/>
  <c r="I93" i="44"/>
  <c r="L100" i="44" s="1"/>
  <c r="L88" i="35" s="1"/>
  <c r="K325" i="5" s="1"/>
  <c r="J93" i="44"/>
  <c r="K100" i="44" s="1"/>
  <c r="K88" i="35" s="1"/>
  <c r="K93" i="44"/>
  <c r="M100" i="44" s="1"/>
  <c r="M88" i="35" s="1"/>
  <c r="L93" i="44"/>
  <c r="S100" i="44" s="1"/>
  <c r="S88" i="35" s="1"/>
  <c r="M93" i="44"/>
  <c r="Q100" i="44" s="1"/>
  <c r="Q88" i="35" s="1"/>
  <c r="N93" i="44"/>
  <c r="N100" i="44" s="1"/>
  <c r="N88" i="35" s="1"/>
  <c r="M325" i="5" s="1"/>
  <c r="O93" i="44"/>
  <c r="P100" i="44"/>
  <c r="P88" i="35" s="1"/>
  <c r="O325" i="5" s="1"/>
  <c r="P93" i="44"/>
  <c r="T100" i="44"/>
  <c r="T88" i="35" s="1"/>
  <c r="S325" i="5" s="1"/>
  <c r="Q93" i="44"/>
  <c r="I100" i="44"/>
  <c r="I88" i="35" s="1"/>
  <c r="R93" i="44"/>
  <c r="W100" i="44" s="1"/>
  <c r="W88" i="35" s="1"/>
  <c r="S93" i="44"/>
  <c r="U100" i="44" s="1"/>
  <c r="U88" i="35" s="1"/>
  <c r="T93" i="44"/>
  <c r="V100" i="44" s="1"/>
  <c r="V88" i="35" s="1"/>
  <c r="U93" i="44"/>
  <c r="R100" i="44" s="1"/>
  <c r="R88" i="35" s="1"/>
  <c r="V93" i="44"/>
  <c r="X100" i="44" s="1"/>
  <c r="X88" i="35" s="1"/>
  <c r="W325" i="5" s="1"/>
  <c r="W93" i="44"/>
  <c r="Y100" i="44" s="1"/>
  <c r="Y88" i="35" s="1"/>
  <c r="X93" i="44"/>
  <c r="F100" i="44" s="1"/>
  <c r="F88" i="35" s="1"/>
  <c r="Y93" i="44"/>
  <c r="Z100" i="44" s="1"/>
  <c r="Z88" i="35" s="1"/>
  <c r="Z93" i="44"/>
  <c r="AA100" i="44" s="1"/>
  <c r="AA88" i="35" s="1"/>
  <c r="AA93" i="44"/>
  <c r="AB100" i="44" s="1"/>
  <c r="AB88" i="35" s="1"/>
  <c r="AA325" i="5" s="1"/>
  <c r="AB93" i="44"/>
  <c r="AD100" i="44" s="1"/>
  <c r="AD88" i="35" s="1"/>
  <c r="AC93" i="44"/>
  <c r="AE100" i="44" s="1"/>
  <c r="AE88" i="35" s="1"/>
  <c r="AD93" i="44"/>
  <c r="O100" i="44" s="1"/>
  <c r="O88" i="35" s="1"/>
  <c r="AE93" i="44"/>
  <c r="AC100" i="44"/>
  <c r="AC88" i="35" s="1"/>
  <c r="AF93" i="44"/>
  <c r="AF100" i="44" s="1"/>
  <c r="AF88" i="35" s="1"/>
  <c r="AE325" i="5" s="1"/>
  <c r="AG93" i="44"/>
  <c r="AH93" i="44"/>
  <c r="AH100" i="44" s="1"/>
  <c r="AH88" i="35" s="1"/>
  <c r="AG325" i="5" s="1"/>
  <c r="AI93" i="44"/>
  <c r="AI100" i="44" s="1"/>
  <c r="AI88" i="35" s="1"/>
  <c r="AH325" i="5" s="1"/>
  <c r="AJ93" i="44"/>
  <c r="AG100" i="44" s="1"/>
  <c r="AG88" i="35" s="1"/>
  <c r="AF325" i="5" s="1"/>
  <c r="AK93" i="44"/>
  <c r="AL93" i="44"/>
  <c r="AM93" i="44"/>
  <c r="F93" i="44"/>
  <c r="G100" i="44" s="1"/>
  <c r="G88" i="35" s="1"/>
  <c r="F218" i="42"/>
  <c r="G226" i="42" s="1"/>
  <c r="H65" i="35" s="1"/>
  <c r="G333" i="5" s="1"/>
  <c r="G341" i="5" s="1"/>
  <c r="G218" i="42"/>
  <c r="I226" i="42" s="1"/>
  <c r="J65" i="35" s="1"/>
  <c r="I333" i="5" s="1"/>
  <c r="I341" i="5" s="1"/>
  <c r="H218" i="42"/>
  <c r="K226" i="42"/>
  <c r="L65" i="35" s="1"/>
  <c r="K333" i="5" s="1"/>
  <c r="I218" i="42"/>
  <c r="J226" i="42"/>
  <c r="K65" i="35" s="1"/>
  <c r="J333" i="5" s="1"/>
  <c r="J218" i="42"/>
  <c r="L226" i="42" s="1"/>
  <c r="M65" i="35" s="1"/>
  <c r="L333" i="5" s="1"/>
  <c r="L359" i="5" s="1"/>
  <c r="K218" i="42"/>
  <c r="R226" i="42"/>
  <c r="S65" i="35" s="1"/>
  <c r="R333" i="5" s="1"/>
  <c r="L218" i="42"/>
  <c r="P226" i="42"/>
  <c r="Q65" i="35" s="1"/>
  <c r="P333" i="5" s="1"/>
  <c r="P359" i="5" s="1"/>
  <c r="M218" i="42"/>
  <c r="M226" i="42" s="1"/>
  <c r="N65" i="35" s="1"/>
  <c r="M333" i="5" s="1"/>
  <c r="N218" i="42"/>
  <c r="O226" i="42" s="1"/>
  <c r="P65" i="35" s="1"/>
  <c r="O333" i="5" s="1"/>
  <c r="O218" i="42"/>
  <c r="S226" i="42" s="1"/>
  <c r="T65" i="35" s="1"/>
  <c r="S333" i="5" s="1"/>
  <c r="P218" i="42"/>
  <c r="H226" i="42" s="1"/>
  <c r="I65" i="35" s="1"/>
  <c r="H333" i="5" s="1"/>
  <c r="H371" i="5" s="1"/>
  <c r="Q218" i="42"/>
  <c r="V226" i="42" s="1"/>
  <c r="W65" i="35" s="1"/>
  <c r="R218" i="42"/>
  <c r="T226" i="42" s="1"/>
  <c r="U65" i="35" s="1"/>
  <c r="T333" i="5" s="1"/>
  <c r="T359" i="5" s="1"/>
  <c r="S218" i="42"/>
  <c r="U226" i="42" s="1"/>
  <c r="V65" i="35" s="1"/>
  <c r="U333" i="5" s="1"/>
  <c r="T218" i="42"/>
  <c r="Q226" i="42" s="1"/>
  <c r="R65" i="35" s="1"/>
  <c r="Q333" i="5" s="1"/>
  <c r="U218" i="42"/>
  <c r="W226" i="42"/>
  <c r="X65" i="35" s="1"/>
  <c r="W333" i="5" s="1"/>
  <c r="W371" i="5" s="1"/>
  <c r="V218" i="42"/>
  <c r="X226" i="42" s="1"/>
  <c r="Y65" i="35" s="1"/>
  <c r="X333" i="5" s="1"/>
  <c r="W218" i="42"/>
  <c r="X218" i="42"/>
  <c r="Y226" i="42" s="1"/>
  <c r="Z65" i="35"/>
  <c r="Y333" i="5" s="1"/>
  <c r="Y218" i="42"/>
  <c r="Z226" i="42" s="1"/>
  <c r="AA65" i="35" s="1"/>
  <c r="Z333" i="5" s="1"/>
  <c r="Z218" i="42"/>
  <c r="AA226" i="42" s="1"/>
  <c r="AB65" i="35" s="1"/>
  <c r="AA333" i="5" s="1"/>
  <c r="AA218" i="42"/>
  <c r="AC226" i="42"/>
  <c r="AD65" i="35" s="1"/>
  <c r="AC333" i="5" s="1"/>
  <c r="AB218" i="42"/>
  <c r="AD226" i="42" s="1"/>
  <c r="AE65" i="35" s="1"/>
  <c r="AD333" i="5" s="1"/>
  <c r="AC218" i="42"/>
  <c r="N226" i="42"/>
  <c r="O65" i="35" s="1"/>
  <c r="N333" i="5" s="1"/>
  <c r="AD218" i="42"/>
  <c r="AB226" i="42" s="1"/>
  <c r="AC65" i="35"/>
  <c r="AB333" i="5" s="1"/>
  <c r="AE218" i="42"/>
  <c r="AE226" i="42"/>
  <c r="AF65" i="35" s="1"/>
  <c r="AE333" i="5" s="1"/>
  <c r="AF218" i="42"/>
  <c r="AG218" i="42"/>
  <c r="AG226" i="42" s="1"/>
  <c r="AH65" i="35" s="1"/>
  <c r="AG333" i="5" s="1"/>
  <c r="AH218" i="42"/>
  <c r="AH226" i="42" s="1"/>
  <c r="AI65" i="35" s="1"/>
  <c r="AH333" i="5" s="1"/>
  <c r="AI218" i="42"/>
  <c r="AF226" i="42" s="1"/>
  <c r="AG65" i="35" s="1"/>
  <c r="AF333" i="5" s="1"/>
  <c r="AJ218" i="42"/>
  <c r="AK218" i="42"/>
  <c r="AL218" i="42"/>
  <c r="E226" i="42"/>
  <c r="F65" i="35" s="1"/>
  <c r="F217" i="42"/>
  <c r="G225" i="42" s="1"/>
  <c r="H64" i="35" s="1"/>
  <c r="G332" i="5" s="1"/>
  <c r="G217" i="42"/>
  <c r="I225" i="42" s="1"/>
  <c r="J64" i="35" s="1"/>
  <c r="H217" i="42"/>
  <c r="K225" i="42" s="1"/>
  <c r="L64" i="35" s="1"/>
  <c r="K332" i="5" s="1"/>
  <c r="K340" i="5" s="1"/>
  <c r="I217" i="42"/>
  <c r="J225" i="42" s="1"/>
  <c r="K64" i="35" s="1"/>
  <c r="J332" i="5" s="1"/>
  <c r="J358" i="5" s="1"/>
  <c r="J217" i="42"/>
  <c r="L225" i="42"/>
  <c r="M64" i="35" s="1"/>
  <c r="L332" i="5" s="1"/>
  <c r="K217" i="42"/>
  <c r="R225" i="42" s="1"/>
  <c r="S64" i="35" s="1"/>
  <c r="R332" i="5" s="1"/>
  <c r="L217" i="42"/>
  <c r="P225" i="42" s="1"/>
  <c r="Q64" i="35" s="1"/>
  <c r="P332" i="5" s="1"/>
  <c r="M217" i="42"/>
  <c r="M225" i="42" s="1"/>
  <c r="N64" i="35" s="1"/>
  <c r="M332" i="5" s="1"/>
  <c r="N217" i="42"/>
  <c r="O225" i="42" s="1"/>
  <c r="P64" i="35" s="1"/>
  <c r="O217" i="42"/>
  <c r="S225" i="42" s="1"/>
  <c r="T64" i="35" s="1"/>
  <c r="S332" i="5" s="1"/>
  <c r="S346" i="5" s="1"/>
  <c r="S364" i="5" s="1"/>
  <c r="S370" i="5" s="1"/>
  <c r="P217" i="42"/>
  <c r="H225" i="42" s="1"/>
  <c r="I64" i="35" s="1"/>
  <c r="H332" i="5" s="1"/>
  <c r="Q217" i="42"/>
  <c r="V225" i="42" s="1"/>
  <c r="W64" i="35" s="1"/>
  <c r="V332" i="5" s="1"/>
  <c r="R217" i="42"/>
  <c r="T225" i="42" s="1"/>
  <c r="U64" i="35" s="1"/>
  <c r="S217" i="42"/>
  <c r="U225" i="42" s="1"/>
  <c r="V64" i="35" s="1"/>
  <c r="U332" i="5" s="1"/>
  <c r="T217" i="42"/>
  <c r="Q225" i="42" s="1"/>
  <c r="R64" i="35" s="1"/>
  <c r="U217" i="42"/>
  <c r="W225" i="42" s="1"/>
  <c r="X64" i="35" s="1"/>
  <c r="W332" i="5" s="1"/>
  <c r="W358" i="5" s="1"/>
  <c r="V217" i="42"/>
  <c r="X225" i="42"/>
  <c r="Y64" i="35" s="1"/>
  <c r="X332" i="5" s="1"/>
  <c r="W217" i="42"/>
  <c r="E225" i="42" s="1"/>
  <c r="F64" i="35" s="1"/>
  <c r="X217" i="42"/>
  <c r="Y225" i="42" s="1"/>
  <c r="Z64" i="35" s="1"/>
  <c r="Y217" i="42"/>
  <c r="Z225" i="42" s="1"/>
  <c r="AA64" i="35" s="1"/>
  <c r="Z332" i="5" s="1"/>
  <c r="Z217" i="42"/>
  <c r="AA225" i="42" s="1"/>
  <c r="AB64" i="35" s="1"/>
  <c r="AA332" i="5" s="1"/>
  <c r="AA217" i="42"/>
  <c r="AC225" i="42" s="1"/>
  <c r="AD64" i="35" s="1"/>
  <c r="AC332" i="5" s="1"/>
  <c r="AB217" i="42"/>
  <c r="AD225" i="42" s="1"/>
  <c r="AE64" i="35" s="1"/>
  <c r="AC217" i="42"/>
  <c r="N225" i="42" s="1"/>
  <c r="O64" i="35" s="1"/>
  <c r="N332" i="5" s="1"/>
  <c r="N346" i="5" s="1"/>
  <c r="N364" i="5" s="1"/>
  <c r="AD217" i="42"/>
  <c r="AB225" i="42" s="1"/>
  <c r="AC64" i="35" s="1"/>
  <c r="AB332" i="5" s="1"/>
  <c r="AE217" i="42"/>
  <c r="AE225" i="42" s="1"/>
  <c r="AF64" i="35" s="1"/>
  <c r="AE332" i="5" s="1"/>
  <c r="AF217" i="42"/>
  <c r="AG217" i="42"/>
  <c r="AG225" i="42" s="1"/>
  <c r="AH64" i="35" s="1"/>
  <c r="AG332" i="5" s="1"/>
  <c r="AH217" i="42"/>
  <c r="AH225" i="42" s="1"/>
  <c r="AI64" i="35" s="1"/>
  <c r="AH332" i="5" s="1"/>
  <c r="AI217" i="42"/>
  <c r="AF225" i="42" s="1"/>
  <c r="AG64" i="35" s="1"/>
  <c r="AF332" i="5" s="1"/>
  <c r="AJ217" i="42"/>
  <c r="AK217" i="42"/>
  <c r="AL217" i="42"/>
  <c r="F216" i="42"/>
  <c r="G224" i="42" s="1"/>
  <c r="H63" i="35" s="1"/>
  <c r="G216" i="42"/>
  <c r="I224" i="42" s="1"/>
  <c r="J63" i="35" s="1"/>
  <c r="H216" i="42"/>
  <c r="K224" i="42" s="1"/>
  <c r="L63" i="35" s="1"/>
  <c r="I216" i="42"/>
  <c r="J224" i="42" s="1"/>
  <c r="K63" i="35" s="1"/>
  <c r="J216" i="42"/>
  <c r="L224" i="42" s="1"/>
  <c r="M63" i="35" s="1"/>
  <c r="K216" i="42"/>
  <c r="R224" i="42" s="1"/>
  <c r="S63" i="35" s="1"/>
  <c r="L216" i="42"/>
  <c r="P224" i="42" s="1"/>
  <c r="Q63" i="35" s="1"/>
  <c r="M216" i="42"/>
  <c r="M224" i="42" s="1"/>
  <c r="N63" i="35" s="1"/>
  <c r="N216" i="42"/>
  <c r="O224" i="42" s="1"/>
  <c r="P63" i="35" s="1"/>
  <c r="O216" i="42"/>
  <c r="S224" i="42" s="1"/>
  <c r="T63" i="35" s="1"/>
  <c r="P216" i="42"/>
  <c r="H224" i="42" s="1"/>
  <c r="I63" i="35" s="1"/>
  <c r="Q216" i="42"/>
  <c r="V224" i="42" s="1"/>
  <c r="W63" i="35" s="1"/>
  <c r="R216" i="42"/>
  <c r="T224" i="42"/>
  <c r="U63" i="35" s="1"/>
  <c r="S216" i="42"/>
  <c r="U224" i="42" s="1"/>
  <c r="V63" i="35" s="1"/>
  <c r="T216" i="42"/>
  <c r="Q224" i="42" s="1"/>
  <c r="R63" i="35" s="1"/>
  <c r="U216" i="42"/>
  <c r="W224" i="42" s="1"/>
  <c r="X63" i="35" s="1"/>
  <c r="V216" i="42"/>
  <c r="X224" i="42" s="1"/>
  <c r="Y63" i="35" s="1"/>
  <c r="W216" i="42"/>
  <c r="E224" i="42" s="1"/>
  <c r="F63" i="35" s="1"/>
  <c r="X216" i="42"/>
  <c r="Y224" i="42"/>
  <c r="Z63" i="35" s="1"/>
  <c r="Y216" i="42"/>
  <c r="Z224" i="42" s="1"/>
  <c r="AA63" i="35" s="1"/>
  <c r="Z216" i="42"/>
  <c r="AA224" i="42" s="1"/>
  <c r="AB63" i="35" s="1"/>
  <c r="AA216" i="42"/>
  <c r="AC224" i="42" s="1"/>
  <c r="AD63" i="35" s="1"/>
  <c r="AB216" i="42"/>
  <c r="AD224" i="42" s="1"/>
  <c r="AE63" i="35" s="1"/>
  <c r="AC216" i="42"/>
  <c r="N224" i="42" s="1"/>
  <c r="O63" i="35" s="1"/>
  <c r="AD216" i="42"/>
  <c r="AB224" i="42" s="1"/>
  <c r="AC63" i="35" s="1"/>
  <c r="AE216" i="42"/>
  <c r="AE224" i="42" s="1"/>
  <c r="AF63" i="35" s="1"/>
  <c r="AF216" i="42"/>
  <c r="AG216" i="42"/>
  <c r="AG224" i="42" s="1"/>
  <c r="AH63" i="35" s="1"/>
  <c r="AG331" i="5" s="1"/>
  <c r="AH216" i="42"/>
  <c r="AH224" i="42" s="1"/>
  <c r="AI63" i="35" s="1"/>
  <c r="AH331" i="5" s="1"/>
  <c r="AI216" i="42"/>
  <c r="AF224" i="42" s="1"/>
  <c r="AG63" i="35" s="1"/>
  <c r="AF331" i="5" s="1"/>
  <c r="AJ216" i="42"/>
  <c r="AK216" i="42"/>
  <c r="AL216" i="42"/>
  <c r="E217" i="42"/>
  <c r="F225" i="42"/>
  <c r="G64" i="35" s="1"/>
  <c r="F332" i="5" s="1"/>
  <c r="E218" i="42"/>
  <c r="F226" i="42" s="1"/>
  <c r="G65" i="35"/>
  <c r="F333" i="5" s="1"/>
  <c r="E216" i="42"/>
  <c r="F224" i="42"/>
  <c r="G63" i="35" s="1"/>
  <c r="AL215" i="42"/>
  <c r="F215" i="42"/>
  <c r="G223" i="42" s="1"/>
  <c r="H62" i="35" s="1"/>
  <c r="G215" i="42"/>
  <c r="I223" i="42" s="1"/>
  <c r="J62" i="35" s="1"/>
  <c r="H215" i="42"/>
  <c r="K223" i="42" s="1"/>
  <c r="L62" i="35" s="1"/>
  <c r="I215" i="42"/>
  <c r="J223" i="42" s="1"/>
  <c r="K62" i="35" s="1"/>
  <c r="J215" i="42"/>
  <c r="L223" i="42" s="1"/>
  <c r="M62" i="35" s="1"/>
  <c r="K215" i="42"/>
  <c r="R223" i="42" s="1"/>
  <c r="S62" i="35" s="1"/>
  <c r="L215" i="42"/>
  <c r="P223" i="42" s="1"/>
  <c r="Q62" i="35" s="1"/>
  <c r="P330" i="5" s="1"/>
  <c r="M215" i="42"/>
  <c r="M223" i="42" s="1"/>
  <c r="N62" i="35" s="1"/>
  <c r="M330" i="5" s="1"/>
  <c r="N215" i="42"/>
  <c r="O223" i="42" s="1"/>
  <c r="P62" i="35" s="1"/>
  <c r="O330" i="5" s="1"/>
  <c r="O215" i="42"/>
  <c r="S223" i="42" s="1"/>
  <c r="T62" i="35"/>
  <c r="S330" i="5" s="1"/>
  <c r="P215" i="42"/>
  <c r="H223" i="42" s="1"/>
  <c r="I62" i="35" s="1"/>
  <c r="H330" i="5" s="1"/>
  <c r="H338" i="5" s="1"/>
  <c r="Q215" i="42"/>
  <c r="V223" i="42" s="1"/>
  <c r="W62" i="35" s="1"/>
  <c r="V330" i="5" s="1"/>
  <c r="R215" i="42"/>
  <c r="T223" i="42" s="1"/>
  <c r="U62" i="35" s="1"/>
  <c r="S215" i="42"/>
  <c r="U223" i="42" s="1"/>
  <c r="V62" i="35" s="1"/>
  <c r="U330" i="5" s="1"/>
  <c r="T215" i="42"/>
  <c r="Q223" i="42" s="1"/>
  <c r="R62" i="35" s="1"/>
  <c r="Q330" i="5" s="1"/>
  <c r="U215" i="42"/>
  <c r="W223" i="42" s="1"/>
  <c r="X62" i="35" s="1"/>
  <c r="V215" i="42"/>
  <c r="X223" i="42" s="1"/>
  <c r="Y62" i="35" s="1"/>
  <c r="W215" i="42"/>
  <c r="E223" i="42" s="1"/>
  <c r="F62" i="35" s="1"/>
  <c r="X215" i="42"/>
  <c r="Y223" i="42" s="1"/>
  <c r="Z62" i="35" s="1"/>
  <c r="Y330" i="5" s="1"/>
  <c r="Y215" i="42"/>
  <c r="Z223" i="42" s="1"/>
  <c r="AA62" i="35" s="1"/>
  <c r="Z215" i="42"/>
  <c r="AA223" i="42" s="1"/>
  <c r="AB62" i="35" s="1"/>
  <c r="AA330" i="5" s="1"/>
  <c r="AA215" i="42"/>
  <c r="AC223" i="42"/>
  <c r="AD62" i="35" s="1"/>
  <c r="AC330" i="5" s="1"/>
  <c r="AB215" i="42"/>
  <c r="AD223" i="42" s="1"/>
  <c r="AE62" i="35" s="1"/>
  <c r="AC215" i="42"/>
  <c r="N223" i="42" s="1"/>
  <c r="O62" i="35" s="1"/>
  <c r="AD215" i="42"/>
  <c r="AB223" i="42" s="1"/>
  <c r="AC62" i="35" s="1"/>
  <c r="AB330" i="5" s="1"/>
  <c r="AE215" i="42"/>
  <c r="AE223" i="42" s="1"/>
  <c r="AF62" i="35" s="1"/>
  <c r="AE330" i="5" s="1"/>
  <c r="AF215" i="42"/>
  <c r="AG215" i="42"/>
  <c r="AG223" i="42" s="1"/>
  <c r="AH62" i="35" s="1"/>
  <c r="AG330" i="5" s="1"/>
  <c r="AH215" i="42"/>
  <c r="AH223" i="42" s="1"/>
  <c r="AI62" i="35" s="1"/>
  <c r="AI66" i="35" s="1"/>
  <c r="AH329" i="5" s="1"/>
  <c r="AI215" i="42"/>
  <c r="AF223" i="42" s="1"/>
  <c r="AG62" i="35" s="1"/>
  <c r="AF330" i="5" s="1"/>
  <c r="AJ215" i="42"/>
  <c r="AK215" i="42"/>
  <c r="E213" i="42"/>
  <c r="W213" i="42"/>
  <c r="E221" i="42" s="1"/>
  <c r="F60" i="35" s="1"/>
  <c r="F214" i="42"/>
  <c r="G222" i="42"/>
  <c r="H61" i="35" s="1"/>
  <c r="G75" i="5" s="1"/>
  <c r="G93" i="5" s="1"/>
  <c r="G214" i="42"/>
  <c r="I222" i="42" s="1"/>
  <c r="J61" i="35" s="1"/>
  <c r="I75" i="5" s="1"/>
  <c r="I93" i="5" s="1"/>
  <c r="H214" i="42"/>
  <c r="K222" i="42" s="1"/>
  <c r="L61" i="35" s="1"/>
  <c r="K75" i="5" s="1"/>
  <c r="K93" i="5" s="1"/>
  <c r="I214" i="42"/>
  <c r="J222" i="42" s="1"/>
  <c r="K61" i="35" s="1"/>
  <c r="J214" i="42"/>
  <c r="L222" i="42"/>
  <c r="M61" i="35" s="1"/>
  <c r="L75" i="5" s="1"/>
  <c r="L93" i="5" s="1"/>
  <c r="K214" i="42"/>
  <c r="R222" i="42" s="1"/>
  <c r="S61" i="35" s="1"/>
  <c r="R75" i="5" s="1"/>
  <c r="R93" i="5" s="1"/>
  <c r="L214" i="42"/>
  <c r="P222" i="42" s="1"/>
  <c r="Q61" i="35" s="1"/>
  <c r="N214" i="42"/>
  <c r="O222" i="42"/>
  <c r="P61" i="35" s="1"/>
  <c r="O214" i="42"/>
  <c r="S222" i="42" s="1"/>
  <c r="T61" i="35" s="1"/>
  <c r="S75" i="5" s="1"/>
  <c r="S93" i="5" s="1"/>
  <c r="P214" i="42"/>
  <c r="H222" i="42" s="1"/>
  <c r="I61" i="35" s="1"/>
  <c r="Q214" i="42"/>
  <c r="V222" i="42"/>
  <c r="W61" i="35" s="1"/>
  <c r="R214" i="42"/>
  <c r="T222" i="42" s="1"/>
  <c r="U61" i="35" s="1"/>
  <c r="T75" i="5" s="1"/>
  <c r="T93" i="5" s="1"/>
  <c r="S214" i="42"/>
  <c r="U222" i="42" s="1"/>
  <c r="V61" i="35" s="1"/>
  <c r="U75" i="5" s="1"/>
  <c r="U93" i="5" s="1"/>
  <c r="T214" i="42"/>
  <c r="Q222" i="42" s="1"/>
  <c r="R61" i="35" s="1"/>
  <c r="U214" i="42"/>
  <c r="W222" i="42" s="1"/>
  <c r="X61" i="35" s="1"/>
  <c r="W75" i="5" s="1"/>
  <c r="W93" i="5" s="1"/>
  <c r="W105" i="5" s="1"/>
  <c r="W207" i="5" s="1"/>
  <c r="V214" i="42"/>
  <c r="X222" i="42" s="1"/>
  <c r="Y61" i="35" s="1"/>
  <c r="X75" i="5" s="1"/>
  <c r="X93" i="5" s="1"/>
  <c r="W214" i="42"/>
  <c r="E222" i="42" s="1"/>
  <c r="F61" i="35" s="1"/>
  <c r="X214" i="42"/>
  <c r="Y222" i="42" s="1"/>
  <c r="Z61" i="35" s="1"/>
  <c r="Y75" i="5" s="1"/>
  <c r="Y93" i="5" s="1"/>
  <c r="Y214" i="42"/>
  <c r="Z222" i="42" s="1"/>
  <c r="AA61" i="35" s="1"/>
  <c r="Z75" i="5" s="1"/>
  <c r="Z93" i="5" s="1"/>
  <c r="Z214" i="42"/>
  <c r="AA222" i="42" s="1"/>
  <c r="AB61" i="35" s="1"/>
  <c r="AA214" i="42"/>
  <c r="AC222" i="42" s="1"/>
  <c r="AD61" i="35" s="1"/>
  <c r="AC75" i="5" s="1"/>
  <c r="AC93" i="5" s="1"/>
  <c r="AB214" i="42"/>
  <c r="AD222" i="42" s="1"/>
  <c r="AE61" i="35" s="1"/>
  <c r="AD75" i="5" s="1"/>
  <c r="AD93" i="5" s="1"/>
  <c r="AC214" i="42"/>
  <c r="N222" i="42" s="1"/>
  <c r="O61" i="35" s="1"/>
  <c r="N75" i="5" s="1"/>
  <c r="N93" i="5" s="1"/>
  <c r="AD214" i="42"/>
  <c r="AB222" i="42" s="1"/>
  <c r="AC61" i="35" s="1"/>
  <c r="AB75" i="5" s="1"/>
  <c r="AB93" i="5" s="1"/>
  <c r="AE214" i="42"/>
  <c r="AE222" i="42" s="1"/>
  <c r="AF61" i="35" s="1"/>
  <c r="AE75" i="5" s="1"/>
  <c r="AE93" i="5" s="1"/>
  <c r="AF214" i="42"/>
  <c r="AG214" i="42"/>
  <c r="AG222" i="42" s="1"/>
  <c r="AH61" i="35" s="1"/>
  <c r="AH214" i="42"/>
  <c r="AH222" i="42" s="1"/>
  <c r="AI61" i="35" s="1"/>
  <c r="AH75" i="5" s="1"/>
  <c r="AH93" i="5" s="1"/>
  <c r="AH105" i="5" s="1"/>
  <c r="AH207" i="5" s="1"/>
  <c r="AI214" i="42"/>
  <c r="AF222" i="42" s="1"/>
  <c r="AG61" i="35" s="1"/>
  <c r="AF75" i="5" s="1"/>
  <c r="AF93" i="5" s="1"/>
  <c r="AJ214" i="42"/>
  <c r="AK214" i="42"/>
  <c r="AL214" i="42"/>
  <c r="E214" i="42"/>
  <c r="F222" i="42"/>
  <c r="G61" i="35" s="1"/>
  <c r="F75" i="5" s="1"/>
  <c r="F93" i="5" s="1"/>
  <c r="Y213" i="42"/>
  <c r="Z221" i="42" s="1"/>
  <c r="AA60" i="35" s="1"/>
  <c r="F213" i="42"/>
  <c r="G221" i="42" s="1"/>
  <c r="H60" i="35" s="1"/>
  <c r="G213" i="42"/>
  <c r="I221" i="42" s="1"/>
  <c r="J60" i="35" s="1"/>
  <c r="I8" i="5" s="1"/>
  <c r="H213" i="42"/>
  <c r="K221" i="42" s="1"/>
  <c r="L60" i="35" s="1"/>
  <c r="K8" i="5" s="1"/>
  <c r="I213" i="42"/>
  <c r="J221" i="42" s="1"/>
  <c r="K60" i="35" s="1"/>
  <c r="J213" i="42"/>
  <c r="L221" i="42" s="1"/>
  <c r="M60" i="35" s="1"/>
  <c r="K213" i="42"/>
  <c r="L213" i="42"/>
  <c r="P221" i="42"/>
  <c r="Q60" i="35" s="1"/>
  <c r="P8" i="5" s="1"/>
  <c r="M213" i="42"/>
  <c r="M221" i="42" s="1"/>
  <c r="N60" i="35" s="1"/>
  <c r="N213" i="42"/>
  <c r="O221" i="42" s="1"/>
  <c r="P60" i="35" s="1"/>
  <c r="O213" i="42"/>
  <c r="S221" i="42" s="1"/>
  <c r="T60" i="35" s="1"/>
  <c r="P213" i="42"/>
  <c r="H221" i="42" s="1"/>
  <c r="I60" i="35" s="1"/>
  <c r="H8" i="5" s="1"/>
  <c r="Q213" i="42"/>
  <c r="V221" i="42" s="1"/>
  <c r="W60" i="35" s="1"/>
  <c r="R213" i="42"/>
  <c r="T221" i="42" s="1"/>
  <c r="U60" i="35" s="1"/>
  <c r="S213" i="42"/>
  <c r="T213" i="42"/>
  <c r="Q221" i="42"/>
  <c r="R60" i="35" s="1"/>
  <c r="Q8" i="5" s="1"/>
  <c r="U213" i="42"/>
  <c r="W221" i="42" s="1"/>
  <c r="X60" i="35" s="1"/>
  <c r="W8" i="5" s="1"/>
  <c r="V213" i="42"/>
  <c r="X221" i="42" s="1"/>
  <c r="Y60" i="35" s="1"/>
  <c r="X213" i="42"/>
  <c r="Y221" i="42" s="1"/>
  <c r="Z60" i="35" s="1"/>
  <c r="Y8" i="5" s="1"/>
  <c r="Z213" i="42"/>
  <c r="AA221" i="42" s="1"/>
  <c r="AB60" i="35" s="1"/>
  <c r="AA8" i="5" s="1"/>
  <c r="AA213" i="42"/>
  <c r="AC221" i="42" s="1"/>
  <c r="AD60" i="35" s="1"/>
  <c r="AB213" i="42"/>
  <c r="AD221" i="42" s="1"/>
  <c r="AE60" i="35" s="1"/>
  <c r="AD8" i="5" s="1"/>
  <c r="AC213" i="42"/>
  <c r="N221" i="42" s="1"/>
  <c r="O60" i="35" s="1"/>
  <c r="AD213" i="42"/>
  <c r="AB221" i="42" s="1"/>
  <c r="AC60" i="35" s="1"/>
  <c r="AE213" i="42"/>
  <c r="AF213" i="42"/>
  <c r="AG213" i="42"/>
  <c r="AG221" i="42" s="1"/>
  <c r="AH60" i="35" s="1"/>
  <c r="AG8" i="5" s="1"/>
  <c r="AH213" i="42"/>
  <c r="AH221" i="42" s="1"/>
  <c r="AI60" i="35" s="1"/>
  <c r="AH8" i="5" s="1"/>
  <c r="AI213" i="42"/>
  <c r="AF221" i="42" s="1"/>
  <c r="AG60" i="35" s="1"/>
  <c r="AF8" i="5" s="1"/>
  <c r="AJ213" i="42"/>
  <c r="AK213" i="42"/>
  <c r="AL213" i="42"/>
  <c r="F221" i="42"/>
  <c r="G60" i="35" s="1"/>
  <c r="F8" i="5" s="1"/>
  <c r="U221" i="42"/>
  <c r="V60" i="35" s="1"/>
  <c r="U8" i="5" s="1"/>
  <c r="R221" i="42"/>
  <c r="S60" i="35" s="1"/>
  <c r="R8" i="5" s="1"/>
  <c r="G90" i="44"/>
  <c r="H90" i="44"/>
  <c r="I90" i="44"/>
  <c r="J90" i="44"/>
  <c r="K90" i="44"/>
  <c r="L90" i="44"/>
  <c r="M90" i="44"/>
  <c r="N90" i="44"/>
  <c r="O90" i="44"/>
  <c r="P90" i="44"/>
  <c r="Q90" i="44"/>
  <c r="R90" i="44"/>
  <c r="S90" i="44"/>
  <c r="T90" i="44"/>
  <c r="U90" i="44"/>
  <c r="V90" i="44"/>
  <c r="W90" i="44"/>
  <c r="X90" i="44"/>
  <c r="Y90" i="44"/>
  <c r="Z90" i="44"/>
  <c r="AA90" i="44"/>
  <c r="AB90" i="44"/>
  <c r="AC90" i="44"/>
  <c r="AD90" i="44"/>
  <c r="AE90" i="44"/>
  <c r="AF90" i="44"/>
  <c r="AG90" i="44"/>
  <c r="AH90" i="44"/>
  <c r="AI90" i="44"/>
  <c r="AJ90" i="44"/>
  <c r="AK90" i="44"/>
  <c r="AL90" i="44"/>
  <c r="AM90" i="44"/>
  <c r="F90" i="44"/>
  <c r="D57" i="44"/>
  <c r="AG28" i="35"/>
  <c r="AF315" i="5" s="1"/>
  <c r="D24" i="36"/>
  <c r="E29" i="36" s="1"/>
  <c r="H28" i="35" s="1"/>
  <c r="E24" i="36"/>
  <c r="G29" i="36" s="1"/>
  <c r="J28" i="35" s="1"/>
  <c r="F24" i="36"/>
  <c r="I29" i="36" s="1"/>
  <c r="L28" i="35" s="1"/>
  <c r="K315" i="5" s="1"/>
  <c r="G24" i="36"/>
  <c r="H29" i="36" s="1"/>
  <c r="K28" i="35" s="1"/>
  <c r="J315" i="5" s="1"/>
  <c r="H24" i="36"/>
  <c r="J29" i="36" s="1"/>
  <c r="M28" i="35"/>
  <c r="L315" i="5" s="1"/>
  <c r="I24" i="36"/>
  <c r="P29" i="36" s="1"/>
  <c r="S28" i="35"/>
  <c r="R315" i="5" s="1"/>
  <c r="J24" i="36"/>
  <c r="N29" i="36" s="1"/>
  <c r="Q28" i="35"/>
  <c r="P315" i="5" s="1"/>
  <c r="K24" i="36"/>
  <c r="K29" i="36" s="1"/>
  <c r="N28" i="35" s="1"/>
  <c r="M315" i="5" s="1"/>
  <c r="L24" i="36"/>
  <c r="M29" i="36" s="1"/>
  <c r="P28" i="35" s="1"/>
  <c r="O315" i="5" s="1"/>
  <c r="M24" i="36"/>
  <c r="Q29" i="36" s="1"/>
  <c r="T28" i="35" s="1"/>
  <c r="S315" i="5" s="1"/>
  <c r="N24" i="36"/>
  <c r="F29" i="36" s="1"/>
  <c r="I28" i="35" s="1"/>
  <c r="O24" i="36"/>
  <c r="T29" i="36" s="1"/>
  <c r="W28" i="35" s="1"/>
  <c r="V315" i="5" s="1"/>
  <c r="P24" i="36"/>
  <c r="R29" i="36"/>
  <c r="U28" i="35" s="1"/>
  <c r="T315" i="5" s="1"/>
  <c r="Q24" i="36"/>
  <c r="S29" i="36" s="1"/>
  <c r="V28" i="35" s="1"/>
  <c r="R24" i="36"/>
  <c r="O29" i="36" s="1"/>
  <c r="R28" i="35" s="1"/>
  <c r="Q315" i="5" s="1"/>
  <c r="S24" i="36"/>
  <c r="U29" i="36" s="1"/>
  <c r="X28" i="35" s="1"/>
  <c r="T24" i="36"/>
  <c r="V29" i="36" s="1"/>
  <c r="Y28" i="35" s="1"/>
  <c r="U24" i="36"/>
  <c r="C29" i="36" s="1"/>
  <c r="F28" i="35" s="1"/>
  <c r="V24" i="36"/>
  <c r="W29" i="36" s="1"/>
  <c r="Z28" i="35" s="1"/>
  <c r="W24" i="36"/>
  <c r="X29" i="36" s="1"/>
  <c r="AA28" i="35" s="1"/>
  <c r="Z315" i="5" s="1"/>
  <c r="X24" i="36"/>
  <c r="Y29" i="36" s="1"/>
  <c r="AB28" i="35" s="1"/>
  <c r="AA315" i="5" s="1"/>
  <c r="Y24" i="36"/>
  <c r="AA29" i="36" s="1"/>
  <c r="AD28" i="35" s="1"/>
  <c r="AC315" i="5" s="1"/>
  <c r="Z24" i="36"/>
  <c r="AB29" i="36" s="1"/>
  <c r="AE28" i="35" s="1"/>
  <c r="AD315" i="5" s="1"/>
  <c r="AA24" i="36"/>
  <c r="L29" i="36" s="1"/>
  <c r="O28" i="35" s="1"/>
  <c r="AB24" i="36"/>
  <c r="Z29" i="36" s="1"/>
  <c r="AC28" i="35" s="1"/>
  <c r="AC24" i="36"/>
  <c r="AC29" i="36" s="1"/>
  <c r="AF28" i="35" s="1"/>
  <c r="AE315" i="5" s="1"/>
  <c r="AD24" i="36"/>
  <c r="AE29" i="36" s="1"/>
  <c r="AH28" i="35" s="1"/>
  <c r="AE24" i="36"/>
  <c r="AF29" i="36" s="1"/>
  <c r="AI28" i="35" s="1"/>
  <c r="AG24" i="36"/>
  <c r="AH24" i="36"/>
  <c r="AI24" i="36"/>
  <c r="C24" i="36"/>
  <c r="D29" i="36" s="1"/>
  <c r="G28" i="35" s="1"/>
  <c r="F315" i="5" s="1"/>
  <c r="AI23" i="36"/>
  <c r="D23" i="36"/>
  <c r="E23" i="36"/>
  <c r="F23" i="36"/>
  <c r="G23" i="36"/>
  <c r="H23" i="36"/>
  <c r="I23" i="36"/>
  <c r="J23" i="36"/>
  <c r="K23" i="36"/>
  <c r="L23" i="36"/>
  <c r="M23" i="36"/>
  <c r="N23" i="36"/>
  <c r="O23" i="36"/>
  <c r="P23" i="36"/>
  <c r="Q23" i="36"/>
  <c r="R23" i="36"/>
  <c r="S23" i="36"/>
  <c r="T23" i="36"/>
  <c r="U23" i="36"/>
  <c r="V23" i="36"/>
  <c r="W23" i="36"/>
  <c r="X23" i="36"/>
  <c r="Y23" i="36"/>
  <c r="Z23" i="36"/>
  <c r="AA23" i="36"/>
  <c r="AB23" i="36"/>
  <c r="AC23" i="36"/>
  <c r="AD23" i="36"/>
  <c r="AE23" i="36"/>
  <c r="AF23" i="36"/>
  <c r="AG23" i="36"/>
  <c r="AH23" i="36"/>
  <c r="C23" i="36"/>
  <c r="AF385" i="5"/>
  <c r="AF421" i="5" s="1"/>
  <c r="AH42" i="35"/>
  <c r="AG385" i="5" s="1"/>
  <c r="AG421" i="5" s="1"/>
  <c r="D4" i="40"/>
  <c r="E9" i="40" s="1"/>
  <c r="H42" i="35" s="1"/>
  <c r="E4" i="40"/>
  <c r="G9" i="40" s="1"/>
  <c r="J42" i="35" s="1"/>
  <c r="F4" i="40"/>
  <c r="I9" i="40" s="1"/>
  <c r="L42" i="35" s="1"/>
  <c r="G4" i="40"/>
  <c r="H9" i="40" s="1"/>
  <c r="K42" i="35" s="1"/>
  <c r="H4" i="40"/>
  <c r="J9" i="40" s="1"/>
  <c r="M42" i="35" s="1"/>
  <c r="I4" i="40"/>
  <c r="P9" i="40" s="1"/>
  <c r="S42" i="35" s="1"/>
  <c r="J4" i="40"/>
  <c r="N9" i="40" s="1"/>
  <c r="Q42" i="35" s="1"/>
  <c r="K4" i="40"/>
  <c r="K9" i="40" s="1"/>
  <c r="N42" i="35" s="1"/>
  <c r="L4" i="40"/>
  <c r="M9" i="40" s="1"/>
  <c r="P42" i="35" s="1"/>
  <c r="M4" i="40"/>
  <c r="Q9" i="40" s="1"/>
  <c r="T42" i="35" s="1"/>
  <c r="N4" i="40"/>
  <c r="F9" i="40" s="1"/>
  <c r="I42" i="35" s="1"/>
  <c r="O4" i="40"/>
  <c r="T9" i="40" s="1"/>
  <c r="W42" i="35" s="1"/>
  <c r="P4" i="40"/>
  <c r="R9" i="40" s="1"/>
  <c r="U42" i="35" s="1"/>
  <c r="Q4" i="40"/>
  <c r="S9" i="40" s="1"/>
  <c r="V42" i="35" s="1"/>
  <c r="U385" i="5" s="1"/>
  <c r="U421" i="5" s="1"/>
  <c r="R4" i="40"/>
  <c r="O9" i="40" s="1"/>
  <c r="R42" i="35" s="1"/>
  <c r="Q385" i="5" s="1"/>
  <c r="Q421" i="5" s="1"/>
  <c r="S4" i="40"/>
  <c r="U9" i="40" s="1"/>
  <c r="X42" i="35" s="1"/>
  <c r="W321" i="5" s="1"/>
  <c r="T4" i="40"/>
  <c r="V9" i="40" s="1"/>
  <c r="Y42" i="35" s="1"/>
  <c r="U4" i="40"/>
  <c r="C9" i="40" s="1"/>
  <c r="F42" i="35" s="1"/>
  <c r="V4" i="40"/>
  <c r="W9" i="40" s="1"/>
  <c r="Z42" i="35" s="1"/>
  <c r="Y385" i="5" s="1"/>
  <c r="Y421" i="5" s="1"/>
  <c r="W4" i="40"/>
  <c r="X9" i="40" s="1"/>
  <c r="AA42" i="35" s="1"/>
  <c r="X4" i="40"/>
  <c r="Y9" i="40" s="1"/>
  <c r="AB42" i="35" s="1"/>
  <c r="Y4" i="40"/>
  <c r="AA9" i="40" s="1"/>
  <c r="AD42" i="35" s="1"/>
  <c r="AC321" i="5" s="1"/>
  <c r="Z4" i="40"/>
  <c r="AB9" i="40" s="1"/>
  <c r="AE42" i="35" s="1"/>
  <c r="AA4" i="40"/>
  <c r="L9" i="40" s="1"/>
  <c r="O42" i="35" s="1"/>
  <c r="AB4" i="40"/>
  <c r="Z9" i="40" s="1"/>
  <c r="AC42" i="35" s="1"/>
  <c r="AC4" i="40"/>
  <c r="AC9" i="40" s="1"/>
  <c r="AF42" i="35" s="1"/>
  <c r="AE321" i="5" s="1"/>
  <c r="AD4" i="40"/>
  <c r="AE4" i="40"/>
  <c r="AF4" i="40"/>
  <c r="AG4" i="40"/>
  <c r="AH4" i="40"/>
  <c r="AI4" i="40"/>
  <c r="C4" i="40"/>
  <c r="D9" i="40" s="1"/>
  <c r="G42" i="35" s="1"/>
  <c r="E186" i="5"/>
  <c r="AF386" i="5"/>
  <c r="AF428" i="5" s="1"/>
  <c r="AF320" i="5"/>
  <c r="AH41" i="35"/>
  <c r="AG320" i="5" s="1"/>
  <c r="AH386" i="5"/>
  <c r="AH428" i="5" s="1"/>
  <c r="D3" i="40"/>
  <c r="E3" i="40"/>
  <c r="G8" i="40" s="1"/>
  <c r="J41" i="35" s="1"/>
  <c r="F3" i="40"/>
  <c r="I8" i="40" s="1"/>
  <c r="L41" i="35" s="1"/>
  <c r="K386" i="5" s="1"/>
  <c r="K428" i="5" s="1"/>
  <c r="G3" i="40"/>
  <c r="H8" i="40" s="1"/>
  <c r="K41" i="35" s="1"/>
  <c r="J386" i="5" s="1"/>
  <c r="J428" i="5" s="1"/>
  <c r="H3" i="40"/>
  <c r="J8" i="40" s="1"/>
  <c r="I3" i="40"/>
  <c r="P8" i="40" s="1"/>
  <c r="S41" i="35" s="1"/>
  <c r="J3" i="40"/>
  <c r="K3" i="40"/>
  <c r="K8" i="40" s="1"/>
  <c r="N41" i="35" s="1"/>
  <c r="L3" i="40"/>
  <c r="M8" i="40" s="1"/>
  <c r="P41" i="35" s="1"/>
  <c r="M3" i="40"/>
  <c r="Q8" i="40"/>
  <c r="T41" i="35" s="1"/>
  <c r="N3" i="40"/>
  <c r="F8" i="40" s="1"/>
  <c r="O3" i="40"/>
  <c r="T8" i="40" s="1"/>
  <c r="W41" i="35" s="1"/>
  <c r="P3" i="40"/>
  <c r="R8" i="40" s="1"/>
  <c r="U41" i="35" s="1"/>
  <c r="Q3" i="40"/>
  <c r="S8" i="40"/>
  <c r="V41" i="35" s="1"/>
  <c r="R3" i="40"/>
  <c r="O8" i="40" s="1"/>
  <c r="R41" i="35" s="1"/>
  <c r="Q386" i="5" s="1"/>
  <c r="Q428" i="5" s="1"/>
  <c r="S3" i="40"/>
  <c r="U8" i="40" s="1"/>
  <c r="X41" i="35" s="1"/>
  <c r="W386" i="5" s="1"/>
  <c r="W428" i="5" s="1"/>
  <c r="T3" i="40"/>
  <c r="V8" i="40" s="1"/>
  <c r="Y41" i="35" s="1"/>
  <c r="X320" i="5" s="1"/>
  <c r="U3" i="40"/>
  <c r="C8" i="40"/>
  <c r="F41" i="35" s="1"/>
  <c r="V3" i="40"/>
  <c r="W8" i="40" s="1"/>
  <c r="W3" i="40"/>
  <c r="X8" i="40" s="1"/>
  <c r="AA41" i="35" s="1"/>
  <c r="Z320" i="5" s="1"/>
  <c r="X3" i="40"/>
  <c r="Y8" i="40" s="1"/>
  <c r="AB41" i="35" s="1"/>
  <c r="Y3" i="40"/>
  <c r="AA8" i="40" s="1"/>
  <c r="AD41" i="35" s="1"/>
  <c r="Z3" i="40"/>
  <c r="AB8" i="40" s="1"/>
  <c r="AE41" i="35" s="1"/>
  <c r="AA3" i="40"/>
  <c r="L8" i="40" s="1"/>
  <c r="O41" i="35" s="1"/>
  <c r="AB3" i="40"/>
  <c r="Z8" i="40" s="1"/>
  <c r="AC41" i="35" s="1"/>
  <c r="AB320" i="5" s="1"/>
  <c r="AC3" i="40"/>
  <c r="AC8" i="40" s="1"/>
  <c r="AF41" i="35" s="1"/>
  <c r="AE386" i="5" s="1"/>
  <c r="AE428" i="5" s="1"/>
  <c r="AD3" i="40"/>
  <c r="AE3" i="40"/>
  <c r="AF3" i="40"/>
  <c r="AG3" i="40"/>
  <c r="AH3" i="40"/>
  <c r="AI3" i="40"/>
  <c r="C3" i="40"/>
  <c r="D8" i="40" s="1"/>
  <c r="G41" i="35" s="1"/>
  <c r="F386" i="5" s="1"/>
  <c r="F428" i="5" s="1"/>
  <c r="Z41" i="35"/>
  <c r="Y386" i="5" s="1"/>
  <c r="Y428" i="5" s="1"/>
  <c r="N8" i="40"/>
  <c r="Q41" i="35" s="1"/>
  <c r="P320" i="5" s="1"/>
  <c r="M41" i="35"/>
  <c r="L320" i="5" s="1"/>
  <c r="I41" i="35"/>
  <c r="E8" i="40"/>
  <c r="H41" i="35" s="1"/>
  <c r="G386" i="5" s="1"/>
  <c r="G428" i="5" s="1"/>
  <c r="U97" i="40"/>
  <c r="F21" i="35" s="1"/>
  <c r="AI2" i="40"/>
  <c r="D2" i="40"/>
  <c r="E2" i="40"/>
  <c r="F2" i="40"/>
  <c r="G2" i="40"/>
  <c r="H2" i="40"/>
  <c r="I2" i="40"/>
  <c r="J2" i="40"/>
  <c r="K2" i="40"/>
  <c r="L2" i="40"/>
  <c r="M2" i="40"/>
  <c r="N2" i="40"/>
  <c r="O2" i="40"/>
  <c r="P2" i="40"/>
  <c r="Q2" i="40"/>
  <c r="R2" i="40"/>
  <c r="S2" i="40"/>
  <c r="T2" i="40"/>
  <c r="U2" i="40"/>
  <c r="V2" i="40"/>
  <c r="W2" i="40"/>
  <c r="X2" i="40"/>
  <c r="Y2" i="40"/>
  <c r="Z2" i="40"/>
  <c r="AA2" i="40"/>
  <c r="AB2" i="40"/>
  <c r="AC2" i="40"/>
  <c r="AD2" i="40"/>
  <c r="AE2" i="40"/>
  <c r="AF2" i="40"/>
  <c r="AG2" i="40"/>
  <c r="AH2" i="40"/>
  <c r="C2" i="40"/>
  <c r="AJ2" i="39"/>
  <c r="AI2" i="39"/>
  <c r="AH2" i="39"/>
  <c r="AG2" i="39"/>
  <c r="AF36" i="35"/>
  <c r="AF40" i="35"/>
  <c r="AE319" i="5" s="1"/>
  <c r="AE17" i="5" s="1"/>
  <c r="AF319" i="5"/>
  <c r="AF17" i="5" s="1"/>
  <c r="AH40" i="35"/>
  <c r="AG319" i="5" s="1"/>
  <c r="AG17" i="5" s="1"/>
  <c r="AH319" i="5"/>
  <c r="AH17" i="5" s="1"/>
  <c r="D20" i="41"/>
  <c r="E25" i="41" s="1"/>
  <c r="G40" i="35" s="1"/>
  <c r="F319" i="5" s="1"/>
  <c r="F17" i="5" s="1"/>
  <c r="E20" i="41"/>
  <c r="G25" i="41" s="1"/>
  <c r="I40" i="35" s="1"/>
  <c r="H319" i="5" s="1"/>
  <c r="H17" i="5" s="1"/>
  <c r="F20" i="41"/>
  <c r="I25" i="41" s="1"/>
  <c r="K40" i="35" s="1"/>
  <c r="J319" i="5" s="1"/>
  <c r="J17" i="5" s="1"/>
  <c r="G20" i="41"/>
  <c r="H25" i="41" s="1"/>
  <c r="J40" i="35" s="1"/>
  <c r="I319" i="5" s="1"/>
  <c r="I17" i="5" s="1"/>
  <c r="H20" i="41"/>
  <c r="J25" i="41" s="1"/>
  <c r="L40" i="35" s="1"/>
  <c r="K319" i="5" s="1"/>
  <c r="K17" i="5" s="1"/>
  <c r="I20" i="41"/>
  <c r="P25" i="41" s="1"/>
  <c r="R40" i="35" s="1"/>
  <c r="Q319" i="5" s="1"/>
  <c r="Q17" i="5" s="1"/>
  <c r="J20" i="41"/>
  <c r="N25" i="41" s="1"/>
  <c r="P40" i="35" s="1"/>
  <c r="O319" i="5" s="1"/>
  <c r="O17" i="5" s="1"/>
  <c r="K20" i="41"/>
  <c r="K25" i="41" s="1"/>
  <c r="M40" i="35" s="1"/>
  <c r="L319" i="5" s="1"/>
  <c r="L17" i="5" s="1"/>
  <c r="L20" i="41"/>
  <c r="M25" i="41" s="1"/>
  <c r="O40" i="35" s="1"/>
  <c r="N319" i="5" s="1"/>
  <c r="N17" i="5" s="1"/>
  <c r="M20" i="41"/>
  <c r="Q25" i="41" s="1"/>
  <c r="S40" i="35" s="1"/>
  <c r="R319" i="5" s="1"/>
  <c r="R17" i="5" s="1"/>
  <c r="N20" i="41"/>
  <c r="F25" i="41" s="1"/>
  <c r="H40" i="35" s="1"/>
  <c r="G319" i="5" s="1"/>
  <c r="G17" i="5" s="1"/>
  <c r="O20" i="41"/>
  <c r="T25" i="41" s="1"/>
  <c r="V40" i="35" s="1"/>
  <c r="U319" i="5" s="1"/>
  <c r="U17" i="5" s="1"/>
  <c r="P20" i="41"/>
  <c r="R25" i="41" s="1"/>
  <c r="T40" i="35" s="1"/>
  <c r="S319" i="5" s="1"/>
  <c r="S17" i="5" s="1"/>
  <c r="Q20" i="41"/>
  <c r="S25" i="41" s="1"/>
  <c r="U40" i="35" s="1"/>
  <c r="T319" i="5" s="1"/>
  <c r="T17" i="5" s="1"/>
  <c r="R20" i="41"/>
  <c r="O25" i="41" s="1"/>
  <c r="Q40" i="35" s="1"/>
  <c r="P319" i="5" s="1"/>
  <c r="P17" i="5" s="1"/>
  <c r="S20" i="41"/>
  <c r="U25" i="41" s="1"/>
  <c r="W40" i="35" s="1"/>
  <c r="V319" i="5" s="1"/>
  <c r="V17" i="5" s="1"/>
  <c r="T20" i="41"/>
  <c r="V25" i="41" s="1"/>
  <c r="X40" i="35" s="1"/>
  <c r="W319" i="5" s="1"/>
  <c r="W17" i="5" s="1"/>
  <c r="U20" i="41"/>
  <c r="C25" i="41" s="1"/>
  <c r="V20" i="41"/>
  <c r="W25" i="41" s="1"/>
  <c r="Y40" i="35" s="1"/>
  <c r="X319" i="5" s="1"/>
  <c r="X17" i="5" s="1"/>
  <c r="W20" i="41"/>
  <c r="X25" i="41" s="1"/>
  <c r="Z40" i="35" s="1"/>
  <c r="Y319" i="5" s="1"/>
  <c r="Y17" i="5" s="1"/>
  <c r="X20" i="41"/>
  <c r="Y25" i="41" s="1"/>
  <c r="AA40" i="35" s="1"/>
  <c r="Z319" i="5" s="1"/>
  <c r="Z17" i="5" s="1"/>
  <c r="Y20" i="41"/>
  <c r="AA25" i="41" s="1"/>
  <c r="AC40" i="35" s="1"/>
  <c r="AB319" i="5" s="1"/>
  <c r="AB17" i="5" s="1"/>
  <c r="Z20" i="41"/>
  <c r="AB25" i="41" s="1"/>
  <c r="AD40" i="35" s="1"/>
  <c r="AC319" i="5" s="1"/>
  <c r="AC17" i="5" s="1"/>
  <c r="AA20" i="41"/>
  <c r="L25" i="41" s="1"/>
  <c r="N40" i="35" s="1"/>
  <c r="M319" i="5" s="1"/>
  <c r="M17" i="5" s="1"/>
  <c r="AB20" i="41"/>
  <c r="Z25" i="41" s="1"/>
  <c r="AB40" i="35" s="1"/>
  <c r="AA319" i="5" s="1"/>
  <c r="AA17" i="5" s="1"/>
  <c r="AC20" i="41"/>
  <c r="AC25" i="41" s="1"/>
  <c r="AE40" i="35" s="1"/>
  <c r="AD319" i="5" s="1"/>
  <c r="AD17" i="5" s="1"/>
  <c r="C20" i="41"/>
  <c r="D25" i="41" s="1"/>
  <c r="F40" i="35" s="1"/>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C19" i="41"/>
  <c r="AF318" i="5"/>
  <c r="AH36" i="35"/>
  <c r="AH318" i="5"/>
  <c r="AE36" i="35"/>
  <c r="AB36" i="35"/>
  <c r="Z36" i="35"/>
  <c r="F36" i="35"/>
  <c r="Y36" i="35"/>
  <c r="X36" i="35"/>
  <c r="R36" i="35"/>
  <c r="V36" i="35"/>
  <c r="U36" i="35"/>
  <c r="W36" i="35"/>
  <c r="I36" i="35"/>
  <c r="T36" i="35"/>
  <c r="P36" i="35"/>
  <c r="N36" i="35"/>
  <c r="N46" i="35" s="1"/>
  <c r="G99" i="16" s="1"/>
  <c r="S36" i="35"/>
  <c r="M36" i="35"/>
  <c r="K36" i="35"/>
  <c r="AD36" i="35"/>
  <c r="AC36" i="35"/>
  <c r="AA36" i="35"/>
  <c r="Q36" i="35"/>
  <c r="O36" i="35"/>
  <c r="AF2" i="39"/>
  <c r="AE2" i="39"/>
  <c r="AD2" i="39"/>
  <c r="AC2" i="39"/>
  <c r="AB2" i="39"/>
  <c r="AA2" i="39"/>
  <c r="Z2" i="39"/>
  <c r="Y2" i="39"/>
  <c r="X2" i="39"/>
  <c r="W2" i="39"/>
  <c r="V2" i="39"/>
  <c r="U2" i="39"/>
  <c r="T2" i="39"/>
  <c r="S2" i="39"/>
  <c r="R2" i="39"/>
  <c r="Q2" i="39"/>
  <c r="P2" i="39"/>
  <c r="N2" i="39"/>
  <c r="M2" i="39"/>
  <c r="L2" i="39"/>
  <c r="J2" i="39"/>
  <c r="I2" i="39"/>
  <c r="L36" i="35"/>
  <c r="J36" i="35"/>
  <c r="H36" i="35"/>
  <c r="H11" i="39"/>
  <c r="I11" i="39" s="1"/>
  <c r="J11" i="39" s="1"/>
  <c r="K11" i="39" s="1"/>
  <c r="L11" i="39" s="1"/>
  <c r="M11" i="39" s="1"/>
  <c r="N11" i="39" s="1"/>
  <c r="O11" i="39" s="1"/>
  <c r="P11" i="39" s="1"/>
  <c r="Q11" i="39" s="1"/>
  <c r="R11" i="39" s="1"/>
  <c r="S11" i="39" s="1"/>
  <c r="T11" i="39" s="1"/>
  <c r="U11" i="39" s="1"/>
  <c r="V11" i="39" s="1"/>
  <c r="W11" i="39" s="1"/>
  <c r="X11" i="39" s="1"/>
  <c r="Y11" i="39" s="1"/>
  <c r="Z11" i="39" s="1"/>
  <c r="AA11" i="39" s="1"/>
  <c r="AB11" i="39" s="1"/>
  <c r="AC11" i="39" s="1"/>
  <c r="AD11" i="39" s="1"/>
  <c r="AE11" i="39" s="1"/>
  <c r="AF11" i="39" s="1"/>
  <c r="AG11" i="39" s="1"/>
  <c r="AH11" i="39" s="1"/>
  <c r="AI11" i="39" s="1"/>
  <c r="AJ11" i="39" s="1"/>
  <c r="G36" i="35"/>
  <c r="L32" i="39"/>
  <c r="H2" i="39"/>
  <c r="AP32" i="38"/>
  <c r="H2" i="38"/>
  <c r="AF317" i="5"/>
  <c r="AH31" i="35"/>
  <c r="AH317" i="5"/>
  <c r="AH3" i="38"/>
  <c r="AH14" i="38" s="1"/>
  <c r="AF31" i="35" s="1"/>
  <c r="AG3" i="38"/>
  <c r="AE14" i="38" s="1"/>
  <c r="AC31" i="35" s="1"/>
  <c r="AF3" i="38"/>
  <c r="Q14" i="38" s="1"/>
  <c r="O31" i="35" s="1"/>
  <c r="O48" i="35" s="1"/>
  <c r="H107" i="16" s="1"/>
  <c r="AE3" i="38"/>
  <c r="AG14" i="38" s="1"/>
  <c r="AE31" i="35" s="1"/>
  <c r="AD317" i="5" s="1"/>
  <c r="AD3" i="38"/>
  <c r="AF14" i="38" s="1"/>
  <c r="AD31" i="35" s="1"/>
  <c r="AD48" i="35" s="1"/>
  <c r="H272" i="16" s="1"/>
  <c r="AC3" i="38"/>
  <c r="AD14" i="38"/>
  <c r="AB31" i="35" s="1"/>
  <c r="AB3" i="38"/>
  <c r="AC14" i="38" s="1"/>
  <c r="AA31" i="35" s="1"/>
  <c r="Z317" i="5" s="1"/>
  <c r="AA3" i="38"/>
  <c r="AB14" i="38" s="1"/>
  <c r="Z31" i="35" s="1"/>
  <c r="Z3" i="38"/>
  <c r="Y3" i="38"/>
  <c r="AA14" i="38" s="1"/>
  <c r="Y31" i="35" s="1"/>
  <c r="X317" i="5" s="1"/>
  <c r="X3" i="38"/>
  <c r="Z14" i="38" s="1"/>
  <c r="X31" i="35" s="1"/>
  <c r="W3" i="38"/>
  <c r="T14" i="38" s="1"/>
  <c r="R31" i="35" s="1"/>
  <c r="V3" i="38"/>
  <c r="X14" i="38" s="1"/>
  <c r="V31" i="35" s="1"/>
  <c r="U3" i="38"/>
  <c r="W14" i="38" s="1"/>
  <c r="U31" i="35" s="1"/>
  <c r="U48" i="35" s="1"/>
  <c r="H173" i="16" s="1"/>
  <c r="T3" i="38"/>
  <c r="Y14" i="38" s="1"/>
  <c r="W31" i="35" s="1"/>
  <c r="V317" i="5" s="1"/>
  <c r="S3" i="38"/>
  <c r="K14" i="38" s="1"/>
  <c r="I31" i="35" s="1"/>
  <c r="R3" i="38"/>
  <c r="V14" i="38" s="1"/>
  <c r="T31" i="35" s="1"/>
  <c r="Q3" i="38"/>
  <c r="R14" i="38" s="1"/>
  <c r="P31" i="35" s="1"/>
  <c r="P3" i="38"/>
  <c r="P14" i="38" s="1"/>
  <c r="N31" i="35" s="1"/>
  <c r="M317" i="5" s="1"/>
  <c r="O3" i="38"/>
  <c r="S14" i="38" s="1"/>
  <c r="Q31" i="35" s="1"/>
  <c r="N3" i="38"/>
  <c r="U14" i="38" s="1"/>
  <c r="S31" i="35" s="1"/>
  <c r="M3" i="38"/>
  <c r="O14" i="38" s="1"/>
  <c r="M31" i="35" s="1"/>
  <c r="L3" i="38"/>
  <c r="M14" i="38" s="1"/>
  <c r="K31" i="35" s="1"/>
  <c r="K48" i="35" s="1"/>
  <c r="H63" i="16" s="1"/>
  <c r="K3" i="38"/>
  <c r="N14" i="38" s="1"/>
  <c r="L31" i="35" s="1"/>
  <c r="J3" i="38"/>
  <c r="L14" i="38" s="1"/>
  <c r="J31" i="35" s="1"/>
  <c r="I3" i="38"/>
  <c r="J14" i="38" s="1"/>
  <c r="H31" i="35" s="1"/>
  <c r="H48" i="35" s="1"/>
  <c r="H30" i="16" s="1"/>
  <c r="H3" i="38"/>
  <c r="I14" i="38" s="1"/>
  <c r="G31" i="35" s="1"/>
  <c r="G48" i="35" s="1"/>
  <c r="H19" i="16" s="1"/>
  <c r="AA2" i="38"/>
  <c r="Z2" i="38"/>
  <c r="Y2" i="38"/>
  <c r="X2" i="38"/>
  <c r="W2" i="38"/>
  <c r="V2" i="38"/>
  <c r="U2" i="38"/>
  <c r="T2" i="38"/>
  <c r="S2" i="38"/>
  <c r="R2" i="38"/>
  <c r="Q2" i="38"/>
  <c r="P2" i="38"/>
  <c r="O2" i="38"/>
  <c r="N2" i="38"/>
  <c r="M2" i="38"/>
  <c r="L2" i="38"/>
  <c r="K2" i="38"/>
  <c r="J2" i="38"/>
  <c r="I2" i="38"/>
  <c r="I11" i="38"/>
  <c r="J11" i="38" s="1"/>
  <c r="K11" i="38" s="1"/>
  <c r="L11" i="38" s="1"/>
  <c r="M11" i="38" s="1"/>
  <c r="N11" i="38" s="1"/>
  <c r="O11" i="38" s="1"/>
  <c r="P11" i="38" s="1"/>
  <c r="Q11" i="38" s="1"/>
  <c r="R11" i="38" s="1"/>
  <c r="S11" i="38" s="1"/>
  <c r="T11" i="38" s="1"/>
  <c r="U11" i="38" s="1"/>
  <c r="V11" i="38" s="1"/>
  <c r="W11" i="38" s="1"/>
  <c r="X11" i="38" s="1"/>
  <c r="Y11" i="38" s="1"/>
  <c r="Z11" i="38" s="1"/>
  <c r="AA11" i="38" s="1"/>
  <c r="AB11" i="38" s="1"/>
  <c r="AC11" i="38" s="1"/>
  <c r="AD11" i="38" s="1"/>
  <c r="AE11" i="38" s="1"/>
  <c r="AF11" i="38" s="1"/>
  <c r="AG11" i="38" s="1"/>
  <c r="AH11" i="38" s="1"/>
  <c r="AF29" i="35"/>
  <c r="AF45" i="35" s="1"/>
  <c r="G281" i="16" s="1"/>
  <c r="AE29" i="35"/>
  <c r="AD380" i="5" s="1"/>
  <c r="AD393" i="5" s="1"/>
  <c r="AD29" i="35"/>
  <c r="AC29" i="35"/>
  <c r="AB380" i="5" s="1"/>
  <c r="AB393" i="5" s="1"/>
  <c r="AB29" i="35"/>
  <c r="AB45" i="35" s="1"/>
  <c r="G237" i="16" s="1"/>
  <c r="AA29" i="35"/>
  <c r="Z380" i="5" s="1"/>
  <c r="Z393" i="5" s="1"/>
  <c r="Z29" i="35"/>
  <c r="Z45" i="35" s="1"/>
  <c r="G215" i="16" s="1"/>
  <c r="Y29" i="35"/>
  <c r="X380" i="5" s="1"/>
  <c r="X393" i="5" s="1"/>
  <c r="W29" i="35"/>
  <c r="V380" i="5" s="1"/>
  <c r="V393" i="5" s="1"/>
  <c r="V29" i="35"/>
  <c r="U380" i="5" s="1"/>
  <c r="U393" i="5" s="1"/>
  <c r="U29" i="35"/>
  <c r="T380" i="5" s="1"/>
  <c r="T29" i="35"/>
  <c r="T45" i="35" s="1"/>
  <c r="G160" i="16" s="1"/>
  <c r="S29" i="35"/>
  <c r="S45" i="35" s="1"/>
  <c r="G149" i="16" s="1"/>
  <c r="R29" i="35"/>
  <c r="Q380" i="5" s="1"/>
  <c r="Q29" i="35"/>
  <c r="P29" i="35"/>
  <c r="P45" i="35" s="1"/>
  <c r="G116" i="16" s="1"/>
  <c r="O29" i="35"/>
  <c r="O45" i="35" s="1"/>
  <c r="G105" i="16" s="1"/>
  <c r="N29" i="35"/>
  <c r="N45" i="35" s="1"/>
  <c r="G94" i="16" s="1"/>
  <c r="M29" i="35"/>
  <c r="M45" i="35" s="1"/>
  <c r="G83" i="16" s="1"/>
  <c r="L29" i="35"/>
  <c r="L45" i="35" s="1"/>
  <c r="G72" i="16" s="1"/>
  <c r="K29" i="35"/>
  <c r="J380" i="5" s="1"/>
  <c r="J393" i="5" s="1"/>
  <c r="J29" i="35"/>
  <c r="J45" i="35" s="1"/>
  <c r="G50" i="16" s="1"/>
  <c r="H29" i="35"/>
  <c r="G29" i="35"/>
  <c r="G45" i="35" s="1"/>
  <c r="G17" i="16" s="1"/>
  <c r="F29" i="35"/>
  <c r="AU22" i="32"/>
  <c r="V1928" i="32"/>
  <c r="BD36" i="32" s="1"/>
  <c r="V1927" i="32"/>
  <c r="BD35" i="32"/>
  <c r="V1926" i="32"/>
  <c r="BD34" i="32" s="1"/>
  <c r="V1925" i="32"/>
  <c r="BD33" i="32" s="1"/>
  <c r="V1924" i="32"/>
  <c r="BD32" i="32" s="1"/>
  <c r="V1923" i="32"/>
  <c r="BD31" i="32" s="1"/>
  <c r="V1922" i="32"/>
  <c r="BD30" i="32" s="1"/>
  <c r="V1921" i="32"/>
  <c r="BD29" i="32" s="1"/>
  <c r="V1920" i="32"/>
  <c r="BD28" i="32" s="1"/>
  <c r="V1919" i="32"/>
  <c r="BD27" i="32" s="1"/>
  <c r="V1918" i="32"/>
  <c r="BD26" i="32" s="1"/>
  <c r="V1917" i="32"/>
  <c r="BD25" i="32" s="1"/>
  <c r="V1916" i="32"/>
  <c r="BD24" i="32" s="1"/>
  <c r="V1915" i="32"/>
  <c r="BD23" i="32" s="1"/>
  <c r="V1914" i="32"/>
  <c r="BD22" i="32" s="1"/>
  <c r="V1913" i="32"/>
  <c r="BD21" i="32" s="1"/>
  <c r="V1912" i="32"/>
  <c r="BD20" i="32" s="1"/>
  <c r="V1911" i="32"/>
  <c r="BD19" i="32" s="1"/>
  <c r="V1858" i="32"/>
  <c r="BE36" i="32" s="1"/>
  <c r="V1857" i="32"/>
  <c r="BE35" i="32" s="1"/>
  <c r="V1856" i="32"/>
  <c r="BE34" i="32" s="1"/>
  <c r="V1855" i="32"/>
  <c r="BE33" i="32" s="1"/>
  <c r="V1854" i="32"/>
  <c r="BE32" i="32" s="1"/>
  <c r="V1853" i="32"/>
  <c r="BE31" i="32" s="1"/>
  <c r="V1852" i="32"/>
  <c r="BE30" i="32" s="1"/>
  <c r="V1851" i="32"/>
  <c r="BE29" i="32" s="1"/>
  <c r="V1850" i="32"/>
  <c r="BE28" i="32" s="1"/>
  <c r="V1849" i="32"/>
  <c r="BE27" i="32" s="1"/>
  <c r="V1848" i="32"/>
  <c r="BE26" i="32" s="1"/>
  <c r="V1847" i="32"/>
  <c r="BE25" i="32" s="1"/>
  <c r="V1846" i="32"/>
  <c r="BE24" i="32" s="1"/>
  <c r="V1845" i="32"/>
  <c r="BE23" i="32" s="1"/>
  <c r="V1844" i="32"/>
  <c r="BE22" i="32" s="1"/>
  <c r="V1843" i="32"/>
  <c r="BE21" i="32" s="1"/>
  <c r="V1842" i="32"/>
  <c r="BE20" i="32" s="1"/>
  <c r="V1841" i="32"/>
  <c r="BE19" i="32" s="1"/>
  <c r="V1788" i="32"/>
  <c r="BB36" i="32" s="1"/>
  <c r="V1787" i="32"/>
  <c r="BB35" i="32" s="1"/>
  <c r="V1786" i="32"/>
  <c r="BB34" i="32" s="1"/>
  <c r="V1785" i="32"/>
  <c r="BB33" i="32"/>
  <c r="V1784" i="32"/>
  <c r="BB32" i="32" s="1"/>
  <c r="V1783" i="32"/>
  <c r="BB31" i="32" s="1"/>
  <c r="V1782" i="32"/>
  <c r="BB30" i="32" s="1"/>
  <c r="V1781" i="32"/>
  <c r="BB29" i="32" s="1"/>
  <c r="V1780" i="32"/>
  <c r="BB28" i="32" s="1"/>
  <c r="V1779" i="32"/>
  <c r="BB27" i="32" s="1"/>
  <c r="V1778" i="32"/>
  <c r="BB26" i="32" s="1"/>
  <c r="V1777" i="32"/>
  <c r="BB25" i="32" s="1"/>
  <c r="V1776" i="32"/>
  <c r="BB24" i="32" s="1"/>
  <c r="V1775" i="32"/>
  <c r="BB23" i="32" s="1"/>
  <c r="V1774" i="32"/>
  <c r="BB22" i="32" s="1"/>
  <c r="V1773" i="32"/>
  <c r="BB21" i="32" s="1"/>
  <c r="V1772" i="32"/>
  <c r="BB20" i="32" s="1"/>
  <c r="V1771" i="32"/>
  <c r="BB19" i="32" s="1"/>
  <c r="V1718" i="32"/>
  <c r="AZ36" i="32" s="1"/>
  <c r="V1717" i="32"/>
  <c r="AZ35" i="32" s="1"/>
  <c r="V1716" i="32"/>
  <c r="AZ34" i="32" s="1"/>
  <c r="V1715" i="32"/>
  <c r="AZ33" i="32" s="1"/>
  <c r="V1714" i="32"/>
  <c r="AZ32" i="32" s="1"/>
  <c r="V1713" i="32"/>
  <c r="AZ31" i="32" s="1"/>
  <c r="V1712" i="32"/>
  <c r="AZ30" i="32" s="1"/>
  <c r="V1711" i="32"/>
  <c r="AZ29" i="32"/>
  <c r="V1710" i="32"/>
  <c r="AZ28" i="32" s="1"/>
  <c r="V1709" i="32"/>
  <c r="AZ27" i="32" s="1"/>
  <c r="V1708" i="32"/>
  <c r="AZ26" i="32" s="1"/>
  <c r="V1707" i="32"/>
  <c r="AZ25" i="32" s="1"/>
  <c r="V1706" i="32"/>
  <c r="AZ24" i="32" s="1"/>
  <c r="V1705" i="32"/>
  <c r="AZ23" i="32" s="1"/>
  <c r="V1704" i="32"/>
  <c r="AZ22" i="32" s="1"/>
  <c r="V1703" i="32"/>
  <c r="AZ21" i="32" s="1"/>
  <c r="V1702" i="32"/>
  <c r="AZ20" i="32" s="1"/>
  <c r="V1701" i="32"/>
  <c r="AZ19" i="32" s="1"/>
  <c r="V1648" i="32"/>
  <c r="AU36" i="32" s="1"/>
  <c r="V1647" i="32"/>
  <c r="AU35" i="32" s="1"/>
  <c r="V1646" i="32"/>
  <c r="AU34" i="32" s="1"/>
  <c r="V1645" i="32"/>
  <c r="AU33" i="32" s="1"/>
  <c r="V1644" i="32"/>
  <c r="AU32" i="32" s="1"/>
  <c r="V1643" i="32"/>
  <c r="AU31" i="32" s="1"/>
  <c r="V1642" i="32"/>
  <c r="AU30" i="32" s="1"/>
  <c r="V1641" i="32"/>
  <c r="AU29" i="32" s="1"/>
  <c r="V1640" i="32"/>
  <c r="AU28" i="32" s="1"/>
  <c r="V1639" i="32"/>
  <c r="AU27" i="32" s="1"/>
  <c r="V1638" i="32"/>
  <c r="AU26" i="32" s="1"/>
  <c r="V1637" i="32"/>
  <c r="AU25" i="32" s="1"/>
  <c r="V1636" i="32"/>
  <c r="AU24" i="32" s="1"/>
  <c r="V1635" i="32"/>
  <c r="AU23" i="32" s="1"/>
  <c r="V1634" i="32"/>
  <c r="V1633" i="32"/>
  <c r="AU21" i="32" s="1"/>
  <c r="V1632" i="32"/>
  <c r="AU20" i="32" s="1"/>
  <c r="V1631" i="32"/>
  <c r="AU19" i="32" s="1"/>
  <c r="V1578" i="32"/>
  <c r="AW36" i="32" s="1"/>
  <c r="V1577" i="32"/>
  <c r="AW35" i="32" s="1"/>
  <c r="V1576" i="32"/>
  <c r="AW34" i="32" s="1"/>
  <c r="V1575" i="32"/>
  <c r="AW33" i="32" s="1"/>
  <c r="V1574" i="32"/>
  <c r="AW32" i="32" s="1"/>
  <c r="V1573" i="32"/>
  <c r="AW31" i="32"/>
  <c r="V1572" i="32"/>
  <c r="AW30" i="32" s="1"/>
  <c r="V1571" i="32"/>
  <c r="AW29" i="32" s="1"/>
  <c r="V1570" i="32"/>
  <c r="AW28" i="32" s="1"/>
  <c r="V1569" i="32"/>
  <c r="AW27" i="32" s="1"/>
  <c r="V1568" i="32"/>
  <c r="AW26" i="32" s="1"/>
  <c r="V1567" i="32"/>
  <c r="AW25" i="32" s="1"/>
  <c r="V1566" i="32"/>
  <c r="AW24" i="32" s="1"/>
  <c r="V1565" i="32"/>
  <c r="AW23" i="32" s="1"/>
  <c r="V1564" i="32"/>
  <c r="AW22" i="32" s="1"/>
  <c r="V1563" i="32"/>
  <c r="AW21" i="32" s="1"/>
  <c r="V1562" i="32"/>
  <c r="AW20" i="32" s="1"/>
  <c r="V1561" i="32"/>
  <c r="AW19" i="32" s="1"/>
  <c r="V1508" i="32"/>
  <c r="AR36" i="32" s="1"/>
  <c r="V1507" i="32"/>
  <c r="AR35" i="32" s="1"/>
  <c r="V1506" i="32"/>
  <c r="AR34" i="32" s="1"/>
  <c r="V1505" i="32"/>
  <c r="AR33" i="32" s="1"/>
  <c r="V1504" i="32"/>
  <c r="AR32" i="32" s="1"/>
  <c r="V1503" i="32"/>
  <c r="AR31" i="32" s="1"/>
  <c r="V1502" i="32"/>
  <c r="AR30" i="32" s="1"/>
  <c r="V1501" i="32"/>
  <c r="AR29" i="32" s="1"/>
  <c r="V1500" i="32"/>
  <c r="AR28" i="32" s="1"/>
  <c r="V1499" i="32"/>
  <c r="AR27" i="32" s="1"/>
  <c r="V1498" i="32"/>
  <c r="AR26" i="32" s="1"/>
  <c r="V1497" i="32"/>
  <c r="AR25" i="32" s="1"/>
  <c r="V1496" i="32"/>
  <c r="AR24" i="32" s="1"/>
  <c r="V1495" i="32"/>
  <c r="AR23" i="32" s="1"/>
  <c r="V1494" i="32"/>
  <c r="AR22" i="32" s="1"/>
  <c r="V1493" i="32"/>
  <c r="AR21" i="32" s="1"/>
  <c r="V1492" i="32"/>
  <c r="AR20" i="32" s="1"/>
  <c r="V1491" i="32"/>
  <c r="AR19" i="32" s="1"/>
  <c r="V1438" i="32"/>
  <c r="AM36" i="32" s="1"/>
  <c r="V1437" i="32"/>
  <c r="AM35" i="32" s="1"/>
  <c r="V1436" i="32"/>
  <c r="AM34" i="32" s="1"/>
  <c r="V1435" i="32"/>
  <c r="AM33" i="32"/>
  <c r="V1434" i="32"/>
  <c r="AM32" i="32" s="1"/>
  <c r="V1433" i="32"/>
  <c r="AM31" i="32" s="1"/>
  <c r="V1432" i="32"/>
  <c r="AM30" i="32" s="1"/>
  <c r="V1431" i="32"/>
  <c r="AM29" i="32" s="1"/>
  <c r="V1430" i="32"/>
  <c r="AM28" i="32" s="1"/>
  <c r="V1429" i="32"/>
  <c r="AM27" i="32" s="1"/>
  <c r="V1428" i="32"/>
  <c r="AM26" i="32" s="1"/>
  <c r="V1427" i="32"/>
  <c r="AM25" i="32" s="1"/>
  <c r="V1426" i="32"/>
  <c r="AM24" i="32" s="1"/>
  <c r="V1425" i="32"/>
  <c r="AM23" i="32" s="1"/>
  <c r="V1424" i="32"/>
  <c r="AM22" i="32" s="1"/>
  <c r="V1423" i="32"/>
  <c r="AM21" i="32" s="1"/>
  <c r="V1422" i="32"/>
  <c r="AM20" i="32" s="1"/>
  <c r="V1421" i="32"/>
  <c r="AM19" i="32" s="1"/>
  <c r="V1368" i="32"/>
  <c r="AJ36" i="32" s="1"/>
  <c r="V1367" i="32"/>
  <c r="AJ35" i="32" s="1"/>
  <c r="V1366" i="32"/>
  <c r="AJ34" i="32" s="1"/>
  <c r="V1365" i="32"/>
  <c r="AJ33" i="32" s="1"/>
  <c r="V1364" i="32"/>
  <c r="AJ32" i="32" s="1"/>
  <c r="V1363" i="32"/>
  <c r="AJ31" i="32" s="1"/>
  <c r="V1362" i="32"/>
  <c r="AJ30" i="32" s="1"/>
  <c r="V1361" i="32"/>
  <c r="AJ29" i="32" s="1"/>
  <c r="V1360" i="32"/>
  <c r="AJ28" i="32" s="1"/>
  <c r="V1359" i="32"/>
  <c r="AJ27" i="32" s="1"/>
  <c r="V1358" i="32"/>
  <c r="AJ26" i="32" s="1"/>
  <c r="V1357" i="32"/>
  <c r="AJ25" i="32"/>
  <c r="V1356" i="32"/>
  <c r="AJ24" i="32" s="1"/>
  <c r="V1355" i="32"/>
  <c r="AJ23" i="32" s="1"/>
  <c r="V1354" i="32"/>
  <c r="AJ22" i="32" s="1"/>
  <c r="V1353" i="32"/>
  <c r="AJ21" i="32" s="1"/>
  <c r="V1352" i="32"/>
  <c r="AJ20" i="32" s="1"/>
  <c r="V1351" i="32"/>
  <c r="AJ19" i="32" s="1"/>
  <c r="V1298" i="32"/>
  <c r="AH36" i="32" s="1"/>
  <c r="V1297" i="32"/>
  <c r="AH35" i="32" s="1"/>
  <c r="V1296" i="32"/>
  <c r="AH34" i="32" s="1"/>
  <c r="V1295" i="32"/>
  <c r="AH33" i="32" s="1"/>
  <c r="V1294" i="32"/>
  <c r="AH32" i="32" s="1"/>
  <c r="V1293" i="32"/>
  <c r="AH31" i="32" s="1"/>
  <c r="V1292" i="32"/>
  <c r="AH30" i="32" s="1"/>
  <c r="V1291" i="32"/>
  <c r="AH29" i="32" s="1"/>
  <c r="V1290" i="32"/>
  <c r="AH28" i="32" s="1"/>
  <c r="V1289" i="32"/>
  <c r="AH27" i="32"/>
  <c r="V1288" i="32"/>
  <c r="AH26" i="32" s="1"/>
  <c r="V1287" i="32"/>
  <c r="AH25" i="32" s="1"/>
  <c r="V1286" i="32"/>
  <c r="AH24" i="32" s="1"/>
  <c r="V1285" i="32"/>
  <c r="AH23" i="32" s="1"/>
  <c r="V1284" i="32"/>
  <c r="AH22" i="32" s="1"/>
  <c r="V1283" i="32"/>
  <c r="AH21" i="32" s="1"/>
  <c r="V1282" i="32"/>
  <c r="AH20" i="32" s="1"/>
  <c r="V1281" i="32"/>
  <c r="AH19" i="32" s="1"/>
  <c r="V1227" i="32"/>
  <c r="BH36" i="32" s="1"/>
  <c r="V1226" i="32"/>
  <c r="BH35" i="32" s="1"/>
  <c r="V1225" i="32"/>
  <c r="BH34" i="32" s="1"/>
  <c r="V1224" i="32"/>
  <c r="BH33" i="32" s="1"/>
  <c r="V1223" i="32"/>
  <c r="BH32" i="32" s="1"/>
  <c r="V1222" i="32"/>
  <c r="BH31" i="32" s="1"/>
  <c r="V1221" i="32"/>
  <c r="BH30" i="32" s="1"/>
  <c r="V1220" i="32"/>
  <c r="BH29" i="32" s="1"/>
  <c r="V1219" i="32"/>
  <c r="BH28" i="32" s="1"/>
  <c r="V1218" i="32"/>
  <c r="BH27" i="32" s="1"/>
  <c r="V1217" i="32"/>
  <c r="BH26" i="32" s="1"/>
  <c r="V1216" i="32"/>
  <c r="BH25" i="32" s="1"/>
  <c r="V1215" i="32"/>
  <c r="BH24" i="32" s="1"/>
  <c r="V1214" i="32"/>
  <c r="BH23" i="32" s="1"/>
  <c r="V1213" i="32"/>
  <c r="BH22" i="32" s="1"/>
  <c r="V1212" i="32"/>
  <c r="BH21" i="32" s="1"/>
  <c r="V1211" i="32"/>
  <c r="BH20" i="32" s="1"/>
  <c r="V1210" i="32"/>
  <c r="BH19" i="32" s="1"/>
  <c r="V1157" i="32"/>
  <c r="BI36" i="32" s="1"/>
  <c r="V1156" i="32"/>
  <c r="BI35" i="32" s="1"/>
  <c r="V1155" i="32"/>
  <c r="BI34" i="32" s="1"/>
  <c r="V1154" i="32"/>
  <c r="BI33" i="32" s="1"/>
  <c r="V1153" i="32"/>
  <c r="BI32" i="32" s="1"/>
  <c r="V1152" i="32"/>
  <c r="BI31" i="32" s="1"/>
  <c r="V1151" i="32"/>
  <c r="BI30" i="32" s="1"/>
  <c r="V1150" i="32"/>
  <c r="BI29" i="32" s="1"/>
  <c r="V1149" i="32"/>
  <c r="BI28" i="32" s="1"/>
  <c r="V1148" i="32"/>
  <c r="BI27" i="32" s="1"/>
  <c r="V1147" i="32"/>
  <c r="BI26" i="32" s="1"/>
  <c r="V1146" i="32"/>
  <c r="BI25" i="32" s="1"/>
  <c r="V1145" i="32"/>
  <c r="BI24" i="32" s="1"/>
  <c r="V1144" i="32"/>
  <c r="BI23" i="32" s="1"/>
  <c r="V1143" i="32"/>
  <c r="BI22" i="32" s="1"/>
  <c r="V1142" i="32"/>
  <c r="BI21" i="32" s="1"/>
  <c r="V1141" i="32"/>
  <c r="BI20" i="32" s="1"/>
  <c r="V1140" i="32"/>
  <c r="BI19" i="32" s="1"/>
  <c r="V1017" i="32"/>
  <c r="BF36" i="32" s="1"/>
  <c r="V1016" i="32"/>
  <c r="BF35" i="32" s="1"/>
  <c r="V1015" i="32"/>
  <c r="BF34" i="32" s="1"/>
  <c r="V1014" i="32"/>
  <c r="BF33" i="32" s="1"/>
  <c r="V1013" i="32"/>
  <c r="BF32" i="32" s="1"/>
  <c r="V1012" i="32"/>
  <c r="BF31" i="32"/>
  <c r="V1011" i="32"/>
  <c r="BF30" i="32" s="1"/>
  <c r="V1010" i="32"/>
  <c r="BF29" i="32" s="1"/>
  <c r="V1009" i="32"/>
  <c r="BF28" i="32" s="1"/>
  <c r="V1008" i="32"/>
  <c r="BF27" i="32" s="1"/>
  <c r="V1007" i="32"/>
  <c r="BF26" i="32" s="1"/>
  <c r="V1006" i="32"/>
  <c r="BF25" i="32" s="1"/>
  <c r="V1005" i="32"/>
  <c r="BF24" i="32" s="1"/>
  <c r="V1004" i="32"/>
  <c r="BF23" i="32" s="1"/>
  <c r="V1003" i="32"/>
  <c r="BF22" i="32" s="1"/>
  <c r="V1002" i="32"/>
  <c r="BF21" i="32" s="1"/>
  <c r="V1001" i="32"/>
  <c r="BF20" i="32" s="1"/>
  <c r="V1000" i="32"/>
  <c r="BF19" i="32" s="1"/>
  <c r="V947" i="32"/>
  <c r="BC36" i="32" s="1"/>
  <c r="V946" i="32"/>
  <c r="BC35" i="32" s="1"/>
  <c r="V945" i="32"/>
  <c r="BC34" i="32" s="1"/>
  <c r="V944" i="32"/>
  <c r="BC33" i="32" s="1"/>
  <c r="V943" i="32"/>
  <c r="BC32" i="32" s="1"/>
  <c r="V942" i="32"/>
  <c r="BC31" i="32" s="1"/>
  <c r="V941" i="32"/>
  <c r="BC30" i="32" s="1"/>
  <c r="V940" i="32"/>
  <c r="BC29" i="32" s="1"/>
  <c r="V939" i="32"/>
  <c r="BC28" i="32" s="1"/>
  <c r="V938" i="32"/>
  <c r="BC27" i="32" s="1"/>
  <c r="V937" i="32"/>
  <c r="BC26" i="32" s="1"/>
  <c r="V936" i="32"/>
  <c r="BC25" i="32" s="1"/>
  <c r="V935" i="32"/>
  <c r="BC24" i="32" s="1"/>
  <c r="V934" i="32"/>
  <c r="BC23" i="32" s="1"/>
  <c r="V933" i="32"/>
  <c r="BC22" i="32" s="1"/>
  <c r="V932" i="32"/>
  <c r="BC21" i="32" s="1"/>
  <c r="V931" i="32"/>
  <c r="BC20" i="32" s="1"/>
  <c r="V930" i="32"/>
  <c r="BC19" i="32" s="1"/>
  <c r="V877" i="32"/>
  <c r="AO36" i="32" s="1"/>
  <c r="V876" i="32"/>
  <c r="AO35" i="32" s="1"/>
  <c r="V875" i="32"/>
  <c r="AO34" i="32" s="1"/>
  <c r="V874" i="32"/>
  <c r="AO33" i="32" s="1"/>
  <c r="V873" i="32"/>
  <c r="AO32" i="32" s="1"/>
  <c r="V872" i="32"/>
  <c r="AO31" i="32" s="1"/>
  <c r="V871" i="32"/>
  <c r="AO30" i="32" s="1"/>
  <c r="V870" i="32"/>
  <c r="AO29" i="32" s="1"/>
  <c r="V869" i="32"/>
  <c r="AO28" i="32" s="1"/>
  <c r="V868" i="32"/>
  <c r="AO27" i="32" s="1"/>
  <c r="V867" i="32"/>
  <c r="AO26" i="32" s="1"/>
  <c r="V866" i="32"/>
  <c r="AO25" i="32" s="1"/>
  <c r="V865" i="32"/>
  <c r="AO24" i="32" s="1"/>
  <c r="V864" i="32"/>
  <c r="AO23" i="32" s="1"/>
  <c r="V863" i="32"/>
  <c r="AO22" i="32" s="1"/>
  <c r="V862" i="32"/>
  <c r="AO21" i="32" s="1"/>
  <c r="V861" i="32"/>
  <c r="AO20" i="32" s="1"/>
  <c r="V860" i="32"/>
  <c r="AO19" i="32" s="1"/>
  <c r="V807" i="32"/>
  <c r="BA36" i="32" s="1"/>
  <c r="V806" i="32"/>
  <c r="BA35" i="32" s="1"/>
  <c r="V805" i="32"/>
  <c r="BA34" i="32" s="1"/>
  <c r="V804" i="32"/>
  <c r="BA33" i="32" s="1"/>
  <c r="V803" i="32"/>
  <c r="BA32" i="32" s="1"/>
  <c r="V802" i="32"/>
  <c r="BA31" i="32" s="1"/>
  <c r="V801" i="32"/>
  <c r="BA30" i="32" s="1"/>
  <c r="V800" i="32"/>
  <c r="BA29" i="32" s="1"/>
  <c r="V799" i="32"/>
  <c r="BA28" i="32" s="1"/>
  <c r="V798" i="32"/>
  <c r="BA27" i="32" s="1"/>
  <c r="V797" i="32"/>
  <c r="BA26" i="32" s="1"/>
  <c r="V796" i="32"/>
  <c r="BA25" i="32" s="1"/>
  <c r="V795" i="32"/>
  <c r="BA24" i="32" s="1"/>
  <c r="V794" i="32"/>
  <c r="BA23" i="32" s="1"/>
  <c r="V793" i="32"/>
  <c r="BA22" i="32" s="1"/>
  <c r="V792" i="32"/>
  <c r="BA21" i="32" s="1"/>
  <c r="V791" i="32"/>
  <c r="BA20" i="32" s="1"/>
  <c r="V790" i="32"/>
  <c r="BA19" i="32" s="1"/>
  <c r="V737" i="32"/>
  <c r="AF36" i="32" s="1"/>
  <c r="V736" i="32"/>
  <c r="AF35" i="32"/>
  <c r="V735" i="32"/>
  <c r="AF34" i="32" s="1"/>
  <c r="V734" i="32"/>
  <c r="AF33" i="32" s="1"/>
  <c r="V733" i="32"/>
  <c r="AF32" i="32" s="1"/>
  <c r="V732" i="32"/>
  <c r="AF31" i="32" s="1"/>
  <c r="V731" i="32"/>
  <c r="AF30" i="32" s="1"/>
  <c r="V730" i="32"/>
  <c r="AF29" i="32" s="1"/>
  <c r="V729" i="32"/>
  <c r="AF28" i="32" s="1"/>
  <c r="V728" i="32"/>
  <c r="AF27" i="32" s="1"/>
  <c r="V727" i="32"/>
  <c r="AF26" i="32" s="1"/>
  <c r="V726" i="32"/>
  <c r="AF25" i="32" s="1"/>
  <c r="V725" i="32"/>
  <c r="AF24" i="32" s="1"/>
  <c r="V724" i="32"/>
  <c r="AF23" i="32" s="1"/>
  <c r="V723" i="32"/>
  <c r="AF22" i="32" s="1"/>
  <c r="V722" i="32"/>
  <c r="AF21" i="32" s="1"/>
  <c r="V721" i="32"/>
  <c r="AF20" i="32" s="1"/>
  <c r="V720" i="32"/>
  <c r="AF19" i="32"/>
  <c r="V667" i="32"/>
  <c r="AY36" i="32" s="1"/>
  <c r="V666" i="32"/>
  <c r="AY35" i="32" s="1"/>
  <c r="V665" i="32"/>
  <c r="AY34" i="32"/>
  <c r="V664" i="32"/>
  <c r="AY33" i="32"/>
  <c r="V663" i="32"/>
  <c r="AY32" i="32" s="1"/>
  <c r="V662" i="32"/>
  <c r="AY31" i="32" s="1"/>
  <c r="V661" i="32"/>
  <c r="AY30" i="32"/>
  <c r="V660" i="32"/>
  <c r="AY29" i="32"/>
  <c r="V659" i="32"/>
  <c r="AY28" i="32" s="1"/>
  <c r="V658" i="32"/>
  <c r="AY27" i="32" s="1"/>
  <c r="V657" i="32"/>
  <c r="AY26" i="32"/>
  <c r="V656" i="32"/>
  <c r="AY25" i="32"/>
  <c r="V655" i="32"/>
  <c r="AY24" i="32" s="1"/>
  <c r="V654" i="32"/>
  <c r="AY23" i="32" s="1"/>
  <c r="V653" i="32"/>
  <c r="AY22" i="32"/>
  <c r="V652" i="32"/>
  <c r="AY21" i="32"/>
  <c r="V651" i="32"/>
  <c r="AY20" i="32" s="1"/>
  <c r="V650" i="32"/>
  <c r="AY19" i="32" s="1"/>
  <c r="V597" i="32"/>
  <c r="AV36" i="32"/>
  <c r="V596" i="32"/>
  <c r="AV35" i="32"/>
  <c r="V595" i="32"/>
  <c r="AV34" i="32" s="1"/>
  <c r="V594" i="32"/>
  <c r="AV33" i="32" s="1"/>
  <c r="V593" i="32"/>
  <c r="AV32" i="32"/>
  <c r="V592" i="32"/>
  <c r="AV31" i="32"/>
  <c r="V591" i="32"/>
  <c r="AV30" i="32" s="1"/>
  <c r="V590" i="32"/>
  <c r="AV29" i="32" s="1"/>
  <c r="V589" i="32"/>
  <c r="AV28" i="32"/>
  <c r="V588" i="32"/>
  <c r="AV27" i="32"/>
  <c r="V587" i="32"/>
  <c r="AV26" i="32" s="1"/>
  <c r="V586" i="32"/>
  <c r="AV25" i="32" s="1"/>
  <c r="V585" i="32"/>
  <c r="AV24" i="32"/>
  <c r="V584" i="32"/>
  <c r="AV23" i="32"/>
  <c r="V583" i="32"/>
  <c r="AV22" i="32" s="1"/>
  <c r="V582" i="32"/>
  <c r="AV21" i="32" s="1"/>
  <c r="V581" i="32"/>
  <c r="AV20" i="32"/>
  <c r="V580" i="32"/>
  <c r="AV19" i="32"/>
  <c r="V527" i="32"/>
  <c r="AT36" i="32" s="1"/>
  <c r="V526" i="32"/>
  <c r="AT35" i="32" s="1"/>
  <c r="V525" i="32"/>
  <c r="AT34" i="32"/>
  <c r="V524" i="32"/>
  <c r="AT33" i="32"/>
  <c r="V523" i="32"/>
  <c r="AT32" i="32" s="1"/>
  <c r="V522" i="32"/>
  <c r="AT31" i="32" s="1"/>
  <c r="V521" i="32"/>
  <c r="AT30" i="32"/>
  <c r="V520" i="32"/>
  <c r="AT29" i="32"/>
  <c r="V519" i="32"/>
  <c r="AT28" i="32" s="1"/>
  <c r="V518" i="32"/>
  <c r="AT27" i="32" s="1"/>
  <c r="V517" i="32"/>
  <c r="AT26" i="32"/>
  <c r="V516" i="32"/>
  <c r="AT25" i="32"/>
  <c r="V515" i="32"/>
  <c r="AT24" i="32" s="1"/>
  <c r="V514" i="32"/>
  <c r="AT23" i="32" s="1"/>
  <c r="V513" i="32"/>
  <c r="AT22" i="32"/>
  <c r="V512" i="32"/>
  <c r="AT21" i="32"/>
  <c r="V511" i="32"/>
  <c r="AT20" i="32" s="1"/>
  <c r="V510" i="32"/>
  <c r="AT19" i="32" s="1"/>
  <c r="V457" i="32"/>
  <c r="AS36" i="32" s="1"/>
  <c r="V456" i="32"/>
  <c r="AS35" i="32" s="1"/>
  <c r="V455" i="32"/>
  <c r="AS34" i="32" s="1"/>
  <c r="V454" i="32"/>
  <c r="AS33" i="32" s="1"/>
  <c r="V453" i="32"/>
  <c r="AS32" i="32" s="1"/>
  <c r="V452" i="32"/>
  <c r="AS31" i="32" s="1"/>
  <c r="V451" i="32"/>
  <c r="AS30" i="32" s="1"/>
  <c r="V450" i="32"/>
  <c r="AS29" i="32"/>
  <c r="V449" i="32"/>
  <c r="AS28" i="32" s="1"/>
  <c r="V448" i="32"/>
  <c r="AS27" i="32" s="1"/>
  <c r="V447" i="32"/>
  <c r="AS26" i="32" s="1"/>
  <c r="V446" i="32"/>
  <c r="AS25" i="32" s="1"/>
  <c r="V445" i="32"/>
  <c r="AS24" i="32" s="1"/>
  <c r="V444" i="32"/>
  <c r="AS23" i="32" s="1"/>
  <c r="V443" i="32"/>
  <c r="AS22" i="32" s="1"/>
  <c r="V442" i="32"/>
  <c r="AS21" i="32"/>
  <c r="V441" i="32"/>
  <c r="AS20" i="32" s="1"/>
  <c r="V440" i="32"/>
  <c r="AS19" i="32" s="1"/>
  <c r="V387" i="32"/>
  <c r="AP36" i="32" s="1"/>
  <c r="V386" i="32"/>
  <c r="AP35" i="32" s="1"/>
  <c r="V385" i="32"/>
  <c r="AP34" i="32" s="1"/>
  <c r="V384" i="32"/>
  <c r="AP33" i="32" s="1"/>
  <c r="V383" i="32"/>
  <c r="AP32" i="32" s="1"/>
  <c r="V382" i="32"/>
  <c r="AP31" i="32" s="1"/>
  <c r="V381" i="32"/>
  <c r="AP30" i="32" s="1"/>
  <c r="V380" i="32"/>
  <c r="AP29" i="32" s="1"/>
  <c r="V379" i="32"/>
  <c r="AP28" i="32" s="1"/>
  <c r="V378" i="32"/>
  <c r="AP27" i="32" s="1"/>
  <c r="V377" i="32"/>
  <c r="AP26" i="32" s="1"/>
  <c r="V376" i="32"/>
  <c r="AP25" i="32" s="1"/>
  <c r="V375" i="32"/>
  <c r="AP24" i="32" s="1"/>
  <c r="V374" i="32"/>
  <c r="AP23" i="32" s="1"/>
  <c r="V373" i="32"/>
  <c r="AP22" i="32" s="1"/>
  <c r="V372" i="32"/>
  <c r="AP21" i="32" s="1"/>
  <c r="V371" i="32"/>
  <c r="AP20" i="32" s="1"/>
  <c r="V370" i="32"/>
  <c r="AP19" i="32" s="1"/>
  <c r="V317" i="32"/>
  <c r="AN36" i="32" s="1"/>
  <c r="V316" i="32"/>
  <c r="AN35" i="32" s="1"/>
  <c r="V315" i="32"/>
  <c r="AN34" i="32" s="1"/>
  <c r="V314" i="32"/>
  <c r="AN33" i="32" s="1"/>
  <c r="V313" i="32"/>
  <c r="AN32" i="32" s="1"/>
  <c r="V312" i="32"/>
  <c r="AN31" i="32" s="1"/>
  <c r="V311" i="32"/>
  <c r="AN30" i="32" s="1"/>
  <c r="V310" i="32"/>
  <c r="AN29" i="32" s="1"/>
  <c r="V309" i="32"/>
  <c r="AN28" i="32" s="1"/>
  <c r="V308" i="32"/>
  <c r="AN27" i="32" s="1"/>
  <c r="V307" i="32"/>
  <c r="AN26" i="32" s="1"/>
  <c r="V306" i="32"/>
  <c r="AN25" i="32" s="1"/>
  <c r="V305" i="32"/>
  <c r="AN24" i="32" s="1"/>
  <c r="V304" i="32"/>
  <c r="AN23" i="32" s="1"/>
  <c r="V303" i="32"/>
  <c r="AN22" i="32" s="1"/>
  <c r="V302" i="32"/>
  <c r="AN21" i="32" s="1"/>
  <c r="V301" i="32"/>
  <c r="AN20" i="32" s="1"/>
  <c r="V300" i="32"/>
  <c r="AN19" i="32" s="1"/>
  <c r="V247" i="32"/>
  <c r="AQ36" i="32" s="1"/>
  <c r="V246" i="32"/>
  <c r="AQ35" i="32" s="1"/>
  <c r="V245" i="32"/>
  <c r="AQ34" i="32" s="1"/>
  <c r="V244" i="32"/>
  <c r="AQ33" i="32" s="1"/>
  <c r="V243" i="32"/>
  <c r="AQ32" i="32" s="1"/>
  <c r="V242" i="32"/>
  <c r="AQ31" i="32" s="1"/>
  <c r="V241" i="32"/>
  <c r="AQ30" i="32" s="1"/>
  <c r="V240" i="32"/>
  <c r="AQ29" i="32" s="1"/>
  <c r="V239" i="32"/>
  <c r="AQ28" i="32" s="1"/>
  <c r="V238" i="32"/>
  <c r="AQ27" i="32" s="1"/>
  <c r="V237" i="32"/>
  <c r="AQ26" i="32" s="1"/>
  <c r="V236" i="32"/>
  <c r="AQ25" i="32" s="1"/>
  <c r="V235" i="32"/>
  <c r="AQ24" i="32" s="1"/>
  <c r="V234" i="32"/>
  <c r="AQ23" i="32" s="1"/>
  <c r="V233" i="32"/>
  <c r="AQ22" i="32" s="1"/>
  <c r="V232" i="32"/>
  <c r="AQ21" i="32" s="1"/>
  <c r="V231" i="32"/>
  <c r="AQ20" i="32" s="1"/>
  <c r="V230" i="32"/>
  <c r="AQ19" i="32" s="1"/>
  <c r="V177" i="32"/>
  <c r="AK36" i="32" s="1"/>
  <c r="V176" i="32"/>
  <c r="AK35" i="32" s="1"/>
  <c r="V175" i="32"/>
  <c r="AK34" i="32" s="1"/>
  <c r="V174" i="32"/>
  <c r="AK33" i="32" s="1"/>
  <c r="V173" i="32"/>
  <c r="AK32" i="32" s="1"/>
  <c r="V172" i="32"/>
  <c r="AK31" i="32" s="1"/>
  <c r="V171" i="32"/>
  <c r="AK30" i="32" s="1"/>
  <c r="V170" i="32"/>
  <c r="AK29" i="32" s="1"/>
  <c r="V169" i="32"/>
  <c r="AK28" i="32" s="1"/>
  <c r="V168" i="32"/>
  <c r="AK27" i="32" s="1"/>
  <c r="V167" i="32"/>
  <c r="AK26" i="32" s="1"/>
  <c r="V166" i="32"/>
  <c r="AK25" i="32" s="1"/>
  <c r="V165" i="32"/>
  <c r="AK24" i="32" s="1"/>
  <c r="V164" i="32"/>
  <c r="AK23" i="32" s="1"/>
  <c r="V163" i="32"/>
  <c r="AK22" i="32" s="1"/>
  <c r="V162" i="32"/>
  <c r="AK21" i="32" s="1"/>
  <c r="V161" i="32"/>
  <c r="AK20" i="32" s="1"/>
  <c r="V160" i="32"/>
  <c r="AK19" i="32" s="1"/>
  <c r="V37" i="32"/>
  <c r="AG36" i="32" s="1"/>
  <c r="V36" i="32"/>
  <c r="AG35" i="32"/>
  <c r="V35" i="32"/>
  <c r="AG34" i="32" s="1"/>
  <c r="V34" i="32"/>
  <c r="AG33" i="32" s="1"/>
  <c r="V33" i="32"/>
  <c r="AG32" i="32" s="1"/>
  <c r="V32" i="32"/>
  <c r="AG31" i="32" s="1"/>
  <c r="V31" i="32"/>
  <c r="AG30" i="32" s="1"/>
  <c r="V30" i="32"/>
  <c r="AG29" i="32" s="1"/>
  <c r="V29" i="32"/>
  <c r="AG28" i="32" s="1"/>
  <c r="V28" i="32"/>
  <c r="AG27" i="32" s="1"/>
  <c r="V27" i="32"/>
  <c r="AG26" i="32" s="1"/>
  <c r="V26" i="32"/>
  <c r="AG25" i="32" s="1"/>
  <c r="V25" i="32"/>
  <c r="AG24" i="32" s="1"/>
  <c r="V24" i="32"/>
  <c r="AG23" i="32" s="1"/>
  <c r="V23" i="32"/>
  <c r="AG22" i="32" s="1"/>
  <c r="V22" i="32"/>
  <c r="AG21" i="32" s="1"/>
  <c r="V21" i="32"/>
  <c r="AG20" i="32" s="1"/>
  <c r="V20" i="32"/>
  <c r="AG19" i="32" s="1"/>
  <c r="V91" i="32"/>
  <c r="AL20" i="32" s="1"/>
  <c r="V92" i="32"/>
  <c r="AL21" i="32" s="1"/>
  <c r="V93" i="32"/>
  <c r="AL22" i="32" s="1"/>
  <c r="V94" i="32"/>
  <c r="AL23" i="32" s="1"/>
  <c r="V95" i="32"/>
  <c r="AL24" i="32" s="1"/>
  <c r="V96" i="32"/>
  <c r="AL25" i="32" s="1"/>
  <c r="V97" i="32"/>
  <c r="AL26" i="32" s="1"/>
  <c r="V98" i="32"/>
  <c r="AL27" i="32" s="1"/>
  <c r="V99" i="32"/>
  <c r="AL28" i="32" s="1"/>
  <c r="V100" i="32"/>
  <c r="AL29" i="32" s="1"/>
  <c r="V101" i="32"/>
  <c r="AL30" i="32" s="1"/>
  <c r="V102" i="32"/>
  <c r="AL31" i="32" s="1"/>
  <c r="V103" i="32"/>
  <c r="AL32" i="32" s="1"/>
  <c r="V104" i="32"/>
  <c r="AL33" i="32" s="1"/>
  <c r="V105" i="32"/>
  <c r="AL34" i="32" s="1"/>
  <c r="V106" i="32"/>
  <c r="AL35" i="32" s="1"/>
  <c r="V107" i="32"/>
  <c r="AL36" i="32" s="1"/>
  <c r="V90" i="32"/>
  <c r="AL19" i="32" s="1"/>
  <c r="N68" i="14"/>
  <c r="J77" i="14"/>
  <c r="J76" i="14"/>
  <c r="J75" i="14"/>
  <c r="J74" i="14"/>
  <c r="J73" i="14"/>
  <c r="J72" i="14"/>
  <c r="J117" i="14" s="1"/>
  <c r="J71" i="14"/>
  <c r="J70" i="14"/>
  <c r="J69" i="14"/>
  <c r="J68" i="14"/>
  <c r="J67" i="14"/>
  <c r="E70" i="14"/>
  <c r="X283" i="7"/>
  <c r="X74" i="7"/>
  <c r="H68" i="5"/>
  <c r="W68" i="5"/>
  <c r="C68" i="5"/>
  <c r="H64" i="5"/>
  <c r="W64" i="5"/>
  <c r="H65" i="5"/>
  <c r="W65" i="5"/>
  <c r="H66" i="5"/>
  <c r="W66" i="5"/>
  <c r="H69" i="5"/>
  <c r="W69" i="5"/>
  <c r="C64" i="5"/>
  <c r="C65" i="5"/>
  <c r="C66" i="5"/>
  <c r="C69" i="5"/>
  <c r="S84" i="44"/>
  <c r="O84" i="44"/>
  <c r="K84" i="44"/>
  <c r="S73" i="44"/>
  <c r="O73" i="44"/>
  <c r="P73" i="44" s="1"/>
  <c r="K73" i="44"/>
  <c r="K85" i="44" s="1"/>
  <c r="T72" i="44"/>
  <c r="P72" i="44"/>
  <c r="T71" i="44"/>
  <c r="P71" i="44"/>
  <c r="T70" i="44"/>
  <c r="P70" i="44"/>
  <c r="T69" i="44"/>
  <c r="P69" i="44"/>
  <c r="T68" i="44"/>
  <c r="P68" i="44"/>
  <c r="P67" i="44"/>
  <c r="AM57" i="44"/>
  <c r="AL57" i="44"/>
  <c r="AK57" i="44"/>
  <c r="AJ57" i="44"/>
  <c r="AI57" i="44"/>
  <c r="AH57" i="44"/>
  <c r="AG57" i="44"/>
  <c r="AF57" i="44"/>
  <c r="AE57" i="44"/>
  <c r="AD57" i="44"/>
  <c r="AC57" i="44"/>
  <c r="AB57" i="44"/>
  <c r="AA57" i="44"/>
  <c r="Z57" i="44"/>
  <c r="Y57" i="44"/>
  <c r="X57" i="44"/>
  <c r="W57" i="44"/>
  <c r="V57" i="44"/>
  <c r="U57" i="44"/>
  <c r="T57" i="44"/>
  <c r="S57" i="44"/>
  <c r="R57" i="44"/>
  <c r="Q57" i="44"/>
  <c r="P57" i="44"/>
  <c r="M57" i="44"/>
  <c r="L57" i="44"/>
  <c r="K57" i="44"/>
  <c r="K58" i="44" s="1"/>
  <c r="I57" i="44"/>
  <c r="H57" i="44"/>
  <c r="G57" i="44"/>
  <c r="F57" i="44"/>
  <c r="F92" i="44"/>
  <c r="G99" i="44" s="1"/>
  <c r="G87" i="35" s="1"/>
  <c r="AM56" i="44"/>
  <c r="AM91" i="44" s="1"/>
  <c r="AL56" i="44"/>
  <c r="AL91" i="44" s="1"/>
  <c r="AK56" i="44"/>
  <c r="AK91" i="44" s="1"/>
  <c r="AJ56" i="44"/>
  <c r="AJ91" i="44" s="1"/>
  <c r="AG98" i="44" s="1"/>
  <c r="AG86" i="35" s="1"/>
  <c r="AI56" i="44"/>
  <c r="AI91" i="44" s="1"/>
  <c r="AI98" i="44" s="1"/>
  <c r="AI86" i="35" s="1"/>
  <c r="AH56" i="44"/>
  <c r="AH91" i="44" s="1"/>
  <c r="AH98" i="44" s="1"/>
  <c r="AH86" i="35" s="1"/>
  <c r="AG56" i="44"/>
  <c r="AG91" i="44" s="1"/>
  <c r="AF56" i="44"/>
  <c r="AF91" i="44" s="1"/>
  <c r="AF98" i="44" s="1"/>
  <c r="AF86" i="35" s="1"/>
  <c r="AE56" i="44"/>
  <c r="AE91" i="44" s="1"/>
  <c r="AC98" i="44" s="1"/>
  <c r="AC86" i="35" s="1"/>
  <c r="AB6" i="5" s="1"/>
  <c r="AD56" i="44"/>
  <c r="AD91" i="44" s="1"/>
  <c r="O98" i="44" s="1"/>
  <c r="O86" i="35" s="1"/>
  <c r="N6" i="5" s="1"/>
  <c r="AC56" i="44"/>
  <c r="AC91" i="44" s="1"/>
  <c r="AE98" i="44" s="1"/>
  <c r="AE86" i="35" s="1"/>
  <c r="AB56" i="44"/>
  <c r="AB91" i="44" s="1"/>
  <c r="AD98" i="44" s="1"/>
  <c r="AD86" i="35" s="1"/>
  <c r="AA56" i="44"/>
  <c r="AA91" i="44" s="1"/>
  <c r="AB98" i="44" s="1"/>
  <c r="AB86" i="35" s="1"/>
  <c r="AA6" i="5" s="1"/>
  <c r="Z56" i="44"/>
  <c r="Z91" i="44" s="1"/>
  <c r="AA98" i="44"/>
  <c r="AA86" i="35" s="1"/>
  <c r="Z6" i="5" s="1"/>
  <c r="Y56" i="44"/>
  <c r="Y91" i="44" s="1"/>
  <c r="Z98" i="44" s="1"/>
  <c r="Z86" i="35" s="1"/>
  <c r="Y6" i="5" s="1"/>
  <c r="X56" i="44"/>
  <c r="X91" i="44" s="1"/>
  <c r="F98" i="44" s="1"/>
  <c r="F86" i="35" s="1"/>
  <c r="W56" i="44"/>
  <c r="W91" i="44" s="1"/>
  <c r="Y98" i="44" s="1"/>
  <c r="Y86" i="35" s="1"/>
  <c r="X6" i="5" s="1"/>
  <c r="V56" i="44"/>
  <c r="V91" i="44" s="1"/>
  <c r="X98" i="44"/>
  <c r="X86" i="35" s="1"/>
  <c r="W6" i="5" s="1"/>
  <c r="U56" i="44"/>
  <c r="U91" i="44" s="1"/>
  <c r="R98" i="44" s="1"/>
  <c r="R86" i="35" s="1"/>
  <c r="T56" i="44"/>
  <c r="T91" i="44" s="1"/>
  <c r="V98" i="44" s="1"/>
  <c r="V86" i="35" s="1"/>
  <c r="S56" i="44"/>
  <c r="S91" i="44" s="1"/>
  <c r="U98" i="44" s="1"/>
  <c r="U86" i="35" s="1"/>
  <c r="T6" i="5" s="1"/>
  <c r="R56" i="44"/>
  <c r="R91" i="44" s="1"/>
  <c r="W98" i="44" s="1"/>
  <c r="W86" i="35" s="1"/>
  <c r="V6" i="5" s="1"/>
  <c r="Q56" i="44"/>
  <c r="Q91" i="44"/>
  <c r="I98" i="44" s="1"/>
  <c r="I86" i="35" s="1"/>
  <c r="P56" i="44"/>
  <c r="P91" i="44" s="1"/>
  <c r="T98" i="44" s="1"/>
  <c r="T86" i="35" s="1"/>
  <c r="O56" i="44"/>
  <c r="O91" i="44" s="1"/>
  <c r="P98" i="44" s="1"/>
  <c r="P86" i="35" s="1"/>
  <c r="O6" i="5" s="1"/>
  <c r="N56" i="44"/>
  <c r="N91" i="44" s="1"/>
  <c r="N98" i="44" s="1"/>
  <c r="N86" i="35" s="1"/>
  <c r="M6" i="5" s="1"/>
  <c r="M56" i="44"/>
  <c r="M91" i="44" s="1"/>
  <c r="Q98" i="44" s="1"/>
  <c r="Q86" i="35" s="1"/>
  <c r="L56" i="44"/>
  <c r="L91" i="44" s="1"/>
  <c r="S98" i="44" s="1"/>
  <c r="S86" i="35" s="1"/>
  <c r="R6" i="5" s="1"/>
  <c r="K56" i="44"/>
  <c r="K91" i="44" s="1"/>
  <c r="M98" i="44" s="1"/>
  <c r="M86" i="35" s="1"/>
  <c r="L6" i="5" s="1"/>
  <c r="J56" i="44"/>
  <c r="J91" i="44" s="1"/>
  <c r="K98" i="44" s="1"/>
  <c r="K86" i="35" s="1"/>
  <c r="J6" i="5" s="1"/>
  <c r="I56" i="44"/>
  <c r="I91" i="44" s="1"/>
  <c r="L98" i="44" s="1"/>
  <c r="L86" i="35" s="1"/>
  <c r="H56" i="44"/>
  <c r="H91" i="44" s="1"/>
  <c r="J98" i="44" s="1"/>
  <c r="J86" i="35" s="1"/>
  <c r="I6" i="5" s="1"/>
  <c r="G56" i="44"/>
  <c r="G91" i="44" s="1"/>
  <c r="H98" i="44" s="1"/>
  <c r="H86" i="35" s="1"/>
  <c r="F56" i="44"/>
  <c r="F91" i="44" s="1"/>
  <c r="G98" i="44" s="1"/>
  <c r="G86" i="35" s="1"/>
  <c r="F6" i="5" s="1"/>
  <c r="D56" i="44"/>
  <c r="O53" i="44"/>
  <c r="E46" i="44"/>
  <c r="E39" i="44"/>
  <c r="O34" i="44"/>
  <c r="O32" i="44"/>
  <c r="N31" i="44"/>
  <c r="N29" i="44"/>
  <c r="E26" i="44"/>
  <c r="E24" i="44"/>
  <c r="E21" i="44"/>
  <c r="E19" i="44"/>
  <c r="E17" i="44"/>
  <c r="E15" i="44"/>
  <c r="E13" i="44"/>
  <c r="AI97" i="40"/>
  <c r="AH97" i="40"/>
  <c r="AG97" i="40"/>
  <c r="AF97" i="40"/>
  <c r="AE97" i="40"/>
  <c r="AI21" i="35" s="1"/>
  <c r="AD97" i="40"/>
  <c r="AH21" i="35" s="1"/>
  <c r="AC97" i="40"/>
  <c r="AB97" i="40"/>
  <c r="AC21" i="35" s="1"/>
  <c r="Z97" i="40"/>
  <c r="AE21" i="35" s="1"/>
  <c r="Y97" i="40"/>
  <c r="AD21" i="35" s="1"/>
  <c r="X97" i="40"/>
  <c r="W97" i="40"/>
  <c r="AA21" i="35" s="1"/>
  <c r="V97" i="40"/>
  <c r="Z21" i="35" s="1"/>
  <c r="T97" i="40"/>
  <c r="Y21" i="35" s="1"/>
  <c r="S97" i="40"/>
  <c r="R97" i="40"/>
  <c r="R21" i="35" s="1"/>
  <c r="Q97" i="40"/>
  <c r="V21" i="35" s="1"/>
  <c r="P97" i="40"/>
  <c r="U21" i="35" s="1"/>
  <c r="O97" i="40"/>
  <c r="N97" i="40"/>
  <c r="M97" i="40"/>
  <c r="T21" i="35"/>
  <c r="L97" i="40"/>
  <c r="K97" i="40"/>
  <c r="N21" i="35" s="1"/>
  <c r="J97" i="40"/>
  <c r="I97" i="40"/>
  <c r="S21" i="35" s="1"/>
  <c r="H97" i="40"/>
  <c r="G97" i="40"/>
  <c r="K21" i="35" s="1"/>
  <c r="F97" i="40"/>
  <c r="L21" i="35" s="1"/>
  <c r="E97" i="40"/>
  <c r="D97" i="40"/>
  <c r="H21" i="35" s="1"/>
  <c r="C97" i="40"/>
  <c r="G21" i="35" s="1"/>
  <c r="B97" i="40"/>
  <c r="AF78" i="35"/>
  <c r="AE95" i="5" s="1"/>
  <c r="AE78" i="35"/>
  <c r="AD95" i="5" s="1"/>
  <c r="AD96" i="5" s="1"/>
  <c r="AD78" i="35"/>
  <c r="AC95" i="5" s="1"/>
  <c r="AC78" i="35"/>
  <c r="AB95" i="5" s="1"/>
  <c r="AB78" i="35"/>
  <c r="AA95" i="5" s="1"/>
  <c r="AA78" i="35"/>
  <c r="Z95" i="5" s="1"/>
  <c r="Z78" i="35"/>
  <c r="Y95" i="5" s="1"/>
  <c r="Y78" i="35"/>
  <c r="X95" i="5" s="1"/>
  <c r="X78" i="35"/>
  <c r="W95" i="5" s="1"/>
  <c r="W110" i="5" s="1"/>
  <c r="W78" i="35"/>
  <c r="V95" i="5" s="1"/>
  <c r="V78" i="35"/>
  <c r="U95" i="5" s="1"/>
  <c r="U78" i="35"/>
  <c r="T95" i="5" s="1"/>
  <c r="T78" i="35"/>
  <c r="S95" i="5" s="1"/>
  <c r="S78" i="35"/>
  <c r="R95" i="5" s="1"/>
  <c r="R78" i="35"/>
  <c r="Q95" i="5" s="1"/>
  <c r="Q78" i="35"/>
  <c r="P95" i="5" s="1"/>
  <c r="P78" i="35"/>
  <c r="O95" i="5" s="1"/>
  <c r="O78" i="35"/>
  <c r="N95" i="5" s="1"/>
  <c r="N78" i="35"/>
  <c r="M95" i="5" s="1"/>
  <c r="M78" i="35"/>
  <c r="L95" i="5" s="1"/>
  <c r="L78" i="35"/>
  <c r="K95" i="5" s="1"/>
  <c r="K78" i="35"/>
  <c r="J95" i="5" s="1"/>
  <c r="J78" i="35"/>
  <c r="I95" i="5" s="1"/>
  <c r="I78" i="35"/>
  <c r="H95" i="5" s="1"/>
  <c r="H96" i="5" s="1"/>
  <c r="H78" i="35"/>
  <c r="G95" i="5" s="1"/>
  <c r="G78" i="35"/>
  <c r="F95" i="5" s="1"/>
  <c r="F78" i="35"/>
  <c r="AI55" i="35"/>
  <c r="AH55" i="35"/>
  <c r="AG55" i="35"/>
  <c r="I55" i="35"/>
  <c r="AF51" i="35"/>
  <c r="AE51" i="35"/>
  <c r="AD51" i="35"/>
  <c r="AC51" i="35"/>
  <c r="AB51" i="35"/>
  <c r="AA51" i="35"/>
  <c r="Z51" i="35"/>
  <c r="Y51" i="35"/>
  <c r="X51" i="35"/>
  <c r="X55" i="35" s="1"/>
  <c r="W51" i="35"/>
  <c r="V51" i="35"/>
  <c r="U51" i="35"/>
  <c r="T51" i="35"/>
  <c r="S51" i="35"/>
  <c r="R51" i="35"/>
  <c r="Q51" i="35"/>
  <c r="P51" i="35"/>
  <c r="O51" i="35"/>
  <c r="N51" i="35"/>
  <c r="M51" i="35"/>
  <c r="L51" i="35"/>
  <c r="K51" i="35"/>
  <c r="J51" i="35"/>
  <c r="H51" i="35"/>
  <c r="G51" i="35"/>
  <c r="F51" i="35"/>
  <c r="AF22" i="35"/>
  <c r="AE186" i="5" s="1"/>
  <c r="AE22" i="35"/>
  <c r="AD22" i="35"/>
  <c r="AC22" i="35"/>
  <c r="AB186" i="5" s="1"/>
  <c r="AB22" i="35"/>
  <c r="AA22" i="35"/>
  <c r="Z22" i="35"/>
  <c r="Y22" i="35"/>
  <c r="X186" i="5" s="1"/>
  <c r="W22" i="35"/>
  <c r="V186" i="5" s="1"/>
  <c r="V22" i="35"/>
  <c r="U186" i="5" s="1"/>
  <c r="U22" i="35"/>
  <c r="T22" i="35"/>
  <c r="S22" i="35"/>
  <c r="R186" i="5" s="1"/>
  <c r="R22" i="35"/>
  <c r="Q186" i="5" s="1"/>
  <c r="Q22" i="35"/>
  <c r="P22" i="35"/>
  <c r="O22" i="35"/>
  <c r="N186" i="5" s="1"/>
  <c r="N22" i="35"/>
  <c r="M186" i="5" s="1"/>
  <c r="M22" i="35"/>
  <c r="L22" i="35"/>
  <c r="K22" i="35"/>
  <c r="J22" i="35"/>
  <c r="I186" i="5" s="1"/>
  <c r="H22" i="35"/>
  <c r="G22" i="35"/>
  <c r="AF21" i="35"/>
  <c r="AE69" i="5" s="1"/>
  <c r="AB21" i="35"/>
  <c r="W21" i="35"/>
  <c r="Q21" i="35"/>
  <c r="P21" i="35"/>
  <c r="O21" i="35"/>
  <c r="M21" i="35"/>
  <c r="J21" i="35"/>
  <c r="AC20" i="35"/>
  <c r="K20" i="35"/>
  <c r="J184" i="5" s="1"/>
  <c r="H20" i="35"/>
  <c r="G20" i="35"/>
  <c r="E68" i="5"/>
  <c r="AE16" i="35"/>
  <c r="AD182" i="5" s="1"/>
  <c r="AD16" i="35"/>
  <c r="AC16" i="35"/>
  <c r="AB16" i="35"/>
  <c r="AA16" i="35"/>
  <c r="Z16" i="35"/>
  <c r="Y16" i="35"/>
  <c r="W16" i="35"/>
  <c r="V16" i="35"/>
  <c r="U16" i="35"/>
  <c r="T16" i="35"/>
  <c r="S16" i="35"/>
  <c r="R16" i="35"/>
  <c r="Q182" i="5" s="1"/>
  <c r="Q16" i="35"/>
  <c r="P16" i="35"/>
  <c r="O16" i="35"/>
  <c r="N16" i="35"/>
  <c r="M16" i="35"/>
  <c r="L66" i="5" s="1"/>
  <c r="L16" i="35"/>
  <c r="K66" i="5" s="1"/>
  <c r="K16" i="35"/>
  <c r="J66" i="5" s="1"/>
  <c r="J16" i="35"/>
  <c r="H16" i="35"/>
  <c r="G16" i="35"/>
  <c r="AF11" i="35"/>
  <c r="E1217" i="17" s="1"/>
  <c r="AE11" i="35"/>
  <c r="AD11" i="35"/>
  <c r="AC11" i="35"/>
  <c r="AB11" i="35"/>
  <c r="AA11" i="35"/>
  <c r="E987" i="17" s="1"/>
  <c r="Z11" i="35"/>
  <c r="E941" i="17" s="1"/>
  <c r="Y11" i="35"/>
  <c r="E895" i="17" s="1"/>
  <c r="W11" i="35"/>
  <c r="W15" i="35" s="1"/>
  <c r="V11" i="35"/>
  <c r="U11" i="35"/>
  <c r="T11" i="35"/>
  <c r="E665" i="17" s="1"/>
  <c r="S11" i="35"/>
  <c r="S15" i="35" s="1"/>
  <c r="R11" i="35"/>
  <c r="Q11" i="35"/>
  <c r="P11" i="35"/>
  <c r="E481" i="17" s="1"/>
  <c r="O11" i="35"/>
  <c r="O15" i="35" s="1"/>
  <c r="N11" i="35"/>
  <c r="M11" i="35"/>
  <c r="L11" i="35"/>
  <c r="E297" i="17" s="1"/>
  <c r="K11" i="35"/>
  <c r="J11" i="35"/>
  <c r="H11" i="35"/>
  <c r="G11" i="35"/>
  <c r="F11" i="35"/>
  <c r="AF9" i="35"/>
  <c r="AE9" i="35"/>
  <c r="AD9" i="35"/>
  <c r="AC9" i="35"/>
  <c r="AB9" i="35"/>
  <c r="AA9" i="35"/>
  <c r="Z9" i="35"/>
  <c r="Y9" i="35"/>
  <c r="W9" i="35"/>
  <c r="V9" i="35"/>
  <c r="U9" i="35"/>
  <c r="T9" i="35"/>
  <c r="S9" i="35"/>
  <c r="R9" i="35"/>
  <c r="Q9" i="35"/>
  <c r="P9" i="35"/>
  <c r="O9" i="35"/>
  <c r="N9" i="35"/>
  <c r="M9" i="35"/>
  <c r="L9" i="35"/>
  <c r="K9" i="35"/>
  <c r="J9" i="35"/>
  <c r="H9" i="35"/>
  <c r="G9" i="35"/>
  <c r="F9" i="35"/>
  <c r="AF8" i="35"/>
  <c r="AE8" i="35"/>
  <c r="AD8" i="35"/>
  <c r="AC8" i="35"/>
  <c r="AB8" i="35"/>
  <c r="AA8" i="35"/>
  <c r="Z8" i="35"/>
  <c r="Y8" i="35"/>
  <c r="W8" i="35"/>
  <c r="V8" i="35"/>
  <c r="U8" i="35"/>
  <c r="T8" i="35"/>
  <c r="S8" i="35"/>
  <c r="R8" i="35"/>
  <c r="Q8" i="35"/>
  <c r="P8" i="35"/>
  <c r="O8" i="35"/>
  <c r="N8" i="35"/>
  <c r="M8" i="35"/>
  <c r="L8" i="35"/>
  <c r="K8" i="35"/>
  <c r="J8" i="35"/>
  <c r="H8" i="35"/>
  <c r="G8" i="35"/>
  <c r="F8" i="35"/>
  <c r="H133" i="5"/>
  <c r="W133" i="5"/>
  <c r="AF133" i="5"/>
  <c r="H134" i="5"/>
  <c r="W134" i="5"/>
  <c r="AF134" i="5"/>
  <c r="H135" i="5"/>
  <c r="W135" i="5"/>
  <c r="AF135" i="5"/>
  <c r="H136" i="5"/>
  <c r="W136" i="5"/>
  <c r="AF136" i="5"/>
  <c r="H137" i="5"/>
  <c r="W137" i="5"/>
  <c r="AF137" i="5"/>
  <c r="H139" i="5"/>
  <c r="W139" i="5"/>
  <c r="H140" i="5"/>
  <c r="W140" i="5"/>
  <c r="AF140" i="5"/>
  <c r="H141" i="5"/>
  <c r="W141" i="5"/>
  <c r="AF141" i="5"/>
  <c r="H142" i="5"/>
  <c r="W142" i="5"/>
  <c r="AF142" i="5"/>
  <c r="H143" i="5"/>
  <c r="W143" i="5"/>
  <c r="AF143" i="5"/>
  <c r="H144" i="5"/>
  <c r="W144" i="5"/>
  <c r="AF144" i="5"/>
  <c r="H132" i="5"/>
  <c r="W132" i="5"/>
  <c r="AF132" i="5"/>
  <c r="AZ7" i="32"/>
  <c r="Y134" i="5" s="1"/>
  <c r="U1966" i="32"/>
  <c r="V1909" i="32"/>
  <c r="BD17" i="32" s="1"/>
  <c r="AC144" i="5" s="1"/>
  <c r="V1908" i="32"/>
  <c r="BD16" i="32" s="1"/>
  <c r="AC143" i="5" s="1"/>
  <c r="V1907" i="32"/>
  <c r="BD15" i="32" s="1"/>
  <c r="AC142" i="5" s="1"/>
  <c r="V1906" i="32"/>
  <c r="BD14" i="32" s="1"/>
  <c r="AC141" i="5" s="1"/>
  <c r="V1905" i="32"/>
  <c r="BD13" i="32" s="1"/>
  <c r="AC140" i="5" s="1"/>
  <c r="V1902" i="32"/>
  <c r="BD10" i="32" s="1"/>
  <c r="AC137" i="5" s="1"/>
  <c r="V1901" i="32"/>
  <c r="BD9" i="32" s="1"/>
  <c r="AC136" i="5" s="1"/>
  <c r="V1900" i="32"/>
  <c r="BD8" i="32" s="1"/>
  <c r="AC135" i="5" s="1"/>
  <c r="V1899" i="32"/>
  <c r="BD7" i="32" s="1"/>
  <c r="AC134" i="5" s="1"/>
  <c r="V1898" i="32"/>
  <c r="BD6" i="32" s="1"/>
  <c r="AC133" i="5" s="1"/>
  <c r="U1896" i="32"/>
  <c r="V1839" i="32"/>
  <c r="BE17" i="32" s="1"/>
  <c r="AD144" i="5" s="1"/>
  <c r="V1838" i="32"/>
  <c r="BE16" i="32" s="1"/>
  <c r="AD143" i="5" s="1"/>
  <c r="V1837" i="32"/>
  <c r="BE15" i="32" s="1"/>
  <c r="AD142" i="5" s="1"/>
  <c r="V1836" i="32"/>
  <c r="BE14" i="32" s="1"/>
  <c r="AD141" i="5" s="1"/>
  <c r="BE13" i="32"/>
  <c r="AD140" i="5" s="1"/>
  <c r="V1832" i="32"/>
  <c r="BE10" i="32" s="1"/>
  <c r="AD137" i="5" s="1"/>
  <c r="V1831" i="32"/>
  <c r="BE9" i="32" s="1"/>
  <c r="AD136" i="5" s="1"/>
  <c r="V1830" i="32"/>
  <c r="BE8" i="32" s="1"/>
  <c r="AD135" i="5" s="1"/>
  <c r="V1829" i="32"/>
  <c r="BE7" i="32" s="1"/>
  <c r="AD134" i="5" s="1"/>
  <c r="V1828" i="32"/>
  <c r="BE6" i="32" s="1"/>
  <c r="AD133" i="5" s="1"/>
  <c r="U1826" i="32"/>
  <c r="V1769" i="32"/>
  <c r="BB17" i="32" s="1"/>
  <c r="AA144" i="5" s="1"/>
  <c r="V1768" i="32"/>
  <c r="BB16" i="32" s="1"/>
  <c r="AA143" i="5" s="1"/>
  <c r="V1767" i="32"/>
  <c r="BB15" i="32"/>
  <c r="AA142" i="5" s="1"/>
  <c r="V1766" i="32"/>
  <c r="BB14" i="32" s="1"/>
  <c r="AA141" i="5" s="1"/>
  <c r="V1765" i="32"/>
  <c r="BB13" i="32" s="1"/>
  <c r="AA140" i="5" s="1"/>
  <c r="V1762" i="32"/>
  <c r="BB10" i="32" s="1"/>
  <c r="AA137" i="5" s="1"/>
  <c r="V1761" i="32"/>
  <c r="BB9" i="32" s="1"/>
  <c r="AA136" i="5" s="1"/>
  <c r="V1760" i="32"/>
  <c r="BB8" i="32" s="1"/>
  <c r="AA135" i="5" s="1"/>
  <c r="V1759" i="32"/>
  <c r="BB7" i="32" s="1"/>
  <c r="AA134" i="5" s="1"/>
  <c r="V1758" i="32"/>
  <c r="BB6" i="32" s="1"/>
  <c r="AA133" i="5" s="1"/>
  <c r="U1756" i="32"/>
  <c r="V1699" i="32"/>
  <c r="AZ17" i="32" s="1"/>
  <c r="Y144" i="5" s="1"/>
  <c r="V1698" i="32"/>
  <c r="AZ16" i="32" s="1"/>
  <c r="Y143" i="5" s="1"/>
  <c r="V1697" i="32"/>
  <c r="AZ15" i="32" s="1"/>
  <c r="Y142" i="5" s="1"/>
  <c r="V1696" i="32"/>
  <c r="AZ14" i="32" s="1"/>
  <c r="Y141" i="5" s="1"/>
  <c r="V1695" i="32"/>
  <c r="AZ13" i="32" s="1"/>
  <c r="Y140" i="5" s="1"/>
  <c r="V1692" i="32"/>
  <c r="AZ10" i="32" s="1"/>
  <c r="Y137" i="5" s="1"/>
  <c r="V1691" i="32"/>
  <c r="AZ9" i="32"/>
  <c r="Y136" i="5" s="1"/>
  <c r="V1690" i="32"/>
  <c r="AZ8" i="32" s="1"/>
  <c r="Y135" i="5"/>
  <c r="V1689" i="32"/>
  <c r="V1688" i="32"/>
  <c r="AZ6" i="32" s="1"/>
  <c r="Y133" i="5" s="1"/>
  <c r="U1686" i="32"/>
  <c r="V1629" i="32"/>
  <c r="AU17" i="32" s="1"/>
  <c r="T144" i="5" s="1"/>
  <c r="V1628" i="32"/>
  <c r="AU16" i="32" s="1"/>
  <c r="T143" i="5" s="1"/>
  <c r="V1627" i="32"/>
  <c r="AU15" i="32" s="1"/>
  <c r="T142" i="5" s="1"/>
  <c r="V1626" i="32"/>
  <c r="AU14" i="32" s="1"/>
  <c r="T141" i="5" s="1"/>
  <c r="V1625" i="32"/>
  <c r="AU13" i="32" s="1"/>
  <c r="T140" i="5" s="1"/>
  <c r="V1622" i="32"/>
  <c r="AU10" i="32" s="1"/>
  <c r="T137" i="5" s="1"/>
  <c r="V1621" i="32"/>
  <c r="AU9" i="32" s="1"/>
  <c r="T136" i="5" s="1"/>
  <c r="V1620" i="32"/>
  <c r="AU8" i="32" s="1"/>
  <c r="T135" i="5" s="1"/>
  <c r="V1619" i="32"/>
  <c r="AU7" i="32" s="1"/>
  <c r="T134" i="5" s="1"/>
  <c r="V1618" i="32"/>
  <c r="AU6" i="32" s="1"/>
  <c r="T133" i="5" s="1"/>
  <c r="U1616" i="32"/>
  <c r="V1559" i="32"/>
  <c r="AW17" i="32" s="1"/>
  <c r="V144" i="5" s="1"/>
  <c r="V1558" i="32"/>
  <c r="AW16" i="32" s="1"/>
  <c r="V143" i="5" s="1"/>
  <c r="V1557" i="32"/>
  <c r="AW15" i="32" s="1"/>
  <c r="V142" i="5" s="1"/>
  <c r="V1556" i="32"/>
  <c r="AW14" i="32" s="1"/>
  <c r="V141" i="5" s="1"/>
  <c r="V1555" i="32"/>
  <c r="AW13" i="32" s="1"/>
  <c r="V140" i="5" s="1"/>
  <c r="V1552" i="32"/>
  <c r="AW10" i="32" s="1"/>
  <c r="V137" i="5" s="1"/>
  <c r="V1551" i="32"/>
  <c r="AW9" i="32"/>
  <c r="V136" i="5" s="1"/>
  <c r="V1550" i="32"/>
  <c r="AW8" i="32" s="1"/>
  <c r="V135" i="5" s="1"/>
  <c r="V1549" i="32"/>
  <c r="AW7" i="32" s="1"/>
  <c r="V134" i="5" s="1"/>
  <c r="V1548" i="32"/>
  <c r="AW6" i="32" s="1"/>
  <c r="V133" i="5" s="1"/>
  <c r="U1546" i="32"/>
  <c r="V1489" i="32"/>
  <c r="AR17" i="32" s="1"/>
  <c r="Q144" i="5" s="1"/>
  <c r="V1488" i="32"/>
  <c r="AR16" i="32" s="1"/>
  <c r="Q143" i="5" s="1"/>
  <c r="V1487" i="32"/>
  <c r="AR15" i="32" s="1"/>
  <c r="Q142" i="5" s="1"/>
  <c r="V1486" i="32"/>
  <c r="AR14" i="32" s="1"/>
  <c r="Q141" i="5" s="1"/>
  <c r="V1485" i="32"/>
  <c r="AR13" i="32" s="1"/>
  <c r="Q140" i="5" s="1"/>
  <c r="V1482" i="32"/>
  <c r="AR10" i="32" s="1"/>
  <c r="Q137" i="5" s="1"/>
  <c r="V1481" i="32"/>
  <c r="AR9" i="32" s="1"/>
  <c r="Q136" i="5" s="1"/>
  <c r="V1480" i="32"/>
  <c r="AR8" i="32" s="1"/>
  <c r="Q135" i="5" s="1"/>
  <c r="V1479" i="32"/>
  <c r="AR7" i="32" s="1"/>
  <c r="Q134" i="5" s="1"/>
  <c r="V1478" i="32"/>
  <c r="AR6" i="32" s="1"/>
  <c r="Q133" i="5"/>
  <c r="U1476" i="32"/>
  <c r="V1419" i="32"/>
  <c r="AM17" i="32" s="1"/>
  <c r="L144" i="5" s="1"/>
  <c r="V1418" i="32"/>
  <c r="AM16" i="32" s="1"/>
  <c r="L143" i="5" s="1"/>
  <c r="V1417" i="32"/>
  <c r="AM15" i="32" s="1"/>
  <c r="L142" i="5" s="1"/>
  <c r="V1416" i="32"/>
  <c r="AM14" i="32" s="1"/>
  <c r="L141" i="5" s="1"/>
  <c r="V1415" i="32"/>
  <c r="AM13" i="32" s="1"/>
  <c r="L140" i="5" s="1"/>
  <c r="V1412" i="32"/>
  <c r="AM10" i="32" s="1"/>
  <c r="L137" i="5" s="1"/>
  <c r="V1411" i="32"/>
  <c r="AM9" i="32" s="1"/>
  <c r="L136" i="5"/>
  <c r="V1410" i="32"/>
  <c r="AM8" i="32" s="1"/>
  <c r="L135" i="5" s="1"/>
  <c r="V1409" i="32"/>
  <c r="AM7" i="32" s="1"/>
  <c r="L134" i="5" s="1"/>
  <c r="V1408" i="32"/>
  <c r="AM6" i="32"/>
  <c r="L133" i="5" s="1"/>
  <c r="U1406" i="32"/>
  <c r="V1349" i="32"/>
  <c r="AJ17" i="32" s="1"/>
  <c r="I144" i="5" s="1"/>
  <c r="V1348" i="32"/>
  <c r="AJ16" i="32" s="1"/>
  <c r="I143" i="5" s="1"/>
  <c r="V1347" i="32"/>
  <c r="AJ15" i="32"/>
  <c r="I142" i="5" s="1"/>
  <c r="V1346" i="32"/>
  <c r="AJ14" i="32" s="1"/>
  <c r="I141" i="5" s="1"/>
  <c r="V1345" i="32"/>
  <c r="AJ13" i="32" s="1"/>
  <c r="I140" i="5" s="1"/>
  <c r="V1342" i="32"/>
  <c r="AJ10" i="32" s="1"/>
  <c r="I137" i="5" s="1"/>
  <c r="V1341" i="32"/>
  <c r="AJ9" i="32" s="1"/>
  <c r="I136" i="5" s="1"/>
  <c r="V1340" i="32"/>
  <c r="AJ8" i="32" s="1"/>
  <c r="I135" i="5" s="1"/>
  <c r="V1339" i="32"/>
  <c r="AJ7" i="32"/>
  <c r="I134" i="5" s="1"/>
  <c r="V1338" i="32"/>
  <c r="AJ6" i="32" s="1"/>
  <c r="I133" i="5" s="1"/>
  <c r="U1336" i="32"/>
  <c r="V1279" i="32"/>
  <c r="AH17" i="32" s="1"/>
  <c r="G144" i="5" s="1"/>
  <c r="V1278" i="32"/>
  <c r="AH16" i="32" s="1"/>
  <c r="G143" i="5" s="1"/>
  <c r="V1277" i="32"/>
  <c r="AH15" i="32" s="1"/>
  <c r="G142" i="5" s="1"/>
  <c r="V1276" i="32"/>
  <c r="AH14" i="32" s="1"/>
  <c r="G141" i="5" s="1"/>
  <c r="V1275" i="32"/>
  <c r="AH13" i="32" s="1"/>
  <c r="G140" i="5"/>
  <c r="V1272" i="32"/>
  <c r="AH10" i="32" s="1"/>
  <c r="G137" i="5" s="1"/>
  <c r="V1271" i="32"/>
  <c r="AH9" i="32" s="1"/>
  <c r="G136" i="5" s="1"/>
  <c r="V1270" i="32"/>
  <c r="AH8" i="32" s="1"/>
  <c r="G135" i="5" s="1"/>
  <c r="V1269" i="32"/>
  <c r="AH7" i="32" s="1"/>
  <c r="G134" i="5" s="1"/>
  <c r="V1268" i="32"/>
  <c r="AH6" i="32" s="1"/>
  <c r="G133" i="5" s="1"/>
  <c r="U1266" i="32"/>
  <c r="V1208" i="32"/>
  <c r="BH17" i="32" s="1"/>
  <c r="AG144" i="5" s="1"/>
  <c r="V1207" i="32"/>
  <c r="BH16" i="32" s="1"/>
  <c r="AG143" i="5" s="1"/>
  <c r="V1206" i="32"/>
  <c r="BH15" i="32" s="1"/>
  <c r="AG142" i="5" s="1"/>
  <c r="V1205" i="32"/>
  <c r="BH14" i="32" s="1"/>
  <c r="AG141" i="5" s="1"/>
  <c r="V1204" i="32"/>
  <c r="BH13" i="32" s="1"/>
  <c r="AG140" i="5"/>
  <c r="V1201" i="32"/>
  <c r="BH10" i="32" s="1"/>
  <c r="AG137" i="5" s="1"/>
  <c r="V1200" i="32"/>
  <c r="BH9" i="32" s="1"/>
  <c r="AG136" i="5" s="1"/>
  <c r="V1199" i="32"/>
  <c r="BH8" i="32" s="1"/>
  <c r="AG135" i="5" s="1"/>
  <c r="V1198" i="32"/>
  <c r="BH7" i="32" s="1"/>
  <c r="AG134" i="5" s="1"/>
  <c r="V1197" i="32"/>
  <c r="BH6" i="32" s="1"/>
  <c r="AG133" i="5" s="1"/>
  <c r="U1195" i="32"/>
  <c r="V1138" i="32"/>
  <c r="BI17" i="32" s="1"/>
  <c r="AH144" i="5" s="1"/>
  <c r="V1137" i="32"/>
  <c r="BI16" i="32" s="1"/>
  <c r="AH143" i="5" s="1"/>
  <c r="V1136" i="32"/>
  <c r="BI15" i="32" s="1"/>
  <c r="AH142" i="5" s="1"/>
  <c r="V1135" i="32"/>
  <c r="BI14" i="32" s="1"/>
  <c r="AH141" i="5" s="1"/>
  <c r="V1134" i="32"/>
  <c r="BI13" i="32"/>
  <c r="AH140" i="5" s="1"/>
  <c r="V1131" i="32"/>
  <c r="BI10" i="32" s="1"/>
  <c r="AH137" i="5" s="1"/>
  <c r="V1130" i="32"/>
  <c r="BI9" i="32" s="1"/>
  <c r="AH136" i="5" s="1"/>
  <c r="V1129" i="32"/>
  <c r="BI8" i="32" s="1"/>
  <c r="AH135" i="5" s="1"/>
  <c r="V1128" i="32"/>
  <c r="BI7" i="32" s="1"/>
  <c r="AH134" i="5" s="1"/>
  <c r="V1127" i="32"/>
  <c r="BI6" i="32" s="1"/>
  <c r="AH133" i="5" s="1"/>
  <c r="U1125" i="32"/>
  <c r="U1055" i="32"/>
  <c r="V998" i="32"/>
  <c r="BF17" i="32" s="1"/>
  <c r="AE144" i="5" s="1"/>
  <c r="V997" i="32"/>
  <c r="BF16" i="32" s="1"/>
  <c r="AE143" i="5" s="1"/>
  <c r="V996" i="32"/>
  <c r="BF15" i="32" s="1"/>
  <c r="AE142" i="5" s="1"/>
  <c r="V995" i="32"/>
  <c r="BF14" i="32" s="1"/>
  <c r="AE141" i="5" s="1"/>
  <c r="V994" i="32"/>
  <c r="BF13" i="32" s="1"/>
  <c r="AE140" i="5" s="1"/>
  <c r="V991" i="32"/>
  <c r="BF10" i="32" s="1"/>
  <c r="AE137" i="5" s="1"/>
  <c r="V990" i="32"/>
  <c r="BF9" i="32"/>
  <c r="AE136" i="5" s="1"/>
  <c r="V989" i="32"/>
  <c r="BF8" i="32" s="1"/>
  <c r="AE135" i="5" s="1"/>
  <c r="V988" i="32"/>
  <c r="BF7" i="32" s="1"/>
  <c r="AE134" i="5" s="1"/>
  <c r="V987" i="32"/>
  <c r="BF6" i="32" s="1"/>
  <c r="AE133" i="5"/>
  <c r="U985" i="32"/>
  <c r="V928" i="32"/>
  <c r="BC17" i="32" s="1"/>
  <c r="AB144" i="5" s="1"/>
  <c r="V927" i="32"/>
  <c r="BC16" i="32" s="1"/>
  <c r="AB143" i="5" s="1"/>
  <c r="V926" i="32"/>
  <c r="BC15" i="32" s="1"/>
  <c r="AB142" i="5" s="1"/>
  <c r="V925" i="32"/>
  <c r="BC14" i="32" s="1"/>
  <c r="AB141" i="5" s="1"/>
  <c r="V924" i="32"/>
  <c r="BC13" i="32" s="1"/>
  <c r="AB140" i="5" s="1"/>
  <c r="V921" i="32"/>
  <c r="BC10" i="32" s="1"/>
  <c r="AB137" i="5" s="1"/>
  <c r="V920" i="32"/>
  <c r="BC9" i="32" s="1"/>
  <c r="AB136" i="5" s="1"/>
  <c r="V919" i="32"/>
  <c r="BC8" i="32" s="1"/>
  <c r="AB135" i="5" s="1"/>
  <c r="V918" i="32"/>
  <c r="BC7" i="32" s="1"/>
  <c r="AB134" i="5" s="1"/>
  <c r="V917" i="32"/>
  <c r="BC6" i="32" s="1"/>
  <c r="AB133" i="5" s="1"/>
  <c r="U915" i="32"/>
  <c r="V858" i="32"/>
  <c r="AO17" i="32" s="1"/>
  <c r="N144" i="5" s="1"/>
  <c r="V857" i="32"/>
  <c r="AO16" i="32" s="1"/>
  <c r="N143" i="5" s="1"/>
  <c r="V856" i="32"/>
  <c r="AO15" i="32" s="1"/>
  <c r="N142" i="5" s="1"/>
  <c r="V855" i="32"/>
  <c r="AO14" i="32" s="1"/>
  <c r="N141" i="5" s="1"/>
  <c r="V854" i="32"/>
  <c r="AO13" i="32" s="1"/>
  <c r="N140" i="5" s="1"/>
  <c r="V851" i="32"/>
  <c r="AO10" i="32" s="1"/>
  <c r="N137" i="5" s="1"/>
  <c r="V850" i="32"/>
  <c r="AO9" i="32" s="1"/>
  <c r="N136" i="5" s="1"/>
  <c r="V849" i="32"/>
  <c r="AO8" i="32" s="1"/>
  <c r="N135" i="5" s="1"/>
  <c r="V848" i="32"/>
  <c r="AO7" i="32" s="1"/>
  <c r="N134" i="5" s="1"/>
  <c r="V847" i="32"/>
  <c r="AO6" i="32" s="1"/>
  <c r="N133" i="5" s="1"/>
  <c r="U845" i="32"/>
  <c r="V788" i="32"/>
  <c r="BA17" i="32" s="1"/>
  <c r="Z144" i="5" s="1"/>
  <c r="V787" i="32"/>
  <c r="BA16" i="32" s="1"/>
  <c r="Z143" i="5" s="1"/>
  <c r="V786" i="32"/>
  <c r="BA15" i="32" s="1"/>
  <c r="Z142" i="5"/>
  <c r="V785" i="32"/>
  <c r="BA14" i="32"/>
  <c r="Z141" i="5" s="1"/>
  <c r="V784" i="32"/>
  <c r="BA13" i="32" s="1"/>
  <c r="Z140" i="5"/>
  <c r="V781" i="32"/>
  <c r="BA10" i="32" s="1"/>
  <c r="Z137" i="5" s="1"/>
  <c r="V780" i="32"/>
  <c r="BA9" i="32" s="1"/>
  <c r="Z136" i="5"/>
  <c r="V779" i="32"/>
  <c r="BA8" i="32"/>
  <c r="Z135" i="5" s="1"/>
  <c r="V778" i="32"/>
  <c r="BA7" i="32" s="1"/>
  <c r="Z134" i="5" s="1"/>
  <c r="V777" i="32"/>
  <c r="BA6" i="32" s="1"/>
  <c r="Z133" i="5" s="1"/>
  <c r="U775" i="32"/>
  <c r="V718" i="32"/>
  <c r="AF17" i="32"/>
  <c r="E144" i="5" s="1"/>
  <c r="V717" i="32"/>
  <c r="AF16" i="32" s="1"/>
  <c r="E143" i="5" s="1"/>
  <c r="V716" i="32"/>
  <c r="AF15" i="32" s="1"/>
  <c r="E142" i="5" s="1"/>
  <c r="V715" i="32"/>
  <c r="AF14" i="32" s="1"/>
  <c r="E141" i="5" s="1"/>
  <c r="V711" i="32"/>
  <c r="AF10" i="32" s="1"/>
  <c r="E137" i="5" s="1"/>
  <c r="V710" i="32"/>
  <c r="AF9" i="32" s="1"/>
  <c r="E136" i="5" s="1"/>
  <c r="V709" i="32"/>
  <c r="AF8" i="32" s="1"/>
  <c r="E135" i="5" s="1"/>
  <c r="V708" i="32"/>
  <c r="AF7" i="32" s="1"/>
  <c r="E134" i="5" s="1"/>
  <c r="V707" i="32"/>
  <c r="AF6" i="32" s="1"/>
  <c r="E133" i="5" s="1"/>
  <c r="U705" i="32"/>
  <c r="V648" i="32"/>
  <c r="AY17" i="32" s="1"/>
  <c r="X144" i="5" s="1"/>
  <c r="V647" i="32"/>
  <c r="AY16" i="32" s="1"/>
  <c r="X143" i="5" s="1"/>
  <c r="V646" i="32"/>
  <c r="AY15" i="32" s="1"/>
  <c r="X142" i="5"/>
  <c r="V645" i="32"/>
  <c r="AY14" i="32" s="1"/>
  <c r="X141" i="5" s="1"/>
  <c r="V644" i="32"/>
  <c r="AY13" i="32" s="1"/>
  <c r="X140" i="5"/>
  <c r="V641" i="32"/>
  <c r="AY10" i="32" s="1"/>
  <c r="X137" i="5" s="1"/>
  <c r="V640" i="32"/>
  <c r="AY9" i="32" s="1"/>
  <c r="X136" i="5"/>
  <c r="V639" i="32"/>
  <c r="AY8" i="32" s="1"/>
  <c r="X135" i="5" s="1"/>
  <c r="V638" i="32"/>
  <c r="AY7" i="32" s="1"/>
  <c r="X134" i="5"/>
  <c r="V637" i="32"/>
  <c r="AY6" i="32" s="1"/>
  <c r="X133" i="5" s="1"/>
  <c r="U635" i="32"/>
  <c r="V578" i="32"/>
  <c r="AV17" i="32" s="1"/>
  <c r="U144" i="5" s="1"/>
  <c r="V577" i="32"/>
  <c r="AV16" i="32" s="1"/>
  <c r="U143" i="5" s="1"/>
  <c r="V576" i="32"/>
  <c r="AV15" i="32" s="1"/>
  <c r="U142" i="5" s="1"/>
  <c r="V575" i="32"/>
  <c r="AV14" i="32" s="1"/>
  <c r="U141" i="5"/>
  <c r="V574" i="32"/>
  <c r="AV13" i="32" s="1"/>
  <c r="U140" i="5" s="1"/>
  <c r="V571" i="32"/>
  <c r="AV10" i="32"/>
  <c r="U137" i="5" s="1"/>
  <c r="V570" i="32"/>
  <c r="AV9" i="32" s="1"/>
  <c r="U136" i="5" s="1"/>
  <c r="V569" i="32"/>
  <c r="AV8" i="32"/>
  <c r="U135" i="5" s="1"/>
  <c r="V568" i="32"/>
  <c r="AV7" i="32" s="1"/>
  <c r="U134" i="5" s="1"/>
  <c r="V567" i="32"/>
  <c r="AV6" i="32" s="1"/>
  <c r="U133" i="5" s="1"/>
  <c r="U565" i="32"/>
  <c r="V508" i="32"/>
  <c r="AT17" i="32" s="1"/>
  <c r="S144" i="5" s="1"/>
  <c r="V507" i="32"/>
  <c r="AT16" i="32" s="1"/>
  <c r="S143" i="5" s="1"/>
  <c r="V506" i="32"/>
  <c r="AT15" i="32" s="1"/>
  <c r="S142" i="5" s="1"/>
  <c r="V505" i="32"/>
  <c r="AT14" i="32" s="1"/>
  <c r="S141" i="5" s="1"/>
  <c r="V504" i="32"/>
  <c r="AT13" i="32" s="1"/>
  <c r="S140" i="5" s="1"/>
  <c r="V501" i="32"/>
  <c r="AT10" i="32" s="1"/>
  <c r="S137" i="5" s="1"/>
  <c r="V500" i="32"/>
  <c r="AT9" i="32"/>
  <c r="S136" i="5" s="1"/>
  <c r="V499" i="32"/>
  <c r="AT8" i="32" s="1"/>
  <c r="S135" i="5" s="1"/>
  <c r="V498" i="32"/>
  <c r="AT7" i="32" s="1"/>
  <c r="S134" i="5" s="1"/>
  <c r="V497" i="32"/>
  <c r="AT6" i="32" s="1"/>
  <c r="S133" i="5"/>
  <c r="U495" i="32"/>
  <c r="V438" i="32"/>
  <c r="AS17" i="32" s="1"/>
  <c r="R144" i="5" s="1"/>
  <c r="V437" i="32"/>
  <c r="AS16" i="32" s="1"/>
  <c r="R143" i="5" s="1"/>
  <c r="V436" i="32"/>
  <c r="AS15" i="32" s="1"/>
  <c r="R142" i="5" s="1"/>
  <c r="V435" i="32"/>
  <c r="AS14" i="32" s="1"/>
  <c r="R141" i="5" s="1"/>
  <c r="V434" i="32"/>
  <c r="AS13" i="32" s="1"/>
  <c r="R140" i="5" s="1"/>
  <c r="V433" i="32"/>
  <c r="AS12" i="32" s="1"/>
  <c r="R139" i="5" s="1"/>
  <c r="V431" i="32"/>
  <c r="AS10" i="32" s="1"/>
  <c r="R137" i="5" s="1"/>
  <c r="V430" i="32"/>
  <c r="AS9" i="32" s="1"/>
  <c r="R136" i="5" s="1"/>
  <c r="V429" i="32"/>
  <c r="AS8" i="32"/>
  <c r="R135" i="5" s="1"/>
  <c r="V428" i="32"/>
  <c r="AS7" i="32" s="1"/>
  <c r="R134" i="5" s="1"/>
  <c r="V427" i="32"/>
  <c r="AS6" i="32" s="1"/>
  <c r="R133" i="5" s="1"/>
  <c r="V426" i="32"/>
  <c r="AS5" i="32" s="1"/>
  <c r="R132" i="5" s="1"/>
  <c r="U425" i="32"/>
  <c r="V368" i="32"/>
  <c r="AP17" i="32" s="1"/>
  <c r="O144" i="5" s="1"/>
  <c r="V367" i="32"/>
  <c r="AP16" i="32" s="1"/>
  <c r="O143" i="5" s="1"/>
  <c r="V366" i="32"/>
  <c r="AP15" i="32" s="1"/>
  <c r="O142" i="5" s="1"/>
  <c r="V365" i="32"/>
  <c r="AP14" i="32"/>
  <c r="O141" i="5" s="1"/>
  <c r="V364" i="32"/>
  <c r="AP13" i="32" s="1"/>
  <c r="O140" i="5" s="1"/>
  <c r="V361" i="32"/>
  <c r="AP10" i="32" s="1"/>
  <c r="O137" i="5" s="1"/>
  <c r="V360" i="32"/>
  <c r="AP9" i="32" s="1"/>
  <c r="O136" i="5" s="1"/>
  <c r="V359" i="32"/>
  <c r="AP8" i="32" s="1"/>
  <c r="O135" i="5" s="1"/>
  <c r="V358" i="32"/>
  <c r="AP7" i="32" s="1"/>
  <c r="O134" i="5" s="1"/>
  <c r="V357" i="32"/>
  <c r="AP6" i="32" s="1"/>
  <c r="O133" i="5" s="1"/>
  <c r="U355" i="32"/>
  <c r="V298" i="32"/>
  <c r="AN17" i="32" s="1"/>
  <c r="M144" i="5" s="1"/>
  <c r="V297" i="32"/>
  <c r="AN16" i="32" s="1"/>
  <c r="M143" i="5" s="1"/>
  <c r="V296" i="32"/>
  <c r="AN15" i="32" s="1"/>
  <c r="M142" i="5" s="1"/>
  <c r="V295" i="32"/>
  <c r="AN14" i="32" s="1"/>
  <c r="M141" i="5" s="1"/>
  <c r="V294" i="32"/>
  <c r="AN13" i="32" s="1"/>
  <c r="M140" i="5" s="1"/>
  <c r="V293" i="32"/>
  <c r="AN12" i="32" s="1"/>
  <c r="M139" i="5" s="1"/>
  <c r="V291" i="32"/>
  <c r="AN10" i="32" s="1"/>
  <c r="M137" i="5" s="1"/>
  <c r="V290" i="32"/>
  <c r="AN9" i="32" s="1"/>
  <c r="M136" i="5" s="1"/>
  <c r="V289" i="32"/>
  <c r="AN8" i="32" s="1"/>
  <c r="M135" i="5" s="1"/>
  <c r="V288" i="32"/>
  <c r="AN7" i="32" s="1"/>
  <c r="M134" i="5" s="1"/>
  <c r="V287" i="32"/>
  <c r="AN6" i="32"/>
  <c r="M133" i="5" s="1"/>
  <c r="V286" i="32"/>
  <c r="AN5" i="32" s="1"/>
  <c r="M132" i="5" s="1"/>
  <c r="U285" i="32"/>
  <c r="V228" i="32"/>
  <c r="AQ17" i="32" s="1"/>
  <c r="P144" i="5" s="1"/>
  <c r="V227" i="32"/>
  <c r="AQ16" i="32" s="1"/>
  <c r="P143" i="5" s="1"/>
  <c r="V226" i="32"/>
  <c r="AQ15" i="32" s="1"/>
  <c r="P142" i="5" s="1"/>
  <c r="V225" i="32"/>
  <c r="AQ14" i="32" s="1"/>
  <c r="P141" i="5" s="1"/>
  <c r="V224" i="32"/>
  <c r="AQ13" i="32" s="1"/>
  <c r="P140" i="5" s="1"/>
  <c r="V223" i="32"/>
  <c r="AQ12" i="32" s="1"/>
  <c r="P139" i="5" s="1"/>
  <c r="V221" i="32"/>
  <c r="AQ10" i="32" s="1"/>
  <c r="P137" i="5" s="1"/>
  <c r="V220" i="32"/>
  <c r="AQ9" i="32" s="1"/>
  <c r="P136" i="5" s="1"/>
  <c r="V219" i="32"/>
  <c r="AQ8" i="32" s="1"/>
  <c r="P135" i="5" s="1"/>
  <c r="V218" i="32"/>
  <c r="AQ7" i="32" s="1"/>
  <c r="P134" i="5" s="1"/>
  <c r="V217" i="32"/>
  <c r="AQ6" i="32" s="1"/>
  <c r="P133" i="5" s="1"/>
  <c r="V216" i="32"/>
  <c r="AQ5" i="32" s="1"/>
  <c r="P132" i="5" s="1"/>
  <c r="U215" i="32"/>
  <c r="V158" i="32"/>
  <c r="AK17" i="32" s="1"/>
  <c r="J144" i="5" s="1"/>
  <c r="V157" i="32"/>
  <c r="AK16" i="32" s="1"/>
  <c r="J143" i="5" s="1"/>
  <c r="V156" i="32"/>
  <c r="AK15" i="32" s="1"/>
  <c r="J142" i="5" s="1"/>
  <c r="V155" i="32"/>
  <c r="AK14" i="32"/>
  <c r="J141" i="5" s="1"/>
  <c r="V154" i="32"/>
  <c r="AK13" i="32" s="1"/>
  <c r="J140" i="5" s="1"/>
  <c r="V153" i="32"/>
  <c r="AK12" i="32" s="1"/>
  <c r="J139" i="5" s="1"/>
  <c r="V151" i="32"/>
  <c r="AK10" i="32" s="1"/>
  <c r="J137" i="5" s="1"/>
  <c r="V150" i="32"/>
  <c r="AK9" i="32" s="1"/>
  <c r="J136" i="5" s="1"/>
  <c r="V149" i="32"/>
  <c r="AK8" i="32" s="1"/>
  <c r="J135" i="5" s="1"/>
  <c r="V148" i="32"/>
  <c r="AK7" i="32" s="1"/>
  <c r="J134" i="5" s="1"/>
  <c r="V147" i="32"/>
  <c r="AK6" i="32"/>
  <c r="J133" i="5" s="1"/>
  <c r="V146" i="32"/>
  <c r="AK5" i="32" s="1"/>
  <c r="J132" i="5" s="1"/>
  <c r="U145" i="32"/>
  <c r="V88" i="32"/>
  <c r="AL17" i="32" s="1"/>
  <c r="K144" i="5" s="1"/>
  <c r="V87" i="32"/>
  <c r="AL16" i="32" s="1"/>
  <c r="K143" i="5" s="1"/>
  <c r="V86" i="32"/>
  <c r="AL15" i="32" s="1"/>
  <c r="K142" i="5" s="1"/>
  <c r="V85" i="32"/>
  <c r="AL14" i="32" s="1"/>
  <c r="K141" i="5" s="1"/>
  <c r="V84" i="32"/>
  <c r="AL13" i="32" s="1"/>
  <c r="K140" i="5" s="1"/>
  <c r="V83" i="32"/>
  <c r="AL12" i="32" s="1"/>
  <c r="K139" i="5" s="1"/>
  <c r="V81" i="32"/>
  <c r="AL10" i="32" s="1"/>
  <c r="K137" i="5" s="1"/>
  <c r="V80" i="32"/>
  <c r="AL9" i="32" s="1"/>
  <c r="K136" i="5" s="1"/>
  <c r="V79" i="32"/>
  <c r="AL8" i="32" s="1"/>
  <c r="K135" i="5" s="1"/>
  <c r="V78" i="32"/>
  <c r="AL7" i="32" s="1"/>
  <c r="K134" i="5" s="1"/>
  <c r="V77" i="32"/>
  <c r="AL6" i="32" s="1"/>
  <c r="K133" i="5" s="1"/>
  <c r="V76" i="32"/>
  <c r="AL5" i="32"/>
  <c r="K132" i="5" s="1"/>
  <c r="U75" i="32"/>
  <c r="V6" i="32"/>
  <c r="AG5" i="32" s="1"/>
  <c r="F132" i="5" s="1"/>
  <c r="V18" i="32"/>
  <c r="AG17" i="32" s="1"/>
  <c r="F144" i="5" s="1"/>
  <c r="V17" i="32"/>
  <c r="AG16" i="32" s="1"/>
  <c r="F143" i="5" s="1"/>
  <c r="V16" i="32"/>
  <c r="AG15" i="32" s="1"/>
  <c r="F142" i="5" s="1"/>
  <c r="V15" i="32"/>
  <c r="AG14" i="32" s="1"/>
  <c r="F141" i="5" s="1"/>
  <c r="V14" i="32"/>
  <c r="AG13" i="32" s="1"/>
  <c r="F140" i="5" s="1"/>
  <c r="V13" i="32"/>
  <c r="AG12" i="32" s="1"/>
  <c r="F139" i="5" s="1"/>
  <c r="V11" i="32"/>
  <c r="AG10" i="32" s="1"/>
  <c r="F137" i="5" s="1"/>
  <c r="V10" i="32"/>
  <c r="AG9" i="32" s="1"/>
  <c r="F136" i="5" s="1"/>
  <c r="V9" i="32"/>
  <c r="AG8" i="32" s="1"/>
  <c r="F135" i="5" s="1"/>
  <c r="V8" i="32"/>
  <c r="AG7" i="32" s="1"/>
  <c r="F134" i="5" s="1"/>
  <c r="V7" i="32"/>
  <c r="AG6" i="32" s="1"/>
  <c r="F133" i="5" s="1"/>
  <c r="U5" i="32"/>
  <c r="N22" i="2"/>
  <c r="H116" i="5"/>
  <c r="H94" i="5" s="1"/>
  <c r="BH6" i="7"/>
  <c r="BI6" i="7"/>
  <c r="BJ6" i="7"/>
  <c r="X7" i="7"/>
  <c r="X8" i="7"/>
  <c r="X9" i="7"/>
  <c r="X10" i="7"/>
  <c r="X11" i="7"/>
  <c r="X12" i="7"/>
  <c r="X13" i="7"/>
  <c r="BH13" i="7"/>
  <c r="BI13" i="7"/>
  <c r="BJ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73" i="7"/>
  <c r="X75" i="7"/>
  <c r="X76" i="7"/>
  <c r="X77" i="7"/>
  <c r="X78" i="7"/>
  <c r="X79" i="7"/>
  <c r="X80" i="7"/>
  <c r="X81" i="7"/>
  <c r="X82" i="7"/>
  <c r="X83" i="7"/>
  <c r="X84" i="7"/>
  <c r="X85" i="7"/>
  <c r="X86" i="7"/>
  <c r="X87" i="7"/>
  <c r="X88" i="7"/>
  <c r="X89" i="7"/>
  <c r="X90" i="7"/>
  <c r="X91" i="7"/>
  <c r="X92" i="7"/>
  <c r="X93" i="7"/>
  <c r="X94" i="7"/>
  <c r="X106" i="7"/>
  <c r="X107" i="7"/>
  <c r="X108" i="7"/>
  <c r="X109" i="7"/>
  <c r="X110" i="7"/>
  <c r="X111" i="7"/>
  <c r="X112" i="7"/>
  <c r="X113" i="7"/>
  <c r="X114" i="7"/>
  <c r="X115" i="7"/>
  <c r="X116" i="7"/>
  <c r="X117" i="7"/>
  <c r="X118" i="7"/>
  <c r="X119" i="7"/>
  <c r="X120" i="7"/>
  <c r="X121" i="7"/>
  <c r="X122" i="7"/>
  <c r="X123" i="7"/>
  <c r="X124" i="7"/>
  <c r="X125" i="7"/>
  <c r="X126" i="7"/>
  <c r="X127" i="7"/>
  <c r="X62" i="7"/>
  <c r="X63" i="7"/>
  <c r="X64" i="7"/>
  <c r="X65" i="7"/>
  <c r="X66" i="7"/>
  <c r="X67" i="7"/>
  <c r="X68" i="7"/>
  <c r="X69" i="7"/>
  <c r="X70" i="7"/>
  <c r="X71" i="7"/>
  <c r="X72" i="7"/>
  <c r="X128" i="7"/>
  <c r="X129" i="7"/>
  <c r="X130" i="7"/>
  <c r="X131" i="7"/>
  <c r="X132" i="7"/>
  <c r="X133" i="7"/>
  <c r="X134" i="7"/>
  <c r="X135" i="7"/>
  <c r="X136" i="7"/>
  <c r="X137" i="7"/>
  <c r="X138" i="7"/>
  <c r="X139" i="7"/>
  <c r="X140" i="7"/>
  <c r="X141" i="7"/>
  <c r="X142" i="7"/>
  <c r="X143" i="7"/>
  <c r="X144" i="7"/>
  <c r="X145" i="7"/>
  <c r="X146" i="7"/>
  <c r="X147" i="7"/>
  <c r="X148" i="7"/>
  <c r="X149" i="7"/>
  <c r="X315" i="7"/>
  <c r="X316" i="7"/>
  <c r="X317" i="7"/>
  <c r="X318" i="7"/>
  <c r="X319" i="7"/>
  <c r="X320" i="7"/>
  <c r="X321" i="7"/>
  <c r="X322" i="7"/>
  <c r="X323" i="7"/>
  <c r="X324" i="7"/>
  <c r="X325" i="7"/>
  <c r="X150" i="7"/>
  <c r="X151" i="7"/>
  <c r="X152" i="7"/>
  <c r="X153" i="7"/>
  <c r="X154" i="7"/>
  <c r="X155" i="7"/>
  <c r="X156" i="7"/>
  <c r="X157" i="7"/>
  <c r="X158" i="7"/>
  <c r="X159" i="7"/>
  <c r="X160" i="7"/>
  <c r="X161" i="7"/>
  <c r="X162" i="7"/>
  <c r="X163" i="7"/>
  <c r="X164" i="7"/>
  <c r="X165" i="7"/>
  <c r="X166" i="7"/>
  <c r="X167" i="7"/>
  <c r="X168" i="7"/>
  <c r="X169" i="7"/>
  <c r="X170" i="7"/>
  <c r="X171" i="7"/>
  <c r="X194" i="7"/>
  <c r="X195" i="7"/>
  <c r="X196" i="7"/>
  <c r="X197" i="7"/>
  <c r="X198" i="7"/>
  <c r="X199" i="7"/>
  <c r="X200" i="7"/>
  <c r="X201" i="7"/>
  <c r="X202" i="7"/>
  <c r="X203" i="7"/>
  <c r="X204" i="7"/>
  <c r="X172" i="7"/>
  <c r="X173" i="7"/>
  <c r="X174" i="7"/>
  <c r="X175" i="7"/>
  <c r="X176" i="7"/>
  <c r="X177" i="7"/>
  <c r="X178" i="7"/>
  <c r="X179" i="7"/>
  <c r="X180" i="7"/>
  <c r="X181" i="7"/>
  <c r="X182" i="7"/>
  <c r="X183" i="7"/>
  <c r="X184" i="7"/>
  <c r="X185" i="7"/>
  <c r="X186" i="7"/>
  <c r="X187" i="7"/>
  <c r="X188" i="7"/>
  <c r="X189" i="7"/>
  <c r="X190" i="7"/>
  <c r="X191" i="7"/>
  <c r="X192" i="7"/>
  <c r="X193" i="7"/>
  <c r="X205" i="7"/>
  <c r="X206" i="7"/>
  <c r="X207" i="7"/>
  <c r="X208" i="7"/>
  <c r="X209" i="7"/>
  <c r="X210" i="7"/>
  <c r="X211" i="7"/>
  <c r="X212" i="7"/>
  <c r="X213" i="7"/>
  <c r="X214" i="7"/>
  <c r="X215" i="7"/>
  <c r="X216" i="7"/>
  <c r="X217" i="7"/>
  <c r="X218" i="7"/>
  <c r="X219" i="7"/>
  <c r="X220" i="7"/>
  <c r="X221" i="7"/>
  <c r="X222" i="7"/>
  <c r="X223" i="7"/>
  <c r="X224" i="7"/>
  <c r="X225" i="7"/>
  <c r="X226" i="7"/>
  <c r="X326" i="7"/>
  <c r="X327" i="7"/>
  <c r="X328" i="7"/>
  <c r="X329" i="7"/>
  <c r="X330" i="7"/>
  <c r="X331" i="7"/>
  <c r="X332" i="7"/>
  <c r="X333" i="7"/>
  <c r="X334" i="7"/>
  <c r="X335" i="7"/>
  <c r="X33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82" i="7"/>
  <c r="X284" i="7"/>
  <c r="X285" i="7"/>
  <c r="X286" i="7"/>
  <c r="X287" i="7"/>
  <c r="X288" i="7"/>
  <c r="X289" i="7"/>
  <c r="X290" i="7"/>
  <c r="X291" i="7"/>
  <c r="X292" i="7"/>
  <c r="X271" i="7"/>
  <c r="X272" i="7"/>
  <c r="X273" i="7"/>
  <c r="X274" i="7"/>
  <c r="X275" i="7"/>
  <c r="X276" i="7"/>
  <c r="X277" i="7"/>
  <c r="X278" i="7"/>
  <c r="X279" i="7"/>
  <c r="X280" i="7"/>
  <c r="X281" i="7"/>
  <c r="X95" i="7"/>
  <c r="X96" i="7"/>
  <c r="X97" i="7"/>
  <c r="X98" i="7"/>
  <c r="X99" i="7"/>
  <c r="X100" i="7"/>
  <c r="X101" i="7"/>
  <c r="X102" i="7"/>
  <c r="X103" i="7"/>
  <c r="X104" i="7"/>
  <c r="X105" i="7"/>
  <c r="X260" i="7"/>
  <c r="X261" i="7"/>
  <c r="X262" i="7"/>
  <c r="X263" i="7"/>
  <c r="X264" i="7"/>
  <c r="X265" i="7"/>
  <c r="X266" i="7"/>
  <c r="X267" i="7"/>
  <c r="X268" i="7"/>
  <c r="X269" i="7"/>
  <c r="X270" i="7"/>
  <c r="X304" i="7"/>
  <c r="X305" i="7"/>
  <c r="X306" i="7"/>
  <c r="X307" i="7"/>
  <c r="X308" i="7"/>
  <c r="X309" i="7"/>
  <c r="X310" i="7"/>
  <c r="X311" i="7"/>
  <c r="X312" i="7"/>
  <c r="X313" i="7"/>
  <c r="X314" i="7"/>
  <c r="X293" i="7"/>
  <c r="X294" i="7"/>
  <c r="X295" i="7"/>
  <c r="X296" i="7"/>
  <c r="X297" i="7"/>
  <c r="X298" i="7"/>
  <c r="X299" i="7"/>
  <c r="X300" i="7"/>
  <c r="X301" i="7"/>
  <c r="X302" i="7"/>
  <c r="X303" i="7"/>
  <c r="F83" i="5"/>
  <c r="J83" i="5"/>
  <c r="K83" i="5"/>
  <c r="M83" i="5"/>
  <c r="P83" i="5"/>
  <c r="R83" i="5"/>
  <c r="F81" i="5"/>
  <c r="F114" i="5" s="1"/>
  <c r="F115" i="5" s="1"/>
  <c r="J81" i="5"/>
  <c r="J114" i="5" s="1"/>
  <c r="K81" i="5"/>
  <c r="K114" i="5" s="1"/>
  <c r="K115" i="5" s="1"/>
  <c r="M81" i="5"/>
  <c r="P81" i="5"/>
  <c r="P114" i="5" s="1"/>
  <c r="R81" i="5"/>
  <c r="AF114" i="5"/>
  <c r="AG114" i="5"/>
  <c r="AH114" i="5"/>
  <c r="F82" i="5"/>
  <c r="K82" i="5"/>
  <c r="M82" i="5"/>
  <c r="M116" i="5" s="1"/>
  <c r="P82" i="5"/>
  <c r="P116" i="5" s="1"/>
  <c r="R82" i="5"/>
  <c r="R116" i="5" s="1"/>
  <c r="W116" i="5"/>
  <c r="AF116" i="5"/>
  <c r="AG116" i="5"/>
  <c r="AH116" i="5"/>
  <c r="F84" i="5"/>
  <c r="F104" i="5" s="1"/>
  <c r="J84" i="5"/>
  <c r="K84" i="5"/>
  <c r="K104" i="5" s="1"/>
  <c r="M84" i="5"/>
  <c r="M104" i="5" s="1"/>
  <c r="P84" i="5"/>
  <c r="P104" i="5" s="1"/>
  <c r="R84" i="5"/>
  <c r="R104" i="5" s="1"/>
  <c r="W104" i="5"/>
  <c r="F80" i="5"/>
  <c r="J80" i="5"/>
  <c r="K80" i="5"/>
  <c r="M80" i="5"/>
  <c r="P80" i="5"/>
  <c r="R80" i="5"/>
  <c r="R85" i="5" s="1"/>
  <c r="W74" i="5"/>
  <c r="AG74" i="5"/>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B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B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B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B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B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12" i="14"/>
  <c r="D12" i="14"/>
  <c r="E12" i="14"/>
  <c r="F12" i="14"/>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AF12" i="14"/>
  <c r="AG12" i="14"/>
  <c r="B13" i="14"/>
  <c r="D13" i="14"/>
  <c r="E13" i="14"/>
  <c r="F13" i="14"/>
  <c r="G13" i="14"/>
  <c r="H13"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B14" i="14"/>
  <c r="D14" i="14"/>
  <c r="E14" i="14"/>
  <c r="F14" i="14"/>
  <c r="G14" i="14"/>
  <c r="H14" i="14"/>
  <c r="I14" i="14"/>
  <c r="J14" i="14"/>
  <c r="K14" i="14"/>
  <c r="L14" i="14"/>
  <c r="M14" i="14"/>
  <c r="N14" i="14"/>
  <c r="O14" i="14"/>
  <c r="P14" i="14"/>
  <c r="Q14" i="14"/>
  <c r="R14" i="14"/>
  <c r="S14" i="14"/>
  <c r="T14" i="14"/>
  <c r="U14" i="14"/>
  <c r="V14" i="14"/>
  <c r="W14" i="14"/>
  <c r="X14" i="14"/>
  <c r="Y14" i="14"/>
  <c r="Z14" i="14"/>
  <c r="AA14" i="14"/>
  <c r="AB14" i="14"/>
  <c r="AC14" i="14"/>
  <c r="AD14" i="14"/>
  <c r="AE14" i="14"/>
  <c r="AF14" i="14"/>
  <c r="AG14" i="14"/>
  <c r="B15" i="14"/>
  <c r="D15" i="14"/>
  <c r="E15" i="14"/>
  <c r="F15" i="14"/>
  <c r="G15" i="14"/>
  <c r="H15" i="14"/>
  <c r="I15" i="14"/>
  <c r="J15" i="14"/>
  <c r="K15" i="14"/>
  <c r="L15" i="14"/>
  <c r="M15" i="14"/>
  <c r="N15" i="14"/>
  <c r="O15" i="14"/>
  <c r="P15" i="14"/>
  <c r="Q15" i="14"/>
  <c r="R15" i="14"/>
  <c r="S15" i="14"/>
  <c r="T15" i="14"/>
  <c r="U15" i="14"/>
  <c r="V15" i="14"/>
  <c r="W15" i="14"/>
  <c r="X15" i="14"/>
  <c r="Y15" i="14"/>
  <c r="Z15" i="14"/>
  <c r="AA15" i="14"/>
  <c r="AB15" i="14"/>
  <c r="AC15" i="14"/>
  <c r="AD15" i="14"/>
  <c r="AE15" i="14"/>
  <c r="AF15" i="14"/>
  <c r="AG15" i="14"/>
  <c r="B16" i="14"/>
  <c r="D16" i="14"/>
  <c r="E16" i="14"/>
  <c r="F16" i="14"/>
  <c r="G16" i="14"/>
  <c r="H16" i="14"/>
  <c r="I16" i="14"/>
  <c r="J16" i="14"/>
  <c r="K16" i="14"/>
  <c r="L16" i="14"/>
  <c r="M16" i="14"/>
  <c r="N16" i="14"/>
  <c r="O16" i="14"/>
  <c r="P16" i="14"/>
  <c r="Q16" i="14"/>
  <c r="R16" i="14"/>
  <c r="S16" i="14"/>
  <c r="T16" i="14"/>
  <c r="U16" i="14"/>
  <c r="V16" i="14"/>
  <c r="W16" i="14"/>
  <c r="X16" i="14"/>
  <c r="Y16" i="14"/>
  <c r="Z16" i="14"/>
  <c r="AA16" i="14"/>
  <c r="AB16" i="14"/>
  <c r="AC16" i="14"/>
  <c r="AD16" i="14"/>
  <c r="AE16" i="14"/>
  <c r="AF16" i="14"/>
  <c r="AG16" i="14"/>
  <c r="B17" i="14"/>
  <c r="D17" i="14"/>
  <c r="E17" i="14"/>
  <c r="F17" i="14"/>
  <c r="G17" i="14"/>
  <c r="H17"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B18" i="14"/>
  <c r="D18" i="14"/>
  <c r="C18" i="14" s="1"/>
  <c r="E18"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B19" i="14"/>
  <c r="D19" i="14"/>
  <c r="E19" i="14"/>
  <c r="F19"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B20" i="14"/>
  <c r="D20" i="14"/>
  <c r="E20" i="14"/>
  <c r="F20" i="14"/>
  <c r="G20" i="14"/>
  <c r="H20" i="14"/>
  <c r="I20" i="14"/>
  <c r="J20" i="14"/>
  <c r="K20" i="14"/>
  <c r="L20" i="14"/>
  <c r="M20" i="14"/>
  <c r="N20" i="14"/>
  <c r="O20" i="14"/>
  <c r="P20" i="14"/>
  <c r="Q20" i="14"/>
  <c r="R20" i="14"/>
  <c r="S20" i="14"/>
  <c r="T20" i="14"/>
  <c r="U20" i="14"/>
  <c r="V20" i="14"/>
  <c r="W20" i="14"/>
  <c r="X20" i="14"/>
  <c r="Y20" i="14"/>
  <c r="Z20" i="14"/>
  <c r="AA20" i="14"/>
  <c r="AB20" i="14"/>
  <c r="AC20" i="14"/>
  <c r="AD20" i="14"/>
  <c r="AE20" i="14"/>
  <c r="AF20" i="14"/>
  <c r="AG20" i="14"/>
  <c r="B21" i="14"/>
  <c r="D21" i="14"/>
  <c r="E21" i="14"/>
  <c r="F21" i="14"/>
  <c r="G21" i="14"/>
  <c r="G81" i="14" s="1"/>
  <c r="H21" i="14"/>
  <c r="I21" i="14"/>
  <c r="I81" i="14" s="1"/>
  <c r="J21" i="14"/>
  <c r="K21" i="14"/>
  <c r="K81" i="14" s="1"/>
  <c r="L21" i="14"/>
  <c r="M21" i="14"/>
  <c r="N21" i="14"/>
  <c r="O21" i="14"/>
  <c r="O81" i="14" s="1"/>
  <c r="P21" i="14"/>
  <c r="Q21" i="14"/>
  <c r="Q81" i="14" s="1"/>
  <c r="R21" i="14"/>
  <c r="S21" i="14"/>
  <c r="S81" i="14" s="1"/>
  <c r="T21" i="14"/>
  <c r="U21" i="14"/>
  <c r="V21" i="14"/>
  <c r="W21" i="14"/>
  <c r="W81" i="14" s="1"/>
  <c r="X21" i="14"/>
  <c r="X81" i="14" s="1"/>
  <c r="Y21" i="14"/>
  <c r="Y81" i="14" s="1"/>
  <c r="Z21" i="14"/>
  <c r="AA21" i="14"/>
  <c r="AA81" i="14" s="1"/>
  <c r="AB21" i="14"/>
  <c r="AC21" i="14"/>
  <c r="AD21" i="14"/>
  <c r="AE21" i="14"/>
  <c r="AE81" i="14" s="1"/>
  <c r="AF21" i="14"/>
  <c r="AG21" i="14"/>
  <c r="AG81" i="14" s="1"/>
  <c r="B22" i="14"/>
  <c r="D22" i="14"/>
  <c r="E22" i="14"/>
  <c r="F22" i="14"/>
  <c r="G22" i="14"/>
  <c r="H22" i="14"/>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AH276" i="5" s="1"/>
  <c r="B23" i="14"/>
  <c r="D23" i="14"/>
  <c r="E23" i="14"/>
  <c r="F23" i="14"/>
  <c r="F82" i="14" s="1"/>
  <c r="G23" i="14"/>
  <c r="H23" i="14"/>
  <c r="I23" i="14"/>
  <c r="J23" i="14"/>
  <c r="K23" i="14"/>
  <c r="L23" i="14"/>
  <c r="M23" i="14"/>
  <c r="N23" i="14"/>
  <c r="N82" i="14" s="1"/>
  <c r="O23" i="14"/>
  <c r="P23" i="14"/>
  <c r="Q23" i="14"/>
  <c r="R23" i="14"/>
  <c r="S23" i="14"/>
  <c r="T23" i="14"/>
  <c r="U23" i="14"/>
  <c r="V23" i="14"/>
  <c r="W23" i="14"/>
  <c r="X23" i="14"/>
  <c r="X82" i="14" s="1"/>
  <c r="Y23" i="14"/>
  <c r="Z23" i="14"/>
  <c r="AA23" i="14"/>
  <c r="AB23" i="14"/>
  <c r="AC23" i="14"/>
  <c r="AD23" i="14"/>
  <c r="AE23" i="14"/>
  <c r="AF23" i="14"/>
  <c r="AF82" i="14" s="1"/>
  <c r="AG23" i="14"/>
  <c r="B24" i="14"/>
  <c r="D24" i="14"/>
  <c r="D85" i="14" s="1"/>
  <c r="E24" i="14"/>
  <c r="F24" i="14"/>
  <c r="F85" i="14" s="1"/>
  <c r="G24" i="14"/>
  <c r="H24" i="14"/>
  <c r="H85" i="14" s="1"/>
  <c r="I24" i="14"/>
  <c r="I85" i="14" s="1"/>
  <c r="J24" i="14"/>
  <c r="J85" i="14" s="1"/>
  <c r="K24" i="14"/>
  <c r="L24" i="14"/>
  <c r="L85" i="14" s="1"/>
  <c r="M24" i="14"/>
  <c r="N24" i="14"/>
  <c r="N85" i="14" s="1"/>
  <c r="O24" i="14"/>
  <c r="P24" i="14"/>
  <c r="P85" i="14" s="1"/>
  <c r="Q24" i="14"/>
  <c r="Q85" i="14"/>
  <c r="R24" i="14"/>
  <c r="R85" i="14" s="1"/>
  <c r="S24" i="14"/>
  <c r="T24" i="14"/>
  <c r="T85" i="14" s="1"/>
  <c r="U24" i="14"/>
  <c r="V24" i="14"/>
  <c r="V85" i="14" s="1"/>
  <c r="W24" i="14"/>
  <c r="X24" i="14"/>
  <c r="X85" i="14" s="1"/>
  <c r="Y24" i="14"/>
  <c r="Y85" i="14" s="1"/>
  <c r="Z24" i="14"/>
  <c r="Z85" i="14" s="1"/>
  <c r="AA24" i="14"/>
  <c r="AB24" i="14"/>
  <c r="AB85" i="14" s="1"/>
  <c r="AC24" i="14"/>
  <c r="AD24" i="14"/>
  <c r="AD85" i="14" s="1"/>
  <c r="AE24" i="14"/>
  <c r="AF24" i="14"/>
  <c r="AF85" i="14" s="1"/>
  <c r="AG24" i="14"/>
  <c r="AG85" i="14" s="1"/>
  <c r="B25" i="14"/>
  <c r="D25" i="14"/>
  <c r="E25" i="14"/>
  <c r="F25" i="14"/>
  <c r="G25"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AG25" i="14"/>
  <c r="B26" i="14"/>
  <c r="D26" i="14"/>
  <c r="E26" i="14"/>
  <c r="F26" i="14"/>
  <c r="G26" i="14"/>
  <c r="H26" i="14"/>
  <c r="H86" i="14" s="1"/>
  <c r="I26" i="14"/>
  <c r="J26" i="14"/>
  <c r="K26" i="14"/>
  <c r="L26" i="14"/>
  <c r="M26" i="14"/>
  <c r="N26" i="14"/>
  <c r="N86" i="14" s="1"/>
  <c r="O26" i="14"/>
  <c r="P26" i="14"/>
  <c r="Q26" i="14"/>
  <c r="R26" i="14"/>
  <c r="S26" i="14"/>
  <c r="T26" i="14"/>
  <c r="U26" i="14"/>
  <c r="V26" i="14"/>
  <c r="W26" i="14"/>
  <c r="X26" i="14"/>
  <c r="X86" i="14" s="1"/>
  <c r="Y26" i="14"/>
  <c r="Z26" i="14"/>
  <c r="AA26" i="14"/>
  <c r="AB26" i="14"/>
  <c r="AC26" i="14"/>
  <c r="AD26" i="14"/>
  <c r="AE26" i="14"/>
  <c r="AF26" i="14"/>
  <c r="AF86" i="14" s="1"/>
  <c r="AG26" i="14"/>
  <c r="B27" i="14"/>
  <c r="D27" i="14"/>
  <c r="D83" i="14" s="1"/>
  <c r="E27" i="14"/>
  <c r="E83" i="14" s="1"/>
  <c r="F27" i="14"/>
  <c r="G27" i="14"/>
  <c r="H284" i="5" s="1"/>
  <c r="F134" i="18" s="1"/>
  <c r="H27" i="14"/>
  <c r="I27" i="14"/>
  <c r="I83" i="14" s="1"/>
  <c r="J27" i="14"/>
  <c r="K284" i="5" s="1"/>
  <c r="F137" i="18" s="1"/>
  <c r="K27" i="14"/>
  <c r="L284" i="5" s="1"/>
  <c r="F138" i="18" s="1"/>
  <c r="L27" i="14"/>
  <c r="M27" i="14"/>
  <c r="M83" i="14" s="1"/>
  <c r="N27" i="14"/>
  <c r="O284" i="5" s="1"/>
  <c r="F141" i="18" s="1"/>
  <c r="O27" i="14"/>
  <c r="P284" i="5" s="1"/>
  <c r="F142" i="18" s="1"/>
  <c r="P27" i="14"/>
  <c r="Q27" i="14"/>
  <c r="R27" i="14"/>
  <c r="S284" i="5" s="1"/>
  <c r="F145" i="18" s="1"/>
  <c r="S27" i="14"/>
  <c r="T27" i="14"/>
  <c r="U27" i="14"/>
  <c r="V27" i="14"/>
  <c r="W284" i="5" s="1"/>
  <c r="F149" i="18" s="1"/>
  <c r="W27" i="14"/>
  <c r="X27" i="14"/>
  <c r="Y27" i="14"/>
  <c r="Y83" i="14" s="1"/>
  <c r="Z27" i="14"/>
  <c r="AA27" i="14"/>
  <c r="AB284" i="5" s="1"/>
  <c r="F154" i="18" s="1"/>
  <c r="AB27" i="14"/>
  <c r="AC284" i="5" s="1"/>
  <c r="F155" i="18" s="1"/>
  <c r="AC27" i="14"/>
  <c r="AC83" i="14" s="1"/>
  <c r="AD27" i="14"/>
  <c r="AE27" i="14"/>
  <c r="AF284" i="5" s="1"/>
  <c r="F158" i="18" s="1"/>
  <c r="AF27" i="14"/>
  <c r="AG284" i="5" s="1"/>
  <c r="F159" i="18" s="1"/>
  <c r="AG27" i="14"/>
  <c r="B28" i="14"/>
  <c r="D28" i="14"/>
  <c r="E28" i="14"/>
  <c r="F28" i="14"/>
  <c r="G28"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AG28" i="14"/>
  <c r="B29" i="14"/>
  <c r="D29" i="14"/>
  <c r="E29" i="14"/>
  <c r="F29" i="14"/>
  <c r="G29" i="14"/>
  <c r="H29" i="14"/>
  <c r="I29" i="14"/>
  <c r="J29" i="14"/>
  <c r="K29" i="14"/>
  <c r="L29" i="14"/>
  <c r="M29" i="14"/>
  <c r="N29" i="14"/>
  <c r="O29" i="14"/>
  <c r="P29" i="14"/>
  <c r="Q29" i="14"/>
  <c r="R29" i="14"/>
  <c r="S29" i="14"/>
  <c r="T29" i="14"/>
  <c r="U29" i="14"/>
  <c r="V29" i="14"/>
  <c r="W29" i="14"/>
  <c r="X29" i="14"/>
  <c r="Y29" i="14"/>
  <c r="Z29" i="14"/>
  <c r="Z84" i="14" s="1"/>
  <c r="AA29" i="14"/>
  <c r="AB29" i="14"/>
  <c r="AC29" i="14"/>
  <c r="AD29" i="14"/>
  <c r="AD84" i="14" s="1"/>
  <c r="AE29" i="14"/>
  <c r="AF29" i="14"/>
  <c r="AG29" i="14"/>
  <c r="B30" i="14"/>
  <c r="D30" i="14"/>
  <c r="D87" i="14" s="1"/>
  <c r="E30" i="14"/>
  <c r="E87" i="14" s="1"/>
  <c r="F30" i="14"/>
  <c r="F87" i="14" s="1"/>
  <c r="G30" i="14"/>
  <c r="G87" i="14" s="1"/>
  <c r="H30" i="14"/>
  <c r="H87" i="14" s="1"/>
  <c r="I30" i="14"/>
  <c r="I87" i="14" s="1"/>
  <c r="J30" i="14"/>
  <c r="J87" i="14" s="1"/>
  <c r="K30" i="14"/>
  <c r="K87" i="14" s="1"/>
  <c r="L30" i="14"/>
  <c r="L87" i="14" s="1"/>
  <c r="M30" i="14"/>
  <c r="M87" i="14" s="1"/>
  <c r="N30" i="14"/>
  <c r="N87" i="14" s="1"/>
  <c r="O30" i="14"/>
  <c r="O87" i="14" s="1"/>
  <c r="P30" i="14"/>
  <c r="Q30" i="14"/>
  <c r="Q87" i="14" s="1"/>
  <c r="R30" i="14"/>
  <c r="R87" i="14" s="1"/>
  <c r="S30" i="14"/>
  <c r="S87" i="14" s="1"/>
  <c r="T30" i="14"/>
  <c r="T87" i="14" s="1"/>
  <c r="U30" i="14"/>
  <c r="U87" i="14" s="1"/>
  <c r="V30" i="14"/>
  <c r="W30" i="14"/>
  <c r="W87" i="14" s="1"/>
  <c r="X30" i="14"/>
  <c r="Y30" i="14"/>
  <c r="Y87" i="14" s="1"/>
  <c r="Z30" i="14"/>
  <c r="Z87" i="14" s="1"/>
  <c r="AA30" i="14"/>
  <c r="AA87" i="14" s="1"/>
  <c r="AB30" i="14"/>
  <c r="AB87" i="14" s="1"/>
  <c r="AC30" i="14"/>
  <c r="AC87" i="14" s="1"/>
  <c r="AD30" i="14"/>
  <c r="AE30" i="14"/>
  <c r="AE87" i="14" s="1"/>
  <c r="AF30" i="14"/>
  <c r="AG30" i="14"/>
  <c r="AG87" i="14" s="1"/>
  <c r="B31" i="14"/>
  <c r="D31" i="14"/>
  <c r="E31" i="14"/>
  <c r="F31" i="14"/>
  <c r="G31" i="14"/>
  <c r="H264" i="5" s="1"/>
  <c r="H31" i="14"/>
  <c r="I31" i="14"/>
  <c r="J31" i="14"/>
  <c r="K31" i="14"/>
  <c r="L264" i="5" s="1"/>
  <c r="L31" i="14"/>
  <c r="M31" i="14"/>
  <c r="N31" i="14"/>
  <c r="O31" i="14"/>
  <c r="P264" i="5" s="1"/>
  <c r="P31" i="14"/>
  <c r="Q31" i="14"/>
  <c r="R31" i="14"/>
  <c r="S31" i="14"/>
  <c r="T264" i="5" s="1"/>
  <c r="T31" i="14"/>
  <c r="U31" i="14"/>
  <c r="V31" i="14"/>
  <c r="W31" i="14"/>
  <c r="X31" i="14"/>
  <c r="Y31" i="14"/>
  <c r="Z31" i="14"/>
  <c r="AA31" i="14"/>
  <c r="AB31" i="14"/>
  <c r="AC31" i="14"/>
  <c r="AD31" i="14"/>
  <c r="AE31" i="14"/>
  <c r="AF264" i="5" s="1"/>
  <c r="AF31" i="14"/>
  <c r="AG31" i="14"/>
  <c r="B32" i="14"/>
  <c r="D32" i="14"/>
  <c r="D88" i="14" s="1"/>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B33" i="14"/>
  <c r="D33" i="14"/>
  <c r="E33" i="14"/>
  <c r="F33" i="14"/>
  <c r="G33" i="14"/>
  <c r="H33" i="14"/>
  <c r="I33" i="14"/>
  <c r="J33" i="14"/>
  <c r="K33" i="14"/>
  <c r="L33" i="14"/>
  <c r="M33" i="14"/>
  <c r="N33" i="14"/>
  <c r="O33" i="14"/>
  <c r="P33" i="14"/>
  <c r="Q33" i="14"/>
  <c r="R33" i="14"/>
  <c r="S33" i="14"/>
  <c r="T33" i="14"/>
  <c r="U33" i="14"/>
  <c r="V33" i="14"/>
  <c r="W33" i="14"/>
  <c r="X33" i="14"/>
  <c r="Y33" i="14"/>
  <c r="Z33" i="14"/>
  <c r="AA33" i="14"/>
  <c r="AB33" i="14"/>
  <c r="AC33" i="14"/>
  <c r="AD33" i="14"/>
  <c r="AE33" i="14"/>
  <c r="AF33" i="14"/>
  <c r="AG33" i="14"/>
  <c r="B34" i="14"/>
  <c r="D34" i="14"/>
  <c r="E34" i="14"/>
  <c r="F34" i="14"/>
  <c r="G34" i="14"/>
  <c r="H34" i="14"/>
  <c r="I34" i="14"/>
  <c r="J34" i="14"/>
  <c r="K34" i="14"/>
  <c r="L34" i="14"/>
  <c r="M34" i="14"/>
  <c r="N34" i="14"/>
  <c r="O34" i="14"/>
  <c r="P34" i="14"/>
  <c r="Q34" i="14"/>
  <c r="R34" i="14"/>
  <c r="S34" i="14"/>
  <c r="T34" i="14"/>
  <c r="U34" i="14"/>
  <c r="V34" i="14"/>
  <c r="W34" i="14"/>
  <c r="X34" i="14"/>
  <c r="Y34" i="14"/>
  <c r="Z34" i="14"/>
  <c r="AA34" i="14"/>
  <c r="AB34" i="14"/>
  <c r="AC34" i="14"/>
  <c r="AD34" i="14"/>
  <c r="AE34" i="14"/>
  <c r="AF34" i="14"/>
  <c r="AG34" i="14"/>
  <c r="B35" i="14"/>
  <c r="D35" i="14"/>
  <c r="E35" i="14"/>
  <c r="F35" i="14"/>
  <c r="G35" i="14"/>
  <c r="G90" i="14" s="1"/>
  <c r="H35" i="14"/>
  <c r="I35" i="14"/>
  <c r="J35" i="14"/>
  <c r="K35" i="14"/>
  <c r="L35" i="14"/>
  <c r="L90" i="14" s="1"/>
  <c r="M35" i="14"/>
  <c r="N35" i="14"/>
  <c r="O35" i="14"/>
  <c r="O90" i="14" s="1"/>
  <c r="P35" i="14"/>
  <c r="P90" i="14" s="1"/>
  <c r="Q35" i="14"/>
  <c r="R35" i="14"/>
  <c r="S35" i="14"/>
  <c r="T35" i="14"/>
  <c r="U35" i="14"/>
  <c r="V35" i="14"/>
  <c r="W35" i="14"/>
  <c r="X35" i="14"/>
  <c r="X90" i="14" s="1"/>
  <c r="Y35" i="14"/>
  <c r="Z35" i="14"/>
  <c r="AA35" i="14"/>
  <c r="AB35" i="14"/>
  <c r="AC35" i="14"/>
  <c r="AD35" i="14"/>
  <c r="AE35" i="14"/>
  <c r="AE90" i="14" s="1"/>
  <c r="AF35" i="14"/>
  <c r="AF90" i="14" s="1"/>
  <c r="AG35" i="14"/>
  <c r="B36" i="14"/>
  <c r="D36" i="14"/>
  <c r="E36" i="14"/>
  <c r="E93" i="14" s="1"/>
  <c r="F36" i="14"/>
  <c r="G36" i="14"/>
  <c r="H36" i="14"/>
  <c r="I36" i="14"/>
  <c r="I93" i="14" s="1"/>
  <c r="J36" i="14"/>
  <c r="K36" i="14"/>
  <c r="L36" i="14"/>
  <c r="L93" i="14" s="1"/>
  <c r="M36" i="14"/>
  <c r="M93" i="14" s="1"/>
  <c r="N36" i="14"/>
  <c r="O36" i="14"/>
  <c r="P36" i="14"/>
  <c r="Q36" i="14"/>
  <c r="Q93" i="14" s="1"/>
  <c r="R36" i="14"/>
  <c r="S36" i="14"/>
  <c r="T36" i="14"/>
  <c r="T93" i="14" s="1"/>
  <c r="U36" i="14"/>
  <c r="U93" i="14" s="1"/>
  <c r="V36" i="14"/>
  <c r="W36" i="14"/>
  <c r="X36" i="14"/>
  <c r="Y36" i="14"/>
  <c r="Y93" i="14" s="1"/>
  <c r="Z36" i="14"/>
  <c r="AA36" i="14"/>
  <c r="AB36" i="14"/>
  <c r="AB93" i="14" s="1"/>
  <c r="AC36" i="14"/>
  <c r="AC93" i="14" s="1"/>
  <c r="AD36" i="14"/>
  <c r="AE36" i="14"/>
  <c r="AF36" i="14"/>
  <c r="AG36" i="14"/>
  <c r="AG93" i="14" s="1"/>
  <c r="B37" i="14"/>
  <c r="D37" i="14"/>
  <c r="E37" i="14"/>
  <c r="E94" i="14" s="1"/>
  <c r="F37" i="14"/>
  <c r="G37" i="14"/>
  <c r="H37" i="14"/>
  <c r="I37" i="14"/>
  <c r="J37" i="14"/>
  <c r="K37" i="14"/>
  <c r="L37" i="14"/>
  <c r="M37" i="14"/>
  <c r="M94" i="14" s="1"/>
  <c r="N37" i="14"/>
  <c r="O37" i="14"/>
  <c r="P37" i="14"/>
  <c r="Q37" i="14"/>
  <c r="R37" i="14"/>
  <c r="S37" i="14"/>
  <c r="T37" i="14"/>
  <c r="U37" i="14"/>
  <c r="U94" i="14" s="1"/>
  <c r="V37" i="14"/>
  <c r="W37" i="14"/>
  <c r="X37" i="14"/>
  <c r="Y37" i="14"/>
  <c r="Z37" i="14"/>
  <c r="AA37" i="14"/>
  <c r="AB37" i="14"/>
  <c r="AC37" i="14"/>
  <c r="AC94" i="14" s="1"/>
  <c r="AD37" i="14"/>
  <c r="AE37" i="14"/>
  <c r="AF37" i="14"/>
  <c r="AG37" i="14"/>
  <c r="B38" i="14"/>
  <c r="D38"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B39" i="14"/>
  <c r="D39" i="14"/>
  <c r="D91" i="14" s="1"/>
  <c r="E39" i="14"/>
  <c r="F39" i="14"/>
  <c r="G39" i="14"/>
  <c r="G91" i="14" s="1"/>
  <c r="H39" i="14"/>
  <c r="H91" i="14" s="1"/>
  <c r="I39" i="14"/>
  <c r="J39" i="14"/>
  <c r="K39" i="14"/>
  <c r="L39" i="14"/>
  <c r="L91" i="14" s="1"/>
  <c r="M39" i="14"/>
  <c r="N39" i="14"/>
  <c r="O39" i="14"/>
  <c r="O91" i="14" s="1"/>
  <c r="P39" i="14"/>
  <c r="P91" i="14" s="1"/>
  <c r="Q39" i="14"/>
  <c r="R39" i="14"/>
  <c r="S39" i="14"/>
  <c r="T39" i="14"/>
  <c r="T91" i="14" s="1"/>
  <c r="U39" i="14"/>
  <c r="V39" i="14"/>
  <c r="W39" i="14"/>
  <c r="W91" i="14" s="1"/>
  <c r="X39" i="14"/>
  <c r="X91" i="14" s="1"/>
  <c r="Y39" i="14"/>
  <c r="Z39" i="14"/>
  <c r="AA39" i="14"/>
  <c r="AB39" i="14"/>
  <c r="AB91" i="14" s="1"/>
  <c r="AC39" i="14"/>
  <c r="AD39" i="14"/>
  <c r="AE39" i="14"/>
  <c r="AE91" i="14" s="1"/>
  <c r="AF39" i="14"/>
  <c r="AF91" i="14" s="1"/>
  <c r="AG39" i="14"/>
  <c r="B40" i="14"/>
  <c r="D40" i="14"/>
  <c r="E40" i="14"/>
  <c r="F40" i="14"/>
  <c r="G40" i="14"/>
  <c r="H40" i="14"/>
  <c r="H92" i="14" s="1"/>
  <c r="I40" i="14"/>
  <c r="J40" i="14"/>
  <c r="K40" i="14"/>
  <c r="L40" i="14"/>
  <c r="M40" i="14"/>
  <c r="N40" i="14"/>
  <c r="O40" i="14"/>
  <c r="P40" i="14"/>
  <c r="P92" i="14" s="1"/>
  <c r="Q40" i="14"/>
  <c r="R40" i="14"/>
  <c r="S40" i="14"/>
  <c r="T40" i="14"/>
  <c r="U40" i="14"/>
  <c r="V40" i="14"/>
  <c r="W40" i="14"/>
  <c r="X40" i="14"/>
  <c r="X92" i="14" s="1"/>
  <c r="Y40" i="14"/>
  <c r="Z40" i="14"/>
  <c r="AA40" i="14"/>
  <c r="AB40" i="14"/>
  <c r="AC40" i="14"/>
  <c r="AD40" i="14"/>
  <c r="AE40" i="14"/>
  <c r="AF40" i="14"/>
  <c r="AF92" i="14" s="1"/>
  <c r="AG40" i="14"/>
  <c r="B41" i="14"/>
  <c r="D41" i="14"/>
  <c r="E41" i="14"/>
  <c r="F41" i="14"/>
  <c r="G41" i="14"/>
  <c r="H41" i="14"/>
  <c r="I41" i="14"/>
  <c r="J41" i="14"/>
  <c r="K41" i="14"/>
  <c r="L41" i="14"/>
  <c r="M41" i="14"/>
  <c r="N41" i="14"/>
  <c r="O41" i="14"/>
  <c r="P41" i="14"/>
  <c r="Q41" i="14"/>
  <c r="R41" i="14"/>
  <c r="S41" i="14"/>
  <c r="T41" i="14"/>
  <c r="U41" i="14"/>
  <c r="V41" i="14"/>
  <c r="W41" i="14"/>
  <c r="X41" i="14"/>
  <c r="Y41" i="14"/>
  <c r="Y92" i="14" s="1"/>
  <c r="Z41" i="14"/>
  <c r="AA41" i="14"/>
  <c r="AB41" i="14"/>
  <c r="AC41" i="14"/>
  <c r="AD41" i="14"/>
  <c r="AE41" i="14"/>
  <c r="AF41" i="14"/>
  <c r="AG41" i="14"/>
  <c r="AG92" i="14" s="1"/>
  <c r="B42" i="14"/>
  <c r="D42" i="14"/>
  <c r="E42" i="14"/>
  <c r="E95" i="14" s="1"/>
  <c r="F42" i="14"/>
  <c r="F95" i="14" s="1"/>
  <c r="G42" i="14"/>
  <c r="G95" i="14" s="1"/>
  <c r="H42" i="14"/>
  <c r="H95" i="14" s="1"/>
  <c r="I42" i="14"/>
  <c r="I95" i="14" s="1"/>
  <c r="J42" i="14"/>
  <c r="K42" i="14"/>
  <c r="K95" i="14" s="1"/>
  <c r="L42" i="14"/>
  <c r="M42" i="14"/>
  <c r="N42" i="14"/>
  <c r="N95" i="14" s="1"/>
  <c r="O42" i="14"/>
  <c r="O95" i="14" s="1"/>
  <c r="P42" i="14"/>
  <c r="P95" i="14" s="1"/>
  <c r="Q42" i="14"/>
  <c r="Q95" i="14" s="1"/>
  <c r="R42" i="14"/>
  <c r="S42" i="14"/>
  <c r="S95" i="14" s="1"/>
  <c r="T42" i="14"/>
  <c r="U42" i="14"/>
  <c r="U95" i="14" s="1"/>
  <c r="V42" i="14"/>
  <c r="V95" i="14" s="1"/>
  <c r="W42" i="14"/>
  <c r="W95" i="14" s="1"/>
  <c r="X42" i="14"/>
  <c r="X95" i="14" s="1"/>
  <c r="Y42" i="14"/>
  <c r="Y95" i="14" s="1"/>
  <c r="Z42" i="14"/>
  <c r="AA42" i="14"/>
  <c r="AA95" i="14" s="1"/>
  <c r="AB42" i="14"/>
  <c r="AC42" i="14"/>
  <c r="AD42" i="14"/>
  <c r="AD95" i="14" s="1"/>
  <c r="AE42" i="14"/>
  <c r="AE95" i="14" s="1"/>
  <c r="AF42" i="14"/>
  <c r="AF95" i="14" s="1"/>
  <c r="AG42" i="14"/>
  <c r="AG95" i="14" s="1"/>
  <c r="B43" i="14"/>
  <c r="D43" i="14"/>
  <c r="E43" i="14"/>
  <c r="F43" i="14"/>
  <c r="G43" i="14"/>
  <c r="H43" i="14"/>
  <c r="I43" i="14"/>
  <c r="J43" i="14"/>
  <c r="J96" i="14" s="1"/>
  <c r="K43" i="14"/>
  <c r="L43" i="14"/>
  <c r="M43" i="14"/>
  <c r="N43" i="14"/>
  <c r="O43" i="14"/>
  <c r="P43" i="14"/>
  <c r="Q43" i="14"/>
  <c r="R43" i="14"/>
  <c r="R96" i="14" s="1"/>
  <c r="S43" i="14"/>
  <c r="T43" i="14"/>
  <c r="U43" i="14"/>
  <c r="V43" i="14"/>
  <c r="W43" i="14"/>
  <c r="X43" i="14"/>
  <c r="Y43" i="14"/>
  <c r="Z43" i="14"/>
  <c r="Z96" i="14" s="1"/>
  <c r="AA43" i="14"/>
  <c r="AB43" i="14"/>
  <c r="AC43" i="14"/>
  <c r="AD43" i="14"/>
  <c r="AE43" i="14"/>
  <c r="AF43" i="14"/>
  <c r="AG43" i="14"/>
  <c r="B44" i="14"/>
  <c r="D44" i="14"/>
  <c r="E44" i="14"/>
  <c r="F44" i="14"/>
  <c r="G44" i="14"/>
  <c r="H44" i="14"/>
  <c r="I44" i="14"/>
  <c r="J44" i="14"/>
  <c r="K44" i="14"/>
  <c r="L44" i="14"/>
  <c r="M44" i="14"/>
  <c r="N44" i="14"/>
  <c r="O44" i="14"/>
  <c r="P44" i="14"/>
  <c r="Q44" i="14"/>
  <c r="Q96" i="14" s="1"/>
  <c r="R44" i="14"/>
  <c r="S44" i="14"/>
  <c r="S96" i="14" s="1"/>
  <c r="T44" i="14"/>
  <c r="U44" i="14"/>
  <c r="V44" i="14"/>
  <c r="W44" i="14"/>
  <c r="X44" i="14"/>
  <c r="Y44" i="14"/>
  <c r="Y96" i="14" s="1"/>
  <c r="Z44" i="14"/>
  <c r="AA44" i="14"/>
  <c r="AA96" i="14" s="1"/>
  <c r="AB44" i="14"/>
  <c r="AC44" i="14"/>
  <c r="AD44" i="14"/>
  <c r="AE44" i="14"/>
  <c r="AF44" i="14"/>
  <c r="AF96" i="14" s="1"/>
  <c r="AG44" i="14"/>
  <c r="AG96" i="14" s="1"/>
  <c r="B45" i="14"/>
  <c r="D45" i="14"/>
  <c r="D97" i="14" s="1"/>
  <c r="E45" i="14"/>
  <c r="F45" i="14"/>
  <c r="F97" i="14" s="1"/>
  <c r="G45" i="14"/>
  <c r="H45" i="14"/>
  <c r="I45" i="14"/>
  <c r="J45" i="14"/>
  <c r="J97" i="14" s="1"/>
  <c r="K45" i="14"/>
  <c r="L45" i="14"/>
  <c r="L97" i="14" s="1"/>
  <c r="M45" i="14"/>
  <c r="N45" i="14"/>
  <c r="N97" i="14" s="1"/>
  <c r="O45" i="14"/>
  <c r="P45" i="14"/>
  <c r="Q45" i="14"/>
  <c r="R45" i="14"/>
  <c r="R97" i="14" s="1"/>
  <c r="S45" i="14"/>
  <c r="T45" i="14"/>
  <c r="T97" i="14" s="1"/>
  <c r="U45" i="14"/>
  <c r="V45" i="14"/>
  <c r="V97" i="14" s="1"/>
  <c r="W45" i="14"/>
  <c r="X45" i="14"/>
  <c r="Y45" i="14"/>
  <c r="Z45" i="14"/>
  <c r="Z97" i="14" s="1"/>
  <c r="AA45" i="14"/>
  <c r="AB45" i="14"/>
  <c r="AB97" i="14" s="1"/>
  <c r="AC45" i="14"/>
  <c r="AD45" i="14"/>
  <c r="AD97" i="14" s="1"/>
  <c r="AE45" i="14"/>
  <c r="AF45" i="14"/>
  <c r="AG45" i="14"/>
  <c r="B46" i="14"/>
  <c r="D46" i="14"/>
  <c r="E46" i="14"/>
  <c r="F46" i="14"/>
  <c r="G46" i="14"/>
  <c r="H46" i="14"/>
  <c r="I46" i="14"/>
  <c r="J46" i="14"/>
  <c r="K46" i="14"/>
  <c r="L46" i="14"/>
  <c r="M46" i="14"/>
  <c r="M98" i="14" s="1"/>
  <c r="N46" i="14"/>
  <c r="O46" i="14"/>
  <c r="P46" i="14"/>
  <c r="Q46" i="14"/>
  <c r="R46" i="14"/>
  <c r="S46" i="14"/>
  <c r="T46" i="14"/>
  <c r="U46" i="14"/>
  <c r="U98" i="14" s="1"/>
  <c r="V46" i="14"/>
  <c r="W46" i="14"/>
  <c r="X46" i="14"/>
  <c r="Y46" i="14"/>
  <c r="Z46" i="14"/>
  <c r="AA46" i="14"/>
  <c r="AB46" i="14"/>
  <c r="AC46" i="14"/>
  <c r="AC98" i="14" s="1"/>
  <c r="AD46" i="14"/>
  <c r="AE46" i="14"/>
  <c r="AF46" i="14"/>
  <c r="AG278" i="5" s="1"/>
  <c r="AG46" i="14"/>
  <c r="B47" i="14"/>
  <c r="D47" i="14"/>
  <c r="E47" i="14"/>
  <c r="F47" i="14"/>
  <c r="F98" i="14" s="1"/>
  <c r="G47" i="14"/>
  <c r="H47" i="14"/>
  <c r="I47" i="14"/>
  <c r="J47" i="14"/>
  <c r="K47" i="14"/>
  <c r="L47" i="14"/>
  <c r="M47" i="14"/>
  <c r="N47" i="14"/>
  <c r="N98" i="14" s="1"/>
  <c r="O47" i="14"/>
  <c r="P47" i="14"/>
  <c r="Q47" i="14"/>
  <c r="R47" i="14"/>
  <c r="S47" i="14"/>
  <c r="T47" i="14"/>
  <c r="U47" i="14"/>
  <c r="V47" i="14"/>
  <c r="V98" i="14" s="1"/>
  <c r="W47" i="14"/>
  <c r="X47" i="14"/>
  <c r="Y47" i="14"/>
  <c r="Z47" i="14"/>
  <c r="AA47" i="14"/>
  <c r="AB47" i="14"/>
  <c r="AC47" i="14"/>
  <c r="AD47" i="14"/>
  <c r="AD98" i="14" s="1"/>
  <c r="AE47" i="14"/>
  <c r="AF47" i="14"/>
  <c r="AG47" i="14"/>
  <c r="B48" i="14"/>
  <c r="D48" i="14"/>
  <c r="E48" i="14"/>
  <c r="F48" i="14"/>
  <c r="G48" i="14"/>
  <c r="G101" i="14" s="1"/>
  <c r="H48" i="14"/>
  <c r="I48" i="14"/>
  <c r="J48" i="14"/>
  <c r="K48" i="14"/>
  <c r="L48" i="14"/>
  <c r="M48" i="14"/>
  <c r="M101" i="14" s="1"/>
  <c r="N48" i="14"/>
  <c r="O48" i="14"/>
  <c r="O101" i="14" s="1"/>
  <c r="P48" i="14"/>
  <c r="Q270" i="5" s="1"/>
  <c r="Q48" i="14"/>
  <c r="R48" i="14"/>
  <c r="S48" i="14"/>
  <c r="T48" i="14"/>
  <c r="U48" i="14"/>
  <c r="U101" i="14" s="1"/>
  <c r="V48" i="14"/>
  <c r="W48" i="14"/>
  <c r="W101" i="14" s="1"/>
  <c r="X48" i="14"/>
  <c r="Y48" i="14"/>
  <c r="Y101" i="14" s="1"/>
  <c r="Z48" i="14"/>
  <c r="AA48" i="14"/>
  <c r="AB48" i="14"/>
  <c r="AC48" i="14"/>
  <c r="AD48" i="14"/>
  <c r="AE48" i="14"/>
  <c r="AE101" i="14" s="1"/>
  <c r="AF48" i="14"/>
  <c r="AG48" i="14"/>
  <c r="AG101" i="14" s="1"/>
  <c r="B49" i="14"/>
  <c r="D49" i="14"/>
  <c r="E49" i="14"/>
  <c r="F49" i="14"/>
  <c r="G49" i="14"/>
  <c r="H49" i="14"/>
  <c r="H102" i="14" s="1"/>
  <c r="I49" i="14"/>
  <c r="J49" i="14"/>
  <c r="K49" i="14"/>
  <c r="L274" i="5" s="1"/>
  <c r="L49" i="14"/>
  <c r="M49" i="14"/>
  <c r="N49" i="14"/>
  <c r="O49" i="14"/>
  <c r="P49" i="14"/>
  <c r="P102" i="14" s="1"/>
  <c r="Q49" i="14"/>
  <c r="R49" i="14"/>
  <c r="S49" i="14"/>
  <c r="T274" i="5" s="1"/>
  <c r="T49" i="14"/>
  <c r="U49" i="14"/>
  <c r="V49" i="14"/>
  <c r="W49" i="14"/>
  <c r="X49" i="14"/>
  <c r="X102" i="14" s="1"/>
  <c r="Y49" i="14"/>
  <c r="Z49" i="14"/>
  <c r="AA49" i="14"/>
  <c r="AB274" i="5" s="1"/>
  <c r="AB49" i="14"/>
  <c r="AC49" i="14"/>
  <c r="AD49" i="14"/>
  <c r="AE49" i="14"/>
  <c r="AF49" i="14"/>
  <c r="AF102" i="14" s="1"/>
  <c r="AG49" i="14"/>
  <c r="B50" i="14"/>
  <c r="D50" i="14"/>
  <c r="E50" i="14"/>
  <c r="F50" i="14"/>
  <c r="G50" i="14"/>
  <c r="H50" i="14"/>
  <c r="I50" i="14"/>
  <c r="I102" i="14" s="1"/>
  <c r="J50" i="14"/>
  <c r="K50" i="14"/>
  <c r="L50" i="14"/>
  <c r="M50" i="14"/>
  <c r="N50" i="14"/>
  <c r="O50" i="14"/>
  <c r="P50" i="14"/>
  <c r="Q50" i="14"/>
  <c r="Q102" i="14" s="1"/>
  <c r="R50" i="14"/>
  <c r="S50" i="14"/>
  <c r="T50" i="14"/>
  <c r="U50" i="14"/>
  <c r="V50" i="14"/>
  <c r="W50" i="14"/>
  <c r="X50" i="14"/>
  <c r="Y50" i="14"/>
  <c r="Y102" i="14" s="1"/>
  <c r="Z50" i="14"/>
  <c r="AA50" i="14"/>
  <c r="AB50" i="14"/>
  <c r="AC50" i="14"/>
  <c r="AD50" i="14"/>
  <c r="AE50" i="14"/>
  <c r="AF50" i="14"/>
  <c r="AG50" i="14"/>
  <c r="AG102" i="14" s="1"/>
  <c r="B51" i="14"/>
  <c r="D51" i="14"/>
  <c r="D99" i="14" s="1"/>
  <c r="E51" i="14"/>
  <c r="F51" i="14"/>
  <c r="G51" i="14"/>
  <c r="H283" i="5" s="1"/>
  <c r="H51" i="14"/>
  <c r="I51" i="14"/>
  <c r="J51" i="14"/>
  <c r="J99" i="14" s="1"/>
  <c r="K51" i="14"/>
  <c r="L51" i="14"/>
  <c r="M51" i="14"/>
  <c r="M99" i="14" s="1"/>
  <c r="N51" i="14"/>
  <c r="O51" i="14"/>
  <c r="P51" i="14"/>
  <c r="Q51" i="14"/>
  <c r="R51" i="14"/>
  <c r="R99" i="14" s="1"/>
  <c r="S51" i="14"/>
  <c r="T51" i="14"/>
  <c r="U283" i="5" s="1"/>
  <c r="F71" i="18"/>
  <c r="U51" i="14"/>
  <c r="V51" i="14"/>
  <c r="W51" i="14"/>
  <c r="W99" i="14" s="1"/>
  <c r="X51" i="14"/>
  <c r="Y51" i="14"/>
  <c r="Z51" i="14"/>
  <c r="AA51" i="14"/>
  <c r="AA99" i="14" s="1"/>
  <c r="AB51" i="14"/>
  <c r="AC51" i="14"/>
  <c r="AD51" i="14"/>
  <c r="AE51" i="14"/>
  <c r="AF51" i="14"/>
  <c r="AG283" i="5" s="1"/>
  <c r="AG51" i="14"/>
  <c r="AG99" i="14" s="1"/>
  <c r="B52" i="14"/>
  <c r="D52" i="14"/>
  <c r="E52" i="14"/>
  <c r="F52" i="14"/>
  <c r="G52" i="14"/>
  <c r="H52" i="14"/>
  <c r="I52" i="14"/>
  <c r="J52" i="14"/>
  <c r="J100" i="14" s="1"/>
  <c r="K52" i="14"/>
  <c r="L52" i="14"/>
  <c r="M52" i="14"/>
  <c r="N52" i="14"/>
  <c r="O52" i="14"/>
  <c r="P52" i="14"/>
  <c r="Q52" i="14"/>
  <c r="R52" i="14"/>
  <c r="R100" i="14" s="1"/>
  <c r="S52" i="14"/>
  <c r="T52" i="14"/>
  <c r="U52" i="14"/>
  <c r="V52" i="14"/>
  <c r="W52" i="14"/>
  <c r="X52" i="14"/>
  <c r="Y52" i="14"/>
  <c r="Z52" i="14"/>
  <c r="Z100" i="14" s="1"/>
  <c r="AA52" i="14"/>
  <c r="AB52" i="14"/>
  <c r="AC52" i="14"/>
  <c r="AD52" i="14"/>
  <c r="AE52" i="14"/>
  <c r="AF52" i="14"/>
  <c r="AG52" i="14"/>
  <c r="B53" i="14"/>
  <c r="D53" i="14"/>
  <c r="E53" i="14"/>
  <c r="F53" i="14"/>
  <c r="G53" i="14"/>
  <c r="H53" i="14"/>
  <c r="H100" i="14" s="1"/>
  <c r="I53" i="14"/>
  <c r="J53" i="14"/>
  <c r="K53" i="14"/>
  <c r="K100" i="14" s="1"/>
  <c r="L53" i="14"/>
  <c r="M53" i="14"/>
  <c r="N53" i="14"/>
  <c r="O53" i="14"/>
  <c r="P53" i="14"/>
  <c r="P100" i="14" s="1"/>
  <c r="Q53" i="14"/>
  <c r="R53" i="14"/>
  <c r="S53" i="14"/>
  <c r="S100" i="14" s="1"/>
  <c r="T53" i="14"/>
  <c r="U53" i="14"/>
  <c r="V53" i="14"/>
  <c r="W53" i="14"/>
  <c r="X53" i="14"/>
  <c r="X100" i="14" s="1"/>
  <c r="Y53" i="14"/>
  <c r="Z53" i="14"/>
  <c r="AA53" i="14"/>
  <c r="AA100" i="14" s="1"/>
  <c r="AB53" i="14"/>
  <c r="AC53" i="14"/>
  <c r="AD53" i="14"/>
  <c r="AE53" i="14"/>
  <c r="AF53" i="14"/>
  <c r="AF100" i="14" s="1"/>
  <c r="AG53" i="14"/>
  <c r="B54" i="14"/>
  <c r="D54" i="14"/>
  <c r="D103" i="14" s="1"/>
  <c r="E54" i="14"/>
  <c r="F54" i="14"/>
  <c r="F103" i="14" s="1"/>
  <c r="G54" i="14"/>
  <c r="H54" i="14"/>
  <c r="H103" i="14" s="1"/>
  <c r="I54" i="14"/>
  <c r="I103" i="14" s="1"/>
  <c r="J54" i="14"/>
  <c r="J103" i="14" s="1"/>
  <c r="K54" i="14"/>
  <c r="K103" i="14" s="1"/>
  <c r="L54" i="14"/>
  <c r="L103" i="14" s="1"/>
  <c r="M54" i="14"/>
  <c r="N54" i="14"/>
  <c r="O54" i="14"/>
  <c r="P54" i="14"/>
  <c r="P103" i="14" s="1"/>
  <c r="Q54" i="14"/>
  <c r="Q103" i="14" s="1"/>
  <c r="R54" i="14"/>
  <c r="R103" i="14" s="1"/>
  <c r="S54" i="14"/>
  <c r="S103" i="14" s="1"/>
  <c r="T54" i="14"/>
  <c r="T103" i="14" s="1"/>
  <c r="U54" i="14"/>
  <c r="V54" i="14"/>
  <c r="V103" i="14" s="1"/>
  <c r="W54" i="14"/>
  <c r="X54" i="14"/>
  <c r="X103" i="14" s="1"/>
  <c r="Y54" i="14"/>
  <c r="Y103" i="14" s="1"/>
  <c r="Z54" i="14"/>
  <c r="Z103" i="14" s="1"/>
  <c r="AA54" i="14"/>
  <c r="AA103" i="14" s="1"/>
  <c r="AB54" i="14"/>
  <c r="AB103" i="14" s="1"/>
  <c r="AC54" i="14"/>
  <c r="AD54" i="14"/>
  <c r="AD103" i="14" s="1"/>
  <c r="AE54" i="14"/>
  <c r="AF54" i="14"/>
  <c r="AF103" i="14" s="1"/>
  <c r="AG54" i="14"/>
  <c r="AG103" i="14" s="1"/>
  <c r="B55" i="14"/>
  <c r="D55" i="14"/>
  <c r="E55" i="14"/>
  <c r="E104" i="14" s="1"/>
  <c r="F55" i="14"/>
  <c r="G55" i="14"/>
  <c r="H55" i="14"/>
  <c r="I55" i="14"/>
  <c r="J55" i="14"/>
  <c r="K55" i="14"/>
  <c r="L55" i="14"/>
  <c r="M55" i="14"/>
  <c r="M104" i="14" s="1"/>
  <c r="N55" i="14"/>
  <c r="O55" i="14"/>
  <c r="P55" i="14"/>
  <c r="Q266" i="5" s="1"/>
  <c r="Q55" i="14"/>
  <c r="R55" i="14"/>
  <c r="S55" i="14"/>
  <c r="T55" i="14"/>
  <c r="U55" i="14"/>
  <c r="U104" i="14" s="1"/>
  <c r="V55" i="14"/>
  <c r="W55" i="14"/>
  <c r="X55" i="14"/>
  <c r="Y55" i="14"/>
  <c r="Z55" i="14"/>
  <c r="AA55" i="14"/>
  <c r="AB55" i="14"/>
  <c r="AC55" i="14"/>
  <c r="AC104" i="14" s="1"/>
  <c r="AD55" i="14"/>
  <c r="AE55" i="14"/>
  <c r="AF55" i="14"/>
  <c r="AG266" i="5" s="1"/>
  <c r="AG55" i="14"/>
  <c r="B56" i="14"/>
  <c r="D56" i="14"/>
  <c r="E56" i="14"/>
  <c r="F56" i="14"/>
  <c r="F104" i="14" s="1"/>
  <c r="G56" i="14"/>
  <c r="H56" i="14"/>
  <c r="I56" i="14"/>
  <c r="J56" i="14"/>
  <c r="K56" i="14"/>
  <c r="L56" i="14"/>
  <c r="M56" i="14"/>
  <c r="N56" i="14"/>
  <c r="N104" i="14" s="1"/>
  <c r="O56" i="14"/>
  <c r="P56" i="14"/>
  <c r="Q56" i="14"/>
  <c r="R56" i="14"/>
  <c r="S56" i="14"/>
  <c r="T56" i="14"/>
  <c r="U56" i="14"/>
  <c r="V56" i="14"/>
  <c r="V104" i="14" s="1"/>
  <c r="W56" i="14"/>
  <c r="X56" i="14"/>
  <c r="Y56" i="14"/>
  <c r="Z56" i="14"/>
  <c r="AA56" i="14"/>
  <c r="AB56" i="14"/>
  <c r="AC56" i="14"/>
  <c r="AD56" i="14"/>
  <c r="AD104" i="14" s="1"/>
  <c r="AE56" i="14"/>
  <c r="AF56" i="14"/>
  <c r="AG56" i="14"/>
  <c r="B57" i="14"/>
  <c r="D57" i="14"/>
  <c r="E57" i="14"/>
  <c r="F57" i="14"/>
  <c r="G57" i="14"/>
  <c r="G105" i="14" s="1"/>
  <c r="H57" i="14"/>
  <c r="I57" i="14"/>
  <c r="J57" i="14"/>
  <c r="K57" i="14"/>
  <c r="L57" i="14"/>
  <c r="M57" i="14"/>
  <c r="N57" i="14"/>
  <c r="O57" i="14"/>
  <c r="O105" i="14" s="1"/>
  <c r="P57" i="14"/>
  <c r="Q57" i="14"/>
  <c r="R57" i="14"/>
  <c r="S57" i="14"/>
  <c r="T57" i="14"/>
  <c r="U57" i="14"/>
  <c r="V57" i="14"/>
  <c r="W57" i="14"/>
  <c r="W105" i="14" s="1"/>
  <c r="X57" i="14"/>
  <c r="Y57" i="14"/>
  <c r="Z57" i="14"/>
  <c r="AA57" i="14"/>
  <c r="AB57" i="14"/>
  <c r="AC57" i="14"/>
  <c r="AD57" i="14"/>
  <c r="AE57" i="14"/>
  <c r="AE105" i="14" s="1"/>
  <c r="AF57" i="14"/>
  <c r="AG57" i="14"/>
  <c r="B58" i="14"/>
  <c r="D58" i="14"/>
  <c r="E58" i="14"/>
  <c r="F58" i="14"/>
  <c r="G58" i="14"/>
  <c r="H58" i="14"/>
  <c r="H106" i="14" s="1"/>
  <c r="I58" i="14"/>
  <c r="J58" i="14"/>
  <c r="K58" i="14"/>
  <c r="L58" i="14"/>
  <c r="M58" i="14"/>
  <c r="N58" i="14"/>
  <c r="O58" i="14"/>
  <c r="P58" i="14"/>
  <c r="P106" i="14" s="1"/>
  <c r="Q58" i="14"/>
  <c r="R58" i="14"/>
  <c r="S58" i="14"/>
  <c r="T58" i="14"/>
  <c r="U58" i="14"/>
  <c r="V58" i="14"/>
  <c r="W58" i="14"/>
  <c r="X58" i="14"/>
  <c r="X106" i="14" s="1"/>
  <c r="Y58" i="14"/>
  <c r="Z58" i="14"/>
  <c r="AA58" i="14"/>
  <c r="AB58" i="14"/>
  <c r="AC58" i="14"/>
  <c r="AD58" i="14"/>
  <c r="AE58" i="14"/>
  <c r="AF58" i="14"/>
  <c r="AF106" i="14" s="1"/>
  <c r="AG58" i="14"/>
  <c r="B59" i="14"/>
  <c r="D59" i="14"/>
  <c r="E59" i="14"/>
  <c r="F59" i="14"/>
  <c r="G59" i="14"/>
  <c r="H59" i="14"/>
  <c r="I59" i="14"/>
  <c r="J59" i="14"/>
  <c r="K59" i="14"/>
  <c r="L59" i="14"/>
  <c r="M59" i="14"/>
  <c r="N59" i="14"/>
  <c r="O59" i="14"/>
  <c r="P59" i="14"/>
  <c r="Q59" i="14"/>
  <c r="R59" i="14"/>
  <c r="S59" i="14"/>
  <c r="T59" i="14"/>
  <c r="U59" i="14"/>
  <c r="V59" i="14"/>
  <c r="W59" i="14"/>
  <c r="X59" i="14"/>
  <c r="Y59" i="14"/>
  <c r="Z59" i="14"/>
  <c r="AA59" i="14"/>
  <c r="AB59" i="14"/>
  <c r="AC59" i="14"/>
  <c r="AD59" i="14"/>
  <c r="AE59" i="14"/>
  <c r="AF59" i="14"/>
  <c r="AG59" i="14"/>
  <c r="B60" i="14"/>
  <c r="D60" i="14"/>
  <c r="E60" i="14"/>
  <c r="F60" i="14"/>
  <c r="G60" i="14"/>
  <c r="H268" i="5" s="1"/>
  <c r="H60" i="14"/>
  <c r="I60" i="14"/>
  <c r="J268" i="5" s="1"/>
  <c r="H28" i="18" s="1"/>
  <c r="J60" i="14"/>
  <c r="K60" i="14"/>
  <c r="L60" i="14"/>
  <c r="M60" i="14"/>
  <c r="N60" i="14"/>
  <c r="O60" i="14"/>
  <c r="P60" i="14"/>
  <c r="Q60" i="14"/>
  <c r="R268" i="5" s="1"/>
  <c r="R60" i="14"/>
  <c r="S60" i="14"/>
  <c r="T268" i="5" s="1"/>
  <c r="T60" i="14"/>
  <c r="U60" i="14"/>
  <c r="V60" i="14"/>
  <c r="W60" i="14"/>
  <c r="X60" i="14"/>
  <c r="Y60" i="14"/>
  <c r="Z60" i="14"/>
  <c r="Z109" i="14" s="1"/>
  <c r="AA60" i="14"/>
  <c r="AB60" i="14"/>
  <c r="AC60" i="14"/>
  <c r="AD60" i="14"/>
  <c r="AE60" i="14"/>
  <c r="AF60" i="14"/>
  <c r="AG60" i="14"/>
  <c r="B61" i="14"/>
  <c r="D61" i="14"/>
  <c r="E61" i="14"/>
  <c r="F273" i="5" s="1"/>
  <c r="F61" i="14"/>
  <c r="G61" i="14"/>
  <c r="H61" i="14"/>
  <c r="I61" i="14"/>
  <c r="J61" i="14"/>
  <c r="K61" i="14"/>
  <c r="L61" i="14"/>
  <c r="M61" i="14"/>
  <c r="N61" i="14"/>
  <c r="O61" i="14"/>
  <c r="P61" i="14"/>
  <c r="Q61" i="14"/>
  <c r="R61" i="14"/>
  <c r="S61" i="14"/>
  <c r="T61" i="14"/>
  <c r="U61" i="14"/>
  <c r="V273" i="5" s="1"/>
  <c r="V61" i="14"/>
  <c r="W61" i="14"/>
  <c r="X61" i="14"/>
  <c r="Y61" i="14"/>
  <c r="Z61" i="14"/>
  <c r="AA61" i="14"/>
  <c r="AB273" i="5" s="1"/>
  <c r="AB61" i="14"/>
  <c r="AC61" i="14"/>
  <c r="AD273" i="5" s="1"/>
  <c r="AD61" i="14"/>
  <c r="AE61" i="14"/>
  <c r="AF61" i="14"/>
  <c r="AG61" i="14"/>
  <c r="B62" i="14"/>
  <c r="D62" i="14"/>
  <c r="E62" i="14"/>
  <c r="F62" i="14"/>
  <c r="G62" i="14"/>
  <c r="H62" i="14"/>
  <c r="I62" i="14"/>
  <c r="J62" i="14"/>
  <c r="K62" i="14"/>
  <c r="L62" i="14"/>
  <c r="M62" i="14"/>
  <c r="N62" i="14"/>
  <c r="O62" i="14"/>
  <c r="P62" i="14"/>
  <c r="Q62" i="14"/>
  <c r="R62" i="14"/>
  <c r="S62" i="14"/>
  <c r="T62" i="14"/>
  <c r="U62" i="14"/>
  <c r="V62" i="14"/>
  <c r="W62" i="14"/>
  <c r="X62" i="14"/>
  <c r="Y62" i="14"/>
  <c r="Z62" i="14"/>
  <c r="AA62" i="14"/>
  <c r="AB62" i="14"/>
  <c r="AB110" i="14" s="1"/>
  <c r="AC62" i="14"/>
  <c r="AD62" i="14"/>
  <c r="AE62" i="14"/>
  <c r="AF62" i="14"/>
  <c r="AG62" i="14"/>
  <c r="B63" i="14"/>
  <c r="D63" i="14"/>
  <c r="E63" i="14"/>
  <c r="E107" i="14" s="1"/>
  <c r="F63" i="14"/>
  <c r="F107" i="14" s="1"/>
  <c r="G63" i="14"/>
  <c r="H63" i="14"/>
  <c r="I63" i="14"/>
  <c r="J63" i="14"/>
  <c r="K63" i="14"/>
  <c r="L63" i="14"/>
  <c r="M63" i="14"/>
  <c r="M107" i="14" s="1"/>
  <c r="N63" i="14"/>
  <c r="O63" i="14"/>
  <c r="P63" i="14"/>
  <c r="Q63" i="14"/>
  <c r="R63" i="14"/>
  <c r="S63" i="14"/>
  <c r="T63" i="14"/>
  <c r="U63" i="14"/>
  <c r="V63" i="14"/>
  <c r="W285" i="5" s="1"/>
  <c r="W63" i="14"/>
  <c r="X63" i="14"/>
  <c r="X107" i="14" s="1"/>
  <c r="Y63" i="14"/>
  <c r="Z63" i="14"/>
  <c r="AA63" i="14"/>
  <c r="AB63" i="14"/>
  <c r="AB107" i="14" s="1"/>
  <c r="AC63" i="14"/>
  <c r="AC107" i="14" s="1"/>
  <c r="AD63" i="14"/>
  <c r="AE63" i="14"/>
  <c r="AF63" i="14"/>
  <c r="AG63" i="14"/>
  <c r="B64" i="14"/>
  <c r="D64" i="14"/>
  <c r="E64" i="14"/>
  <c r="F64" i="14"/>
  <c r="G64" i="14"/>
  <c r="H64" i="14"/>
  <c r="I64" i="14"/>
  <c r="J64" i="14"/>
  <c r="K64" i="14"/>
  <c r="L64" i="14"/>
  <c r="M64" i="14"/>
  <c r="N64" i="14"/>
  <c r="O64" i="14"/>
  <c r="P64" i="14"/>
  <c r="Q64" i="14"/>
  <c r="R64" i="14"/>
  <c r="S64" i="14"/>
  <c r="T64" i="14"/>
  <c r="U64" i="14"/>
  <c r="V64" i="14"/>
  <c r="W64" i="14"/>
  <c r="X64" i="14"/>
  <c r="Y64" i="14"/>
  <c r="Z64" i="14"/>
  <c r="AA64" i="14"/>
  <c r="AB64" i="14"/>
  <c r="AC64" i="14"/>
  <c r="AD64" i="14"/>
  <c r="AE64" i="14"/>
  <c r="AF64" i="14"/>
  <c r="AG64" i="14"/>
  <c r="B65" i="14"/>
  <c r="D65" i="14"/>
  <c r="E65" i="14"/>
  <c r="F65" i="14"/>
  <c r="G65" i="14"/>
  <c r="H65" i="14"/>
  <c r="I65" i="14"/>
  <c r="J65" i="14"/>
  <c r="K65" i="14"/>
  <c r="L65" i="14"/>
  <c r="M65" i="14"/>
  <c r="N65" i="14"/>
  <c r="O65" i="14"/>
  <c r="O108" i="14" s="1"/>
  <c r="P65" i="14"/>
  <c r="P108" i="14"/>
  <c r="Q65" i="14"/>
  <c r="R65" i="14"/>
  <c r="S65" i="14"/>
  <c r="T65" i="14"/>
  <c r="U65" i="14"/>
  <c r="V65" i="14"/>
  <c r="W65" i="14"/>
  <c r="X65" i="14"/>
  <c r="X108" i="14" s="1"/>
  <c r="Y65" i="14"/>
  <c r="Z65" i="14"/>
  <c r="AA65" i="14"/>
  <c r="AB65" i="14"/>
  <c r="AC65" i="14"/>
  <c r="AD65" i="14"/>
  <c r="AE65" i="14"/>
  <c r="AE108" i="14" s="1"/>
  <c r="AF65" i="14"/>
  <c r="AG65" i="14"/>
  <c r="B66" i="14"/>
  <c r="D66" i="14"/>
  <c r="D111" i="14" s="1"/>
  <c r="E66" i="14"/>
  <c r="E111" i="14" s="1"/>
  <c r="F66" i="14"/>
  <c r="F111" i="14" s="1"/>
  <c r="G66" i="14"/>
  <c r="G111" i="14" s="1"/>
  <c r="H66" i="14"/>
  <c r="H111" i="14" s="1"/>
  <c r="I66" i="14"/>
  <c r="I111" i="14" s="1"/>
  <c r="J66" i="14"/>
  <c r="J111" i="14" s="1"/>
  <c r="K66" i="14"/>
  <c r="K111" i="14" s="1"/>
  <c r="L66" i="14"/>
  <c r="L111" i="14" s="1"/>
  <c r="M66" i="14"/>
  <c r="M111" i="14" s="1"/>
  <c r="N66" i="14"/>
  <c r="N111" i="14" s="1"/>
  <c r="O66" i="14"/>
  <c r="O111" i="14" s="1"/>
  <c r="P66" i="14"/>
  <c r="P111" i="14"/>
  <c r="Q66" i="14"/>
  <c r="R66" i="14"/>
  <c r="R111" i="14" s="1"/>
  <c r="S66" i="14"/>
  <c r="S111" i="14" s="1"/>
  <c r="T66" i="14"/>
  <c r="T111" i="14" s="1"/>
  <c r="U66" i="14"/>
  <c r="U111" i="14" s="1"/>
  <c r="V66" i="14"/>
  <c r="V111" i="14" s="1"/>
  <c r="W66" i="14"/>
  <c r="X66" i="14"/>
  <c r="X111" i="14" s="1"/>
  <c r="Y66" i="14"/>
  <c r="Z66" i="14"/>
  <c r="Z111" i="14" s="1"/>
  <c r="AA66" i="14"/>
  <c r="AA111" i="14" s="1"/>
  <c r="AB66" i="14"/>
  <c r="AB111" i="14" s="1"/>
  <c r="AC66" i="14"/>
  <c r="AC111" i="14" s="1"/>
  <c r="AD66" i="14"/>
  <c r="AD111" i="14" s="1"/>
  <c r="AE66" i="14"/>
  <c r="AF66" i="14"/>
  <c r="AF111" i="14" s="1"/>
  <c r="AG66" i="14"/>
  <c r="B67" i="14"/>
  <c r="D67" i="14"/>
  <c r="E67" i="14"/>
  <c r="F67" i="14"/>
  <c r="G67" i="14"/>
  <c r="H67" i="14"/>
  <c r="I67" i="14"/>
  <c r="K67" i="14"/>
  <c r="L67" i="14"/>
  <c r="M67" i="14"/>
  <c r="N67" i="14"/>
  <c r="O67" i="14"/>
  <c r="P67" i="14"/>
  <c r="Q67" i="14"/>
  <c r="R67" i="14"/>
  <c r="S67" i="14"/>
  <c r="T67" i="14"/>
  <c r="U265" i="5" s="1"/>
  <c r="U67" i="14"/>
  <c r="V67" i="14"/>
  <c r="W67" i="14"/>
  <c r="X67" i="14"/>
  <c r="Y67" i="14"/>
  <c r="Z67" i="14"/>
  <c r="AA67" i="14"/>
  <c r="AB67" i="14"/>
  <c r="AC67" i="14"/>
  <c r="AD67" i="14"/>
  <c r="AE67" i="14"/>
  <c r="AF67" i="14"/>
  <c r="AG265" i="5" s="1"/>
  <c r="AG67" i="14"/>
  <c r="B68" i="14"/>
  <c r="D68" i="14"/>
  <c r="E68" i="14"/>
  <c r="F68" i="14"/>
  <c r="G68" i="14"/>
  <c r="H68" i="14"/>
  <c r="I68" i="14"/>
  <c r="K68" i="14"/>
  <c r="L68" i="14"/>
  <c r="M68" i="14"/>
  <c r="O68" i="14"/>
  <c r="P68" i="14"/>
  <c r="Q68" i="14"/>
  <c r="R68" i="14"/>
  <c r="S68" i="14"/>
  <c r="T68" i="14"/>
  <c r="U68" i="14"/>
  <c r="V68" i="14"/>
  <c r="W68" i="14"/>
  <c r="X68" i="14"/>
  <c r="Y68" i="14"/>
  <c r="Z68" i="14"/>
  <c r="AA68" i="14"/>
  <c r="AB68" i="14"/>
  <c r="AC68" i="14"/>
  <c r="AD68" i="14"/>
  <c r="AE68" i="14"/>
  <c r="AF68" i="14"/>
  <c r="AG68" i="14"/>
  <c r="B69" i="14"/>
  <c r="D69" i="14"/>
  <c r="E69" i="14"/>
  <c r="E113" i="14" s="1"/>
  <c r="F69" i="14"/>
  <c r="F113" i="14" s="1"/>
  <c r="G69" i="14"/>
  <c r="H69" i="14"/>
  <c r="H113" i="14" s="1"/>
  <c r="I69" i="14"/>
  <c r="J113" i="14"/>
  <c r="K69" i="14"/>
  <c r="L69" i="14"/>
  <c r="L113" i="14" s="1"/>
  <c r="M69" i="14"/>
  <c r="N69" i="14"/>
  <c r="N113" i="14" s="1"/>
  <c r="O69" i="14"/>
  <c r="P69" i="14"/>
  <c r="P113" i="14" s="1"/>
  <c r="Q69" i="14"/>
  <c r="R69" i="14"/>
  <c r="R113" i="14" s="1"/>
  <c r="S69" i="14"/>
  <c r="S113" i="14" s="1"/>
  <c r="T69" i="14"/>
  <c r="T113" i="14" s="1"/>
  <c r="U69" i="14"/>
  <c r="V69" i="14"/>
  <c r="V113" i="14" s="1"/>
  <c r="W69" i="14"/>
  <c r="X69" i="14"/>
  <c r="X113" i="14" s="1"/>
  <c r="Y69" i="14"/>
  <c r="Z69" i="14"/>
  <c r="Z113" i="14" s="1"/>
  <c r="AA69" i="14"/>
  <c r="AA113" i="14" s="1"/>
  <c r="AB69" i="14"/>
  <c r="AB113" i="14" s="1"/>
  <c r="AC69" i="14"/>
  <c r="AD69" i="14"/>
  <c r="AD113" i="14" s="1"/>
  <c r="AE69" i="14"/>
  <c r="AF69" i="14"/>
  <c r="AF113" i="14" s="1"/>
  <c r="AG69" i="14"/>
  <c r="B70" i="14"/>
  <c r="D70" i="14"/>
  <c r="F70" i="14"/>
  <c r="G70" i="14"/>
  <c r="H70" i="14"/>
  <c r="I70" i="14"/>
  <c r="K70" i="14"/>
  <c r="L70" i="14"/>
  <c r="M70" i="14"/>
  <c r="N70" i="14"/>
  <c r="O70" i="14"/>
  <c r="P70" i="14"/>
  <c r="Q70" i="14"/>
  <c r="R70" i="14"/>
  <c r="S70" i="14"/>
  <c r="T70" i="14"/>
  <c r="U70" i="14"/>
  <c r="V70" i="14"/>
  <c r="W70" i="14"/>
  <c r="X70" i="14"/>
  <c r="Y70" i="14"/>
  <c r="Z70" i="14"/>
  <c r="AA70" i="14"/>
  <c r="AB70" i="14"/>
  <c r="AC70" i="14"/>
  <c r="AD70" i="14"/>
  <c r="AE70" i="14"/>
  <c r="AF70" i="14"/>
  <c r="AG70" i="14"/>
  <c r="B71" i="14"/>
  <c r="D71" i="14"/>
  <c r="E71" i="14"/>
  <c r="F71" i="14"/>
  <c r="G71" i="14"/>
  <c r="H71" i="14"/>
  <c r="I71" i="14"/>
  <c r="K71" i="14"/>
  <c r="L71" i="14"/>
  <c r="M71" i="14"/>
  <c r="N71" i="14"/>
  <c r="O71" i="14"/>
  <c r="P71" i="14"/>
  <c r="Q71" i="14"/>
  <c r="R71" i="14"/>
  <c r="S71" i="14"/>
  <c r="T71" i="14"/>
  <c r="U71" i="14"/>
  <c r="V71" i="14"/>
  <c r="W71" i="14"/>
  <c r="X71" i="14"/>
  <c r="Y71" i="14"/>
  <c r="Z71" i="14"/>
  <c r="AA71" i="14"/>
  <c r="AB71" i="14"/>
  <c r="AC71" i="14"/>
  <c r="AD71" i="14"/>
  <c r="AE71" i="14"/>
  <c r="AF71" i="14"/>
  <c r="AG71" i="14"/>
  <c r="B72" i="14"/>
  <c r="D72" i="14"/>
  <c r="E72" i="14"/>
  <c r="F72" i="14"/>
  <c r="F117" i="14" s="1"/>
  <c r="G72" i="14"/>
  <c r="H72" i="14"/>
  <c r="H117" i="14" s="1"/>
  <c r="I72" i="14"/>
  <c r="K72" i="14"/>
  <c r="K117" i="14" s="1"/>
  <c r="L72" i="14"/>
  <c r="L117" i="14" s="1"/>
  <c r="M72" i="14"/>
  <c r="N72" i="14"/>
  <c r="N117" i="14" s="1"/>
  <c r="O72" i="14"/>
  <c r="O117" i="14" s="1"/>
  <c r="P72" i="14"/>
  <c r="P117" i="14" s="1"/>
  <c r="Q72" i="14"/>
  <c r="R72" i="14"/>
  <c r="S72" i="14"/>
  <c r="S117" i="14" s="1"/>
  <c r="T72" i="14"/>
  <c r="U269" i="5" s="1"/>
  <c r="U72" i="14"/>
  <c r="V72" i="14"/>
  <c r="W269" i="5" s="1"/>
  <c r="W72" i="14"/>
  <c r="X72" i="14"/>
  <c r="X117" i="14" s="1"/>
  <c r="Y72" i="14"/>
  <c r="Y117" i="14" s="1"/>
  <c r="Z72" i="14"/>
  <c r="Z117" i="14" s="1"/>
  <c r="AA72" i="14"/>
  <c r="AA117" i="14" s="1"/>
  <c r="AB72" i="14"/>
  <c r="AB117" i="14" s="1"/>
  <c r="AC72" i="14"/>
  <c r="AD72" i="14"/>
  <c r="AE72" i="14"/>
  <c r="AE117" i="14" s="1"/>
  <c r="AF72" i="14"/>
  <c r="AG269" i="5" s="1"/>
  <c r="AG72" i="14"/>
  <c r="B73" i="14"/>
  <c r="D73" i="14"/>
  <c r="E73" i="14"/>
  <c r="F73" i="14"/>
  <c r="G73" i="14"/>
  <c r="H73" i="14"/>
  <c r="I73" i="14"/>
  <c r="K73" i="14"/>
  <c r="L73" i="14"/>
  <c r="M73" i="14"/>
  <c r="N73" i="14"/>
  <c r="O73" i="14"/>
  <c r="P73" i="14"/>
  <c r="Q73" i="14"/>
  <c r="R73" i="14"/>
  <c r="S73" i="14"/>
  <c r="T73" i="14"/>
  <c r="U73" i="14"/>
  <c r="V73" i="14"/>
  <c r="W73" i="14"/>
  <c r="X73" i="14"/>
  <c r="Y73" i="14"/>
  <c r="Z73" i="14"/>
  <c r="AA73" i="14"/>
  <c r="AB73" i="14"/>
  <c r="AC73" i="14"/>
  <c r="AD73" i="14"/>
  <c r="AE73" i="14"/>
  <c r="AF73" i="14"/>
  <c r="AG73" i="14"/>
  <c r="B74" i="14"/>
  <c r="D74" i="14"/>
  <c r="E74" i="14"/>
  <c r="F74" i="14"/>
  <c r="G74" i="14"/>
  <c r="H74" i="14"/>
  <c r="I74" i="14"/>
  <c r="K74" i="14"/>
  <c r="L74" i="14"/>
  <c r="M74" i="14"/>
  <c r="N74" i="14"/>
  <c r="O74" i="14"/>
  <c r="P74" i="14"/>
  <c r="Q74" i="14"/>
  <c r="R74" i="14"/>
  <c r="S74" i="14"/>
  <c r="T74" i="14"/>
  <c r="U74" i="14"/>
  <c r="V74" i="14"/>
  <c r="W74" i="14"/>
  <c r="X74" i="14"/>
  <c r="Y74" i="14"/>
  <c r="Z74" i="14"/>
  <c r="Z118" i="14" s="1"/>
  <c r="AA74" i="14"/>
  <c r="AB74" i="14"/>
  <c r="AC74" i="14"/>
  <c r="AD74" i="14"/>
  <c r="AE74" i="14"/>
  <c r="AF74" i="14"/>
  <c r="AG74" i="14"/>
  <c r="B75" i="14"/>
  <c r="D75" i="14"/>
  <c r="E75" i="14"/>
  <c r="F75" i="14"/>
  <c r="F115" i="14" s="1"/>
  <c r="G75" i="14"/>
  <c r="H75" i="14"/>
  <c r="H115" i="14" s="1"/>
  <c r="I75" i="14"/>
  <c r="I115" i="14" s="1"/>
  <c r="K75" i="14"/>
  <c r="K115" i="14" s="1"/>
  <c r="L75" i="14"/>
  <c r="M75" i="14"/>
  <c r="M115" i="14" s="1"/>
  <c r="N75" i="14"/>
  <c r="O75" i="14"/>
  <c r="O115" i="14" s="1"/>
  <c r="P75" i="14"/>
  <c r="P115" i="14" s="1"/>
  <c r="Q75" i="14"/>
  <c r="Q115" i="14" s="1"/>
  <c r="R75" i="14"/>
  <c r="S75" i="14"/>
  <c r="S115" i="14" s="1"/>
  <c r="T75" i="14"/>
  <c r="U75" i="14"/>
  <c r="U115" i="14" s="1"/>
  <c r="V75" i="14"/>
  <c r="W75" i="14"/>
  <c r="W115" i="14" s="1"/>
  <c r="X75" i="14"/>
  <c r="X115" i="14" s="1"/>
  <c r="Y75" i="14"/>
  <c r="Y115" i="14" s="1"/>
  <c r="Z75" i="14"/>
  <c r="AA75" i="14"/>
  <c r="AA115" i="14" s="1"/>
  <c r="AB75" i="14"/>
  <c r="AC75" i="14"/>
  <c r="AC115" i="14" s="1"/>
  <c r="AD75" i="14"/>
  <c r="AE75" i="14"/>
  <c r="AE115" i="14" s="1"/>
  <c r="AF75" i="14"/>
  <c r="AG287" i="5" s="1"/>
  <c r="AG75" i="14"/>
  <c r="AG115" i="14" s="1"/>
  <c r="B76" i="14"/>
  <c r="D76" i="14"/>
  <c r="E76" i="14"/>
  <c r="F76" i="14"/>
  <c r="G76" i="14"/>
  <c r="H76" i="14"/>
  <c r="I76" i="14"/>
  <c r="K76" i="14"/>
  <c r="L76" i="14"/>
  <c r="M76" i="14"/>
  <c r="N76" i="14"/>
  <c r="O76" i="14"/>
  <c r="P76" i="14"/>
  <c r="Q76" i="14"/>
  <c r="R76" i="14"/>
  <c r="S76" i="14"/>
  <c r="T76" i="14"/>
  <c r="U76" i="14"/>
  <c r="V76" i="14"/>
  <c r="W76" i="14"/>
  <c r="X76" i="14"/>
  <c r="Y76" i="14"/>
  <c r="Z76" i="14"/>
  <c r="AA76" i="14"/>
  <c r="AB76" i="14"/>
  <c r="AC76" i="14"/>
  <c r="AD76" i="14"/>
  <c r="AE76" i="14"/>
  <c r="AF76" i="14"/>
  <c r="AG76" i="14"/>
  <c r="B77" i="14"/>
  <c r="D77" i="14"/>
  <c r="E77" i="14"/>
  <c r="F77" i="14"/>
  <c r="G77" i="14"/>
  <c r="G116" i="14" s="1"/>
  <c r="H77" i="14"/>
  <c r="I77" i="14"/>
  <c r="K77" i="14"/>
  <c r="L77" i="14"/>
  <c r="M77" i="14"/>
  <c r="N77" i="14"/>
  <c r="O77" i="14"/>
  <c r="P77" i="14"/>
  <c r="Q77" i="14"/>
  <c r="Q116" i="14" s="1"/>
  <c r="R77" i="14"/>
  <c r="S77" i="14"/>
  <c r="T77" i="14"/>
  <c r="U77" i="14"/>
  <c r="V77" i="14"/>
  <c r="W77" i="14"/>
  <c r="X77" i="14"/>
  <c r="Y77" i="14"/>
  <c r="Y116" i="14" s="1"/>
  <c r="Z77" i="14"/>
  <c r="AA77" i="14"/>
  <c r="AB77" i="14"/>
  <c r="AC77" i="14"/>
  <c r="AD77" i="14"/>
  <c r="AE77" i="14"/>
  <c r="AF77" i="14"/>
  <c r="AG77" i="14"/>
  <c r="B78" i="14"/>
  <c r="D78" i="14"/>
  <c r="D119" i="14" s="1"/>
  <c r="E78" i="14"/>
  <c r="E119" i="14" s="1"/>
  <c r="F78" i="14"/>
  <c r="F119" i="14" s="1"/>
  <c r="G78" i="14"/>
  <c r="H78" i="14"/>
  <c r="H119" i="14" s="1"/>
  <c r="I78" i="14"/>
  <c r="J78" i="14"/>
  <c r="J119" i="14" s="1"/>
  <c r="K78" i="14"/>
  <c r="K119" i="14" s="1"/>
  <c r="L78" i="14"/>
  <c r="L119" i="14" s="1"/>
  <c r="M78" i="14"/>
  <c r="M119" i="14" s="1"/>
  <c r="N78" i="14"/>
  <c r="N119" i="14" s="1"/>
  <c r="O78" i="14"/>
  <c r="P78" i="14"/>
  <c r="Q78" i="14"/>
  <c r="R78" i="14"/>
  <c r="R119" i="14" s="1"/>
  <c r="S78" i="14"/>
  <c r="T78" i="14"/>
  <c r="T119" i="14" s="1"/>
  <c r="U78" i="14"/>
  <c r="U119" i="14" s="1"/>
  <c r="V78" i="14"/>
  <c r="V119" i="14" s="1"/>
  <c r="W78" i="14"/>
  <c r="X78" i="14"/>
  <c r="X119" i="14" s="1"/>
  <c r="Y78" i="14"/>
  <c r="Z78" i="14"/>
  <c r="Z119" i="14" s="1"/>
  <c r="AA78" i="14"/>
  <c r="AA119" i="14" s="1"/>
  <c r="AB78" i="14"/>
  <c r="AB119" i="14" s="1"/>
  <c r="AC78" i="14"/>
  <c r="AC119" i="14" s="1"/>
  <c r="AD78" i="14"/>
  <c r="AD119" i="14" s="1"/>
  <c r="AE78" i="14"/>
  <c r="AF78" i="14"/>
  <c r="AF119" i="14" s="1"/>
  <c r="AG78" i="14"/>
  <c r="A80" i="14"/>
  <c r="E80" i="14"/>
  <c r="I80" i="14"/>
  <c r="K80" i="14"/>
  <c r="M80" i="14"/>
  <c r="Q80" i="14"/>
  <c r="S80" i="14"/>
  <c r="U80" i="14"/>
  <c r="Y80" i="14"/>
  <c r="AA80" i="14"/>
  <c r="AC80" i="14"/>
  <c r="AG80" i="14"/>
  <c r="D81" i="14"/>
  <c r="E81" i="14"/>
  <c r="F81" i="14"/>
  <c r="H81" i="14"/>
  <c r="J81" i="14"/>
  <c r="L81" i="14"/>
  <c r="M81" i="14"/>
  <c r="N81" i="14"/>
  <c r="P81" i="14"/>
  <c r="R81" i="14"/>
  <c r="T81" i="14"/>
  <c r="U81" i="14"/>
  <c r="V81" i="14"/>
  <c r="Z81" i="14"/>
  <c r="AB81" i="14"/>
  <c r="AC81" i="14"/>
  <c r="AD81" i="14"/>
  <c r="AF81" i="14"/>
  <c r="E82" i="14"/>
  <c r="I82" i="14"/>
  <c r="M82" i="14"/>
  <c r="Q82" i="14"/>
  <c r="U82" i="14"/>
  <c r="Y82" i="14"/>
  <c r="AC82" i="14"/>
  <c r="AG82" i="14"/>
  <c r="F83" i="14"/>
  <c r="G83" i="14"/>
  <c r="H83" i="14"/>
  <c r="J83" i="14"/>
  <c r="K83" i="14"/>
  <c r="N83" i="14"/>
  <c r="O83" i="14"/>
  <c r="P83" i="14"/>
  <c r="R83" i="14"/>
  <c r="S83" i="14"/>
  <c r="V83" i="14"/>
  <c r="W83" i="14"/>
  <c r="X83" i="14"/>
  <c r="Z83" i="14"/>
  <c r="AA83" i="14"/>
  <c r="AB83" i="14"/>
  <c r="AD83" i="14"/>
  <c r="AE83" i="14"/>
  <c r="AF83" i="14"/>
  <c r="G84" i="14"/>
  <c r="I84" i="14"/>
  <c r="K84" i="14"/>
  <c r="O84" i="14"/>
  <c r="Q84" i="14"/>
  <c r="S84" i="14"/>
  <c r="W84" i="14"/>
  <c r="Y84" i="14"/>
  <c r="AA84" i="14"/>
  <c r="AE84" i="14"/>
  <c r="AG84" i="14"/>
  <c r="E85" i="14"/>
  <c r="G85" i="14"/>
  <c r="K85" i="14"/>
  <c r="M85" i="14"/>
  <c r="O85" i="14"/>
  <c r="S85" i="14"/>
  <c r="U85" i="14"/>
  <c r="W85" i="14"/>
  <c r="AA85" i="14"/>
  <c r="AC85" i="14"/>
  <c r="AE85" i="14"/>
  <c r="E86" i="14"/>
  <c r="G86" i="14"/>
  <c r="I86" i="14"/>
  <c r="M86" i="14"/>
  <c r="O86" i="14"/>
  <c r="Q86" i="14"/>
  <c r="U86" i="14"/>
  <c r="W86" i="14"/>
  <c r="Y86" i="14"/>
  <c r="AC86" i="14"/>
  <c r="AE86" i="14"/>
  <c r="AG86" i="14"/>
  <c r="P87" i="14"/>
  <c r="V87" i="14"/>
  <c r="X87" i="14"/>
  <c r="AD87" i="14"/>
  <c r="AF87" i="14"/>
  <c r="A88" i="14"/>
  <c r="F88" i="14"/>
  <c r="G88" i="14"/>
  <c r="J88" i="14"/>
  <c r="K88" i="14"/>
  <c r="L88" i="14"/>
  <c r="N88" i="14"/>
  <c r="O88" i="14"/>
  <c r="R88" i="14"/>
  <c r="S88" i="14"/>
  <c r="T88" i="14"/>
  <c r="V88" i="14"/>
  <c r="W88" i="14"/>
  <c r="Z88" i="14"/>
  <c r="AA88" i="14"/>
  <c r="AB88" i="14"/>
  <c r="AD88" i="14"/>
  <c r="AE88" i="14"/>
  <c r="D89" i="14"/>
  <c r="E89" i="14"/>
  <c r="F89" i="14"/>
  <c r="G89" i="14"/>
  <c r="H89" i="14"/>
  <c r="I89" i="14"/>
  <c r="J89" i="14"/>
  <c r="K89" i="14"/>
  <c r="L89" i="14"/>
  <c r="M89" i="14"/>
  <c r="N89" i="14"/>
  <c r="O89" i="14"/>
  <c r="P89" i="14"/>
  <c r="Q89" i="14"/>
  <c r="R89" i="14"/>
  <c r="S89" i="14"/>
  <c r="T89" i="14"/>
  <c r="U89" i="14"/>
  <c r="V89" i="14"/>
  <c r="W89" i="14"/>
  <c r="X89" i="14"/>
  <c r="Y89" i="14"/>
  <c r="Z89" i="14"/>
  <c r="AA89" i="14"/>
  <c r="AB89" i="14"/>
  <c r="AC89" i="14"/>
  <c r="AD89" i="14"/>
  <c r="AE89" i="14"/>
  <c r="AF89" i="14"/>
  <c r="AG89" i="14"/>
  <c r="D90" i="14"/>
  <c r="E90" i="14"/>
  <c r="F90" i="14"/>
  <c r="I90" i="14"/>
  <c r="J90" i="14"/>
  <c r="M90" i="14"/>
  <c r="N90" i="14"/>
  <c r="Q90" i="14"/>
  <c r="R90" i="14"/>
  <c r="T90" i="14"/>
  <c r="U90" i="14"/>
  <c r="V90" i="14"/>
  <c r="Y90" i="14"/>
  <c r="Z90" i="14"/>
  <c r="AB90" i="14"/>
  <c r="AC90" i="14"/>
  <c r="AD90" i="14"/>
  <c r="AG90" i="14"/>
  <c r="E91" i="14"/>
  <c r="F91" i="14"/>
  <c r="I91" i="14"/>
  <c r="J91" i="14"/>
  <c r="K91" i="14"/>
  <c r="M91" i="14"/>
  <c r="N91" i="14"/>
  <c r="Q91" i="14"/>
  <c r="R91" i="14"/>
  <c r="S91" i="14"/>
  <c r="U91" i="14"/>
  <c r="V91" i="14"/>
  <c r="Y91" i="14"/>
  <c r="Z91" i="14"/>
  <c r="AA91" i="14"/>
  <c r="AC91" i="14"/>
  <c r="AD91" i="14"/>
  <c r="AG91" i="14"/>
  <c r="D92" i="14"/>
  <c r="G92" i="14"/>
  <c r="K92" i="14"/>
  <c r="L92" i="14"/>
  <c r="O92" i="14"/>
  <c r="S92" i="14"/>
  <c r="T92" i="14"/>
  <c r="W92" i="14"/>
  <c r="AA92" i="14"/>
  <c r="AB92" i="14"/>
  <c r="AE92" i="14"/>
  <c r="D93" i="14"/>
  <c r="F93" i="14"/>
  <c r="G93" i="14"/>
  <c r="H93" i="14"/>
  <c r="J93" i="14"/>
  <c r="K93" i="14"/>
  <c r="N93" i="14"/>
  <c r="O93" i="14"/>
  <c r="P93" i="14"/>
  <c r="R93" i="14"/>
  <c r="S93" i="14"/>
  <c r="V93" i="14"/>
  <c r="W93" i="14"/>
  <c r="X93" i="14"/>
  <c r="Z93" i="14"/>
  <c r="AA93" i="14"/>
  <c r="AD93" i="14"/>
  <c r="AE93" i="14"/>
  <c r="AF93" i="14"/>
  <c r="D94" i="14"/>
  <c r="H94" i="14"/>
  <c r="I94" i="14"/>
  <c r="L94" i="14"/>
  <c r="P94" i="14"/>
  <c r="Q94" i="14"/>
  <c r="T94" i="14"/>
  <c r="Y94" i="14"/>
  <c r="AB94" i="14"/>
  <c r="AF94" i="14"/>
  <c r="AG94" i="14"/>
  <c r="D95" i="14"/>
  <c r="J95" i="14"/>
  <c r="L95" i="14"/>
  <c r="M95" i="14"/>
  <c r="R95" i="14"/>
  <c r="T95" i="14"/>
  <c r="Z95" i="14"/>
  <c r="AB95" i="14"/>
  <c r="AC95" i="14"/>
  <c r="A96" i="14"/>
  <c r="F96" i="14"/>
  <c r="G96" i="14"/>
  <c r="K96" i="14"/>
  <c r="O96" i="14"/>
  <c r="V96" i="14"/>
  <c r="W96" i="14"/>
  <c r="AE96" i="14"/>
  <c r="E97" i="14"/>
  <c r="G97" i="14"/>
  <c r="H97" i="14"/>
  <c r="I97" i="14"/>
  <c r="K97" i="14"/>
  <c r="M97" i="14"/>
  <c r="O97" i="14"/>
  <c r="P97" i="14"/>
  <c r="Q97" i="14"/>
  <c r="S97" i="14"/>
  <c r="U97" i="14"/>
  <c r="W97" i="14"/>
  <c r="X97" i="14"/>
  <c r="Y97" i="14"/>
  <c r="AA97" i="14"/>
  <c r="AC97" i="14"/>
  <c r="AE97" i="14"/>
  <c r="AF97" i="14"/>
  <c r="AG97" i="14"/>
  <c r="E98" i="14"/>
  <c r="I98" i="14"/>
  <c r="K98" i="14"/>
  <c r="Q98" i="14"/>
  <c r="R98" i="14"/>
  <c r="S98" i="14"/>
  <c r="Y98" i="14"/>
  <c r="Z98" i="14"/>
  <c r="AA98" i="14"/>
  <c r="AG98" i="14"/>
  <c r="E99" i="14"/>
  <c r="F99" i="14"/>
  <c r="G99" i="14"/>
  <c r="H99" i="14"/>
  <c r="I99" i="14"/>
  <c r="K99" i="14"/>
  <c r="L99" i="14"/>
  <c r="O99" i="14"/>
  <c r="P99" i="14"/>
  <c r="Q99" i="14"/>
  <c r="S99" i="14"/>
  <c r="T99" i="14"/>
  <c r="U99" i="14"/>
  <c r="V99" i="14"/>
  <c r="X99" i="14"/>
  <c r="Y99" i="14"/>
  <c r="Z99" i="14"/>
  <c r="AB99" i="14"/>
  <c r="AC99" i="14"/>
  <c r="AD99" i="14"/>
  <c r="AF99" i="14"/>
  <c r="E100" i="14"/>
  <c r="F100" i="14"/>
  <c r="G100" i="14"/>
  <c r="I100" i="14"/>
  <c r="M100" i="14"/>
  <c r="N100" i="14"/>
  <c r="O100" i="14"/>
  <c r="Q100" i="14"/>
  <c r="U100" i="14"/>
  <c r="V100" i="14"/>
  <c r="W100" i="14"/>
  <c r="Y100" i="14"/>
  <c r="AC100" i="14"/>
  <c r="AD100" i="14"/>
  <c r="AE100" i="14"/>
  <c r="AG100" i="14"/>
  <c r="D101" i="14"/>
  <c r="F101" i="14"/>
  <c r="H101" i="14"/>
  <c r="J101" i="14"/>
  <c r="K101" i="14"/>
  <c r="L101" i="14"/>
  <c r="N101" i="14"/>
  <c r="P101" i="14"/>
  <c r="R101" i="14"/>
  <c r="S101" i="14"/>
  <c r="C101" i="14" s="1"/>
  <c r="T101" i="14"/>
  <c r="V101" i="14"/>
  <c r="X101" i="14"/>
  <c r="Z101" i="14"/>
  <c r="AA101" i="14"/>
  <c r="AB101" i="14"/>
  <c r="AD101" i="14"/>
  <c r="AF101" i="14"/>
  <c r="D102" i="14"/>
  <c r="E102" i="14"/>
  <c r="G102" i="14"/>
  <c r="L102" i="14"/>
  <c r="M102" i="14"/>
  <c r="O102" i="14"/>
  <c r="T102" i="14"/>
  <c r="U102" i="14"/>
  <c r="W102" i="14"/>
  <c r="AB102" i="14"/>
  <c r="AC102" i="14"/>
  <c r="AE102" i="14"/>
  <c r="E103" i="14"/>
  <c r="G103" i="14"/>
  <c r="M103" i="14"/>
  <c r="N103" i="14"/>
  <c r="O103" i="14"/>
  <c r="U103" i="14"/>
  <c r="W103" i="14"/>
  <c r="AC103" i="14"/>
  <c r="AE103" i="14"/>
  <c r="A104" i="14"/>
  <c r="D104" i="14"/>
  <c r="H104" i="14"/>
  <c r="I104" i="14"/>
  <c r="J104" i="14"/>
  <c r="L104" i="14"/>
  <c r="P104" i="14"/>
  <c r="Q104" i="14"/>
  <c r="R104" i="14"/>
  <c r="T104" i="14"/>
  <c r="X104" i="14"/>
  <c r="Y104" i="14"/>
  <c r="Z104" i="14"/>
  <c r="AB104" i="14"/>
  <c r="AF104" i="14"/>
  <c r="AG104" i="14"/>
  <c r="D105" i="14"/>
  <c r="E105" i="14"/>
  <c r="F105" i="14"/>
  <c r="H105" i="14"/>
  <c r="I105" i="14"/>
  <c r="J105" i="14"/>
  <c r="K105" i="14"/>
  <c r="L105" i="14"/>
  <c r="M105" i="14"/>
  <c r="N105" i="14"/>
  <c r="P105" i="14"/>
  <c r="Q105" i="14"/>
  <c r="R105" i="14"/>
  <c r="S105" i="14"/>
  <c r="T105" i="14"/>
  <c r="U105" i="14"/>
  <c r="V105" i="14"/>
  <c r="X105" i="14"/>
  <c r="Y105" i="14"/>
  <c r="Z105" i="14"/>
  <c r="AA105" i="14"/>
  <c r="AB105" i="14"/>
  <c r="AC105" i="14"/>
  <c r="AD105" i="14"/>
  <c r="AF105" i="14"/>
  <c r="AG105" i="14"/>
  <c r="D106" i="14"/>
  <c r="F106" i="14"/>
  <c r="G106" i="14"/>
  <c r="J106" i="14"/>
  <c r="K106" i="14"/>
  <c r="L106" i="14"/>
  <c r="N106" i="14"/>
  <c r="O106" i="14"/>
  <c r="R106" i="14"/>
  <c r="S106" i="14"/>
  <c r="T106" i="14"/>
  <c r="V106" i="14"/>
  <c r="W106" i="14"/>
  <c r="Z106" i="14"/>
  <c r="AA106" i="14"/>
  <c r="AB106" i="14"/>
  <c r="AD106" i="14"/>
  <c r="AE106" i="14"/>
  <c r="D107" i="14"/>
  <c r="G107" i="14"/>
  <c r="H107" i="14"/>
  <c r="I107" i="14"/>
  <c r="J107" i="14"/>
  <c r="K107" i="14"/>
  <c r="L107" i="14"/>
  <c r="N107" i="14"/>
  <c r="O107" i="14"/>
  <c r="P107" i="14"/>
  <c r="R107" i="14"/>
  <c r="S107" i="14"/>
  <c r="T107" i="14"/>
  <c r="U107" i="14"/>
  <c r="W107" i="14"/>
  <c r="Y107" i="14"/>
  <c r="Z107" i="14"/>
  <c r="AA107" i="14"/>
  <c r="AD107" i="14"/>
  <c r="AE107" i="14"/>
  <c r="AG107" i="14"/>
  <c r="D109" i="14"/>
  <c r="E109" i="14"/>
  <c r="F109" i="14"/>
  <c r="G109" i="14"/>
  <c r="H109" i="14"/>
  <c r="I109" i="14"/>
  <c r="K109" i="14"/>
  <c r="L109" i="14"/>
  <c r="M109" i="14"/>
  <c r="N109" i="14"/>
  <c r="O109" i="14"/>
  <c r="P109" i="14"/>
  <c r="Q109" i="14"/>
  <c r="S109" i="14"/>
  <c r="T109" i="14"/>
  <c r="U109" i="14"/>
  <c r="V109" i="14"/>
  <c r="W109" i="14"/>
  <c r="X109" i="14"/>
  <c r="Y109" i="14"/>
  <c r="AA109" i="14"/>
  <c r="AB109" i="14"/>
  <c r="AC109" i="14"/>
  <c r="AD109" i="14"/>
  <c r="AE109" i="14"/>
  <c r="AF109" i="14"/>
  <c r="AG109" i="14"/>
  <c r="E110" i="14"/>
  <c r="F110" i="14"/>
  <c r="G110" i="14"/>
  <c r="I110" i="14"/>
  <c r="M110" i="14"/>
  <c r="N110" i="14"/>
  <c r="O110" i="14"/>
  <c r="Q110" i="14"/>
  <c r="R110" i="14"/>
  <c r="U110" i="14"/>
  <c r="V110" i="14"/>
  <c r="Z110" i="14"/>
  <c r="AD110" i="14"/>
  <c r="Q111" i="14"/>
  <c r="W111" i="14"/>
  <c r="Y111" i="14"/>
  <c r="AE111" i="14"/>
  <c r="AG111" i="14"/>
  <c r="A112" i="14"/>
  <c r="F112" i="14"/>
  <c r="J112" i="14"/>
  <c r="L112" i="14"/>
  <c r="T112" i="14"/>
  <c r="G113" i="14"/>
  <c r="I113" i="14"/>
  <c r="M113" i="14"/>
  <c r="O113" i="14"/>
  <c r="Q113" i="14"/>
  <c r="U113" i="14"/>
  <c r="W113" i="14"/>
  <c r="Y113" i="14"/>
  <c r="AC113" i="14"/>
  <c r="AE113" i="14"/>
  <c r="AG113" i="14"/>
  <c r="S114" i="14"/>
  <c r="D115" i="14"/>
  <c r="J115" i="14"/>
  <c r="L115" i="14"/>
  <c r="N115" i="14"/>
  <c r="R115" i="14"/>
  <c r="T115" i="14"/>
  <c r="V115" i="14"/>
  <c r="Z115" i="14"/>
  <c r="AB115" i="14"/>
  <c r="AD115" i="14"/>
  <c r="E116" i="14"/>
  <c r="E117" i="14"/>
  <c r="G117" i="14"/>
  <c r="I117" i="14"/>
  <c r="M117" i="14"/>
  <c r="Q117" i="14"/>
  <c r="U117" i="14"/>
  <c r="AC117" i="14"/>
  <c r="AG117" i="14"/>
  <c r="Y118" i="14"/>
  <c r="G119" i="14"/>
  <c r="I119" i="14"/>
  <c r="O119" i="14"/>
  <c r="P119" i="14"/>
  <c r="Q119" i="14"/>
  <c r="S119" i="14"/>
  <c r="W119" i="14"/>
  <c r="Y119" i="14"/>
  <c r="AE119" i="14"/>
  <c r="AG119" i="14"/>
  <c r="Y5" i="3"/>
  <c r="Z5" i="3"/>
  <c r="AA5" i="3"/>
  <c r="AB5" i="3"/>
  <c r="AC5" i="3"/>
  <c r="AD5" i="3"/>
  <c r="AE5" i="3"/>
  <c r="AF5" i="3"/>
  <c r="AG5" i="3"/>
  <c r="AH5" i="3"/>
  <c r="AI5" i="3"/>
  <c r="AJ5" i="3"/>
  <c r="AK5" i="3"/>
  <c r="AL5" i="3"/>
  <c r="AM5" i="3"/>
  <c r="AN5" i="3"/>
  <c r="V6" i="3"/>
  <c r="AN6" i="3" s="1"/>
  <c r="Y7" i="3"/>
  <c r="Z7" i="3"/>
  <c r="AA7" i="3"/>
  <c r="AB7" i="3"/>
  <c r="AC7" i="3"/>
  <c r="AD7" i="3"/>
  <c r="AE7" i="3"/>
  <c r="AF7" i="3"/>
  <c r="AG7" i="3"/>
  <c r="AH7" i="3"/>
  <c r="AI7" i="3"/>
  <c r="AJ7" i="3"/>
  <c r="AK7" i="3"/>
  <c r="AL7" i="3"/>
  <c r="AM7" i="3"/>
  <c r="AN7" i="3"/>
  <c r="Y8" i="3"/>
  <c r="Z8" i="3"/>
  <c r="AA8" i="3"/>
  <c r="AB8" i="3"/>
  <c r="AC8" i="3"/>
  <c r="AD8" i="3"/>
  <c r="AE8" i="3"/>
  <c r="AF8" i="3"/>
  <c r="AG8" i="3"/>
  <c r="AH8" i="3"/>
  <c r="AI8" i="3"/>
  <c r="AJ8" i="3"/>
  <c r="AK8" i="3"/>
  <c r="AL8" i="3"/>
  <c r="AM8" i="3"/>
  <c r="AN8" i="3"/>
  <c r="AO9" i="3"/>
  <c r="Y10" i="3"/>
  <c r="Z10" i="3"/>
  <c r="AA10" i="3"/>
  <c r="AB10" i="3"/>
  <c r="AC10" i="3"/>
  <c r="AD10" i="3"/>
  <c r="AE10" i="3"/>
  <c r="AF10" i="3"/>
  <c r="AG10" i="3"/>
  <c r="AH10" i="3"/>
  <c r="AI10" i="3"/>
  <c r="AJ10" i="3"/>
  <c r="AK10" i="3"/>
  <c r="AL10" i="3"/>
  <c r="AM10" i="3"/>
  <c r="AN10" i="3"/>
  <c r="V11" i="3"/>
  <c r="AB11" i="3" s="1"/>
  <c r="Z11" i="3"/>
  <c r="AH11" i="3"/>
  <c r="AL11" i="3"/>
  <c r="Y12" i="3"/>
  <c r="Z12" i="3"/>
  <c r="AA12" i="3"/>
  <c r="AB12" i="3"/>
  <c r="AC12" i="3"/>
  <c r="AD12" i="3"/>
  <c r="AE12" i="3"/>
  <c r="AF12" i="3"/>
  <c r="AG12" i="3"/>
  <c r="AH12" i="3"/>
  <c r="AI12" i="3"/>
  <c r="AJ12" i="3"/>
  <c r="AK12" i="3"/>
  <c r="AL12" i="3"/>
  <c r="AM12" i="3"/>
  <c r="AN12" i="3"/>
  <c r="Y13" i="3"/>
  <c r="Z13" i="3"/>
  <c r="AA13" i="3"/>
  <c r="AB13" i="3"/>
  <c r="AC13" i="3"/>
  <c r="AD13" i="3"/>
  <c r="AE13" i="3"/>
  <c r="AF13" i="3"/>
  <c r="AG13" i="3"/>
  <c r="AH13" i="3"/>
  <c r="AI13" i="3"/>
  <c r="AJ13" i="3"/>
  <c r="AK13" i="3"/>
  <c r="AL13" i="3"/>
  <c r="AM13" i="3"/>
  <c r="AN13" i="3"/>
  <c r="Y14" i="3"/>
  <c r="Z14" i="3"/>
  <c r="AA14" i="3"/>
  <c r="AB14" i="3"/>
  <c r="AC14" i="3"/>
  <c r="AD14" i="3"/>
  <c r="AE14" i="3"/>
  <c r="AF14" i="3"/>
  <c r="AG14" i="3"/>
  <c r="AH14" i="3"/>
  <c r="AI14" i="3"/>
  <c r="AJ14" i="3"/>
  <c r="AK14" i="3"/>
  <c r="AL14" i="3"/>
  <c r="AM14" i="3"/>
  <c r="AN14" i="3"/>
  <c r="Y15" i="3"/>
  <c r="Z15" i="3"/>
  <c r="AA15" i="3"/>
  <c r="AB15" i="3"/>
  <c r="AC15" i="3"/>
  <c r="AD15" i="3"/>
  <c r="AE15" i="3"/>
  <c r="AF15" i="3"/>
  <c r="AG15" i="3"/>
  <c r="AH15" i="3"/>
  <c r="AI15" i="3"/>
  <c r="AJ15" i="3"/>
  <c r="AK15" i="3"/>
  <c r="AL15" i="3"/>
  <c r="AM15" i="3"/>
  <c r="AN15" i="3"/>
  <c r="Y16" i="3"/>
  <c r="Z16" i="3"/>
  <c r="AA16" i="3"/>
  <c r="AB16" i="3"/>
  <c r="AC16" i="3"/>
  <c r="AD16" i="3"/>
  <c r="AE16" i="3"/>
  <c r="AF16" i="3"/>
  <c r="AG16" i="3"/>
  <c r="AH16" i="3"/>
  <c r="AI16" i="3"/>
  <c r="AJ16" i="3"/>
  <c r="AK16" i="3"/>
  <c r="AL16" i="3"/>
  <c r="AM16" i="3"/>
  <c r="AN16" i="3"/>
  <c r="Y17" i="3"/>
  <c r="Z17" i="3"/>
  <c r="AA17" i="3"/>
  <c r="AB17" i="3"/>
  <c r="AC17" i="3"/>
  <c r="AD17" i="3"/>
  <c r="AE17" i="3"/>
  <c r="AF17" i="3"/>
  <c r="AG17" i="3"/>
  <c r="AH17" i="3"/>
  <c r="AI17" i="3"/>
  <c r="AJ17" i="3"/>
  <c r="AK17" i="3"/>
  <c r="AL17" i="3"/>
  <c r="AM17" i="3"/>
  <c r="AN17" i="3"/>
  <c r="Y18" i="3"/>
  <c r="Z18" i="3"/>
  <c r="AA18" i="3"/>
  <c r="AB18" i="3"/>
  <c r="AC18" i="3"/>
  <c r="AD18" i="3"/>
  <c r="AE18" i="3"/>
  <c r="AF18" i="3"/>
  <c r="AG18" i="3"/>
  <c r="AH18" i="3"/>
  <c r="AI18" i="3"/>
  <c r="AJ18" i="3"/>
  <c r="AK18" i="3"/>
  <c r="AL18" i="3"/>
  <c r="AM18" i="3"/>
  <c r="AN18" i="3"/>
  <c r="Y19" i="3"/>
  <c r="Z19" i="3"/>
  <c r="AA19" i="3"/>
  <c r="AB19" i="3"/>
  <c r="AC19" i="3"/>
  <c r="AD19" i="3"/>
  <c r="AE19" i="3"/>
  <c r="AF19" i="3"/>
  <c r="AG19" i="3"/>
  <c r="AH19" i="3"/>
  <c r="AI19" i="3"/>
  <c r="AJ19" i="3"/>
  <c r="AK19" i="3"/>
  <c r="AL19" i="3"/>
  <c r="AM19" i="3"/>
  <c r="AN19" i="3"/>
  <c r="Y20" i="3"/>
  <c r="Z20" i="3"/>
  <c r="AA20" i="3"/>
  <c r="AB20" i="3"/>
  <c r="AC20" i="3"/>
  <c r="AD20" i="3"/>
  <c r="AE20" i="3"/>
  <c r="AF20" i="3"/>
  <c r="AG20" i="3"/>
  <c r="AH20" i="3"/>
  <c r="AI20" i="3"/>
  <c r="AJ20" i="3"/>
  <c r="AK20" i="3"/>
  <c r="AL20" i="3"/>
  <c r="AM20" i="3"/>
  <c r="AN20" i="3"/>
  <c r="Y21" i="3"/>
  <c r="Z21" i="3"/>
  <c r="AA21" i="3"/>
  <c r="AB21" i="3"/>
  <c r="AC21" i="3"/>
  <c r="AD21" i="3"/>
  <c r="AE21" i="3"/>
  <c r="AF21" i="3"/>
  <c r="AG21" i="3"/>
  <c r="AH21" i="3"/>
  <c r="AI21" i="3"/>
  <c r="AJ21" i="3"/>
  <c r="AK21" i="3"/>
  <c r="AL21" i="3"/>
  <c r="AM21" i="3"/>
  <c r="AN21" i="3"/>
  <c r="Y22" i="3"/>
  <c r="Z22" i="3"/>
  <c r="AA22" i="3"/>
  <c r="AB22" i="3"/>
  <c r="AC22" i="3"/>
  <c r="AD22" i="3"/>
  <c r="AE22" i="3"/>
  <c r="AF22" i="3"/>
  <c r="AG22" i="3"/>
  <c r="AH22" i="3"/>
  <c r="AI22" i="3"/>
  <c r="AJ22" i="3"/>
  <c r="AK22" i="3"/>
  <c r="AL22" i="3"/>
  <c r="AM22" i="3"/>
  <c r="AN22" i="3"/>
  <c r="Y23" i="3"/>
  <c r="Z23" i="3"/>
  <c r="AA23" i="3"/>
  <c r="AB23" i="3"/>
  <c r="AC23" i="3"/>
  <c r="AD23" i="3"/>
  <c r="AE23" i="3"/>
  <c r="AF23" i="3"/>
  <c r="AG23" i="3"/>
  <c r="AH23" i="3"/>
  <c r="AI23" i="3"/>
  <c r="AJ23" i="3"/>
  <c r="AK23" i="3"/>
  <c r="AL23" i="3"/>
  <c r="AM23" i="3"/>
  <c r="AN23" i="3"/>
  <c r="AO24" i="3"/>
  <c r="Y25" i="3"/>
  <c r="Z25" i="3"/>
  <c r="AA25" i="3"/>
  <c r="AB25" i="3"/>
  <c r="AC25" i="3"/>
  <c r="AD25" i="3"/>
  <c r="AE25" i="3"/>
  <c r="AF25" i="3"/>
  <c r="AG25" i="3"/>
  <c r="AH25" i="3"/>
  <c r="AI25" i="3"/>
  <c r="AJ25" i="3"/>
  <c r="AK25" i="3"/>
  <c r="AL25" i="3"/>
  <c r="AM25" i="3"/>
  <c r="AN25" i="3"/>
  <c r="Y26" i="3"/>
  <c r="Z26" i="3"/>
  <c r="AA26" i="3"/>
  <c r="AB26" i="3"/>
  <c r="AC26" i="3"/>
  <c r="AD26" i="3"/>
  <c r="AE26" i="3"/>
  <c r="AF26" i="3"/>
  <c r="AG26" i="3"/>
  <c r="AH26" i="3"/>
  <c r="AI26" i="3"/>
  <c r="AJ26" i="3"/>
  <c r="AK26" i="3"/>
  <c r="AL26" i="3"/>
  <c r="AM26" i="3"/>
  <c r="AN26" i="3"/>
  <c r="Y27" i="3"/>
  <c r="Z27" i="3"/>
  <c r="AA27" i="3"/>
  <c r="AB27" i="3"/>
  <c r="AC27" i="3"/>
  <c r="AD27" i="3"/>
  <c r="AE27" i="3"/>
  <c r="AF27" i="3"/>
  <c r="AG27" i="3"/>
  <c r="AH27" i="3"/>
  <c r="AI27" i="3"/>
  <c r="AJ27" i="3"/>
  <c r="AK27" i="3"/>
  <c r="AL27" i="3"/>
  <c r="AM27" i="3"/>
  <c r="AN27" i="3"/>
  <c r="Y28" i="3"/>
  <c r="Z28" i="3"/>
  <c r="AA28" i="3"/>
  <c r="AB28" i="3"/>
  <c r="AC28" i="3"/>
  <c r="AD28" i="3"/>
  <c r="AE28" i="3"/>
  <c r="AF28" i="3"/>
  <c r="AG28" i="3"/>
  <c r="AH28" i="3"/>
  <c r="AI28" i="3"/>
  <c r="AJ28" i="3"/>
  <c r="AK28" i="3"/>
  <c r="AL28" i="3"/>
  <c r="AM28" i="3"/>
  <c r="AN28" i="3"/>
  <c r="Y29" i="3"/>
  <c r="Z29" i="3"/>
  <c r="AA29" i="3"/>
  <c r="AB29" i="3"/>
  <c r="AC29" i="3"/>
  <c r="AD29" i="3"/>
  <c r="AE29" i="3"/>
  <c r="AF29" i="3"/>
  <c r="AG29" i="3"/>
  <c r="AH29" i="3"/>
  <c r="AI29" i="3"/>
  <c r="AJ29" i="3"/>
  <c r="AK29" i="3"/>
  <c r="AL29" i="3"/>
  <c r="AM29" i="3"/>
  <c r="AN29" i="3"/>
  <c r="Y30" i="3"/>
  <c r="Z30" i="3"/>
  <c r="AA30" i="3"/>
  <c r="AB30" i="3"/>
  <c r="AC30" i="3"/>
  <c r="AD30" i="3"/>
  <c r="AE30" i="3"/>
  <c r="AF30" i="3"/>
  <c r="AG30" i="3"/>
  <c r="AH30" i="3"/>
  <c r="AI30" i="3"/>
  <c r="AJ30" i="3"/>
  <c r="AK30" i="3"/>
  <c r="AL30" i="3"/>
  <c r="AM30" i="3"/>
  <c r="AN30" i="3"/>
  <c r="Y31" i="3"/>
  <c r="Z31" i="3"/>
  <c r="AA31" i="3"/>
  <c r="AB31" i="3"/>
  <c r="AC31" i="3"/>
  <c r="AD31" i="3"/>
  <c r="AE31" i="3"/>
  <c r="AF31" i="3"/>
  <c r="AG31" i="3"/>
  <c r="AH31" i="3"/>
  <c r="AI31" i="3"/>
  <c r="AJ31" i="3"/>
  <c r="AK31" i="3"/>
  <c r="AL31" i="3"/>
  <c r="AM31" i="3"/>
  <c r="AN31" i="3"/>
  <c r="Y32" i="3"/>
  <c r="Z32" i="3"/>
  <c r="AA32" i="3"/>
  <c r="AB32" i="3"/>
  <c r="AC32" i="3"/>
  <c r="AD32" i="3"/>
  <c r="AE32" i="3"/>
  <c r="AF32" i="3"/>
  <c r="AG32" i="3"/>
  <c r="AH32" i="3"/>
  <c r="AI32" i="3"/>
  <c r="AJ32" i="3"/>
  <c r="AK32" i="3"/>
  <c r="AL32" i="3"/>
  <c r="AM32" i="3"/>
  <c r="AN32" i="3"/>
  <c r="Y33" i="3"/>
  <c r="Z33" i="3"/>
  <c r="AA33" i="3"/>
  <c r="AB33" i="3"/>
  <c r="AC33" i="3"/>
  <c r="AD33" i="3"/>
  <c r="AE33" i="3"/>
  <c r="AF33" i="3"/>
  <c r="AG33" i="3"/>
  <c r="AH33" i="3"/>
  <c r="AI33" i="3"/>
  <c r="AJ33" i="3"/>
  <c r="AK33" i="3"/>
  <c r="AL33" i="3"/>
  <c r="AM33" i="3"/>
  <c r="AN33" i="3"/>
  <c r="AO34" i="3"/>
  <c r="Y35" i="3"/>
  <c r="Z35" i="3"/>
  <c r="AA35" i="3"/>
  <c r="AB35" i="3"/>
  <c r="AC35" i="3"/>
  <c r="AD35" i="3"/>
  <c r="AE35" i="3"/>
  <c r="AF35" i="3"/>
  <c r="AG35" i="3"/>
  <c r="AH35" i="3"/>
  <c r="AI35" i="3"/>
  <c r="AJ35" i="3"/>
  <c r="AK35" i="3"/>
  <c r="AL35" i="3"/>
  <c r="AM35" i="3"/>
  <c r="AN35" i="3"/>
  <c r="Y36" i="3"/>
  <c r="Z36" i="3"/>
  <c r="AA36" i="3"/>
  <c r="AB36" i="3"/>
  <c r="AC36" i="3"/>
  <c r="AD36" i="3"/>
  <c r="AE36" i="3"/>
  <c r="AF36" i="3"/>
  <c r="AG36" i="3"/>
  <c r="AH36" i="3"/>
  <c r="AI36" i="3"/>
  <c r="AJ36" i="3"/>
  <c r="AK36" i="3"/>
  <c r="AL36" i="3"/>
  <c r="AM36" i="3"/>
  <c r="AN36" i="3"/>
  <c r="AO36" i="3"/>
  <c r="AO37" i="3"/>
  <c r="AO38" i="3"/>
  <c r="AO39" i="3"/>
  <c r="Y40" i="3"/>
  <c r="Z40" i="3"/>
  <c r="AA40" i="3"/>
  <c r="AB40" i="3"/>
  <c r="AC40" i="3"/>
  <c r="AD40" i="3"/>
  <c r="AE40" i="3"/>
  <c r="AF40" i="3"/>
  <c r="AG40" i="3"/>
  <c r="AH40" i="3"/>
  <c r="AI40" i="3"/>
  <c r="AJ40" i="3"/>
  <c r="AK40" i="3"/>
  <c r="AL40" i="3"/>
  <c r="AM40" i="3"/>
  <c r="AN40" i="3"/>
  <c r="Y41" i="3"/>
  <c r="Z41" i="3"/>
  <c r="AA41" i="3"/>
  <c r="AB41" i="3"/>
  <c r="AC41" i="3"/>
  <c r="AD41" i="3"/>
  <c r="AE41" i="3"/>
  <c r="AF41" i="3"/>
  <c r="AG41" i="3"/>
  <c r="AH41" i="3"/>
  <c r="AI41" i="3"/>
  <c r="AJ41" i="3"/>
  <c r="AK41" i="3"/>
  <c r="AL41" i="3"/>
  <c r="AM41" i="3"/>
  <c r="AN41" i="3"/>
  <c r="I75" i="3"/>
  <c r="I76" i="3"/>
  <c r="V77" i="3"/>
  <c r="D85" i="3"/>
  <c r="G7" i="4"/>
  <c r="K7" i="4" s="1"/>
  <c r="H7" i="4"/>
  <c r="J7" i="4" s="1"/>
  <c r="I7" i="4"/>
  <c r="G8" i="4"/>
  <c r="H8" i="4"/>
  <c r="G9" i="4"/>
  <c r="H9" i="4"/>
  <c r="G10" i="4"/>
  <c r="H10" i="4"/>
  <c r="N10" i="4"/>
  <c r="G11" i="4"/>
  <c r="K11" i="4" s="1"/>
  <c r="H11" i="4"/>
  <c r="L11" i="4"/>
  <c r="N11" i="4"/>
  <c r="G12" i="4"/>
  <c r="L12" i="4" s="1"/>
  <c r="H12" i="4"/>
  <c r="I12" i="4" s="1"/>
  <c r="N12" i="4"/>
  <c r="G13" i="4"/>
  <c r="L13" i="4" s="1"/>
  <c r="H13" i="4"/>
  <c r="N13" i="4"/>
  <c r="G14" i="4"/>
  <c r="H14" i="4"/>
  <c r="N14" i="4"/>
  <c r="G15" i="4"/>
  <c r="H15" i="4"/>
  <c r="I15" i="4" s="1"/>
  <c r="K15" i="4"/>
  <c r="L15" i="4"/>
  <c r="N15" i="4"/>
  <c r="G16" i="4"/>
  <c r="K16" i="4" s="1"/>
  <c r="H16" i="4"/>
  <c r="N16" i="4"/>
  <c r="G17" i="4"/>
  <c r="L17" i="4" s="1"/>
  <c r="H17" i="4"/>
  <c r="N17" i="4"/>
  <c r="G18" i="4"/>
  <c r="K18" i="4" s="1"/>
  <c r="H18" i="4"/>
  <c r="J18" i="4" s="1"/>
  <c r="I18" i="4"/>
  <c r="N18" i="4"/>
  <c r="G19" i="4"/>
  <c r="H19" i="4"/>
  <c r="I19" i="4" s="1"/>
  <c r="K19" i="4"/>
  <c r="L19" i="4"/>
  <c r="N19" i="4"/>
  <c r="G20" i="4"/>
  <c r="K20" i="4" s="1"/>
  <c r="H20" i="4"/>
  <c r="N20" i="4"/>
  <c r="G21" i="4"/>
  <c r="L21" i="4" s="1"/>
  <c r="H21" i="4"/>
  <c r="N21" i="4"/>
  <c r="G22" i="4"/>
  <c r="K22" i="4" s="1"/>
  <c r="H22" i="4"/>
  <c r="J22" i="4" s="1"/>
  <c r="N22" i="4"/>
  <c r="G23" i="4"/>
  <c r="H23" i="4"/>
  <c r="N23" i="4"/>
  <c r="G24" i="4"/>
  <c r="K24" i="4" s="1"/>
  <c r="H24" i="4"/>
  <c r="N24" i="4"/>
  <c r="G25" i="4"/>
  <c r="L25" i="4" s="1"/>
  <c r="H25" i="4"/>
  <c r="N25" i="4"/>
  <c r="G26" i="4"/>
  <c r="L26" i="4"/>
  <c r="H26" i="4"/>
  <c r="I26" i="4" s="1"/>
  <c r="N26" i="4"/>
  <c r="G27" i="4"/>
  <c r="L27" i="4" s="1"/>
  <c r="H27" i="4"/>
  <c r="B29" i="4"/>
  <c r="C29" i="4"/>
  <c r="D29" i="4"/>
  <c r="E29" i="4"/>
  <c r="F29" i="4"/>
  <c r="B33" i="4"/>
  <c r="C33" i="4"/>
  <c r="D33" i="4"/>
  <c r="E33" i="4"/>
  <c r="L46" i="4" s="1"/>
  <c r="F33" i="4"/>
  <c r="M36" i="4" s="1"/>
  <c r="O35" i="4"/>
  <c r="O36" i="4"/>
  <c r="R36" i="4"/>
  <c r="O37" i="4"/>
  <c r="L38" i="4"/>
  <c r="O38" i="4"/>
  <c r="O39" i="4"/>
  <c r="O40" i="4"/>
  <c r="L41" i="4"/>
  <c r="O41" i="4"/>
  <c r="O42" i="4"/>
  <c r="L43" i="4"/>
  <c r="O43" i="4"/>
  <c r="L44" i="4"/>
  <c r="O44" i="4"/>
  <c r="O45" i="4"/>
  <c r="I46" i="4"/>
  <c r="K46" i="4"/>
  <c r="O46" i="4"/>
  <c r="K2" i="32"/>
  <c r="L8" i="32"/>
  <c r="M8" i="32"/>
  <c r="N8" i="32"/>
  <c r="O8" i="32"/>
  <c r="P8" i="32"/>
  <c r="Q8" i="32"/>
  <c r="R8" i="32"/>
  <c r="S8" i="32"/>
  <c r="Z8" i="32"/>
  <c r="AA8" i="32"/>
  <c r="L9" i="32"/>
  <c r="M9" i="32"/>
  <c r="N9" i="32"/>
  <c r="O9" i="32"/>
  <c r="P9" i="32"/>
  <c r="Q9" i="32"/>
  <c r="R9" i="32"/>
  <c r="S9" i="32"/>
  <c r="Z9" i="32"/>
  <c r="AA9" i="32"/>
  <c r="L10" i="32"/>
  <c r="M10" i="32"/>
  <c r="N10" i="32"/>
  <c r="O10" i="32"/>
  <c r="P10" i="32"/>
  <c r="Q10" i="32"/>
  <c r="R10" i="32"/>
  <c r="S10" i="32"/>
  <c r="Z10" i="32"/>
  <c r="AA10" i="32"/>
  <c r="L11" i="32"/>
  <c r="M11" i="32"/>
  <c r="N11" i="32"/>
  <c r="O11" i="32"/>
  <c r="P11" i="32"/>
  <c r="Q11" i="32"/>
  <c r="R11" i="32"/>
  <c r="S11" i="32"/>
  <c r="Z11" i="32"/>
  <c r="AA11" i="32"/>
  <c r="L12" i="32"/>
  <c r="M12" i="32"/>
  <c r="N12" i="32"/>
  <c r="O12" i="32"/>
  <c r="P12" i="32"/>
  <c r="Q12" i="32"/>
  <c r="R12" i="32"/>
  <c r="S12" i="32"/>
  <c r="Z12" i="32"/>
  <c r="AA12" i="32"/>
  <c r="Z13" i="32"/>
  <c r="AA13" i="32"/>
  <c r="B14" i="32"/>
  <c r="C14" i="32"/>
  <c r="D14" i="32"/>
  <c r="D26" i="32" s="1"/>
  <c r="E14" i="32"/>
  <c r="F14" i="32"/>
  <c r="G14" i="32"/>
  <c r="H14" i="32"/>
  <c r="I14" i="32"/>
  <c r="L19" i="32"/>
  <c r="M19" i="32"/>
  <c r="N19" i="32"/>
  <c r="O19" i="32"/>
  <c r="P19" i="32"/>
  <c r="Q19" i="32"/>
  <c r="R19" i="32"/>
  <c r="S19" i="32"/>
  <c r="Z19" i="32"/>
  <c r="AA19" i="32"/>
  <c r="L20" i="32"/>
  <c r="M20" i="32"/>
  <c r="N20" i="32"/>
  <c r="O20" i="32"/>
  <c r="P20" i="32"/>
  <c r="Q20" i="32"/>
  <c r="R20" i="32"/>
  <c r="S20" i="32"/>
  <c r="Z20" i="32"/>
  <c r="AA20" i="32"/>
  <c r="L21" i="32"/>
  <c r="M21" i="32"/>
  <c r="N21" i="32"/>
  <c r="O21" i="32"/>
  <c r="P21" i="32"/>
  <c r="Q21" i="32"/>
  <c r="R21" i="32"/>
  <c r="S21" i="32"/>
  <c r="Z21" i="32"/>
  <c r="AA21" i="32"/>
  <c r="L22" i="32"/>
  <c r="M22" i="32"/>
  <c r="N22" i="32"/>
  <c r="O22" i="32"/>
  <c r="P22" i="32"/>
  <c r="Q22" i="32"/>
  <c r="R22" i="32"/>
  <c r="S22" i="32"/>
  <c r="Z22" i="32"/>
  <c r="AA22" i="32"/>
  <c r="L23" i="32"/>
  <c r="M23" i="32"/>
  <c r="N23" i="32"/>
  <c r="O23" i="32"/>
  <c r="P23" i="32"/>
  <c r="Q23" i="32"/>
  <c r="R23" i="32"/>
  <c r="S23" i="32"/>
  <c r="Z23" i="32"/>
  <c r="AA23" i="32"/>
  <c r="Z24" i="32"/>
  <c r="AA24" i="32"/>
  <c r="B25" i="32"/>
  <c r="C25" i="32"/>
  <c r="D25" i="32"/>
  <c r="N25" i="32" s="1"/>
  <c r="E25" i="32"/>
  <c r="Q25" i="32" s="1"/>
  <c r="F25" i="32"/>
  <c r="G25" i="32"/>
  <c r="H25" i="32"/>
  <c r="I25" i="32"/>
  <c r="L32" i="32"/>
  <c r="M32" i="32"/>
  <c r="N32" i="32"/>
  <c r="O32" i="32"/>
  <c r="P32" i="32"/>
  <c r="Q32" i="32"/>
  <c r="R32" i="32"/>
  <c r="S32" i="32"/>
  <c r="Z32" i="32"/>
  <c r="AA32" i="32"/>
  <c r="Z33" i="32"/>
  <c r="AA33" i="32"/>
  <c r="L34" i="32"/>
  <c r="M34" i="32"/>
  <c r="N34" i="32"/>
  <c r="O34" i="32"/>
  <c r="P34" i="32"/>
  <c r="Q34" i="32"/>
  <c r="R34" i="32"/>
  <c r="S34" i="32"/>
  <c r="Z34" i="32"/>
  <c r="AA34" i="32"/>
  <c r="L35" i="32"/>
  <c r="M35" i="32"/>
  <c r="N35" i="32"/>
  <c r="O35" i="32"/>
  <c r="P35" i="32"/>
  <c r="Q35" i="32"/>
  <c r="R35" i="32"/>
  <c r="S35" i="32"/>
  <c r="Z35" i="32"/>
  <c r="AA35" i="32"/>
  <c r="L36" i="32"/>
  <c r="M36" i="32"/>
  <c r="N36" i="32"/>
  <c r="O36" i="32"/>
  <c r="P36" i="32"/>
  <c r="Q36" i="32"/>
  <c r="R36" i="32"/>
  <c r="S36" i="32"/>
  <c r="Z36" i="32"/>
  <c r="AA36" i="32"/>
  <c r="L37" i="32"/>
  <c r="M37" i="32"/>
  <c r="N37" i="32"/>
  <c r="O37" i="32"/>
  <c r="P37" i="32"/>
  <c r="Q37" i="32"/>
  <c r="R37" i="32"/>
  <c r="S37" i="32"/>
  <c r="Z37" i="32"/>
  <c r="AA37" i="32"/>
  <c r="L38" i="32"/>
  <c r="M38" i="32"/>
  <c r="N38" i="32"/>
  <c r="O38" i="32"/>
  <c r="P38" i="32"/>
  <c r="Q38" i="32"/>
  <c r="R38" i="32"/>
  <c r="S38" i="32"/>
  <c r="Z38" i="32"/>
  <c r="AA38" i="32"/>
  <c r="L39" i="32"/>
  <c r="M39" i="32"/>
  <c r="N39" i="32"/>
  <c r="O39" i="32"/>
  <c r="P39" i="32"/>
  <c r="Q39" i="32"/>
  <c r="R39" i="32"/>
  <c r="S39" i="32"/>
  <c r="Z39" i="32"/>
  <c r="AA39" i="32"/>
  <c r="L40" i="32"/>
  <c r="M40" i="32"/>
  <c r="N40" i="32"/>
  <c r="O40" i="32"/>
  <c r="P40" i="32"/>
  <c r="Q40" i="32"/>
  <c r="R40" i="32"/>
  <c r="S40" i="32"/>
  <c r="Z40" i="32"/>
  <c r="AA40" i="32"/>
  <c r="L41" i="32"/>
  <c r="M41" i="32"/>
  <c r="N41" i="32"/>
  <c r="O41" i="32"/>
  <c r="P41" i="32"/>
  <c r="Q41" i="32"/>
  <c r="R41" i="32"/>
  <c r="S41" i="32"/>
  <c r="Z41" i="32"/>
  <c r="AA41" i="32"/>
  <c r="L42" i="32"/>
  <c r="M42" i="32"/>
  <c r="N42" i="32"/>
  <c r="O42" i="32"/>
  <c r="P42" i="32"/>
  <c r="Q42" i="32"/>
  <c r="R42" i="32"/>
  <c r="S42" i="32"/>
  <c r="Z42" i="32"/>
  <c r="AA42" i="32"/>
  <c r="L43" i="32"/>
  <c r="M43" i="32"/>
  <c r="N43" i="32"/>
  <c r="O43" i="32"/>
  <c r="P43" i="32"/>
  <c r="Q43" i="32"/>
  <c r="R43" i="32"/>
  <c r="S43" i="32"/>
  <c r="Z43" i="32"/>
  <c r="AA43" i="32"/>
  <c r="L44" i="32"/>
  <c r="M44" i="32"/>
  <c r="N44" i="32"/>
  <c r="O44" i="32"/>
  <c r="P44" i="32"/>
  <c r="Q44" i="32"/>
  <c r="R44" i="32"/>
  <c r="S44" i="32"/>
  <c r="Z44" i="32"/>
  <c r="AA44" i="32"/>
  <c r="L45" i="32"/>
  <c r="M45" i="32"/>
  <c r="N45" i="32"/>
  <c r="O45" i="32"/>
  <c r="P45" i="32"/>
  <c r="Q45" i="32"/>
  <c r="R45" i="32"/>
  <c r="S45" i="32"/>
  <c r="Z45" i="32"/>
  <c r="AA45" i="32"/>
  <c r="L46" i="32"/>
  <c r="M46" i="32"/>
  <c r="N46" i="32"/>
  <c r="O46" i="32"/>
  <c r="P46" i="32"/>
  <c r="Q46" i="32"/>
  <c r="R46" i="32"/>
  <c r="S46" i="32"/>
  <c r="Z46" i="32"/>
  <c r="AA46" i="32"/>
  <c r="L47" i="32"/>
  <c r="M47" i="32"/>
  <c r="N47" i="32"/>
  <c r="O47" i="32"/>
  <c r="P47" i="32"/>
  <c r="Q47" i="32"/>
  <c r="R47" i="32"/>
  <c r="S47" i="32"/>
  <c r="Z47" i="32"/>
  <c r="AA47" i="32"/>
  <c r="L48" i="32"/>
  <c r="M48" i="32"/>
  <c r="N48" i="32"/>
  <c r="O48" i="32"/>
  <c r="P48" i="32"/>
  <c r="Q48" i="32"/>
  <c r="R48" i="32"/>
  <c r="S48" i="32"/>
  <c r="Z48" i="32"/>
  <c r="AA48" i="32"/>
  <c r="L49" i="32"/>
  <c r="M49" i="32"/>
  <c r="N49" i="32"/>
  <c r="O49" i="32"/>
  <c r="P49" i="32"/>
  <c r="Q49" i="32"/>
  <c r="R49" i="32"/>
  <c r="S49" i="32"/>
  <c r="Z49" i="32"/>
  <c r="AA49" i="32"/>
  <c r="L50" i="32"/>
  <c r="M50" i="32"/>
  <c r="N50" i="32"/>
  <c r="O50" i="32"/>
  <c r="P50" i="32"/>
  <c r="Q50" i="32"/>
  <c r="R50" i="32"/>
  <c r="S50" i="32"/>
  <c r="Z50" i="32"/>
  <c r="AA50" i="32"/>
  <c r="L51" i="32"/>
  <c r="M51" i="32"/>
  <c r="N51" i="32"/>
  <c r="O51" i="32"/>
  <c r="P51" i="32"/>
  <c r="Q51" i="32"/>
  <c r="R51" i="32"/>
  <c r="S51" i="32"/>
  <c r="Z51" i="32"/>
  <c r="AA51" i="32"/>
  <c r="L52" i="32"/>
  <c r="M52" i="32"/>
  <c r="N52" i="32"/>
  <c r="O52" i="32"/>
  <c r="P52" i="32"/>
  <c r="Q52" i="32"/>
  <c r="R52" i="32"/>
  <c r="S52" i="32"/>
  <c r="Z52" i="32"/>
  <c r="AA52" i="32"/>
  <c r="B53" i="32"/>
  <c r="C53" i="32"/>
  <c r="D53" i="32"/>
  <c r="E53" i="32"/>
  <c r="F53" i="32"/>
  <c r="G53" i="32"/>
  <c r="H53" i="32"/>
  <c r="I53" i="32"/>
  <c r="B59" i="32"/>
  <c r="C59" i="32"/>
  <c r="D59" i="32"/>
  <c r="E59" i="32"/>
  <c r="F59" i="32"/>
  <c r="G59" i="32"/>
  <c r="H59" i="32"/>
  <c r="I59" i="32"/>
  <c r="B64" i="32"/>
  <c r="C64" i="32"/>
  <c r="D64" i="32"/>
  <c r="E64" i="32"/>
  <c r="F64" i="32"/>
  <c r="G64" i="32"/>
  <c r="H64" i="32"/>
  <c r="I64" i="32"/>
  <c r="B69" i="32"/>
  <c r="C69" i="32"/>
  <c r="D69" i="32"/>
  <c r="E69" i="32"/>
  <c r="F69" i="32"/>
  <c r="G69" i="32"/>
  <c r="H69" i="32"/>
  <c r="I69" i="32"/>
  <c r="K72" i="32"/>
  <c r="L78" i="32"/>
  <c r="M78" i="32"/>
  <c r="N78" i="32"/>
  <c r="O78" i="32"/>
  <c r="P78" i="32"/>
  <c r="Q78" i="32"/>
  <c r="R78" i="32"/>
  <c r="S78" i="32"/>
  <c r="Z78" i="32"/>
  <c r="AA78" i="32"/>
  <c r="L79" i="32"/>
  <c r="M79" i="32"/>
  <c r="N79" i="32"/>
  <c r="O79" i="32"/>
  <c r="P79" i="32"/>
  <c r="Q79" i="32"/>
  <c r="R79" i="32"/>
  <c r="S79" i="32"/>
  <c r="Z79" i="32"/>
  <c r="AA79" i="32"/>
  <c r="L80" i="32"/>
  <c r="M80" i="32"/>
  <c r="N80" i="32"/>
  <c r="O80" i="32"/>
  <c r="P80" i="32"/>
  <c r="Q80" i="32"/>
  <c r="R80" i="32"/>
  <c r="S80" i="32"/>
  <c r="Z80" i="32"/>
  <c r="AA80" i="32"/>
  <c r="L81" i="32"/>
  <c r="M81" i="32"/>
  <c r="N81" i="32"/>
  <c r="O81" i="32"/>
  <c r="P81" i="32"/>
  <c r="Q81" i="32"/>
  <c r="R81" i="32"/>
  <c r="S81" i="32"/>
  <c r="Z81" i="32"/>
  <c r="AA81" i="32"/>
  <c r="L82" i="32"/>
  <c r="M82" i="32"/>
  <c r="N82" i="32"/>
  <c r="O82" i="32"/>
  <c r="P82" i="32"/>
  <c r="Q82" i="32"/>
  <c r="R82" i="32"/>
  <c r="S82" i="32"/>
  <c r="Z82" i="32"/>
  <c r="AA82" i="32"/>
  <c r="Z83" i="32"/>
  <c r="AA83" i="32"/>
  <c r="B84" i="32"/>
  <c r="C84" i="32"/>
  <c r="D84" i="32"/>
  <c r="E84" i="32"/>
  <c r="F84" i="32"/>
  <c r="G84" i="32"/>
  <c r="H84" i="32"/>
  <c r="I84" i="32"/>
  <c r="L89" i="32"/>
  <c r="M89" i="32"/>
  <c r="N89" i="32"/>
  <c r="O89" i="32"/>
  <c r="P89" i="32"/>
  <c r="Q89" i="32"/>
  <c r="R89" i="32"/>
  <c r="S89" i="32"/>
  <c r="Z89" i="32"/>
  <c r="AA89" i="32"/>
  <c r="L90" i="32"/>
  <c r="M90" i="32"/>
  <c r="N90" i="32"/>
  <c r="O90" i="32"/>
  <c r="P90" i="32"/>
  <c r="Q90" i="32"/>
  <c r="R90" i="32"/>
  <c r="S90" i="32"/>
  <c r="Z90" i="32"/>
  <c r="AA90" i="32"/>
  <c r="L91" i="32"/>
  <c r="M91" i="32"/>
  <c r="N91" i="32"/>
  <c r="O91" i="32"/>
  <c r="P91" i="32"/>
  <c r="Q91" i="32"/>
  <c r="R91" i="32"/>
  <c r="S91" i="32"/>
  <c r="Z91" i="32"/>
  <c r="AA91" i="32"/>
  <c r="L92" i="32"/>
  <c r="M92" i="32"/>
  <c r="N92" i="32"/>
  <c r="O92" i="32"/>
  <c r="P92" i="32"/>
  <c r="Q92" i="32"/>
  <c r="R92" i="32"/>
  <c r="S92" i="32"/>
  <c r="Z92" i="32"/>
  <c r="AA92" i="32"/>
  <c r="L93" i="32"/>
  <c r="M93" i="32"/>
  <c r="N93" i="32"/>
  <c r="O93" i="32"/>
  <c r="P93" i="32"/>
  <c r="Q93" i="32"/>
  <c r="R93" i="32"/>
  <c r="S93" i="32"/>
  <c r="Z93" i="32"/>
  <c r="AA93" i="32"/>
  <c r="Z94" i="32"/>
  <c r="AA94" i="32"/>
  <c r="B95" i="32"/>
  <c r="C95" i="32"/>
  <c r="D95" i="32"/>
  <c r="E95" i="32"/>
  <c r="F95" i="32"/>
  <c r="G95" i="32"/>
  <c r="H95" i="32"/>
  <c r="I95" i="32"/>
  <c r="I96" i="32" s="1"/>
  <c r="B96" i="32"/>
  <c r="L102" i="32"/>
  <c r="M102" i="32"/>
  <c r="N102" i="32"/>
  <c r="O102" i="32"/>
  <c r="P102" i="32"/>
  <c r="Q102" i="32"/>
  <c r="R102" i="32"/>
  <c r="S102" i="32"/>
  <c r="Z102" i="32"/>
  <c r="AA102" i="32"/>
  <c r="Z103" i="32"/>
  <c r="AA103" i="32"/>
  <c r="L104" i="32"/>
  <c r="M104" i="32"/>
  <c r="N104" i="32"/>
  <c r="O104" i="32"/>
  <c r="P104" i="32"/>
  <c r="Q104" i="32"/>
  <c r="R104" i="32"/>
  <c r="S104" i="32"/>
  <c r="Z104" i="32"/>
  <c r="AA104" i="32"/>
  <c r="L105" i="32"/>
  <c r="M105" i="32"/>
  <c r="N105" i="32"/>
  <c r="O105" i="32"/>
  <c r="P105" i="32"/>
  <c r="Q105" i="32"/>
  <c r="R105" i="32"/>
  <c r="S105" i="32"/>
  <c r="Z105" i="32"/>
  <c r="AA105" i="32"/>
  <c r="L106" i="32"/>
  <c r="M106" i="32"/>
  <c r="N106" i="32"/>
  <c r="O106" i="32"/>
  <c r="P106" i="32"/>
  <c r="Q106" i="32"/>
  <c r="R106" i="32"/>
  <c r="S106" i="32"/>
  <c r="Z106" i="32"/>
  <c r="AA106" i="32"/>
  <c r="L107" i="32"/>
  <c r="M107" i="32"/>
  <c r="N107" i="32"/>
  <c r="O107" i="32"/>
  <c r="P107" i="32"/>
  <c r="Q107" i="32"/>
  <c r="R107" i="32"/>
  <c r="S107" i="32"/>
  <c r="Z107" i="32"/>
  <c r="AA107" i="32"/>
  <c r="L108" i="32"/>
  <c r="M108" i="32"/>
  <c r="N108" i="32"/>
  <c r="O108" i="32"/>
  <c r="P108" i="32"/>
  <c r="Q108" i="32"/>
  <c r="R108" i="32"/>
  <c r="S108" i="32"/>
  <c r="Z108" i="32"/>
  <c r="AA108" i="32"/>
  <c r="L109" i="32"/>
  <c r="M109" i="32"/>
  <c r="N109" i="32"/>
  <c r="O109" i="32"/>
  <c r="P109" i="32"/>
  <c r="Q109" i="32"/>
  <c r="R109" i="32"/>
  <c r="S109" i="32"/>
  <c r="Z109" i="32"/>
  <c r="AA109" i="32"/>
  <c r="L110" i="32"/>
  <c r="M110" i="32"/>
  <c r="N110" i="32"/>
  <c r="O110" i="32"/>
  <c r="P110" i="32"/>
  <c r="Q110" i="32"/>
  <c r="R110" i="32"/>
  <c r="S110" i="32"/>
  <c r="Z110" i="32"/>
  <c r="AA110" i="32"/>
  <c r="L111" i="32"/>
  <c r="M111" i="32"/>
  <c r="N111" i="32"/>
  <c r="O111" i="32"/>
  <c r="P111" i="32"/>
  <c r="Q111" i="32"/>
  <c r="R111" i="32"/>
  <c r="S111" i="32"/>
  <c r="Z111" i="32"/>
  <c r="AA111" i="32"/>
  <c r="L112" i="32"/>
  <c r="M112" i="32"/>
  <c r="N112" i="32"/>
  <c r="O112" i="32"/>
  <c r="P112" i="32"/>
  <c r="Q112" i="32"/>
  <c r="R112" i="32"/>
  <c r="S112" i="32"/>
  <c r="Z112" i="32"/>
  <c r="AA112" i="32"/>
  <c r="L113" i="32"/>
  <c r="M113" i="32"/>
  <c r="N113" i="32"/>
  <c r="O113" i="32"/>
  <c r="P113" i="32"/>
  <c r="Q113" i="32"/>
  <c r="R113" i="32"/>
  <c r="S113" i="32"/>
  <c r="Z113" i="32"/>
  <c r="AA113" i="32"/>
  <c r="L114" i="32"/>
  <c r="M114" i="32"/>
  <c r="N114" i="32"/>
  <c r="O114" i="32"/>
  <c r="P114" i="32"/>
  <c r="Q114" i="32"/>
  <c r="R114" i="32"/>
  <c r="S114" i="32"/>
  <c r="Z114" i="32"/>
  <c r="AA114" i="32"/>
  <c r="L115" i="32"/>
  <c r="M115" i="32"/>
  <c r="N115" i="32"/>
  <c r="O115" i="32"/>
  <c r="P115" i="32"/>
  <c r="Q115" i="32"/>
  <c r="R115" i="32"/>
  <c r="S115" i="32"/>
  <c r="Z115" i="32"/>
  <c r="AA115" i="32"/>
  <c r="L116" i="32"/>
  <c r="M116" i="32"/>
  <c r="N116" i="32"/>
  <c r="O116" i="32"/>
  <c r="P116" i="32"/>
  <c r="Q116" i="32"/>
  <c r="R116" i="32"/>
  <c r="S116" i="32"/>
  <c r="Z116" i="32"/>
  <c r="AA116" i="32"/>
  <c r="L117" i="32"/>
  <c r="M117" i="32"/>
  <c r="N117" i="32"/>
  <c r="O117" i="32"/>
  <c r="P117" i="32"/>
  <c r="Q117" i="32"/>
  <c r="R117" i="32"/>
  <c r="S117" i="32"/>
  <c r="Z117" i="32"/>
  <c r="AA117" i="32"/>
  <c r="L118" i="32"/>
  <c r="M118" i="32"/>
  <c r="N118" i="32"/>
  <c r="O118" i="32"/>
  <c r="P118" i="32"/>
  <c r="Q118" i="32"/>
  <c r="R118" i="32"/>
  <c r="S118" i="32"/>
  <c r="Z118" i="32"/>
  <c r="AA118" i="32"/>
  <c r="L119" i="32"/>
  <c r="M119" i="32"/>
  <c r="N119" i="32"/>
  <c r="O119" i="32"/>
  <c r="P119" i="32"/>
  <c r="Q119" i="32"/>
  <c r="R119" i="32"/>
  <c r="S119" i="32"/>
  <c r="Z119" i="32"/>
  <c r="AA119" i="32"/>
  <c r="L120" i="32"/>
  <c r="M120" i="32"/>
  <c r="N120" i="32"/>
  <c r="O120" i="32"/>
  <c r="P120" i="32"/>
  <c r="Q120" i="32"/>
  <c r="R120" i="32"/>
  <c r="S120" i="32"/>
  <c r="Z120" i="32"/>
  <c r="AA120" i="32"/>
  <c r="L121" i="32"/>
  <c r="M121" i="32"/>
  <c r="N121" i="32"/>
  <c r="O121" i="32"/>
  <c r="P121" i="32"/>
  <c r="Q121" i="32"/>
  <c r="R121" i="32"/>
  <c r="S121" i="32"/>
  <c r="Z121" i="32"/>
  <c r="AA121" i="32"/>
  <c r="Z122" i="32"/>
  <c r="AA122" i="32"/>
  <c r="B123" i="32"/>
  <c r="C123" i="32"/>
  <c r="D123" i="32"/>
  <c r="E123" i="32"/>
  <c r="F123" i="32"/>
  <c r="G123" i="32"/>
  <c r="H123" i="32"/>
  <c r="I123" i="32"/>
  <c r="B129" i="32"/>
  <c r="C129" i="32"/>
  <c r="D129" i="32"/>
  <c r="E129" i="32"/>
  <c r="F129" i="32"/>
  <c r="G129" i="32"/>
  <c r="H129" i="32"/>
  <c r="I129" i="32"/>
  <c r="B134" i="32"/>
  <c r="C134" i="32"/>
  <c r="D134" i="32"/>
  <c r="E134" i="32"/>
  <c r="F134" i="32"/>
  <c r="G134" i="32"/>
  <c r="H134" i="32"/>
  <c r="I134" i="32"/>
  <c r="B139" i="32"/>
  <c r="C139" i="32"/>
  <c r="D139" i="32"/>
  <c r="E139" i="32"/>
  <c r="F139" i="32"/>
  <c r="G139" i="32"/>
  <c r="H139" i="32"/>
  <c r="I139" i="32"/>
  <c r="K142" i="32"/>
  <c r="L148" i="32"/>
  <c r="M148" i="32"/>
  <c r="N148" i="32"/>
  <c r="O148" i="32"/>
  <c r="P148" i="32"/>
  <c r="Q148" i="32"/>
  <c r="R148" i="32"/>
  <c r="S148" i="32"/>
  <c r="Z148" i="32"/>
  <c r="AA148" i="32"/>
  <c r="L149" i="32"/>
  <c r="M149" i="32"/>
  <c r="N149" i="32"/>
  <c r="O149" i="32"/>
  <c r="P149" i="32"/>
  <c r="Q149" i="32"/>
  <c r="R149" i="32"/>
  <c r="S149" i="32"/>
  <c r="Z149" i="32"/>
  <c r="AA149" i="32"/>
  <c r="L150" i="32"/>
  <c r="M150" i="32"/>
  <c r="N150" i="32"/>
  <c r="O150" i="32"/>
  <c r="P150" i="32"/>
  <c r="Q150" i="32"/>
  <c r="R150" i="32"/>
  <c r="S150" i="32"/>
  <c r="Z150" i="32"/>
  <c r="AA150" i="32"/>
  <c r="L151" i="32"/>
  <c r="M151" i="32"/>
  <c r="N151" i="32"/>
  <c r="O151" i="32"/>
  <c r="P151" i="32"/>
  <c r="Q151" i="32"/>
  <c r="R151" i="32"/>
  <c r="S151" i="32"/>
  <c r="Z151" i="32"/>
  <c r="AA151" i="32"/>
  <c r="L152" i="32"/>
  <c r="M152" i="32"/>
  <c r="N152" i="32"/>
  <c r="O152" i="32"/>
  <c r="P152" i="32"/>
  <c r="Q152" i="32"/>
  <c r="R152" i="32"/>
  <c r="S152" i="32"/>
  <c r="Z152" i="32"/>
  <c r="AA152" i="32"/>
  <c r="Z153" i="32"/>
  <c r="AA153" i="32"/>
  <c r="B154" i="32"/>
  <c r="C154" i="32"/>
  <c r="D154" i="32"/>
  <c r="E154" i="32"/>
  <c r="F154" i="32"/>
  <c r="G154" i="32"/>
  <c r="H154" i="32"/>
  <c r="I154" i="32"/>
  <c r="M154" i="32" s="1"/>
  <c r="L159" i="32"/>
  <c r="M159" i="32"/>
  <c r="N159" i="32"/>
  <c r="O159" i="32"/>
  <c r="P159" i="32"/>
  <c r="Q159" i="32"/>
  <c r="R159" i="32"/>
  <c r="S159" i="32"/>
  <c r="Z159" i="32"/>
  <c r="AA159" i="32"/>
  <c r="L160" i="32"/>
  <c r="M160" i="32"/>
  <c r="N160" i="32"/>
  <c r="O160" i="32"/>
  <c r="P160" i="32"/>
  <c r="Q160" i="32"/>
  <c r="R160" i="32"/>
  <c r="S160" i="32"/>
  <c r="Z160" i="32"/>
  <c r="AA160" i="32"/>
  <c r="L161" i="32"/>
  <c r="M161" i="32"/>
  <c r="N161" i="32"/>
  <c r="O161" i="32"/>
  <c r="P161" i="32"/>
  <c r="Q161" i="32"/>
  <c r="R161" i="32"/>
  <c r="S161" i="32"/>
  <c r="Z161" i="32"/>
  <c r="AA161" i="32"/>
  <c r="L162" i="32"/>
  <c r="M162" i="32"/>
  <c r="N162" i="32"/>
  <c r="O162" i="32"/>
  <c r="P162" i="32"/>
  <c r="Q162" i="32"/>
  <c r="R162" i="32"/>
  <c r="S162" i="32"/>
  <c r="Z162" i="32"/>
  <c r="AA162" i="32"/>
  <c r="L163" i="32"/>
  <c r="M163" i="32"/>
  <c r="N163" i="32"/>
  <c r="O163" i="32"/>
  <c r="P163" i="32"/>
  <c r="Q163" i="32"/>
  <c r="R163" i="32"/>
  <c r="S163" i="32"/>
  <c r="Z163" i="32"/>
  <c r="AA163" i="32"/>
  <c r="Z164" i="32"/>
  <c r="AA164" i="32"/>
  <c r="B165" i="32"/>
  <c r="C165" i="32"/>
  <c r="D165" i="32"/>
  <c r="N165" i="32" s="1"/>
  <c r="E165" i="32"/>
  <c r="F165" i="32"/>
  <c r="G165" i="32"/>
  <c r="H165" i="32"/>
  <c r="I165" i="32"/>
  <c r="M165" i="32" s="1"/>
  <c r="L172" i="32"/>
  <c r="M172" i="32"/>
  <c r="N172" i="32"/>
  <c r="O172" i="32"/>
  <c r="P172" i="32"/>
  <c r="Q172" i="32"/>
  <c r="R172" i="32"/>
  <c r="S172" i="32"/>
  <c r="Z172" i="32"/>
  <c r="AA172" i="32"/>
  <c r="Z173" i="32"/>
  <c r="AA173" i="32"/>
  <c r="L174" i="32"/>
  <c r="M174" i="32"/>
  <c r="N174" i="32"/>
  <c r="O174" i="32"/>
  <c r="P174" i="32"/>
  <c r="Q174" i="32"/>
  <c r="R174" i="32"/>
  <c r="S174" i="32"/>
  <c r="Z174" i="32"/>
  <c r="AA174" i="32"/>
  <c r="L175" i="32"/>
  <c r="M175" i="32"/>
  <c r="N175" i="32"/>
  <c r="O175" i="32"/>
  <c r="P175" i="32"/>
  <c r="Q175" i="32"/>
  <c r="R175" i="32"/>
  <c r="S175" i="32"/>
  <c r="Z175" i="32"/>
  <c r="AA175" i="32"/>
  <c r="L176" i="32"/>
  <c r="M176" i="32"/>
  <c r="N176" i="32"/>
  <c r="O176" i="32"/>
  <c r="P176" i="32"/>
  <c r="Q176" i="32"/>
  <c r="R176" i="32"/>
  <c r="S176" i="32"/>
  <c r="Z176" i="32"/>
  <c r="AA176" i="32"/>
  <c r="L177" i="32"/>
  <c r="M177" i="32"/>
  <c r="N177" i="32"/>
  <c r="O177" i="32"/>
  <c r="P177" i="32"/>
  <c r="Q177" i="32"/>
  <c r="R177" i="32"/>
  <c r="S177" i="32"/>
  <c r="Z177" i="32"/>
  <c r="AA177" i="32"/>
  <c r="L178" i="32"/>
  <c r="M178" i="32"/>
  <c r="N178" i="32"/>
  <c r="O178" i="32"/>
  <c r="P178" i="32"/>
  <c r="Q178" i="32"/>
  <c r="R178" i="32"/>
  <c r="S178" i="32"/>
  <c r="Z178" i="32"/>
  <c r="AA178" i="32"/>
  <c r="L179" i="32"/>
  <c r="M179" i="32"/>
  <c r="N179" i="32"/>
  <c r="O179" i="32"/>
  <c r="P179" i="32"/>
  <c r="Q179" i="32"/>
  <c r="R179" i="32"/>
  <c r="S179" i="32"/>
  <c r="Z179" i="32"/>
  <c r="AA179" i="32"/>
  <c r="L180" i="32"/>
  <c r="M180" i="32"/>
  <c r="N180" i="32"/>
  <c r="O180" i="32"/>
  <c r="P180" i="32"/>
  <c r="Q180" i="32"/>
  <c r="R180" i="32"/>
  <c r="S180" i="32"/>
  <c r="Z180" i="32"/>
  <c r="AA180" i="32"/>
  <c r="L181" i="32"/>
  <c r="M181" i="32"/>
  <c r="N181" i="32"/>
  <c r="O181" i="32"/>
  <c r="P181" i="32"/>
  <c r="Q181" i="32"/>
  <c r="R181" i="32"/>
  <c r="S181" i="32"/>
  <c r="Z181" i="32"/>
  <c r="AA181" i="32"/>
  <c r="L182" i="32"/>
  <c r="M182" i="32"/>
  <c r="N182" i="32"/>
  <c r="O182" i="32"/>
  <c r="P182" i="32"/>
  <c r="Q182" i="32"/>
  <c r="R182" i="32"/>
  <c r="S182" i="32"/>
  <c r="Z182" i="32"/>
  <c r="AA182" i="32"/>
  <c r="L183" i="32"/>
  <c r="M183" i="32"/>
  <c r="N183" i="32"/>
  <c r="O183" i="32"/>
  <c r="P183" i="32"/>
  <c r="Q183" i="32"/>
  <c r="R183" i="32"/>
  <c r="S183" i="32"/>
  <c r="Z183" i="32"/>
  <c r="AA183" i="32"/>
  <c r="L184" i="32"/>
  <c r="M184" i="32"/>
  <c r="N184" i="32"/>
  <c r="O184" i="32"/>
  <c r="P184" i="32"/>
  <c r="Q184" i="32"/>
  <c r="R184" i="32"/>
  <c r="S184" i="32"/>
  <c r="Z184" i="32"/>
  <c r="AA184" i="32"/>
  <c r="L185" i="32"/>
  <c r="M185" i="32"/>
  <c r="N185" i="32"/>
  <c r="O185" i="32"/>
  <c r="P185" i="32"/>
  <c r="Q185" i="32"/>
  <c r="R185" i="32"/>
  <c r="S185" i="32"/>
  <c r="Z185" i="32"/>
  <c r="AA185" i="32"/>
  <c r="L186" i="32"/>
  <c r="M186" i="32"/>
  <c r="N186" i="32"/>
  <c r="O186" i="32"/>
  <c r="P186" i="32"/>
  <c r="Q186" i="32"/>
  <c r="R186" i="32"/>
  <c r="S186" i="32"/>
  <c r="Z186" i="32"/>
  <c r="AA186" i="32"/>
  <c r="L187" i="32"/>
  <c r="M187" i="32"/>
  <c r="N187" i="32"/>
  <c r="O187" i="32"/>
  <c r="P187" i="32"/>
  <c r="Q187" i="32"/>
  <c r="R187" i="32"/>
  <c r="S187" i="32"/>
  <c r="Z187" i="32"/>
  <c r="AA187" i="32"/>
  <c r="L188" i="32"/>
  <c r="M188" i="32"/>
  <c r="N188" i="32"/>
  <c r="O188" i="32"/>
  <c r="P188" i="32"/>
  <c r="Q188" i="32"/>
  <c r="R188" i="32"/>
  <c r="S188" i="32"/>
  <c r="Z188" i="32"/>
  <c r="AA188" i="32"/>
  <c r="L189" i="32"/>
  <c r="M189" i="32"/>
  <c r="N189" i="32"/>
  <c r="O189" i="32"/>
  <c r="P189" i="32"/>
  <c r="Q189" i="32"/>
  <c r="R189" i="32"/>
  <c r="S189" i="32"/>
  <c r="Z189" i="32"/>
  <c r="AA189" i="32"/>
  <c r="L190" i="32"/>
  <c r="M190" i="32"/>
  <c r="N190" i="32"/>
  <c r="O190" i="32"/>
  <c r="P190" i="32"/>
  <c r="Q190" i="32"/>
  <c r="R190" i="32"/>
  <c r="S190" i="32"/>
  <c r="Z190" i="32"/>
  <c r="AA190" i="32"/>
  <c r="L191" i="32"/>
  <c r="M191" i="32"/>
  <c r="N191" i="32"/>
  <c r="O191" i="32"/>
  <c r="P191" i="32"/>
  <c r="Q191" i="32"/>
  <c r="R191" i="32"/>
  <c r="S191" i="32"/>
  <c r="Z191" i="32"/>
  <c r="AA191" i="32"/>
  <c r="Z192" i="32"/>
  <c r="AA192" i="32"/>
  <c r="B193" i="32"/>
  <c r="C193" i="32"/>
  <c r="D193" i="32"/>
  <c r="E193" i="32"/>
  <c r="F193" i="32"/>
  <c r="G193" i="32"/>
  <c r="S193" i="32" s="1"/>
  <c r="H193" i="32"/>
  <c r="I193" i="32"/>
  <c r="B209" i="32"/>
  <c r="I209" i="32"/>
  <c r="K212" i="32"/>
  <c r="L218" i="32"/>
  <c r="M218" i="32"/>
  <c r="N218" i="32"/>
  <c r="O218" i="32"/>
  <c r="P218" i="32"/>
  <c r="Q218" i="32"/>
  <c r="R218" i="32"/>
  <c r="S218" i="32"/>
  <c r="Z218" i="32"/>
  <c r="AA218" i="32"/>
  <c r="L219" i="32"/>
  <c r="M219" i="32"/>
  <c r="N219" i="32"/>
  <c r="O219" i="32"/>
  <c r="P219" i="32"/>
  <c r="Q219" i="32"/>
  <c r="R219" i="32"/>
  <c r="S219" i="32"/>
  <c r="Z219" i="32"/>
  <c r="AA219" i="32"/>
  <c r="L220" i="32"/>
  <c r="M220" i="32"/>
  <c r="N220" i="32"/>
  <c r="O220" i="32"/>
  <c r="P220" i="32"/>
  <c r="Q220" i="32"/>
  <c r="R220" i="32"/>
  <c r="S220" i="32"/>
  <c r="Z220" i="32"/>
  <c r="AA220" i="32"/>
  <c r="L221" i="32"/>
  <c r="M221" i="32"/>
  <c r="N221" i="32"/>
  <c r="O221" i="32"/>
  <c r="P221" i="32"/>
  <c r="Q221" i="32"/>
  <c r="R221" i="32"/>
  <c r="S221" i="32"/>
  <c r="Z221" i="32"/>
  <c r="AA221" i="32"/>
  <c r="L222" i="32"/>
  <c r="M222" i="32"/>
  <c r="N222" i="32"/>
  <c r="O222" i="32"/>
  <c r="P222" i="32"/>
  <c r="Q222" i="32"/>
  <c r="R222" i="32"/>
  <c r="S222" i="32"/>
  <c r="Z222" i="32"/>
  <c r="AA222" i="32"/>
  <c r="Z223" i="32"/>
  <c r="AA223" i="32"/>
  <c r="B224" i="32"/>
  <c r="C224" i="32"/>
  <c r="D224" i="32"/>
  <c r="D236" i="32" s="1"/>
  <c r="E224" i="32"/>
  <c r="F224" i="32"/>
  <c r="G224" i="32"/>
  <c r="S224" i="32" s="1"/>
  <c r="H224" i="32"/>
  <c r="I224" i="32"/>
  <c r="L229" i="32"/>
  <c r="M229" i="32"/>
  <c r="N229" i="32"/>
  <c r="O229" i="32"/>
  <c r="P229" i="32"/>
  <c r="Q229" i="32"/>
  <c r="R229" i="32"/>
  <c r="S229" i="32"/>
  <c r="Z229" i="32"/>
  <c r="AA229" i="32"/>
  <c r="L230" i="32"/>
  <c r="M230" i="32"/>
  <c r="N230" i="32"/>
  <c r="O230" i="32"/>
  <c r="P230" i="32"/>
  <c r="Q230" i="32"/>
  <c r="R230" i="32"/>
  <c r="S230" i="32"/>
  <c r="Z230" i="32"/>
  <c r="AA230" i="32"/>
  <c r="L231" i="32"/>
  <c r="M231" i="32"/>
  <c r="N231" i="32"/>
  <c r="O231" i="32"/>
  <c r="P231" i="32"/>
  <c r="Q231" i="32"/>
  <c r="R231" i="32"/>
  <c r="S231" i="32"/>
  <c r="Z231" i="32"/>
  <c r="AA231" i="32"/>
  <c r="L232" i="32"/>
  <c r="M232" i="32"/>
  <c r="N232" i="32"/>
  <c r="O232" i="32"/>
  <c r="P232" i="32"/>
  <c r="Q232" i="32"/>
  <c r="R232" i="32"/>
  <c r="S232" i="32"/>
  <c r="Z232" i="32"/>
  <c r="AA232" i="32"/>
  <c r="L233" i="32"/>
  <c r="M233" i="32"/>
  <c r="N233" i="32"/>
  <c r="O233" i="32"/>
  <c r="P233" i="32"/>
  <c r="Q233" i="32"/>
  <c r="R233" i="32"/>
  <c r="S233" i="32"/>
  <c r="Z233" i="32"/>
  <c r="AA233" i="32"/>
  <c r="Z234" i="32"/>
  <c r="AA234" i="32"/>
  <c r="B235" i="32"/>
  <c r="C235" i="32"/>
  <c r="D235" i="32"/>
  <c r="E235" i="32"/>
  <c r="Q235" i="32" s="1"/>
  <c r="F235" i="32"/>
  <c r="O235" i="32" s="1"/>
  <c r="G235" i="32"/>
  <c r="H235" i="32"/>
  <c r="I235" i="32"/>
  <c r="I236" i="32" s="1"/>
  <c r="N235" i="32"/>
  <c r="L242" i="32"/>
  <c r="M242" i="32"/>
  <c r="N242" i="32"/>
  <c r="O242" i="32"/>
  <c r="P242" i="32"/>
  <c r="Q242" i="32"/>
  <c r="R242" i="32"/>
  <c r="S242" i="32"/>
  <c r="Z242" i="32"/>
  <c r="AA242" i="32"/>
  <c r="Z243" i="32"/>
  <c r="AA243" i="32"/>
  <c r="L244" i="32"/>
  <c r="M244" i="32"/>
  <c r="N244" i="32"/>
  <c r="O244" i="32"/>
  <c r="P244" i="32"/>
  <c r="Q244" i="32"/>
  <c r="R244" i="32"/>
  <c r="S244" i="32"/>
  <c r="Z244" i="32"/>
  <c r="AA244" i="32"/>
  <c r="L245" i="32"/>
  <c r="M245" i="32"/>
  <c r="N245" i="32"/>
  <c r="O245" i="32"/>
  <c r="P245" i="32"/>
  <c r="Q245" i="32"/>
  <c r="R245" i="32"/>
  <c r="S245" i="32"/>
  <c r="Z245" i="32"/>
  <c r="AA245" i="32"/>
  <c r="L246" i="32"/>
  <c r="M246" i="32"/>
  <c r="N246" i="32"/>
  <c r="O246" i="32"/>
  <c r="P246" i="32"/>
  <c r="Q246" i="32"/>
  <c r="R246" i="32"/>
  <c r="S246" i="32"/>
  <c r="Z246" i="32"/>
  <c r="AA246" i="32"/>
  <c r="L247" i="32"/>
  <c r="M247" i="32"/>
  <c r="N247" i="32"/>
  <c r="O247" i="32"/>
  <c r="P247" i="32"/>
  <c r="Q247" i="32"/>
  <c r="R247" i="32"/>
  <c r="S247" i="32"/>
  <c r="Z247" i="32"/>
  <c r="AA247" i="32"/>
  <c r="L248" i="32"/>
  <c r="M248" i="32"/>
  <c r="N248" i="32"/>
  <c r="O248" i="32"/>
  <c r="P248" i="32"/>
  <c r="Q248" i="32"/>
  <c r="R248" i="32"/>
  <c r="S248" i="32"/>
  <c r="Z248" i="32"/>
  <c r="AA248" i="32"/>
  <c r="L249" i="32"/>
  <c r="M249" i="32"/>
  <c r="N249" i="32"/>
  <c r="O249" i="32"/>
  <c r="P249" i="32"/>
  <c r="Q249" i="32"/>
  <c r="R249" i="32"/>
  <c r="S249" i="32"/>
  <c r="Z249" i="32"/>
  <c r="AA249" i="32"/>
  <c r="L250" i="32"/>
  <c r="M250" i="32"/>
  <c r="N250" i="32"/>
  <c r="O250" i="32"/>
  <c r="P250" i="32"/>
  <c r="Q250" i="32"/>
  <c r="R250" i="32"/>
  <c r="S250" i="32"/>
  <c r="Z250" i="32"/>
  <c r="AA250" i="32"/>
  <c r="L251" i="32"/>
  <c r="M251" i="32"/>
  <c r="N251" i="32"/>
  <c r="O251" i="32"/>
  <c r="P251" i="32"/>
  <c r="Q251" i="32"/>
  <c r="R251" i="32"/>
  <c r="S251" i="32"/>
  <c r="Z251" i="32"/>
  <c r="AA251" i="32"/>
  <c r="L252" i="32"/>
  <c r="M252" i="32"/>
  <c r="N252" i="32"/>
  <c r="O252" i="32"/>
  <c r="P252" i="32"/>
  <c r="Q252" i="32"/>
  <c r="R252" i="32"/>
  <c r="S252" i="32"/>
  <c r="Z252" i="32"/>
  <c r="AA252" i="32"/>
  <c r="L253" i="32"/>
  <c r="M253" i="32"/>
  <c r="N253" i="32"/>
  <c r="O253" i="32"/>
  <c r="P253" i="32"/>
  <c r="Q253" i="32"/>
  <c r="R253" i="32"/>
  <c r="S253" i="32"/>
  <c r="Z253" i="32"/>
  <c r="AA253" i="32"/>
  <c r="L254" i="32"/>
  <c r="M254" i="32"/>
  <c r="N254" i="32"/>
  <c r="O254" i="32"/>
  <c r="P254" i="32"/>
  <c r="Q254" i="32"/>
  <c r="R254" i="32"/>
  <c r="S254" i="32"/>
  <c r="Z254" i="32"/>
  <c r="AA254" i="32"/>
  <c r="L255" i="32"/>
  <c r="M255" i="32"/>
  <c r="N255" i="32"/>
  <c r="O255" i="32"/>
  <c r="P255" i="32"/>
  <c r="Q255" i="32"/>
  <c r="R255" i="32"/>
  <c r="S255" i="32"/>
  <c r="Z255" i="32"/>
  <c r="AA255" i="32"/>
  <c r="L256" i="32"/>
  <c r="M256" i="32"/>
  <c r="N256" i="32"/>
  <c r="O256" i="32"/>
  <c r="P256" i="32"/>
  <c r="Q256" i="32"/>
  <c r="R256" i="32"/>
  <c r="S256" i="32"/>
  <c r="Z256" i="32"/>
  <c r="AA256" i="32"/>
  <c r="L257" i="32"/>
  <c r="M257" i="32"/>
  <c r="N257" i="32"/>
  <c r="O257" i="32"/>
  <c r="P257" i="32"/>
  <c r="Q257" i="32"/>
  <c r="R257" i="32"/>
  <c r="S257" i="32"/>
  <c r="Z257" i="32"/>
  <c r="AA257" i="32"/>
  <c r="L258" i="32"/>
  <c r="M258" i="32"/>
  <c r="N258" i="32"/>
  <c r="O258" i="32"/>
  <c r="P258" i="32"/>
  <c r="Q258" i="32"/>
  <c r="R258" i="32"/>
  <c r="S258" i="32"/>
  <c r="Z258" i="32"/>
  <c r="AA258" i="32"/>
  <c r="L259" i="32"/>
  <c r="M259" i="32"/>
  <c r="N259" i="32"/>
  <c r="O259" i="32"/>
  <c r="P259" i="32"/>
  <c r="Q259" i="32"/>
  <c r="R259" i="32"/>
  <c r="S259" i="32"/>
  <c r="Z259" i="32"/>
  <c r="AA259" i="32"/>
  <c r="L260" i="32"/>
  <c r="M260" i="32"/>
  <c r="N260" i="32"/>
  <c r="O260" i="32"/>
  <c r="P260" i="32"/>
  <c r="Q260" i="32"/>
  <c r="R260" i="32"/>
  <c r="S260" i="32"/>
  <c r="Z260" i="32"/>
  <c r="AA260" i="32"/>
  <c r="L261" i="32"/>
  <c r="M261" i="32"/>
  <c r="N261" i="32"/>
  <c r="O261" i="32"/>
  <c r="P261" i="32"/>
  <c r="Q261" i="32"/>
  <c r="R261" i="32"/>
  <c r="S261" i="32"/>
  <c r="Z261" i="32"/>
  <c r="AA261" i="32"/>
  <c r="Z262" i="32"/>
  <c r="AA262" i="32"/>
  <c r="B263" i="32"/>
  <c r="C263" i="32"/>
  <c r="D263" i="32"/>
  <c r="E263" i="32"/>
  <c r="F263" i="32"/>
  <c r="G263" i="32"/>
  <c r="H263" i="32"/>
  <c r="I263" i="32"/>
  <c r="B279" i="32"/>
  <c r="C279" i="32"/>
  <c r="D279" i="32"/>
  <c r="E279" i="32"/>
  <c r="F279" i="32"/>
  <c r="G279" i="32"/>
  <c r="H279" i="32"/>
  <c r="I279" i="32"/>
  <c r="K282" i="32"/>
  <c r="L288" i="32"/>
  <c r="M288" i="32"/>
  <c r="N288" i="32"/>
  <c r="O288" i="32"/>
  <c r="P288" i="32"/>
  <c r="Q288" i="32"/>
  <c r="R288" i="32"/>
  <c r="S288" i="32"/>
  <c r="Z288" i="32"/>
  <c r="AA288" i="32"/>
  <c r="L289" i="32"/>
  <c r="M289" i="32"/>
  <c r="N289" i="32"/>
  <c r="O289" i="32"/>
  <c r="P289" i="32"/>
  <c r="Q289" i="32"/>
  <c r="R289" i="32"/>
  <c r="S289" i="32"/>
  <c r="Z289" i="32"/>
  <c r="AA289" i="32"/>
  <c r="L290" i="32"/>
  <c r="M290" i="32"/>
  <c r="N290" i="32"/>
  <c r="O290" i="32"/>
  <c r="P290" i="32"/>
  <c r="Q290" i="32"/>
  <c r="R290" i="32"/>
  <c r="S290" i="32"/>
  <c r="Z290" i="32"/>
  <c r="AA290" i="32"/>
  <c r="L291" i="32"/>
  <c r="M291" i="32"/>
  <c r="N291" i="32"/>
  <c r="O291" i="32"/>
  <c r="P291" i="32"/>
  <c r="Q291" i="32"/>
  <c r="R291" i="32"/>
  <c r="S291" i="32"/>
  <c r="Z291" i="32"/>
  <c r="AA291" i="32"/>
  <c r="L292" i="32"/>
  <c r="M292" i="32"/>
  <c r="N292" i="32"/>
  <c r="O292" i="32"/>
  <c r="P292" i="32"/>
  <c r="Q292" i="32"/>
  <c r="R292" i="32"/>
  <c r="S292" i="32"/>
  <c r="Z292" i="32"/>
  <c r="AA292" i="32"/>
  <c r="Z293" i="32"/>
  <c r="AA293" i="32"/>
  <c r="B294" i="32"/>
  <c r="C294" i="32"/>
  <c r="D294" i="32"/>
  <c r="E294" i="32"/>
  <c r="F294" i="32"/>
  <c r="G294" i="32"/>
  <c r="H294" i="32"/>
  <c r="I294" i="32"/>
  <c r="L299" i="32"/>
  <c r="M299" i="32"/>
  <c r="N299" i="32"/>
  <c r="O299" i="32"/>
  <c r="P299" i="32"/>
  <c r="Q299" i="32"/>
  <c r="R299" i="32"/>
  <c r="S299" i="32"/>
  <c r="Z299" i="32"/>
  <c r="AA299" i="32"/>
  <c r="L300" i="32"/>
  <c r="M300" i="32"/>
  <c r="N300" i="32"/>
  <c r="O300" i="32"/>
  <c r="P300" i="32"/>
  <c r="Q300" i="32"/>
  <c r="R300" i="32"/>
  <c r="S300" i="32"/>
  <c r="Z300" i="32"/>
  <c r="AA300" i="32"/>
  <c r="L301" i="32"/>
  <c r="M301" i="32"/>
  <c r="N301" i="32"/>
  <c r="O301" i="32"/>
  <c r="P301" i="32"/>
  <c r="Q301" i="32"/>
  <c r="R301" i="32"/>
  <c r="S301" i="32"/>
  <c r="Z301" i="32"/>
  <c r="AA301" i="32"/>
  <c r="L302" i="32"/>
  <c r="M302" i="32"/>
  <c r="N302" i="32"/>
  <c r="O302" i="32"/>
  <c r="P302" i="32"/>
  <c r="Q302" i="32"/>
  <c r="R302" i="32"/>
  <c r="S302" i="32"/>
  <c r="Z302" i="32"/>
  <c r="AA302" i="32"/>
  <c r="L303" i="32"/>
  <c r="M303" i="32"/>
  <c r="N303" i="32"/>
  <c r="O303" i="32"/>
  <c r="P303" i="32"/>
  <c r="Q303" i="32"/>
  <c r="R303" i="32"/>
  <c r="S303" i="32"/>
  <c r="Z303" i="32"/>
  <c r="AA303" i="32"/>
  <c r="Z304" i="32"/>
  <c r="AA304" i="32"/>
  <c r="B305" i="32"/>
  <c r="C305" i="32"/>
  <c r="D305" i="32"/>
  <c r="E305" i="32"/>
  <c r="S305" i="32" s="1"/>
  <c r="F305" i="32"/>
  <c r="G305" i="32"/>
  <c r="H305" i="32"/>
  <c r="I305" i="32"/>
  <c r="L312" i="32"/>
  <c r="M312" i="32"/>
  <c r="N312" i="32"/>
  <c r="O312" i="32"/>
  <c r="P312" i="32"/>
  <c r="Q312" i="32"/>
  <c r="R312" i="32"/>
  <c r="S312" i="32"/>
  <c r="Z312" i="32"/>
  <c r="AA312" i="32"/>
  <c r="Z313" i="32"/>
  <c r="AA313" i="32"/>
  <c r="L314" i="32"/>
  <c r="M314" i="32"/>
  <c r="N314" i="32"/>
  <c r="O314" i="32"/>
  <c r="P314" i="32"/>
  <c r="Q314" i="32"/>
  <c r="R314" i="32"/>
  <c r="S314" i="32"/>
  <c r="Z314" i="32"/>
  <c r="AA314" i="32"/>
  <c r="L315" i="32"/>
  <c r="M315" i="32"/>
  <c r="N315" i="32"/>
  <c r="O315" i="32"/>
  <c r="P315" i="32"/>
  <c r="Q315" i="32"/>
  <c r="R315" i="32"/>
  <c r="S315" i="32"/>
  <c r="Z315" i="32"/>
  <c r="AA315" i="32"/>
  <c r="L316" i="32"/>
  <c r="M316" i="32"/>
  <c r="N316" i="32"/>
  <c r="O316" i="32"/>
  <c r="P316" i="32"/>
  <c r="Q316" i="32"/>
  <c r="R316" i="32"/>
  <c r="S316" i="32"/>
  <c r="Z316" i="32"/>
  <c r="AA316" i="32"/>
  <c r="L317" i="32"/>
  <c r="M317" i="32"/>
  <c r="N317" i="32"/>
  <c r="O317" i="32"/>
  <c r="P317" i="32"/>
  <c r="Q317" i="32"/>
  <c r="R317" i="32"/>
  <c r="S317" i="32"/>
  <c r="Z317" i="32"/>
  <c r="AA317" i="32"/>
  <c r="L318" i="32"/>
  <c r="M318" i="32"/>
  <c r="N318" i="32"/>
  <c r="O318" i="32"/>
  <c r="P318" i="32"/>
  <c r="Q318" i="32"/>
  <c r="R318" i="32"/>
  <c r="S318" i="32"/>
  <c r="Z318" i="32"/>
  <c r="AA318" i="32"/>
  <c r="L319" i="32"/>
  <c r="M319" i="32"/>
  <c r="N319" i="32"/>
  <c r="O319" i="32"/>
  <c r="P319" i="32"/>
  <c r="Q319" i="32"/>
  <c r="R319" i="32"/>
  <c r="S319" i="32"/>
  <c r="Z319" i="32"/>
  <c r="AA319" i="32"/>
  <c r="L320" i="32"/>
  <c r="M320" i="32"/>
  <c r="N320" i="32"/>
  <c r="O320" i="32"/>
  <c r="P320" i="32"/>
  <c r="Q320" i="32"/>
  <c r="R320" i="32"/>
  <c r="S320" i="32"/>
  <c r="Z320" i="32"/>
  <c r="AA320" i="32"/>
  <c r="L321" i="32"/>
  <c r="M321" i="32"/>
  <c r="N321" i="32"/>
  <c r="O321" i="32"/>
  <c r="P321" i="32"/>
  <c r="Q321" i="32"/>
  <c r="R321" i="32"/>
  <c r="S321" i="32"/>
  <c r="Z321" i="32"/>
  <c r="AA321" i="32"/>
  <c r="L322" i="32"/>
  <c r="M322" i="32"/>
  <c r="N322" i="32"/>
  <c r="O322" i="32"/>
  <c r="P322" i="32"/>
  <c r="Q322" i="32"/>
  <c r="R322" i="32"/>
  <c r="S322" i="32"/>
  <c r="Z322" i="32"/>
  <c r="AA322" i="32"/>
  <c r="L323" i="32"/>
  <c r="M323" i="32"/>
  <c r="N323" i="32"/>
  <c r="O323" i="32"/>
  <c r="P323" i="32"/>
  <c r="Q323" i="32"/>
  <c r="R323" i="32"/>
  <c r="S323" i="32"/>
  <c r="Z323" i="32"/>
  <c r="AA323" i="32"/>
  <c r="L324" i="32"/>
  <c r="M324" i="32"/>
  <c r="N324" i="32"/>
  <c r="O324" i="32"/>
  <c r="P324" i="32"/>
  <c r="Q324" i="32"/>
  <c r="R324" i="32"/>
  <c r="S324" i="32"/>
  <c r="Z324" i="32"/>
  <c r="AA324" i="32"/>
  <c r="L325" i="32"/>
  <c r="M325" i="32"/>
  <c r="N325" i="32"/>
  <c r="O325" i="32"/>
  <c r="P325" i="32"/>
  <c r="Q325" i="32"/>
  <c r="R325" i="32"/>
  <c r="S325" i="32"/>
  <c r="Z325" i="32"/>
  <c r="AA325" i="32"/>
  <c r="L326" i="32"/>
  <c r="M326" i="32"/>
  <c r="N326" i="32"/>
  <c r="O326" i="32"/>
  <c r="P326" i="32"/>
  <c r="Q326" i="32"/>
  <c r="R326" i="32"/>
  <c r="S326" i="32"/>
  <c r="Z326" i="32"/>
  <c r="AA326" i="32"/>
  <c r="L327" i="32"/>
  <c r="M327" i="32"/>
  <c r="N327" i="32"/>
  <c r="O327" i="32"/>
  <c r="P327" i="32"/>
  <c r="Q327" i="32"/>
  <c r="R327" i="32"/>
  <c r="S327" i="32"/>
  <c r="Z327" i="32"/>
  <c r="AA327" i="32"/>
  <c r="L328" i="32"/>
  <c r="M328" i="32"/>
  <c r="N328" i="32"/>
  <c r="O328" i="32"/>
  <c r="P328" i="32"/>
  <c r="Q328" i="32"/>
  <c r="R328" i="32"/>
  <c r="S328" i="32"/>
  <c r="Z328" i="32"/>
  <c r="AA328" i="32"/>
  <c r="L329" i="32"/>
  <c r="M329" i="32"/>
  <c r="N329" i="32"/>
  <c r="O329" i="32"/>
  <c r="P329" i="32"/>
  <c r="Q329" i="32"/>
  <c r="R329" i="32"/>
  <c r="S329" i="32"/>
  <c r="Z329" i="32"/>
  <c r="AA329" i="32"/>
  <c r="L330" i="32"/>
  <c r="M330" i="32"/>
  <c r="N330" i="32"/>
  <c r="O330" i="32"/>
  <c r="P330" i="32"/>
  <c r="Q330" i="32"/>
  <c r="R330" i="32"/>
  <c r="S330" i="32"/>
  <c r="Z330" i="32"/>
  <c r="AA330" i="32"/>
  <c r="L331" i="32"/>
  <c r="M331" i="32"/>
  <c r="N331" i="32"/>
  <c r="O331" i="32"/>
  <c r="P331" i="32"/>
  <c r="Q331" i="32"/>
  <c r="R331" i="32"/>
  <c r="S331" i="32"/>
  <c r="Z331" i="32"/>
  <c r="AA331" i="32"/>
  <c r="Z332" i="32"/>
  <c r="AA332" i="32"/>
  <c r="B333" i="32"/>
  <c r="C333" i="32"/>
  <c r="D333" i="32"/>
  <c r="E333" i="32"/>
  <c r="F333" i="32"/>
  <c r="G333" i="32"/>
  <c r="H333" i="32"/>
  <c r="I333" i="32"/>
  <c r="M333" i="32" s="1"/>
  <c r="K352" i="32"/>
  <c r="L358" i="32"/>
  <c r="M358" i="32"/>
  <c r="N358" i="32"/>
  <c r="O358" i="32"/>
  <c r="P358" i="32"/>
  <c r="Q358" i="32"/>
  <c r="R358" i="32"/>
  <c r="S358" i="32"/>
  <c r="Z358" i="32"/>
  <c r="AA358" i="32"/>
  <c r="L359" i="32"/>
  <c r="M359" i="32"/>
  <c r="N359" i="32"/>
  <c r="O359" i="32"/>
  <c r="P359" i="32"/>
  <c r="Q359" i="32"/>
  <c r="R359" i="32"/>
  <c r="S359" i="32"/>
  <c r="Z359" i="32"/>
  <c r="AA359" i="32"/>
  <c r="L360" i="32"/>
  <c r="M360" i="32"/>
  <c r="N360" i="32"/>
  <c r="O360" i="32"/>
  <c r="P360" i="32"/>
  <c r="Q360" i="32"/>
  <c r="R360" i="32"/>
  <c r="S360" i="32"/>
  <c r="Z360" i="32"/>
  <c r="AA360" i="32"/>
  <c r="L361" i="32"/>
  <c r="M361" i="32"/>
  <c r="N361" i="32"/>
  <c r="O361" i="32"/>
  <c r="P361" i="32"/>
  <c r="Q361" i="32"/>
  <c r="R361" i="32"/>
  <c r="S361" i="32"/>
  <c r="Z361" i="32"/>
  <c r="AA361" i="32"/>
  <c r="L362" i="32"/>
  <c r="M362" i="32"/>
  <c r="N362" i="32"/>
  <c r="O362" i="32"/>
  <c r="P362" i="32"/>
  <c r="Q362" i="32"/>
  <c r="R362" i="32"/>
  <c r="S362" i="32"/>
  <c r="Z362" i="32"/>
  <c r="AA362" i="32"/>
  <c r="Z363" i="32"/>
  <c r="AA363" i="32"/>
  <c r="B364" i="32"/>
  <c r="C364" i="32"/>
  <c r="D364" i="32"/>
  <c r="E364" i="32"/>
  <c r="F364" i="32"/>
  <c r="G364" i="32"/>
  <c r="H364" i="32"/>
  <c r="I364" i="32"/>
  <c r="I376" i="32" s="1"/>
  <c r="L369" i="32"/>
  <c r="M369" i="32"/>
  <c r="N369" i="32"/>
  <c r="O369" i="32"/>
  <c r="P369" i="32"/>
  <c r="Q369" i="32"/>
  <c r="R369" i="32"/>
  <c r="S369" i="32"/>
  <c r="Z369" i="32"/>
  <c r="AA369" i="32"/>
  <c r="L370" i="32"/>
  <c r="M370" i="32"/>
  <c r="N370" i="32"/>
  <c r="O370" i="32"/>
  <c r="P370" i="32"/>
  <c r="Q370" i="32"/>
  <c r="R370" i="32"/>
  <c r="S370" i="32"/>
  <c r="Z370" i="32"/>
  <c r="AA370" i="32"/>
  <c r="L371" i="32"/>
  <c r="M371" i="32"/>
  <c r="N371" i="32"/>
  <c r="O371" i="32"/>
  <c r="P371" i="32"/>
  <c r="Q371" i="32"/>
  <c r="R371" i="32"/>
  <c r="S371" i="32"/>
  <c r="Z371" i="32"/>
  <c r="AA371" i="32"/>
  <c r="L372" i="32"/>
  <c r="M372" i="32"/>
  <c r="N372" i="32"/>
  <c r="O372" i="32"/>
  <c r="P372" i="32"/>
  <c r="Q372" i="32"/>
  <c r="R372" i="32"/>
  <c r="S372" i="32"/>
  <c r="Z372" i="32"/>
  <c r="AA372" i="32"/>
  <c r="L373" i="32"/>
  <c r="M373" i="32"/>
  <c r="N373" i="32"/>
  <c r="O373" i="32"/>
  <c r="P373" i="32"/>
  <c r="Q373" i="32"/>
  <c r="R373" i="32"/>
  <c r="S373" i="32"/>
  <c r="Z373" i="32"/>
  <c r="AA373" i="32"/>
  <c r="Z374" i="32"/>
  <c r="AA374" i="32"/>
  <c r="B375" i="32"/>
  <c r="C375" i="32"/>
  <c r="D375" i="32"/>
  <c r="E375" i="32"/>
  <c r="Q375" i="32" s="1"/>
  <c r="F375" i="32"/>
  <c r="G375" i="32"/>
  <c r="H375" i="32"/>
  <c r="I375" i="32"/>
  <c r="L382" i="32"/>
  <c r="M382" i="32"/>
  <c r="N382" i="32"/>
  <c r="O382" i="32"/>
  <c r="P382" i="32"/>
  <c r="Q382" i="32"/>
  <c r="R382" i="32"/>
  <c r="S382" i="32"/>
  <c r="Z382" i="32"/>
  <c r="AA382" i="32"/>
  <c r="Z383" i="32"/>
  <c r="AA383" i="32"/>
  <c r="B384" i="32"/>
  <c r="O83" i="5"/>
  <c r="C384" i="32"/>
  <c r="D384" i="32"/>
  <c r="E384" i="32"/>
  <c r="F384" i="32"/>
  <c r="O81" i="5" s="1"/>
  <c r="G384" i="32"/>
  <c r="G403" i="32" s="1"/>
  <c r="H384" i="32"/>
  <c r="H403" i="32" s="1"/>
  <c r="I384" i="32"/>
  <c r="I403" i="32" s="1"/>
  <c r="AA384" i="32"/>
  <c r="L385" i="32"/>
  <c r="M385" i="32"/>
  <c r="N385" i="32"/>
  <c r="O385" i="32"/>
  <c r="P385" i="32"/>
  <c r="Q385" i="32"/>
  <c r="R385" i="32"/>
  <c r="S385" i="32"/>
  <c r="Z385" i="32"/>
  <c r="AA385" i="32"/>
  <c r="L386" i="32"/>
  <c r="M386" i="32"/>
  <c r="N386" i="32"/>
  <c r="O386" i="32"/>
  <c r="P386" i="32"/>
  <c r="Q386" i="32"/>
  <c r="R386" i="32"/>
  <c r="S386" i="32"/>
  <c r="Z386" i="32"/>
  <c r="AA386" i="32"/>
  <c r="L387" i="32"/>
  <c r="M387" i="32"/>
  <c r="N387" i="32"/>
  <c r="O387" i="32"/>
  <c r="P387" i="32"/>
  <c r="Q387" i="32"/>
  <c r="R387" i="32"/>
  <c r="S387" i="32"/>
  <c r="Z387" i="32"/>
  <c r="AA387" i="32"/>
  <c r="L388" i="32"/>
  <c r="M388" i="32"/>
  <c r="N388" i="32"/>
  <c r="O388" i="32"/>
  <c r="P388" i="32"/>
  <c r="Q388" i="32"/>
  <c r="R388" i="32"/>
  <c r="S388" i="32"/>
  <c r="Z388" i="32"/>
  <c r="AA388" i="32"/>
  <c r="L389" i="32"/>
  <c r="M389" i="32"/>
  <c r="N389" i="32"/>
  <c r="O389" i="32"/>
  <c r="P389" i="32"/>
  <c r="Q389" i="32"/>
  <c r="R389" i="32"/>
  <c r="S389" i="32"/>
  <c r="Z389" i="32"/>
  <c r="AA389" i="32"/>
  <c r="L390" i="32"/>
  <c r="M390" i="32"/>
  <c r="N390" i="32"/>
  <c r="O390" i="32"/>
  <c r="P390" i="32"/>
  <c r="Q390" i="32"/>
  <c r="R390" i="32"/>
  <c r="S390" i="32"/>
  <c r="Z390" i="32"/>
  <c r="AA390" i="32"/>
  <c r="L391" i="32"/>
  <c r="M391" i="32"/>
  <c r="N391" i="32"/>
  <c r="O391" i="32"/>
  <c r="P391" i="32"/>
  <c r="Q391" i="32"/>
  <c r="R391" i="32"/>
  <c r="S391" i="32"/>
  <c r="Z391" i="32"/>
  <c r="AA391" i="32"/>
  <c r="L392" i="32"/>
  <c r="M392" i="32"/>
  <c r="N392" i="32"/>
  <c r="O392" i="32"/>
  <c r="P392" i="32"/>
  <c r="Q392" i="32"/>
  <c r="R392" i="32"/>
  <c r="S392" i="32"/>
  <c r="Z392" i="32"/>
  <c r="AA392" i="32"/>
  <c r="L393" i="32"/>
  <c r="M393" i="32"/>
  <c r="N393" i="32"/>
  <c r="O393" i="32"/>
  <c r="P393" i="32"/>
  <c r="Q393" i="32"/>
  <c r="R393" i="32"/>
  <c r="S393" i="32"/>
  <c r="Z393" i="32"/>
  <c r="AA393" i="32"/>
  <c r="L394" i="32"/>
  <c r="M394" i="32"/>
  <c r="N394" i="32"/>
  <c r="O394" i="32"/>
  <c r="P394" i="32"/>
  <c r="Q394" i="32"/>
  <c r="R394" i="32"/>
  <c r="S394" i="32"/>
  <c r="Z394" i="32"/>
  <c r="AA394" i="32"/>
  <c r="L395" i="32"/>
  <c r="M395" i="32"/>
  <c r="N395" i="32"/>
  <c r="O395" i="32"/>
  <c r="P395" i="32"/>
  <c r="Q395" i="32"/>
  <c r="R395" i="32"/>
  <c r="S395" i="32"/>
  <c r="Z395" i="32"/>
  <c r="AA395" i="32"/>
  <c r="L396" i="32"/>
  <c r="M396" i="32"/>
  <c r="N396" i="32"/>
  <c r="O396" i="32"/>
  <c r="P396" i="32"/>
  <c r="Q396" i="32"/>
  <c r="R396" i="32"/>
  <c r="S396" i="32"/>
  <c r="Z396" i="32"/>
  <c r="AA396" i="32"/>
  <c r="L397" i="32"/>
  <c r="M397" i="32"/>
  <c r="N397" i="32"/>
  <c r="O397" i="32"/>
  <c r="P397" i="32"/>
  <c r="Q397" i="32"/>
  <c r="R397" i="32"/>
  <c r="S397" i="32"/>
  <c r="Z397" i="32"/>
  <c r="AA397" i="32"/>
  <c r="L398" i="32"/>
  <c r="M398" i="32"/>
  <c r="N398" i="32"/>
  <c r="O398" i="32"/>
  <c r="P398" i="32"/>
  <c r="Q398" i="32"/>
  <c r="R398" i="32"/>
  <c r="S398" i="32"/>
  <c r="Z398" i="32"/>
  <c r="AA398" i="32"/>
  <c r="L399" i="32"/>
  <c r="M399" i="32"/>
  <c r="N399" i="32"/>
  <c r="O399" i="32"/>
  <c r="P399" i="32"/>
  <c r="Q399" i="32"/>
  <c r="R399" i="32"/>
  <c r="S399" i="32"/>
  <c r="Z399" i="32"/>
  <c r="AA399" i="32"/>
  <c r="L400" i="32"/>
  <c r="M400" i="32"/>
  <c r="N400" i="32"/>
  <c r="O400" i="32"/>
  <c r="P400" i="32"/>
  <c r="Q400" i="32"/>
  <c r="R400" i="32"/>
  <c r="S400" i="32"/>
  <c r="Z400" i="32"/>
  <c r="AA400" i="32"/>
  <c r="L401" i="32"/>
  <c r="M401" i="32"/>
  <c r="N401" i="32"/>
  <c r="O401" i="32"/>
  <c r="P401" i="32"/>
  <c r="Q401" i="32"/>
  <c r="R401" i="32"/>
  <c r="S401" i="32"/>
  <c r="Z401" i="32"/>
  <c r="AA401" i="32"/>
  <c r="Z402" i="32"/>
  <c r="AA402" i="32"/>
  <c r="C403" i="32"/>
  <c r="E403" i="32"/>
  <c r="B409" i="32"/>
  <c r="C409" i="32"/>
  <c r="D409" i="32"/>
  <c r="E409" i="32"/>
  <c r="F409" i="32"/>
  <c r="G409" i="32"/>
  <c r="H409" i="32"/>
  <c r="I409" i="32"/>
  <c r="B414" i="32"/>
  <c r="C414" i="32"/>
  <c r="D414" i="32"/>
  <c r="E414" i="32"/>
  <c r="F414" i="32"/>
  <c r="G414" i="32"/>
  <c r="H414" i="32"/>
  <c r="I414" i="32"/>
  <c r="B419" i="32"/>
  <c r="C419" i="32"/>
  <c r="D419" i="32"/>
  <c r="E419" i="32"/>
  <c r="F419" i="32"/>
  <c r="G419" i="32"/>
  <c r="H419" i="32"/>
  <c r="I419" i="32"/>
  <c r="K422" i="32"/>
  <c r="L428" i="32"/>
  <c r="M428" i="32"/>
  <c r="N428" i="32"/>
  <c r="O428" i="32"/>
  <c r="P428" i="32"/>
  <c r="Q428" i="32"/>
  <c r="R428" i="32"/>
  <c r="S428" i="32"/>
  <c r="Z428" i="32"/>
  <c r="AA428" i="32"/>
  <c r="L429" i="32"/>
  <c r="M429" i="32"/>
  <c r="N429" i="32"/>
  <c r="O429" i="32"/>
  <c r="P429" i="32"/>
  <c r="Q429" i="32"/>
  <c r="R429" i="32"/>
  <c r="S429" i="32"/>
  <c r="Z429" i="32"/>
  <c r="AA429" i="32"/>
  <c r="L430" i="32"/>
  <c r="M430" i="32"/>
  <c r="N430" i="32"/>
  <c r="O430" i="32"/>
  <c r="P430" i="32"/>
  <c r="Q430" i="32"/>
  <c r="R430" i="32"/>
  <c r="S430" i="32"/>
  <c r="Z430" i="32"/>
  <c r="AA430" i="32"/>
  <c r="L431" i="32"/>
  <c r="M431" i="32"/>
  <c r="N431" i="32"/>
  <c r="O431" i="32"/>
  <c r="P431" i="32"/>
  <c r="Q431" i="32"/>
  <c r="R431" i="32"/>
  <c r="S431" i="32"/>
  <c r="Z431" i="32"/>
  <c r="AA431" i="32"/>
  <c r="L432" i="32"/>
  <c r="M432" i="32"/>
  <c r="N432" i="32"/>
  <c r="O432" i="32"/>
  <c r="P432" i="32"/>
  <c r="Q432" i="32"/>
  <c r="R432" i="32"/>
  <c r="S432" i="32"/>
  <c r="Z432" i="32"/>
  <c r="AA432" i="32"/>
  <c r="Z433" i="32"/>
  <c r="AA433" i="32"/>
  <c r="B434" i="32"/>
  <c r="C434" i="32"/>
  <c r="D434" i="32"/>
  <c r="E434" i="32"/>
  <c r="E446" i="32" s="1"/>
  <c r="F434" i="32"/>
  <c r="G434" i="32"/>
  <c r="H434" i="32"/>
  <c r="I434" i="32"/>
  <c r="L439" i="32"/>
  <c r="M439" i="32"/>
  <c r="N439" i="32"/>
  <c r="O439" i="32"/>
  <c r="P439" i="32"/>
  <c r="Q439" i="32"/>
  <c r="R439" i="32"/>
  <c r="S439" i="32"/>
  <c r="Z439" i="32"/>
  <c r="AA439" i="32"/>
  <c r="L440" i="32"/>
  <c r="M440" i="32"/>
  <c r="N440" i="32"/>
  <c r="O440" i="32"/>
  <c r="P440" i="32"/>
  <c r="Q440" i="32"/>
  <c r="R440" i="32"/>
  <c r="S440" i="32"/>
  <c r="Z440" i="32"/>
  <c r="AA440" i="32"/>
  <c r="L441" i="32"/>
  <c r="M441" i="32"/>
  <c r="N441" i="32"/>
  <c r="O441" i="32"/>
  <c r="P441" i="32"/>
  <c r="Q441" i="32"/>
  <c r="R441" i="32"/>
  <c r="S441" i="32"/>
  <c r="Z441" i="32"/>
  <c r="AA441" i="32"/>
  <c r="L442" i="32"/>
  <c r="M442" i="32"/>
  <c r="N442" i="32"/>
  <c r="O442" i="32"/>
  <c r="P442" i="32"/>
  <c r="Q442" i="32"/>
  <c r="R442" i="32"/>
  <c r="S442" i="32"/>
  <c r="Z442" i="32"/>
  <c r="AA442" i="32"/>
  <c r="L443" i="32"/>
  <c r="M443" i="32"/>
  <c r="N443" i="32"/>
  <c r="O443" i="32"/>
  <c r="P443" i="32"/>
  <c r="Q443" i="32"/>
  <c r="R443" i="32"/>
  <c r="S443" i="32"/>
  <c r="Z443" i="32"/>
  <c r="AA443" i="32"/>
  <c r="Z444" i="32"/>
  <c r="AA444" i="32"/>
  <c r="B445" i="32"/>
  <c r="L445" i="32" s="1"/>
  <c r="C445" i="32"/>
  <c r="D445" i="32"/>
  <c r="E445" i="32"/>
  <c r="F445" i="32"/>
  <c r="G445" i="32"/>
  <c r="G446" i="32" s="1"/>
  <c r="H445" i="32"/>
  <c r="P445" i="32"/>
  <c r="I445" i="32"/>
  <c r="L452" i="32"/>
  <c r="M452" i="32"/>
  <c r="N452" i="32"/>
  <c r="O452" i="32"/>
  <c r="P452" i="32"/>
  <c r="Q452" i="32"/>
  <c r="R452" i="32"/>
  <c r="S452" i="32"/>
  <c r="Z452" i="32"/>
  <c r="AA452" i="32"/>
  <c r="Z453" i="32"/>
  <c r="AA453" i="32"/>
  <c r="L454" i="32"/>
  <c r="M454" i="32"/>
  <c r="N454" i="32"/>
  <c r="O454" i="32"/>
  <c r="P454" i="32"/>
  <c r="Q454" i="32"/>
  <c r="R454" i="32"/>
  <c r="S454" i="32"/>
  <c r="Z454" i="32"/>
  <c r="AA454" i="32"/>
  <c r="L455" i="32"/>
  <c r="M455" i="32"/>
  <c r="N455" i="32"/>
  <c r="O455" i="32"/>
  <c r="P455" i="32"/>
  <c r="Q455" i="32"/>
  <c r="R455" i="32"/>
  <c r="S455" i="32"/>
  <c r="Z455" i="32"/>
  <c r="AA455" i="32"/>
  <c r="L456" i="32"/>
  <c r="M456" i="32"/>
  <c r="N456" i="32"/>
  <c r="O456" i="32"/>
  <c r="P456" i="32"/>
  <c r="Q456" i="32"/>
  <c r="R456" i="32"/>
  <c r="S456" i="32"/>
  <c r="Z456" i="32"/>
  <c r="AA456" i="32"/>
  <c r="L457" i="32"/>
  <c r="M457" i="32"/>
  <c r="N457" i="32"/>
  <c r="O457" i="32"/>
  <c r="P457" i="32"/>
  <c r="Q457" i="32"/>
  <c r="R457" i="32"/>
  <c r="S457" i="32"/>
  <c r="Z457" i="32"/>
  <c r="AA457" i="32"/>
  <c r="L458" i="32"/>
  <c r="M458" i="32"/>
  <c r="N458" i="32"/>
  <c r="O458" i="32"/>
  <c r="P458" i="32"/>
  <c r="Q458" i="32"/>
  <c r="R458" i="32"/>
  <c r="S458" i="32"/>
  <c r="Z458" i="32"/>
  <c r="AA458" i="32"/>
  <c r="L459" i="32"/>
  <c r="M459" i="32"/>
  <c r="N459" i="32"/>
  <c r="O459" i="32"/>
  <c r="P459" i="32"/>
  <c r="Q459" i="32"/>
  <c r="R459" i="32"/>
  <c r="S459" i="32"/>
  <c r="Z459" i="32"/>
  <c r="AA459" i="32"/>
  <c r="L460" i="32"/>
  <c r="M460" i="32"/>
  <c r="N460" i="32"/>
  <c r="O460" i="32"/>
  <c r="P460" i="32"/>
  <c r="Q460" i="32"/>
  <c r="R460" i="32"/>
  <c r="S460" i="32"/>
  <c r="Z460" i="32"/>
  <c r="AA460" i="32"/>
  <c r="L461" i="32"/>
  <c r="M461" i="32"/>
  <c r="N461" i="32"/>
  <c r="O461" i="32"/>
  <c r="P461" i="32"/>
  <c r="Q461" i="32"/>
  <c r="R461" i="32"/>
  <c r="S461" i="32"/>
  <c r="Z461" i="32"/>
  <c r="AA461" i="32"/>
  <c r="L462" i="32"/>
  <c r="M462" i="32"/>
  <c r="N462" i="32"/>
  <c r="O462" i="32"/>
  <c r="P462" i="32"/>
  <c r="Q462" i="32"/>
  <c r="R462" i="32"/>
  <c r="S462" i="32"/>
  <c r="Z462" i="32"/>
  <c r="AA462" i="32"/>
  <c r="L463" i="32"/>
  <c r="M463" i="32"/>
  <c r="N463" i="32"/>
  <c r="O463" i="32"/>
  <c r="P463" i="32"/>
  <c r="Q463" i="32"/>
  <c r="R463" i="32"/>
  <c r="S463" i="32"/>
  <c r="Z463" i="32"/>
  <c r="AA463" i="32"/>
  <c r="L464" i="32"/>
  <c r="M464" i="32"/>
  <c r="N464" i="32"/>
  <c r="O464" i="32"/>
  <c r="P464" i="32"/>
  <c r="Q464" i="32"/>
  <c r="R464" i="32"/>
  <c r="S464" i="32"/>
  <c r="Z464" i="32"/>
  <c r="AA464" i="32"/>
  <c r="L465" i="32"/>
  <c r="M465" i="32"/>
  <c r="N465" i="32"/>
  <c r="O465" i="32"/>
  <c r="P465" i="32"/>
  <c r="Q465" i="32"/>
  <c r="R465" i="32"/>
  <c r="S465" i="32"/>
  <c r="Z465" i="32"/>
  <c r="AA465" i="32"/>
  <c r="L466" i="32"/>
  <c r="M466" i="32"/>
  <c r="N466" i="32"/>
  <c r="O466" i="32"/>
  <c r="P466" i="32"/>
  <c r="Q466" i="32"/>
  <c r="R466" i="32"/>
  <c r="S466" i="32"/>
  <c r="Z466" i="32"/>
  <c r="AA466" i="32"/>
  <c r="L467" i="32"/>
  <c r="M467" i="32"/>
  <c r="N467" i="32"/>
  <c r="O467" i="32"/>
  <c r="P467" i="32"/>
  <c r="Q467" i="32"/>
  <c r="R467" i="32"/>
  <c r="S467" i="32"/>
  <c r="Z467" i="32"/>
  <c r="AA467" i="32"/>
  <c r="L468" i="32"/>
  <c r="M468" i="32"/>
  <c r="N468" i="32"/>
  <c r="O468" i="32"/>
  <c r="P468" i="32"/>
  <c r="Q468" i="32"/>
  <c r="R468" i="32"/>
  <c r="S468" i="32"/>
  <c r="Z468" i="32"/>
  <c r="AA468" i="32"/>
  <c r="L469" i="32"/>
  <c r="M469" i="32"/>
  <c r="N469" i="32"/>
  <c r="O469" i="32"/>
  <c r="P469" i="32"/>
  <c r="Q469" i="32"/>
  <c r="R469" i="32"/>
  <c r="S469" i="32"/>
  <c r="Z469" i="32"/>
  <c r="AA469" i="32"/>
  <c r="L470" i="32"/>
  <c r="M470" i="32"/>
  <c r="N470" i="32"/>
  <c r="O470" i="32"/>
  <c r="P470" i="32"/>
  <c r="Q470" i="32"/>
  <c r="R470" i="32"/>
  <c r="S470" i="32"/>
  <c r="Z470" i="32"/>
  <c r="AA470" i="32"/>
  <c r="L471" i="32"/>
  <c r="M471" i="32"/>
  <c r="N471" i="32"/>
  <c r="O471" i="32"/>
  <c r="P471" i="32"/>
  <c r="Q471" i="32"/>
  <c r="R471" i="32"/>
  <c r="S471" i="32"/>
  <c r="Z471" i="32"/>
  <c r="AA471" i="32"/>
  <c r="Z472" i="32"/>
  <c r="AA472" i="32"/>
  <c r="B473" i="32"/>
  <c r="C473" i="32"/>
  <c r="D473" i="32"/>
  <c r="E473" i="32"/>
  <c r="F473" i="32"/>
  <c r="G473" i="32"/>
  <c r="H473" i="32"/>
  <c r="I473" i="32"/>
  <c r="B489" i="32"/>
  <c r="C489" i="32"/>
  <c r="D489" i="32"/>
  <c r="E489" i="32"/>
  <c r="F489" i="32"/>
  <c r="G489" i="32"/>
  <c r="H489" i="32"/>
  <c r="I489" i="32"/>
  <c r="K492" i="32"/>
  <c r="L498" i="32"/>
  <c r="M498" i="32"/>
  <c r="N498" i="32"/>
  <c r="O498" i="32"/>
  <c r="P498" i="32"/>
  <c r="Q498" i="32"/>
  <c r="R498" i="32"/>
  <c r="S498" i="32"/>
  <c r="Z498" i="32"/>
  <c r="AA498" i="32"/>
  <c r="L499" i="32"/>
  <c r="M499" i="32"/>
  <c r="N499" i="32"/>
  <c r="O499" i="32"/>
  <c r="P499" i="32"/>
  <c r="Q499" i="32"/>
  <c r="R499" i="32"/>
  <c r="S499" i="32"/>
  <c r="Z499" i="32"/>
  <c r="AA499" i="32"/>
  <c r="L500" i="32"/>
  <c r="M500" i="32"/>
  <c r="N500" i="32"/>
  <c r="O500" i="32"/>
  <c r="P500" i="32"/>
  <c r="Q500" i="32"/>
  <c r="R500" i="32"/>
  <c r="S500" i="32"/>
  <c r="Z500" i="32"/>
  <c r="AA500" i="32"/>
  <c r="L501" i="32"/>
  <c r="M501" i="32"/>
  <c r="N501" i="32"/>
  <c r="O501" i="32"/>
  <c r="P501" i="32"/>
  <c r="Q501" i="32"/>
  <c r="R501" i="32"/>
  <c r="S501" i="32"/>
  <c r="Z501" i="32"/>
  <c r="AA501" i="32"/>
  <c r="L502" i="32"/>
  <c r="M502" i="32"/>
  <c r="N502" i="32"/>
  <c r="O502" i="32"/>
  <c r="P502" i="32"/>
  <c r="Q502" i="32"/>
  <c r="R502" i="32"/>
  <c r="S502" i="32"/>
  <c r="Z502" i="32"/>
  <c r="AA502" i="32"/>
  <c r="Z503" i="32"/>
  <c r="AA503" i="32"/>
  <c r="B504" i="32"/>
  <c r="C504" i="32"/>
  <c r="D504" i="32"/>
  <c r="E504" i="32"/>
  <c r="E516" i="32" s="1"/>
  <c r="F504" i="32"/>
  <c r="G504" i="32"/>
  <c r="H504" i="32"/>
  <c r="I504" i="32"/>
  <c r="L509" i="32"/>
  <c r="M509" i="32"/>
  <c r="N509" i="32"/>
  <c r="O509" i="32"/>
  <c r="P509" i="32"/>
  <c r="Q509" i="32"/>
  <c r="R509" i="32"/>
  <c r="S509" i="32"/>
  <c r="Z509" i="32"/>
  <c r="AA509" i="32"/>
  <c r="L510" i="32"/>
  <c r="M510" i="32"/>
  <c r="N510" i="32"/>
  <c r="O510" i="32"/>
  <c r="P510" i="32"/>
  <c r="Q510" i="32"/>
  <c r="R510" i="32"/>
  <c r="S510" i="32"/>
  <c r="Z510" i="32"/>
  <c r="AA510" i="32"/>
  <c r="L511" i="32"/>
  <c r="M511" i="32"/>
  <c r="N511" i="32"/>
  <c r="O511" i="32"/>
  <c r="P511" i="32"/>
  <c r="Q511" i="32"/>
  <c r="R511" i="32"/>
  <c r="S511" i="32"/>
  <c r="Z511" i="32"/>
  <c r="AA511" i="32"/>
  <c r="L512" i="32"/>
  <c r="M512" i="32"/>
  <c r="N512" i="32"/>
  <c r="O512" i="32"/>
  <c r="P512" i="32"/>
  <c r="Q512" i="32"/>
  <c r="R512" i="32"/>
  <c r="S512" i="32"/>
  <c r="Z512" i="32"/>
  <c r="AA512" i="32"/>
  <c r="L513" i="32"/>
  <c r="M513" i="32"/>
  <c r="N513" i="32"/>
  <c r="O513" i="32"/>
  <c r="P513" i="32"/>
  <c r="Q513" i="32"/>
  <c r="R513" i="32"/>
  <c r="S513" i="32"/>
  <c r="Z513" i="32"/>
  <c r="AA513" i="32"/>
  <c r="Z514" i="32"/>
  <c r="AA514" i="32"/>
  <c r="B515" i="32"/>
  <c r="B516" i="32" s="1"/>
  <c r="C515" i="32"/>
  <c r="C516" i="32" s="1"/>
  <c r="D515" i="32"/>
  <c r="D516" i="32" s="1"/>
  <c r="N516" i="32" s="1"/>
  <c r="E515" i="32"/>
  <c r="F515" i="32"/>
  <c r="G515" i="32"/>
  <c r="H515" i="32"/>
  <c r="I515" i="32"/>
  <c r="L522" i="32"/>
  <c r="M522" i="32"/>
  <c r="N522" i="32"/>
  <c r="O522" i="32"/>
  <c r="P522" i="32"/>
  <c r="Q522" i="32"/>
  <c r="R522" i="32"/>
  <c r="S522" i="32"/>
  <c r="Z522" i="32"/>
  <c r="AA522" i="32"/>
  <c r="Z523" i="32"/>
  <c r="AA523" i="32"/>
  <c r="B524" i="32"/>
  <c r="S83" i="5" s="1"/>
  <c r="C524" i="32"/>
  <c r="D524" i="32"/>
  <c r="E524" i="32"/>
  <c r="F524" i="32"/>
  <c r="AA524" i="32" s="1"/>
  <c r="G524" i="32"/>
  <c r="G543" i="32" s="1"/>
  <c r="H524" i="32"/>
  <c r="H543" i="32" s="1"/>
  <c r="I524" i="32"/>
  <c r="L524" i="32"/>
  <c r="Q524" i="32"/>
  <c r="L525" i="32"/>
  <c r="M525" i="32"/>
  <c r="N525" i="32"/>
  <c r="O525" i="32"/>
  <c r="P525" i="32"/>
  <c r="Q525" i="32"/>
  <c r="R525" i="32"/>
  <c r="S525" i="32"/>
  <c r="Z525" i="32"/>
  <c r="AA525" i="32"/>
  <c r="L526" i="32"/>
  <c r="M526" i="32"/>
  <c r="N526" i="32"/>
  <c r="O526" i="32"/>
  <c r="P526" i="32"/>
  <c r="Q526" i="32"/>
  <c r="R526" i="32"/>
  <c r="S526" i="32"/>
  <c r="Z526" i="32"/>
  <c r="AA526" i="32"/>
  <c r="L527" i="32"/>
  <c r="M527" i="32"/>
  <c r="N527" i="32"/>
  <c r="O527" i="32"/>
  <c r="P527" i="32"/>
  <c r="Q527" i="32"/>
  <c r="R527" i="32"/>
  <c r="S527" i="32"/>
  <c r="Z527" i="32"/>
  <c r="AA527" i="32"/>
  <c r="L528" i="32"/>
  <c r="M528" i="32"/>
  <c r="N528" i="32"/>
  <c r="O528" i="32"/>
  <c r="P528" i="32"/>
  <c r="Q528" i="32"/>
  <c r="R528" i="32"/>
  <c r="S528" i="32"/>
  <c r="Z528" i="32"/>
  <c r="AA528" i="32"/>
  <c r="L529" i="32"/>
  <c r="M529" i="32"/>
  <c r="N529" i="32"/>
  <c r="O529" i="32"/>
  <c r="P529" i="32"/>
  <c r="Q529" i="32"/>
  <c r="R529" i="32"/>
  <c r="S529" i="32"/>
  <c r="Z529" i="32"/>
  <c r="AA529" i="32"/>
  <c r="L530" i="32"/>
  <c r="M530" i="32"/>
  <c r="N530" i="32"/>
  <c r="O530" i="32"/>
  <c r="P530" i="32"/>
  <c r="Q530" i="32"/>
  <c r="R530" i="32"/>
  <c r="S530" i="32"/>
  <c r="Z530" i="32"/>
  <c r="AA530" i="32"/>
  <c r="L531" i="32"/>
  <c r="M531" i="32"/>
  <c r="N531" i="32"/>
  <c r="O531" i="32"/>
  <c r="P531" i="32"/>
  <c r="Q531" i="32"/>
  <c r="R531" i="32"/>
  <c r="S531" i="32"/>
  <c r="Z531" i="32"/>
  <c r="AA531" i="32"/>
  <c r="L532" i="32"/>
  <c r="M532" i="32"/>
  <c r="N532" i="32"/>
  <c r="O532" i="32"/>
  <c r="P532" i="32"/>
  <c r="Q532" i="32"/>
  <c r="R532" i="32"/>
  <c r="S532" i="32"/>
  <c r="Z532" i="32"/>
  <c r="AA532" i="32"/>
  <c r="L533" i="32"/>
  <c r="M533" i="32"/>
  <c r="N533" i="32"/>
  <c r="O533" i="32"/>
  <c r="P533" i="32"/>
  <c r="Q533" i="32"/>
  <c r="R533" i="32"/>
  <c r="S533" i="32"/>
  <c r="Z533" i="32"/>
  <c r="AA533" i="32"/>
  <c r="L534" i="32"/>
  <c r="M534" i="32"/>
  <c r="N534" i="32"/>
  <c r="O534" i="32"/>
  <c r="P534" i="32"/>
  <c r="Q534" i="32"/>
  <c r="R534" i="32"/>
  <c r="S534" i="32"/>
  <c r="Z534" i="32"/>
  <c r="AA534" i="32"/>
  <c r="L535" i="32"/>
  <c r="M535" i="32"/>
  <c r="N535" i="32"/>
  <c r="O535" i="32"/>
  <c r="P535" i="32"/>
  <c r="Q535" i="32"/>
  <c r="R535" i="32"/>
  <c r="S535" i="32"/>
  <c r="Z535" i="32"/>
  <c r="AA535" i="32"/>
  <c r="L536" i="32"/>
  <c r="M536" i="32"/>
  <c r="N536" i="32"/>
  <c r="O536" i="32"/>
  <c r="P536" i="32"/>
  <c r="Q536" i="32"/>
  <c r="R536" i="32"/>
  <c r="S536" i="32"/>
  <c r="Z536" i="32"/>
  <c r="AA536" i="32"/>
  <c r="L537" i="32"/>
  <c r="M537" i="32"/>
  <c r="N537" i="32"/>
  <c r="O537" i="32"/>
  <c r="P537" i="32"/>
  <c r="Q537" i="32"/>
  <c r="R537" i="32"/>
  <c r="S537" i="32"/>
  <c r="Z537" i="32"/>
  <c r="AA537" i="32"/>
  <c r="L538" i="32"/>
  <c r="M538" i="32"/>
  <c r="N538" i="32"/>
  <c r="O538" i="32"/>
  <c r="P538" i="32"/>
  <c r="Q538" i="32"/>
  <c r="R538" i="32"/>
  <c r="S538" i="32"/>
  <c r="Z538" i="32"/>
  <c r="AA538" i="32"/>
  <c r="L539" i="32"/>
  <c r="M539" i="32"/>
  <c r="N539" i="32"/>
  <c r="O539" i="32"/>
  <c r="P539" i="32"/>
  <c r="Q539" i="32"/>
  <c r="R539" i="32"/>
  <c r="S539" i="32"/>
  <c r="Z539" i="32"/>
  <c r="AA539" i="32"/>
  <c r="L540" i="32"/>
  <c r="M540" i="32"/>
  <c r="N540" i="32"/>
  <c r="O540" i="32"/>
  <c r="P540" i="32"/>
  <c r="Q540" i="32"/>
  <c r="R540" i="32"/>
  <c r="S540" i="32"/>
  <c r="Z540" i="32"/>
  <c r="AA540" i="32"/>
  <c r="L541" i="32"/>
  <c r="M541" i="32"/>
  <c r="N541" i="32"/>
  <c r="O541" i="32"/>
  <c r="P541" i="32"/>
  <c r="Q541" i="32"/>
  <c r="R541" i="32"/>
  <c r="S541" i="32"/>
  <c r="Z541" i="32"/>
  <c r="AA541" i="32"/>
  <c r="Z542" i="32"/>
  <c r="AA542" i="32"/>
  <c r="B543" i="32"/>
  <c r="B559" i="32"/>
  <c r="C559" i="32"/>
  <c r="D559" i="32"/>
  <c r="E559" i="32"/>
  <c r="F559" i="32"/>
  <c r="G559" i="32"/>
  <c r="H559" i="32"/>
  <c r="I559" i="32"/>
  <c r="K562" i="32"/>
  <c r="L568" i="32"/>
  <c r="M568" i="32"/>
  <c r="N568" i="32"/>
  <c r="O568" i="32"/>
  <c r="P568" i="32"/>
  <c r="Q568" i="32"/>
  <c r="R568" i="32"/>
  <c r="S568" i="32"/>
  <c r="Z568" i="32"/>
  <c r="AA568" i="32"/>
  <c r="L569" i="32"/>
  <c r="M569" i="32"/>
  <c r="N569" i="32"/>
  <c r="O569" i="32"/>
  <c r="P569" i="32"/>
  <c r="Q569" i="32"/>
  <c r="R569" i="32"/>
  <c r="S569" i="32"/>
  <c r="Z569" i="32"/>
  <c r="AA569" i="32"/>
  <c r="L570" i="32"/>
  <c r="M570" i="32"/>
  <c r="N570" i="32"/>
  <c r="O570" i="32"/>
  <c r="P570" i="32"/>
  <c r="Q570" i="32"/>
  <c r="R570" i="32"/>
  <c r="S570" i="32"/>
  <c r="Z570" i="32"/>
  <c r="AA570" i="32"/>
  <c r="L571" i="32"/>
  <c r="M571" i="32"/>
  <c r="N571" i="32"/>
  <c r="O571" i="32"/>
  <c r="P571" i="32"/>
  <c r="Q571" i="32"/>
  <c r="R571" i="32"/>
  <c r="S571" i="32"/>
  <c r="Z571" i="32"/>
  <c r="AA571" i="32"/>
  <c r="L572" i="32"/>
  <c r="M572" i="32"/>
  <c r="N572" i="32"/>
  <c r="O572" i="32"/>
  <c r="P572" i="32"/>
  <c r="Q572" i="32"/>
  <c r="R572" i="32"/>
  <c r="S572" i="32"/>
  <c r="Z572" i="32"/>
  <c r="AA572" i="32"/>
  <c r="Z573" i="32"/>
  <c r="AA573" i="32"/>
  <c r="B574" i="32"/>
  <c r="C574" i="32"/>
  <c r="D574" i="32"/>
  <c r="E574" i="32"/>
  <c r="E586" i="32" s="1"/>
  <c r="F574" i="32"/>
  <c r="G574" i="32"/>
  <c r="H574" i="32"/>
  <c r="I574" i="32"/>
  <c r="I586" i="32" s="1"/>
  <c r="L579" i="32"/>
  <c r="M579" i="32"/>
  <c r="N579" i="32"/>
  <c r="O579" i="32"/>
  <c r="P579" i="32"/>
  <c r="Q579" i="32"/>
  <c r="R579" i="32"/>
  <c r="S579" i="32"/>
  <c r="Z579" i="32"/>
  <c r="AA579" i="32"/>
  <c r="L580" i="32"/>
  <c r="M580" i="32"/>
  <c r="N580" i="32"/>
  <c r="O580" i="32"/>
  <c r="P580" i="32"/>
  <c r="Q580" i="32"/>
  <c r="R580" i="32"/>
  <c r="S580" i="32"/>
  <c r="Z580" i="32"/>
  <c r="AA580" i="32"/>
  <c r="L581" i="32"/>
  <c r="M581" i="32"/>
  <c r="N581" i="32"/>
  <c r="O581" i="32"/>
  <c r="P581" i="32"/>
  <c r="Q581" i="32"/>
  <c r="R581" i="32"/>
  <c r="S581" i="32"/>
  <c r="Z581" i="32"/>
  <c r="AA581" i="32"/>
  <c r="L582" i="32"/>
  <c r="M582" i="32"/>
  <c r="N582" i="32"/>
  <c r="O582" i="32"/>
  <c r="P582" i="32"/>
  <c r="Q582" i="32"/>
  <c r="R582" i="32"/>
  <c r="S582" i="32"/>
  <c r="Z582" i="32"/>
  <c r="AA582" i="32"/>
  <c r="L583" i="32"/>
  <c r="M583" i="32"/>
  <c r="N583" i="32"/>
  <c r="O583" i="32"/>
  <c r="P583" i="32"/>
  <c r="Q583" i="32"/>
  <c r="R583" i="32"/>
  <c r="S583" i="32"/>
  <c r="Z583" i="32"/>
  <c r="AA583" i="32"/>
  <c r="Z584" i="32"/>
  <c r="AA584" i="32"/>
  <c r="B585" i="32"/>
  <c r="C585" i="32"/>
  <c r="C586" i="32" s="1"/>
  <c r="D585" i="32"/>
  <c r="E585" i="32"/>
  <c r="F585" i="32"/>
  <c r="G585" i="32"/>
  <c r="H585" i="32"/>
  <c r="I585" i="32"/>
  <c r="L585" i="32" s="1"/>
  <c r="L592" i="32"/>
  <c r="M592" i="32"/>
  <c r="N592" i="32"/>
  <c r="O592" i="32"/>
  <c r="P592" i="32"/>
  <c r="Q592" i="32"/>
  <c r="R592" i="32"/>
  <c r="S592" i="32"/>
  <c r="Z592" i="32"/>
  <c r="AA592" i="32"/>
  <c r="Z593" i="32"/>
  <c r="AA593" i="32"/>
  <c r="B594" i="32"/>
  <c r="U83" i="5" s="1"/>
  <c r="C594" i="32"/>
  <c r="C613" i="32" s="1"/>
  <c r="D594" i="32"/>
  <c r="U84" i="5" s="1"/>
  <c r="U104" i="5" s="1"/>
  <c r="E594" i="32"/>
  <c r="E613" i="32" s="1"/>
  <c r="F594" i="32"/>
  <c r="U81" i="5" s="1"/>
  <c r="U87" i="5" s="1"/>
  <c r="G594" i="32"/>
  <c r="S594" i="32" s="1"/>
  <c r="H594" i="32"/>
  <c r="I594" i="32"/>
  <c r="L595" i="32"/>
  <c r="M595" i="32"/>
  <c r="N595" i="32"/>
  <c r="O595" i="32"/>
  <c r="P595" i="32"/>
  <c r="Q595" i="32"/>
  <c r="R595" i="32"/>
  <c r="S595" i="32"/>
  <c r="Z595" i="32"/>
  <c r="AA595" i="32"/>
  <c r="L596" i="32"/>
  <c r="M596" i="32"/>
  <c r="N596" i="32"/>
  <c r="O596" i="32"/>
  <c r="P596" i="32"/>
  <c r="Q596" i="32"/>
  <c r="R596" i="32"/>
  <c r="S596" i="32"/>
  <c r="Z596" i="32"/>
  <c r="AA596" i="32"/>
  <c r="L597" i="32"/>
  <c r="M597" i="32"/>
  <c r="N597" i="32"/>
  <c r="O597" i="32"/>
  <c r="P597" i="32"/>
  <c r="Q597" i="32"/>
  <c r="R597" i="32"/>
  <c r="S597" i="32"/>
  <c r="Z597" i="32"/>
  <c r="AA597" i="32"/>
  <c r="L598" i="32"/>
  <c r="M598" i="32"/>
  <c r="N598" i="32"/>
  <c r="O598" i="32"/>
  <c r="P598" i="32"/>
  <c r="Q598" i="32"/>
  <c r="R598" i="32"/>
  <c r="S598" i="32"/>
  <c r="Z598" i="32"/>
  <c r="AA598" i="32"/>
  <c r="L599" i="32"/>
  <c r="M599" i="32"/>
  <c r="N599" i="32"/>
  <c r="O599" i="32"/>
  <c r="P599" i="32"/>
  <c r="Q599" i="32"/>
  <c r="R599" i="32"/>
  <c r="S599" i="32"/>
  <c r="Z599" i="32"/>
  <c r="AA599" i="32"/>
  <c r="L600" i="32"/>
  <c r="M600" i="32"/>
  <c r="N600" i="32"/>
  <c r="O600" i="32"/>
  <c r="P600" i="32"/>
  <c r="Q600" i="32"/>
  <c r="R600" i="32"/>
  <c r="S600" i="32"/>
  <c r="Z600" i="32"/>
  <c r="AA600" i="32"/>
  <c r="L601" i="32"/>
  <c r="M601" i="32"/>
  <c r="N601" i="32"/>
  <c r="O601" i="32"/>
  <c r="P601" i="32"/>
  <c r="Q601" i="32"/>
  <c r="R601" i="32"/>
  <c r="S601" i="32"/>
  <c r="Z601" i="32"/>
  <c r="AA601" i="32"/>
  <c r="L602" i="32"/>
  <c r="M602" i="32"/>
  <c r="N602" i="32"/>
  <c r="O602" i="32"/>
  <c r="P602" i="32"/>
  <c r="Q602" i="32"/>
  <c r="R602" i="32"/>
  <c r="S602" i="32"/>
  <c r="Z602" i="32"/>
  <c r="AA602" i="32"/>
  <c r="L603" i="32"/>
  <c r="M603" i="32"/>
  <c r="N603" i="32"/>
  <c r="O603" i="32"/>
  <c r="P603" i="32"/>
  <c r="Q603" i="32"/>
  <c r="R603" i="32"/>
  <c r="S603" i="32"/>
  <c r="Z603" i="32"/>
  <c r="AA603" i="32"/>
  <c r="L604" i="32"/>
  <c r="M604" i="32"/>
  <c r="N604" i="32"/>
  <c r="O604" i="32"/>
  <c r="P604" i="32"/>
  <c r="Q604" i="32"/>
  <c r="R604" i="32"/>
  <c r="S604" i="32"/>
  <c r="Z604" i="32"/>
  <c r="AA604" i="32"/>
  <c r="L605" i="32"/>
  <c r="M605" i="32"/>
  <c r="N605" i="32"/>
  <c r="O605" i="32"/>
  <c r="P605" i="32"/>
  <c r="Q605" i="32"/>
  <c r="R605" i="32"/>
  <c r="S605" i="32"/>
  <c r="Z605" i="32"/>
  <c r="AA605" i="32"/>
  <c r="L606" i="32"/>
  <c r="M606" i="32"/>
  <c r="N606" i="32"/>
  <c r="O606" i="32"/>
  <c r="P606" i="32"/>
  <c r="Q606" i="32"/>
  <c r="R606" i="32"/>
  <c r="S606" i="32"/>
  <c r="Z606" i="32"/>
  <c r="AA606" i="32"/>
  <c r="L607" i="32"/>
  <c r="M607" i="32"/>
  <c r="N607" i="32"/>
  <c r="O607" i="32"/>
  <c r="P607" i="32"/>
  <c r="Q607" i="32"/>
  <c r="R607" i="32"/>
  <c r="S607" i="32"/>
  <c r="Z607" i="32"/>
  <c r="AA607" i="32"/>
  <c r="L608" i="32"/>
  <c r="M608" i="32"/>
  <c r="N608" i="32"/>
  <c r="O608" i="32"/>
  <c r="P608" i="32"/>
  <c r="Q608" i="32"/>
  <c r="R608" i="32"/>
  <c r="S608" i="32"/>
  <c r="Z608" i="32"/>
  <c r="AA608" i="32"/>
  <c r="L609" i="32"/>
  <c r="M609" i="32"/>
  <c r="N609" i="32"/>
  <c r="O609" i="32"/>
  <c r="P609" i="32"/>
  <c r="Q609" i="32"/>
  <c r="R609" i="32"/>
  <c r="S609" i="32"/>
  <c r="Z609" i="32"/>
  <c r="AA609" i="32"/>
  <c r="L610" i="32"/>
  <c r="M610" i="32"/>
  <c r="N610" i="32"/>
  <c r="O610" i="32"/>
  <c r="P610" i="32"/>
  <c r="Q610" i="32"/>
  <c r="R610" i="32"/>
  <c r="S610" i="32"/>
  <c r="Z610" i="32"/>
  <c r="AA610" i="32"/>
  <c r="L611" i="32"/>
  <c r="M611" i="32"/>
  <c r="N611" i="32"/>
  <c r="O611" i="32"/>
  <c r="P611" i="32"/>
  <c r="Q611" i="32"/>
  <c r="R611" i="32"/>
  <c r="S611" i="32"/>
  <c r="Z611" i="32"/>
  <c r="AA611" i="32"/>
  <c r="Z612" i="32"/>
  <c r="AA612" i="32"/>
  <c r="B613" i="32"/>
  <c r="H613" i="32"/>
  <c r="B629" i="32"/>
  <c r="C629" i="32"/>
  <c r="D629" i="32"/>
  <c r="E629" i="32"/>
  <c r="F629" i="32"/>
  <c r="G629" i="32"/>
  <c r="H629" i="32"/>
  <c r="I629" i="32"/>
  <c r="K632" i="32"/>
  <c r="L638" i="32"/>
  <c r="M638" i="32"/>
  <c r="N638" i="32"/>
  <c r="O638" i="32"/>
  <c r="P638" i="32"/>
  <c r="Q638" i="32"/>
  <c r="R638" i="32"/>
  <c r="S638" i="32"/>
  <c r="Z638" i="32"/>
  <c r="AA638" i="32"/>
  <c r="L639" i="32"/>
  <c r="M639" i="32"/>
  <c r="N639" i="32"/>
  <c r="O639" i="32"/>
  <c r="P639" i="32"/>
  <c r="Q639" i="32"/>
  <c r="R639" i="32"/>
  <c r="S639" i="32"/>
  <c r="Z639" i="32"/>
  <c r="AA639" i="32"/>
  <c r="L640" i="32"/>
  <c r="M640" i="32"/>
  <c r="N640" i="32"/>
  <c r="O640" i="32"/>
  <c r="P640" i="32"/>
  <c r="Q640" i="32"/>
  <c r="R640" i="32"/>
  <c r="S640" i="32"/>
  <c r="Z640" i="32"/>
  <c r="AA640" i="32"/>
  <c r="L641" i="32"/>
  <c r="M641" i="32"/>
  <c r="N641" i="32"/>
  <c r="O641" i="32"/>
  <c r="P641" i="32"/>
  <c r="Q641" i="32"/>
  <c r="R641" i="32"/>
  <c r="S641" i="32"/>
  <c r="Z641" i="32"/>
  <c r="AA641" i="32"/>
  <c r="L642" i="32"/>
  <c r="M642" i="32"/>
  <c r="N642" i="32"/>
  <c r="O642" i="32"/>
  <c r="P642" i="32"/>
  <c r="Q642" i="32"/>
  <c r="R642" i="32"/>
  <c r="S642" i="32"/>
  <c r="Z642" i="32"/>
  <c r="AA642" i="32"/>
  <c r="Z643" i="32"/>
  <c r="AA643" i="32"/>
  <c r="B644" i="32"/>
  <c r="C644" i="32"/>
  <c r="D644" i="32"/>
  <c r="E644" i="32"/>
  <c r="E656" i="32" s="1"/>
  <c r="F644" i="32"/>
  <c r="G644" i="32"/>
  <c r="H644" i="32"/>
  <c r="I644" i="32"/>
  <c r="L649" i="32"/>
  <c r="M649" i="32"/>
  <c r="N649" i="32"/>
  <c r="O649" i="32"/>
  <c r="P649" i="32"/>
  <c r="Q649" i="32"/>
  <c r="R649" i="32"/>
  <c r="S649" i="32"/>
  <c r="Z649" i="32"/>
  <c r="AA649" i="32"/>
  <c r="L650" i="32"/>
  <c r="M650" i="32"/>
  <c r="N650" i="32"/>
  <c r="O650" i="32"/>
  <c r="P650" i="32"/>
  <c r="Q650" i="32"/>
  <c r="R650" i="32"/>
  <c r="S650" i="32"/>
  <c r="Z650" i="32"/>
  <c r="AA650" i="32"/>
  <c r="L651" i="32"/>
  <c r="M651" i="32"/>
  <c r="N651" i="32"/>
  <c r="O651" i="32"/>
  <c r="P651" i="32"/>
  <c r="Q651" i="32"/>
  <c r="R651" i="32"/>
  <c r="S651" i="32"/>
  <c r="Z651" i="32"/>
  <c r="AA651" i="32"/>
  <c r="L652" i="32"/>
  <c r="M652" i="32"/>
  <c r="N652" i="32"/>
  <c r="O652" i="32"/>
  <c r="P652" i="32"/>
  <c r="Q652" i="32"/>
  <c r="R652" i="32"/>
  <c r="S652" i="32"/>
  <c r="Z652" i="32"/>
  <c r="AA652" i="32"/>
  <c r="L653" i="32"/>
  <c r="M653" i="32"/>
  <c r="N653" i="32"/>
  <c r="O653" i="32"/>
  <c r="P653" i="32"/>
  <c r="Q653" i="32"/>
  <c r="R653" i="32"/>
  <c r="S653" i="32"/>
  <c r="Z653" i="32"/>
  <c r="AA653" i="32"/>
  <c r="Z654" i="32"/>
  <c r="AA654" i="32"/>
  <c r="B655" i="32"/>
  <c r="C655" i="32"/>
  <c r="D655" i="32"/>
  <c r="E655" i="32"/>
  <c r="F655" i="32"/>
  <c r="G655" i="32"/>
  <c r="H655" i="32"/>
  <c r="I655" i="32"/>
  <c r="L662" i="32"/>
  <c r="M662" i="32"/>
  <c r="N662" i="32"/>
  <c r="O662" i="32"/>
  <c r="P662" i="32"/>
  <c r="Q662" i="32"/>
  <c r="R662" i="32"/>
  <c r="S662" i="32"/>
  <c r="Z662" i="32"/>
  <c r="AA662" i="32"/>
  <c r="Z663" i="32"/>
  <c r="AA663" i="32"/>
  <c r="B664" i="32"/>
  <c r="X83" i="5" s="1"/>
  <c r="C664" i="32"/>
  <c r="C683" i="32" s="1"/>
  <c r="D664" i="32"/>
  <c r="X84" i="5" s="1"/>
  <c r="X104" i="5" s="1"/>
  <c r="E664" i="32"/>
  <c r="F664" i="32"/>
  <c r="X81" i="5"/>
  <c r="G664" i="32"/>
  <c r="G683" i="32" s="1"/>
  <c r="S683" i="32" s="1"/>
  <c r="H664" i="32"/>
  <c r="H683" i="32" s="1"/>
  <c r="I664" i="32"/>
  <c r="I683" i="32" s="1"/>
  <c r="L665" i="32"/>
  <c r="M665" i="32"/>
  <c r="N665" i="32"/>
  <c r="O665" i="32"/>
  <c r="P665" i="32"/>
  <c r="Q665" i="32"/>
  <c r="R665" i="32"/>
  <c r="S665" i="32"/>
  <c r="Z665" i="32"/>
  <c r="AA665" i="32"/>
  <c r="L666" i="32"/>
  <c r="M666" i="32"/>
  <c r="N666" i="32"/>
  <c r="O666" i="32"/>
  <c r="P666" i="32"/>
  <c r="Q666" i="32"/>
  <c r="R666" i="32"/>
  <c r="S666" i="32"/>
  <c r="Z666" i="32"/>
  <c r="AA666" i="32"/>
  <c r="L667" i="32"/>
  <c r="M667" i="32"/>
  <c r="N667" i="32"/>
  <c r="O667" i="32"/>
  <c r="P667" i="32"/>
  <c r="Q667" i="32"/>
  <c r="R667" i="32"/>
  <c r="S667" i="32"/>
  <c r="Z667" i="32"/>
  <c r="AA667" i="32"/>
  <c r="L668" i="32"/>
  <c r="M668" i="32"/>
  <c r="N668" i="32"/>
  <c r="O668" i="32"/>
  <c r="P668" i="32"/>
  <c r="Q668" i="32"/>
  <c r="R668" i="32"/>
  <c r="S668" i="32"/>
  <c r="Z668" i="32"/>
  <c r="AA668" i="32"/>
  <c r="L669" i="32"/>
  <c r="M669" i="32"/>
  <c r="N669" i="32"/>
  <c r="O669" i="32"/>
  <c r="P669" i="32"/>
  <c r="Q669" i="32"/>
  <c r="R669" i="32"/>
  <c r="S669" i="32"/>
  <c r="Z669" i="32"/>
  <c r="AA669" i="32"/>
  <c r="L670" i="32"/>
  <c r="M670" i="32"/>
  <c r="N670" i="32"/>
  <c r="O670" i="32"/>
  <c r="P670" i="32"/>
  <c r="Q670" i="32"/>
  <c r="R670" i="32"/>
  <c r="S670" i="32"/>
  <c r="Z670" i="32"/>
  <c r="AA670" i="32"/>
  <c r="L671" i="32"/>
  <c r="M671" i="32"/>
  <c r="N671" i="32"/>
  <c r="O671" i="32"/>
  <c r="P671" i="32"/>
  <c r="Q671" i="32"/>
  <c r="R671" i="32"/>
  <c r="S671" i="32"/>
  <c r="Z671" i="32"/>
  <c r="AA671" i="32"/>
  <c r="L672" i="32"/>
  <c r="M672" i="32"/>
  <c r="N672" i="32"/>
  <c r="O672" i="32"/>
  <c r="P672" i="32"/>
  <c r="Q672" i="32"/>
  <c r="R672" i="32"/>
  <c r="S672" i="32"/>
  <c r="Z672" i="32"/>
  <c r="AA672" i="32"/>
  <c r="L673" i="32"/>
  <c r="M673" i="32"/>
  <c r="N673" i="32"/>
  <c r="O673" i="32"/>
  <c r="P673" i="32"/>
  <c r="Q673" i="32"/>
  <c r="R673" i="32"/>
  <c r="S673" i="32"/>
  <c r="Z673" i="32"/>
  <c r="AA673" i="32"/>
  <c r="L674" i="32"/>
  <c r="M674" i="32"/>
  <c r="N674" i="32"/>
  <c r="O674" i="32"/>
  <c r="P674" i="32"/>
  <c r="Q674" i="32"/>
  <c r="R674" i="32"/>
  <c r="S674" i="32"/>
  <c r="Z674" i="32"/>
  <c r="AA674" i="32"/>
  <c r="L675" i="32"/>
  <c r="M675" i="32"/>
  <c r="N675" i="32"/>
  <c r="O675" i="32"/>
  <c r="P675" i="32"/>
  <c r="Q675" i="32"/>
  <c r="R675" i="32"/>
  <c r="S675" i="32"/>
  <c r="Z675" i="32"/>
  <c r="AA675" i="32"/>
  <c r="L676" i="32"/>
  <c r="M676" i="32"/>
  <c r="N676" i="32"/>
  <c r="O676" i="32"/>
  <c r="P676" i="32"/>
  <c r="Q676" i="32"/>
  <c r="R676" i="32"/>
  <c r="S676" i="32"/>
  <c r="Z676" i="32"/>
  <c r="AA676" i="32"/>
  <c r="L677" i="32"/>
  <c r="M677" i="32"/>
  <c r="N677" i="32"/>
  <c r="O677" i="32"/>
  <c r="P677" i="32"/>
  <c r="Q677" i="32"/>
  <c r="R677" i="32"/>
  <c r="S677" i="32"/>
  <c r="Z677" i="32"/>
  <c r="AA677" i="32"/>
  <c r="L678" i="32"/>
  <c r="M678" i="32"/>
  <c r="N678" i="32"/>
  <c r="O678" i="32"/>
  <c r="P678" i="32"/>
  <c r="Q678" i="32"/>
  <c r="R678" i="32"/>
  <c r="S678" i="32"/>
  <c r="Z678" i="32"/>
  <c r="AA678" i="32"/>
  <c r="L679" i="32"/>
  <c r="M679" i="32"/>
  <c r="N679" i="32"/>
  <c r="O679" i="32"/>
  <c r="P679" i="32"/>
  <c r="Q679" i="32"/>
  <c r="R679" i="32"/>
  <c r="S679" i="32"/>
  <c r="Z679" i="32"/>
  <c r="AA679" i="32"/>
  <c r="L680" i="32"/>
  <c r="M680" i="32"/>
  <c r="N680" i="32"/>
  <c r="O680" i="32"/>
  <c r="P680" i="32"/>
  <c r="Q680" i="32"/>
  <c r="R680" i="32"/>
  <c r="S680" i="32"/>
  <c r="Z680" i="32"/>
  <c r="AA680" i="32"/>
  <c r="L681" i="32"/>
  <c r="M681" i="32"/>
  <c r="N681" i="32"/>
  <c r="O681" i="32"/>
  <c r="P681" i="32"/>
  <c r="Q681" i="32"/>
  <c r="R681" i="32"/>
  <c r="S681" i="32"/>
  <c r="Z681" i="32"/>
  <c r="AA681" i="32"/>
  <c r="Z682" i="32"/>
  <c r="AA682" i="32"/>
  <c r="E683" i="32"/>
  <c r="B699" i="32"/>
  <c r="C699" i="32"/>
  <c r="D699" i="32"/>
  <c r="E699" i="32"/>
  <c r="F699" i="32"/>
  <c r="G699" i="32"/>
  <c r="H699" i="32"/>
  <c r="I699" i="32"/>
  <c r="K702" i="32"/>
  <c r="L708" i="32"/>
  <c r="M708" i="32"/>
  <c r="N708" i="32"/>
  <c r="O708" i="32"/>
  <c r="P708" i="32"/>
  <c r="Q708" i="32"/>
  <c r="R708" i="32"/>
  <c r="S708" i="32"/>
  <c r="Z708" i="32"/>
  <c r="AA708" i="32"/>
  <c r="L709" i="32"/>
  <c r="M709" i="32"/>
  <c r="N709" i="32"/>
  <c r="O709" i="32"/>
  <c r="P709" i="32"/>
  <c r="Q709" i="32"/>
  <c r="R709" i="32"/>
  <c r="S709" i="32"/>
  <c r="Z709" i="32"/>
  <c r="AA709" i="32"/>
  <c r="L710" i="32"/>
  <c r="M710" i="32"/>
  <c r="N710" i="32"/>
  <c r="O710" i="32"/>
  <c r="P710" i="32"/>
  <c r="Q710" i="32"/>
  <c r="R710" i="32"/>
  <c r="S710" i="32"/>
  <c r="Z710" i="32"/>
  <c r="AA710" i="32"/>
  <c r="L711" i="32"/>
  <c r="M711" i="32"/>
  <c r="N711" i="32"/>
  <c r="O711" i="32"/>
  <c r="P711" i="32"/>
  <c r="Q711" i="32"/>
  <c r="R711" i="32"/>
  <c r="S711" i="32"/>
  <c r="Z711" i="32"/>
  <c r="AA711" i="32"/>
  <c r="L712" i="32"/>
  <c r="M712" i="32"/>
  <c r="N712" i="32"/>
  <c r="O712" i="32"/>
  <c r="P712" i="32"/>
  <c r="Q712" i="32"/>
  <c r="R712" i="32"/>
  <c r="S712" i="32"/>
  <c r="Z712" i="32"/>
  <c r="AA712" i="32"/>
  <c r="Z713" i="32"/>
  <c r="AA713" i="32"/>
  <c r="B714" i="32"/>
  <c r="C714" i="32"/>
  <c r="D714" i="32"/>
  <c r="E714" i="32"/>
  <c r="F714" i="32"/>
  <c r="G714" i="32"/>
  <c r="P714" i="32" s="1"/>
  <c r="H714" i="32"/>
  <c r="I714" i="32"/>
  <c r="L719" i="32"/>
  <c r="M719" i="32"/>
  <c r="N719" i="32"/>
  <c r="O719" i="32"/>
  <c r="P719" i="32"/>
  <c r="Q719" i="32"/>
  <c r="R719" i="32"/>
  <c r="S719" i="32"/>
  <c r="Z719" i="32"/>
  <c r="AA719" i="32"/>
  <c r="L720" i="32"/>
  <c r="M720" i="32"/>
  <c r="N720" i="32"/>
  <c r="O720" i="32"/>
  <c r="P720" i="32"/>
  <c r="Q720" i="32"/>
  <c r="R720" i="32"/>
  <c r="S720" i="32"/>
  <c r="Z720" i="32"/>
  <c r="AA720" i="32"/>
  <c r="L721" i="32"/>
  <c r="M721" i="32"/>
  <c r="N721" i="32"/>
  <c r="O721" i="32"/>
  <c r="P721" i="32"/>
  <c r="Q721" i="32"/>
  <c r="R721" i="32"/>
  <c r="S721" i="32"/>
  <c r="Z721" i="32"/>
  <c r="AA721" i="32"/>
  <c r="L722" i="32"/>
  <c r="M722" i="32"/>
  <c r="N722" i="32"/>
  <c r="O722" i="32"/>
  <c r="P722" i="32"/>
  <c r="Q722" i="32"/>
  <c r="R722" i="32"/>
  <c r="S722" i="32"/>
  <c r="Z722" i="32"/>
  <c r="AA722" i="32"/>
  <c r="L723" i="32"/>
  <c r="M723" i="32"/>
  <c r="N723" i="32"/>
  <c r="O723" i="32"/>
  <c r="P723" i="32"/>
  <c r="Q723" i="32"/>
  <c r="R723" i="32"/>
  <c r="S723" i="32"/>
  <c r="Z723" i="32"/>
  <c r="AA723" i="32"/>
  <c r="Z724" i="32"/>
  <c r="AA724" i="32"/>
  <c r="B725" i="32"/>
  <c r="C725" i="32"/>
  <c r="Z725" i="32" s="1"/>
  <c r="D725" i="32"/>
  <c r="N725" i="32"/>
  <c r="E725" i="32"/>
  <c r="S725" i="32" s="1"/>
  <c r="F725" i="32"/>
  <c r="G725" i="32"/>
  <c r="H725" i="32"/>
  <c r="I725" i="32"/>
  <c r="F726" i="32"/>
  <c r="L732" i="32"/>
  <c r="M732" i="32"/>
  <c r="N732" i="32"/>
  <c r="O732" i="32"/>
  <c r="P732" i="32"/>
  <c r="Q732" i="32"/>
  <c r="R732" i="32"/>
  <c r="S732" i="32"/>
  <c r="Z732" i="32"/>
  <c r="AA732" i="32"/>
  <c r="Z733" i="32"/>
  <c r="AA733" i="32"/>
  <c r="B734" i="32"/>
  <c r="E83" i="5" s="1"/>
  <c r="C734" i="32"/>
  <c r="Z734" i="32" s="1"/>
  <c r="D734" i="32"/>
  <c r="E734" i="32"/>
  <c r="E81" i="5" s="1"/>
  <c r="F734" i="32"/>
  <c r="F753" i="32" s="1"/>
  <c r="G734" i="32"/>
  <c r="H734" i="32"/>
  <c r="I734" i="32"/>
  <c r="L735" i="32"/>
  <c r="M735" i="32"/>
  <c r="N735" i="32"/>
  <c r="O735" i="32"/>
  <c r="P735" i="32"/>
  <c r="Q735" i="32"/>
  <c r="R735" i="32"/>
  <c r="S735" i="32"/>
  <c r="Z735" i="32"/>
  <c r="AA735" i="32"/>
  <c r="L736" i="32"/>
  <c r="M736" i="32"/>
  <c r="N736" i="32"/>
  <c r="O736" i="32"/>
  <c r="P736" i="32"/>
  <c r="Q736" i="32"/>
  <c r="R736" i="32"/>
  <c r="S736" i="32"/>
  <c r="Z736" i="32"/>
  <c r="AA736" i="32"/>
  <c r="L737" i="32"/>
  <c r="M737" i="32"/>
  <c r="N737" i="32"/>
  <c r="O737" i="32"/>
  <c r="P737" i="32"/>
  <c r="Q737" i="32"/>
  <c r="R737" i="32"/>
  <c r="S737" i="32"/>
  <c r="Z737" i="32"/>
  <c r="AA737" i="32"/>
  <c r="L738" i="32"/>
  <c r="M738" i="32"/>
  <c r="N738" i="32"/>
  <c r="O738" i="32"/>
  <c r="P738" i="32"/>
  <c r="Q738" i="32"/>
  <c r="R738" i="32"/>
  <c r="S738" i="32"/>
  <c r="Z738" i="32"/>
  <c r="AA738" i="32"/>
  <c r="L739" i="32"/>
  <c r="M739" i="32"/>
  <c r="N739" i="32"/>
  <c r="O739" i="32"/>
  <c r="P739" i="32"/>
  <c r="Q739" i="32"/>
  <c r="R739" i="32"/>
  <c r="S739" i="32"/>
  <c r="Z739" i="32"/>
  <c r="AA739" i="32"/>
  <c r="L740" i="32"/>
  <c r="M740" i="32"/>
  <c r="N740" i="32"/>
  <c r="O740" i="32"/>
  <c r="P740" i="32"/>
  <c r="Q740" i="32"/>
  <c r="R740" i="32"/>
  <c r="S740" i="32"/>
  <c r="Z740" i="32"/>
  <c r="AA740" i="32"/>
  <c r="L741" i="32"/>
  <c r="M741" i="32"/>
  <c r="N741" i="32"/>
  <c r="O741" i="32"/>
  <c r="P741" i="32"/>
  <c r="Q741" i="32"/>
  <c r="R741" i="32"/>
  <c r="S741" i="32"/>
  <c r="Z741" i="32"/>
  <c r="AA741" i="32"/>
  <c r="L742" i="32"/>
  <c r="M742" i="32"/>
  <c r="N742" i="32"/>
  <c r="O742" i="32"/>
  <c r="P742" i="32"/>
  <c r="Q742" i="32"/>
  <c r="R742" i="32"/>
  <c r="S742" i="32"/>
  <c r="Z742" i="32"/>
  <c r="AA742" i="32"/>
  <c r="L743" i="32"/>
  <c r="M743" i="32"/>
  <c r="N743" i="32"/>
  <c r="O743" i="32"/>
  <c r="P743" i="32"/>
  <c r="Q743" i="32"/>
  <c r="R743" i="32"/>
  <c r="S743" i="32"/>
  <c r="Z743" i="32"/>
  <c r="AA743" i="32"/>
  <c r="L744" i="32"/>
  <c r="M744" i="32"/>
  <c r="N744" i="32"/>
  <c r="O744" i="32"/>
  <c r="P744" i="32"/>
  <c r="Q744" i="32"/>
  <c r="R744" i="32"/>
  <c r="S744" i="32"/>
  <c r="Z744" i="32"/>
  <c r="AA744" i="32"/>
  <c r="L745" i="32"/>
  <c r="M745" i="32"/>
  <c r="N745" i="32"/>
  <c r="O745" i="32"/>
  <c r="P745" i="32"/>
  <c r="Q745" i="32"/>
  <c r="R745" i="32"/>
  <c r="S745" i="32"/>
  <c r="Z745" i="32"/>
  <c r="AA745" i="32"/>
  <c r="L746" i="32"/>
  <c r="M746" i="32"/>
  <c r="N746" i="32"/>
  <c r="O746" i="32"/>
  <c r="P746" i="32"/>
  <c r="Q746" i="32"/>
  <c r="R746" i="32"/>
  <c r="S746" i="32"/>
  <c r="Z746" i="32"/>
  <c r="AA746" i="32"/>
  <c r="L747" i="32"/>
  <c r="M747" i="32"/>
  <c r="N747" i="32"/>
  <c r="O747" i="32"/>
  <c r="P747" i="32"/>
  <c r="Q747" i="32"/>
  <c r="R747" i="32"/>
  <c r="S747" i="32"/>
  <c r="Z747" i="32"/>
  <c r="AA747" i="32"/>
  <c r="L748" i="32"/>
  <c r="M748" i="32"/>
  <c r="N748" i="32"/>
  <c r="O748" i="32"/>
  <c r="P748" i="32"/>
  <c r="Q748" i="32"/>
  <c r="R748" i="32"/>
  <c r="S748" i="32"/>
  <c r="Z748" i="32"/>
  <c r="AA748" i="32"/>
  <c r="L749" i="32"/>
  <c r="M749" i="32"/>
  <c r="N749" i="32"/>
  <c r="O749" i="32"/>
  <c r="P749" i="32"/>
  <c r="Q749" i="32"/>
  <c r="R749" i="32"/>
  <c r="S749" i="32"/>
  <c r="Z749" i="32"/>
  <c r="AA749" i="32"/>
  <c r="L750" i="32"/>
  <c r="M750" i="32"/>
  <c r="N750" i="32"/>
  <c r="O750" i="32"/>
  <c r="P750" i="32"/>
  <c r="Q750" i="32"/>
  <c r="R750" i="32"/>
  <c r="S750" i="32"/>
  <c r="Z750" i="32"/>
  <c r="AA750" i="32"/>
  <c r="L751" i="32"/>
  <c r="M751" i="32"/>
  <c r="N751" i="32"/>
  <c r="O751" i="32"/>
  <c r="P751" i="32"/>
  <c r="Q751" i="32"/>
  <c r="R751" i="32"/>
  <c r="S751" i="32"/>
  <c r="Z751" i="32"/>
  <c r="AA751" i="32"/>
  <c r="Z752" i="32"/>
  <c r="AA752" i="32"/>
  <c r="B753" i="32"/>
  <c r="D753" i="32"/>
  <c r="N753" i="32" s="1"/>
  <c r="H753" i="32"/>
  <c r="B769" i="32"/>
  <c r="C769" i="32"/>
  <c r="D769" i="32"/>
  <c r="E769" i="32"/>
  <c r="F769" i="32"/>
  <c r="G769" i="32"/>
  <c r="H769" i="32"/>
  <c r="I769" i="32"/>
  <c r="K772" i="32"/>
  <c r="L778" i="32"/>
  <c r="M778" i="32"/>
  <c r="N778" i="32"/>
  <c r="O778" i="32"/>
  <c r="P778" i="32"/>
  <c r="Q778" i="32"/>
  <c r="R778" i="32"/>
  <c r="S778" i="32"/>
  <c r="Z778" i="32"/>
  <c r="AA778" i="32"/>
  <c r="L779" i="32"/>
  <c r="M779" i="32"/>
  <c r="N779" i="32"/>
  <c r="O779" i="32"/>
  <c r="P779" i="32"/>
  <c r="Q779" i="32"/>
  <c r="R779" i="32"/>
  <c r="S779" i="32"/>
  <c r="Z779" i="32"/>
  <c r="AA779" i="32"/>
  <c r="L780" i="32"/>
  <c r="M780" i="32"/>
  <c r="N780" i="32"/>
  <c r="O780" i="32"/>
  <c r="P780" i="32"/>
  <c r="Q780" i="32"/>
  <c r="R780" i="32"/>
  <c r="S780" i="32"/>
  <c r="Z780" i="32"/>
  <c r="AA780" i="32"/>
  <c r="L781" i="32"/>
  <c r="M781" i="32"/>
  <c r="N781" i="32"/>
  <c r="O781" i="32"/>
  <c r="P781" i="32"/>
  <c r="Q781" i="32"/>
  <c r="R781" i="32"/>
  <c r="S781" i="32"/>
  <c r="Z781" i="32"/>
  <c r="AA781" i="32"/>
  <c r="L782" i="32"/>
  <c r="M782" i="32"/>
  <c r="N782" i="32"/>
  <c r="O782" i="32"/>
  <c r="P782" i="32"/>
  <c r="Q782" i="32"/>
  <c r="R782" i="32"/>
  <c r="S782" i="32"/>
  <c r="Z782" i="32"/>
  <c r="AA782" i="32"/>
  <c r="Z783" i="32"/>
  <c r="AA783" i="32"/>
  <c r="B784" i="32"/>
  <c r="C784" i="32"/>
  <c r="D784" i="32"/>
  <c r="E784" i="32"/>
  <c r="F784" i="32"/>
  <c r="Q784" i="32" s="1"/>
  <c r="G784" i="32"/>
  <c r="H784" i="32"/>
  <c r="I784" i="32"/>
  <c r="L789" i="32"/>
  <c r="M789" i="32"/>
  <c r="N789" i="32"/>
  <c r="O789" i="32"/>
  <c r="P789" i="32"/>
  <c r="Q789" i="32"/>
  <c r="R789" i="32"/>
  <c r="S789" i="32"/>
  <c r="Z789" i="32"/>
  <c r="AA789" i="32"/>
  <c r="L790" i="32"/>
  <c r="M790" i="32"/>
  <c r="N790" i="32"/>
  <c r="O790" i="32"/>
  <c r="P790" i="32"/>
  <c r="Q790" i="32"/>
  <c r="R790" i="32"/>
  <c r="S790" i="32"/>
  <c r="Z790" i="32"/>
  <c r="AA790" i="32"/>
  <c r="L791" i="32"/>
  <c r="M791" i="32"/>
  <c r="N791" i="32"/>
  <c r="O791" i="32"/>
  <c r="P791" i="32"/>
  <c r="Q791" i="32"/>
  <c r="R791" i="32"/>
  <c r="S791" i="32"/>
  <c r="Z791" i="32"/>
  <c r="AA791" i="32"/>
  <c r="L792" i="32"/>
  <c r="M792" i="32"/>
  <c r="N792" i="32"/>
  <c r="O792" i="32"/>
  <c r="P792" i="32"/>
  <c r="Q792" i="32"/>
  <c r="R792" i="32"/>
  <c r="S792" i="32"/>
  <c r="Z792" i="32"/>
  <c r="AA792" i="32"/>
  <c r="L793" i="32"/>
  <c r="M793" i="32"/>
  <c r="N793" i="32"/>
  <c r="O793" i="32"/>
  <c r="P793" i="32"/>
  <c r="Q793" i="32"/>
  <c r="R793" i="32"/>
  <c r="S793" i="32"/>
  <c r="Z793" i="32"/>
  <c r="AA793" i="32"/>
  <c r="Z794" i="32"/>
  <c r="AA794" i="32"/>
  <c r="B795" i="32"/>
  <c r="C795" i="32"/>
  <c r="D795" i="32"/>
  <c r="N795" i="32" s="1"/>
  <c r="E795" i="32"/>
  <c r="Q795" i="32" s="1"/>
  <c r="F795" i="32"/>
  <c r="G795" i="32"/>
  <c r="H795" i="32"/>
  <c r="I795" i="32"/>
  <c r="M795" i="32"/>
  <c r="I796" i="32"/>
  <c r="L802" i="32"/>
  <c r="M802" i="32"/>
  <c r="N802" i="32"/>
  <c r="O802" i="32"/>
  <c r="P802" i="32"/>
  <c r="Q802" i="32"/>
  <c r="R802" i="32"/>
  <c r="S802" i="32"/>
  <c r="Z802" i="32"/>
  <c r="AA802" i="32"/>
  <c r="Z803" i="32"/>
  <c r="AA803" i="32"/>
  <c r="B804" i="32"/>
  <c r="Z83" i="5" s="1"/>
  <c r="C804" i="32"/>
  <c r="D804" i="32"/>
  <c r="Z84" i="5" s="1"/>
  <c r="Z104" i="5" s="1"/>
  <c r="E804" i="32"/>
  <c r="E823" i="32" s="1"/>
  <c r="F804" i="32"/>
  <c r="Z81" i="5"/>
  <c r="G804" i="32"/>
  <c r="H804" i="32"/>
  <c r="H823" i="32" s="1"/>
  <c r="I804" i="32"/>
  <c r="I823" i="32" s="1"/>
  <c r="L805" i="32"/>
  <c r="M805" i="32"/>
  <c r="N805" i="32"/>
  <c r="O805" i="32"/>
  <c r="P805" i="32"/>
  <c r="Q805" i="32"/>
  <c r="R805" i="32"/>
  <c r="S805" i="32"/>
  <c r="Z805" i="32"/>
  <c r="AA805" i="32"/>
  <c r="L806" i="32"/>
  <c r="M806" i="32"/>
  <c r="N806" i="32"/>
  <c r="O806" i="32"/>
  <c r="P806" i="32"/>
  <c r="Q806" i="32"/>
  <c r="R806" i="32"/>
  <c r="S806" i="32"/>
  <c r="Z806" i="32"/>
  <c r="AA806" i="32"/>
  <c r="L807" i="32"/>
  <c r="M807" i="32"/>
  <c r="N807" i="32"/>
  <c r="O807" i="32"/>
  <c r="P807" i="32"/>
  <c r="Q807" i="32"/>
  <c r="R807" i="32"/>
  <c r="S807" i="32"/>
  <c r="Z807" i="32"/>
  <c r="AA807" i="32"/>
  <c r="L808" i="32"/>
  <c r="M808" i="32"/>
  <c r="N808" i="32"/>
  <c r="O808" i="32"/>
  <c r="P808" i="32"/>
  <c r="Q808" i="32"/>
  <c r="R808" i="32"/>
  <c r="S808" i="32"/>
  <c r="Z808" i="32"/>
  <c r="AA808" i="32"/>
  <c r="L809" i="32"/>
  <c r="M809" i="32"/>
  <c r="N809" i="32"/>
  <c r="O809" i="32"/>
  <c r="P809" i="32"/>
  <c r="Q809" i="32"/>
  <c r="R809" i="32"/>
  <c r="S809" i="32"/>
  <c r="Z809" i="32"/>
  <c r="AA809" i="32"/>
  <c r="L810" i="32"/>
  <c r="M810" i="32"/>
  <c r="N810" i="32"/>
  <c r="O810" i="32"/>
  <c r="P810" i="32"/>
  <c r="Q810" i="32"/>
  <c r="R810" i="32"/>
  <c r="S810" i="32"/>
  <c r="Z810" i="32"/>
  <c r="AA810" i="32"/>
  <c r="L811" i="32"/>
  <c r="M811" i="32"/>
  <c r="N811" i="32"/>
  <c r="O811" i="32"/>
  <c r="P811" i="32"/>
  <c r="Q811" i="32"/>
  <c r="R811" i="32"/>
  <c r="S811" i="32"/>
  <c r="Z811" i="32"/>
  <c r="AA811" i="32"/>
  <c r="L812" i="32"/>
  <c r="M812" i="32"/>
  <c r="N812" i="32"/>
  <c r="O812" i="32"/>
  <c r="P812" i="32"/>
  <c r="Q812" i="32"/>
  <c r="R812" i="32"/>
  <c r="S812" i="32"/>
  <c r="Z812" i="32"/>
  <c r="AA812" i="32"/>
  <c r="L813" i="32"/>
  <c r="M813" i="32"/>
  <c r="N813" i="32"/>
  <c r="O813" i="32"/>
  <c r="P813" i="32"/>
  <c r="Q813" i="32"/>
  <c r="R813" i="32"/>
  <c r="S813" i="32"/>
  <c r="Z813" i="32"/>
  <c r="AA813" i="32"/>
  <c r="L814" i="32"/>
  <c r="M814" i="32"/>
  <c r="N814" i="32"/>
  <c r="O814" i="32"/>
  <c r="P814" i="32"/>
  <c r="Q814" i="32"/>
  <c r="R814" i="32"/>
  <c r="S814" i="32"/>
  <c r="Z814" i="32"/>
  <c r="AA814" i="32"/>
  <c r="L815" i="32"/>
  <c r="M815" i="32"/>
  <c r="N815" i="32"/>
  <c r="O815" i="32"/>
  <c r="P815" i="32"/>
  <c r="Q815" i="32"/>
  <c r="R815" i="32"/>
  <c r="S815" i="32"/>
  <c r="Z815" i="32"/>
  <c r="AA815" i="32"/>
  <c r="L816" i="32"/>
  <c r="M816" i="32"/>
  <c r="N816" i="32"/>
  <c r="O816" i="32"/>
  <c r="P816" i="32"/>
  <c r="Q816" i="32"/>
  <c r="R816" i="32"/>
  <c r="S816" i="32"/>
  <c r="Z816" i="32"/>
  <c r="AA816" i="32"/>
  <c r="L817" i="32"/>
  <c r="M817" i="32"/>
  <c r="N817" i="32"/>
  <c r="O817" i="32"/>
  <c r="P817" i="32"/>
  <c r="Q817" i="32"/>
  <c r="R817" i="32"/>
  <c r="S817" i="32"/>
  <c r="Z817" i="32"/>
  <c r="AA817" i="32"/>
  <c r="L818" i="32"/>
  <c r="M818" i="32"/>
  <c r="N818" i="32"/>
  <c r="O818" i="32"/>
  <c r="P818" i="32"/>
  <c r="Q818" i="32"/>
  <c r="R818" i="32"/>
  <c r="S818" i="32"/>
  <c r="Z818" i="32"/>
  <c r="AA818" i="32"/>
  <c r="L819" i="32"/>
  <c r="M819" i="32"/>
  <c r="N819" i="32"/>
  <c r="O819" i="32"/>
  <c r="P819" i="32"/>
  <c r="Q819" i="32"/>
  <c r="R819" i="32"/>
  <c r="S819" i="32"/>
  <c r="Z819" i="32"/>
  <c r="AA819" i="32"/>
  <c r="L820" i="32"/>
  <c r="M820" i="32"/>
  <c r="N820" i="32"/>
  <c r="O820" i="32"/>
  <c r="P820" i="32"/>
  <c r="Q820" i="32"/>
  <c r="R820" i="32"/>
  <c r="S820" i="32"/>
  <c r="Z820" i="32"/>
  <c r="AA820" i="32"/>
  <c r="L821" i="32"/>
  <c r="M821" i="32"/>
  <c r="N821" i="32"/>
  <c r="O821" i="32"/>
  <c r="P821" i="32"/>
  <c r="Q821" i="32"/>
  <c r="R821" i="32"/>
  <c r="S821" i="32"/>
  <c r="Z821" i="32"/>
  <c r="AA821" i="32"/>
  <c r="Z822" i="32"/>
  <c r="AA822" i="32"/>
  <c r="C823" i="32"/>
  <c r="G823" i="32"/>
  <c r="B839" i="32"/>
  <c r="C839" i="32"/>
  <c r="D839" i="32"/>
  <c r="E839" i="32"/>
  <c r="F839" i="32"/>
  <c r="G839" i="32"/>
  <c r="H839" i="32"/>
  <c r="I839" i="32"/>
  <c r="K842" i="32"/>
  <c r="L848" i="32"/>
  <c r="M848" i="32"/>
  <c r="N848" i="32"/>
  <c r="O848" i="32"/>
  <c r="P848" i="32"/>
  <c r="Q848" i="32"/>
  <c r="R848" i="32"/>
  <c r="S848" i="32"/>
  <c r="Z848" i="32"/>
  <c r="AA848" i="32"/>
  <c r="L849" i="32"/>
  <c r="M849" i="32"/>
  <c r="N849" i="32"/>
  <c r="O849" i="32"/>
  <c r="P849" i="32"/>
  <c r="Q849" i="32"/>
  <c r="R849" i="32"/>
  <c r="S849" i="32"/>
  <c r="Z849" i="32"/>
  <c r="AA849" i="32"/>
  <c r="L850" i="32"/>
  <c r="M850" i="32"/>
  <c r="N850" i="32"/>
  <c r="O850" i="32"/>
  <c r="P850" i="32"/>
  <c r="Q850" i="32"/>
  <c r="R850" i="32"/>
  <c r="S850" i="32"/>
  <c r="Z850" i="32"/>
  <c r="AA850" i="32"/>
  <c r="L851" i="32"/>
  <c r="M851" i="32"/>
  <c r="N851" i="32"/>
  <c r="O851" i="32"/>
  <c r="P851" i="32"/>
  <c r="Q851" i="32"/>
  <c r="R851" i="32"/>
  <c r="S851" i="32"/>
  <c r="Z851" i="32"/>
  <c r="AA851" i="32"/>
  <c r="L852" i="32"/>
  <c r="M852" i="32"/>
  <c r="N852" i="32"/>
  <c r="O852" i="32"/>
  <c r="P852" i="32"/>
  <c r="Q852" i="32"/>
  <c r="R852" i="32"/>
  <c r="S852" i="32"/>
  <c r="Z852" i="32"/>
  <c r="AA852" i="32"/>
  <c r="Z853" i="32"/>
  <c r="AA853" i="32"/>
  <c r="B854" i="32"/>
  <c r="C854" i="32"/>
  <c r="C866" i="32" s="1"/>
  <c r="D854" i="32"/>
  <c r="E854" i="32"/>
  <c r="F854" i="32"/>
  <c r="G854" i="32"/>
  <c r="H854" i="32"/>
  <c r="I854" i="32"/>
  <c r="L859" i="32"/>
  <c r="M859" i="32"/>
  <c r="N859" i="32"/>
  <c r="O859" i="32"/>
  <c r="P859" i="32"/>
  <c r="Q859" i="32"/>
  <c r="R859" i="32"/>
  <c r="S859" i="32"/>
  <c r="Z859" i="32"/>
  <c r="AA859" i="32"/>
  <c r="L860" i="32"/>
  <c r="M860" i="32"/>
  <c r="N860" i="32"/>
  <c r="O860" i="32"/>
  <c r="P860" i="32"/>
  <c r="Q860" i="32"/>
  <c r="R860" i="32"/>
  <c r="S860" i="32"/>
  <c r="Z860" i="32"/>
  <c r="AA860" i="32"/>
  <c r="L861" i="32"/>
  <c r="M861" i="32"/>
  <c r="N861" i="32"/>
  <c r="O861" i="32"/>
  <c r="P861" i="32"/>
  <c r="Q861" i="32"/>
  <c r="R861" i="32"/>
  <c r="S861" i="32"/>
  <c r="Z861" i="32"/>
  <c r="AA861" i="32"/>
  <c r="L862" i="32"/>
  <c r="M862" i="32"/>
  <c r="N862" i="32"/>
  <c r="O862" i="32"/>
  <c r="P862" i="32"/>
  <c r="Q862" i="32"/>
  <c r="R862" i="32"/>
  <c r="S862" i="32"/>
  <c r="Z862" i="32"/>
  <c r="AA862" i="32"/>
  <c r="L863" i="32"/>
  <c r="M863" i="32"/>
  <c r="N863" i="32"/>
  <c r="O863" i="32"/>
  <c r="P863" i="32"/>
  <c r="Q863" i="32"/>
  <c r="R863" i="32"/>
  <c r="S863" i="32"/>
  <c r="Z863" i="32"/>
  <c r="AA863" i="32"/>
  <c r="Z864" i="32"/>
  <c r="AA864" i="32"/>
  <c r="B865" i="32"/>
  <c r="Q865" i="32" s="1"/>
  <c r="C865" i="32"/>
  <c r="D865" i="32"/>
  <c r="E865" i="32"/>
  <c r="F865" i="32"/>
  <c r="G865" i="32"/>
  <c r="H865" i="32"/>
  <c r="I865" i="32"/>
  <c r="L865" i="32" s="1"/>
  <c r="L872" i="32"/>
  <c r="M872" i="32"/>
  <c r="N872" i="32"/>
  <c r="O872" i="32"/>
  <c r="P872" i="32"/>
  <c r="Q872" i="32"/>
  <c r="R872" i="32"/>
  <c r="S872" i="32"/>
  <c r="Z872" i="32"/>
  <c r="AA872" i="32"/>
  <c r="Z873" i="32"/>
  <c r="AA873" i="32"/>
  <c r="B874" i="32"/>
  <c r="C874" i="32"/>
  <c r="D874" i="32"/>
  <c r="D893" i="32" s="1"/>
  <c r="E874" i="32"/>
  <c r="F874" i="32"/>
  <c r="N81" i="5" s="1"/>
  <c r="N114" i="5" s="1"/>
  <c r="G874" i="32"/>
  <c r="H874" i="32"/>
  <c r="I874" i="32"/>
  <c r="L875" i="32"/>
  <c r="M875" i="32"/>
  <c r="N875" i="32"/>
  <c r="O875" i="32"/>
  <c r="P875" i="32"/>
  <c r="Q875" i="32"/>
  <c r="R875" i="32"/>
  <c r="S875" i="32"/>
  <c r="Z875" i="32"/>
  <c r="AA875" i="32"/>
  <c r="L876" i="32"/>
  <c r="M876" i="32"/>
  <c r="N876" i="32"/>
  <c r="O876" i="32"/>
  <c r="P876" i="32"/>
  <c r="Q876" i="32"/>
  <c r="R876" i="32"/>
  <c r="S876" i="32"/>
  <c r="Z876" i="32"/>
  <c r="AA876" i="32"/>
  <c r="L877" i="32"/>
  <c r="M877" i="32"/>
  <c r="N877" i="32"/>
  <c r="O877" i="32"/>
  <c r="P877" i="32"/>
  <c r="Q877" i="32"/>
  <c r="R877" i="32"/>
  <c r="S877" i="32"/>
  <c r="Z877" i="32"/>
  <c r="AA877" i="32"/>
  <c r="L878" i="32"/>
  <c r="M878" i="32"/>
  <c r="N878" i="32"/>
  <c r="O878" i="32"/>
  <c r="P878" i="32"/>
  <c r="Q878" i="32"/>
  <c r="R878" i="32"/>
  <c r="S878" i="32"/>
  <c r="Z878" i="32"/>
  <c r="AA878" i="32"/>
  <c r="L879" i="32"/>
  <c r="M879" i="32"/>
  <c r="N879" i="32"/>
  <c r="O879" i="32"/>
  <c r="P879" i="32"/>
  <c r="Q879" i="32"/>
  <c r="R879" i="32"/>
  <c r="S879" i="32"/>
  <c r="Z879" i="32"/>
  <c r="AA879" i="32"/>
  <c r="L880" i="32"/>
  <c r="M880" i="32"/>
  <c r="N880" i="32"/>
  <c r="O880" i="32"/>
  <c r="P880" i="32"/>
  <c r="Q880" i="32"/>
  <c r="R880" i="32"/>
  <c r="S880" i="32"/>
  <c r="Z880" i="32"/>
  <c r="AA880" i="32"/>
  <c r="L881" i="32"/>
  <c r="M881" i="32"/>
  <c r="N881" i="32"/>
  <c r="O881" i="32"/>
  <c r="P881" i="32"/>
  <c r="Q881" i="32"/>
  <c r="R881" i="32"/>
  <c r="S881" i="32"/>
  <c r="Z881" i="32"/>
  <c r="AA881" i="32"/>
  <c r="L882" i="32"/>
  <c r="M882" i="32"/>
  <c r="N882" i="32"/>
  <c r="O882" i="32"/>
  <c r="P882" i="32"/>
  <c r="Q882" i="32"/>
  <c r="R882" i="32"/>
  <c r="S882" i="32"/>
  <c r="Z882" i="32"/>
  <c r="AA882" i="32"/>
  <c r="L883" i="32"/>
  <c r="M883" i="32"/>
  <c r="N883" i="32"/>
  <c r="O883" i="32"/>
  <c r="P883" i="32"/>
  <c r="Q883" i="32"/>
  <c r="R883" i="32"/>
  <c r="S883" i="32"/>
  <c r="Z883" i="32"/>
  <c r="AA883" i="32"/>
  <c r="L884" i="32"/>
  <c r="M884" i="32"/>
  <c r="N884" i="32"/>
  <c r="O884" i="32"/>
  <c r="P884" i="32"/>
  <c r="Q884" i="32"/>
  <c r="R884" i="32"/>
  <c r="S884" i="32"/>
  <c r="Z884" i="32"/>
  <c r="AA884" i="32"/>
  <c r="L885" i="32"/>
  <c r="M885" i="32"/>
  <c r="N885" i="32"/>
  <c r="O885" i="32"/>
  <c r="P885" i="32"/>
  <c r="Q885" i="32"/>
  <c r="R885" i="32"/>
  <c r="S885" i="32"/>
  <c r="Z885" i="32"/>
  <c r="AA885" i="32"/>
  <c r="L886" i="32"/>
  <c r="M886" i="32"/>
  <c r="N886" i="32"/>
  <c r="O886" i="32"/>
  <c r="P886" i="32"/>
  <c r="Q886" i="32"/>
  <c r="R886" i="32"/>
  <c r="S886" i="32"/>
  <c r="Z886" i="32"/>
  <c r="AA886" i="32"/>
  <c r="L887" i="32"/>
  <c r="M887" i="32"/>
  <c r="N887" i="32"/>
  <c r="O887" i="32"/>
  <c r="P887" i="32"/>
  <c r="Q887" i="32"/>
  <c r="R887" i="32"/>
  <c r="S887" i="32"/>
  <c r="Z887" i="32"/>
  <c r="AA887" i="32"/>
  <c r="L888" i="32"/>
  <c r="M888" i="32"/>
  <c r="N888" i="32"/>
  <c r="O888" i="32"/>
  <c r="P888" i="32"/>
  <c r="Q888" i="32"/>
  <c r="R888" i="32"/>
  <c r="S888" i="32"/>
  <c r="Z888" i="32"/>
  <c r="AA888" i="32"/>
  <c r="L889" i="32"/>
  <c r="M889" i="32"/>
  <c r="N889" i="32"/>
  <c r="O889" i="32"/>
  <c r="P889" i="32"/>
  <c r="Q889" i="32"/>
  <c r="R889" i="32"/>
  <c r="S889" i="32"/>
  <c r="Z889" i="32"/>
  <c r="AA889" i="32"/>
  <c r="L890" i="32"/>
  <c r="M890" i="32"/>
  <c r="N890" i="32"/>
  <c r="O890" i="32"/>
  <c r="P890" i="32"/>
  <c r="Q890" i="32"/>
  <c r="R890" i="32"/>
  <c r="S890" i="32"/>
  <c r="Z890" i="32"/>
  <c r="AA890" i="32"/>
  <c r="L891" i="32"/>
  <c r="M891" i="32"/>
  <c r="N891" i="32"/>
  <c r="O891" i="32"/>
  <c r="P891" i="32"/>
  <c r="Q891" i="32"/>
  <c r="R891" i="32"/>
  <c r="S891" i="32"/>
  <c r="Z891" i="32"/>
  <c r="AA891" i="32"/>
  <c r="Z892" i="32"/>
  <c r="AA892" i="32"/>
  <c r="E893" i="32"/>
  <c r="G893" i="32"/>
  <c r="H893" i="32"/>
  <c r="I893" i="32"/>
  <c r="B909" i="32"/>
  <c r="C909" i="32"/>
  <c r="D909" i="32"/>
  <c r="E909" i="32"/>
  <c r="F909" i="32"/>
  <c r="G909" i="32"/>
  <c r="H909" i="32"/>
  <c r="I909" i="32"/>
  <c r="K912" i="32"/>
  <c r="L918" i="32"/>
  <c r="M918" i="32"/>
  <c r="N918" i="32"/>
  <c r="O918" i="32"/>
  <c r="P918" i="32"/>
  <c r="Q918" i="32"/>
  <c r="R918" i="32"/>
  <c r="S918" i="32"/>
  <c r="Z918" i="32"/>
  <c r="AA918" i="32"/>
  <c r="L919" i="32"/>
  <c r="M919" i="32"/>
  <c r="N919" i="32"/>
  <c r="O919" i="32"/>
  <c r="P919" i="32"/>
  <c r="Q919" i="32"/>
  <c r="R919" i="32"/>
  <c r="S919" i="32"/>
  <c r="Z919" i="32"/>
  <c r="AA919" i="32"/>
  <c r="L920" i="32"/>
  <c r="M920" i="32"/>
  <c r="N920" i="32"/>
  <c r="O920" i="32"/>
  <c r="P920" i="32"/>
  <c r="Q920" i="32"/>
  <c r="R920" i="32"/>
  <c r="S920" i="32"/>
  <c r="Z920" i="32"/>
  <c r="AA920" i="32"/>
  <c r="L921" i="32"/>
  <c r="M921" i="32"/>
  <c r="N921" i="32"/>
  <c r="O921" i="32"/>
  <c r="P921" i="32"/>
  <c r="Q921" i="32"/>
  <c r="R921" i="32"/>
  <c r="S921" i="32"/>
  <c r="Z921" i="32"/>
  <c r="AA921" i="32"/>
  <c r="L922" i="32"/>
  <c r="M922" i="32"/>
  <c r="N922" i="32"/>
  <c r="O922" i="32"/>
  <c r="P922" i="32"/>
  <c r="Q922" i="32"/>
  <c r="R922" i="32"/>
  <c r="S922" i="32"/>
  <c r="Z922" i="32"/>
  <c r="AA922" i="32"/>
  <c r="Z923" i="32"/>
  <c r="AA923" i="32"/>
  <c r="B924" i="32"/>
  <c r="C924" i="32"/>
  <c r="D924" i="32"/>
  <c r="E924" i="32"/>
  <c r="F924" i="32"/>
  <c r="G924" i="32"/>
  <c r="H924" i="32"/>
  <c r="I924" i="32"/>
  <c r="L929" i="32"/>
  <c r="M929" i="32"/>
  <c r="N929" i="32"/>
  <c r="O929" i="32"/>
  <c r="P929" i="32"/>
  <c r="Q929" i="32"/>
  <c r="R929" i="32"/>
  <c r="S929" i="32"/>
  <c r="Z929" i="32"/>
  <c r="AA929" i="32"/>
  <c r="L930" i="32"/>
  <c r="M930" i="32"/>
  <c r="N930" i="32"/>
  <c r="O930" i="32"/>
  <c r="P930" i="32"/>
  <c r="Q930" i="32"/>
  <c r="R930" i="32"/>
  <c r="S930" i="32"/>
  <c r="Z930" i="32"/>
  <c r="AA930" i="32"/>
  <c r="L931" i="32"/>
  <c r="M931" i="32"/>
  <c r="N931" i="32"/>
  <c r="O931" i="32"/>
  <c r="P931" i="32"/>
  <c r="Q931" i="32"/>
  <c r="R931" i="32"/>
  <c r="S931" i="32"/>
  <c r="Z931" i="32"/>
  <c r="AA931" i="32"/>
  <c r="L932" i="32"/>
  <c r="M932" i="32"/>
  <c r="N932" i="32"/>
  <c r="O932" i="32"/>
  <c r="P932" i="32"/>
  <c r="Q932" i="32"/>
  <c r="R932" i="32"/>
  <c r="S932" i="32"/>
  <c r="Z932" i="32"/>
  <c r="AA932" i="32"/>
  <c r="L933" i="32"/>
  <c r="M933" i="32"/>
  <c r="N933" i="32"/>
  <c r="O933" i="32"/>
  <c r="P933" i="32"/>
  <c r="Q933" i="32"/>
  <c r="R933" i="32"/>
  <c r="S933" i="32"/>
  <c r="Z933" i="32"/>
  <c r="AA933" i="32"/>
  <c r="Z934" i="32"/>
  <c r="AA934" i="32"/>
  <c r="B935" i="32"/>
  <c r="B936" i="32" s="1"/>
  <c r="C935" i="32"/>
  <c r="D935" i="32"/>
  <c r="E935" i="32"/>
  <c r="F935" i="32"/>
  <c r="G935" i="32"/>
  <c r="H935" i="32"/>
  <c r="I935" i="32"/>
  <c r="M935" i="32" s="1"/>
  <c r="D936" i="32"/>
  <c r="E936" i="32"/>
  <c r="L942" i="32"/>
  <c r="M942" i="32"/>
  <c r="N942" i="32"/>
  <c r="O942" i="32"/>
  <c r="P942" i="32"/>
  <c r="Q942" i="32"/>
  <c r="R942" i="32"/>
  <c r="S942" i="32"/>
  <c r="Z942" i="32"/>
  <c r="AA942" i="32"/>
  <c r="Z943" i="32"/>
  <c r="AA943" i="32"/>
  <c r="B944" i="32"/>
  <c r="AB83" i="5" s="1"/>
  <c r="C944" i="32"/>
  <c r="D944" i="32"/>
  <c r="E944" i="32"/>
  <c r="E963" i="32" s="1"/>
  <c r="F944" i="32"/>
  <c r="G944" i="32"/>
  <c r="H944" i="32"/>
  <c r="I944" i="32"/>
  <c r="L945" i="32"/>
  <c r="M945" i="32"/>
  <c r="N945" i="32"/>
  <c r="O945" i="32"/>
  <c r="P945" i="32"/>
  <c r="Q945" i="32"/>
  <c r="R945" i="32"/>
  <c r="S945" i="32"/>
  <c r="Z945" i="32"/>
  <c r="AA945" i="32"/>
  <c r="L946" i="32"/>
  <c r="M946" i="32"/>
  <c r="N946" i="32"/>
  <c r="O946" i="32"/>
  <c r="P946" i="32"/>
  <c r="Q946" i="32"/>
  <c r="R946" i="32"/>
  <c r="S946" i="32"/>
  <c r="Z946" i="32"/>
  <c r="AA946" i="32"/>
  <c r="L947" i="32"/>
  <c r="M947" i="32"/>
  <c r="N947" i="32"/>
  <c r="O947" i="32"/>
  <c r="P947" i="32"/>
  <c r="Q947" i="32"/>
  <c r="R947" i="32"/>
  <c r="S947" i="32"/>
  <c r="Z947" i="32"/>
  <c r="AA947" i="32"/>
  <c r="L948" i="32"/>
  <c r="M948" i="32"/>
  <c r="N948" i="32"/>
  <c r="O948" i="32"/>
  <c r="P948" i="32"/>
  <c r="Q948" i="32"/>
  <c r="R948" i="32"/>
  <c r="S948" i="32"/>
  <c r="Z948" i="32"/>
  <c r="AA948" i="32"/>
  <c r="L949" i="32"/>
  <c r="M949" i="32"/>
  <c r="N949" i="32"/>
  <c r="O949" i="32"/>
  <c r="P949" i="32"/>
  <c r="Q949" i="32"/>
  <c r="R949" i="32"/>
  <c r="S949" i="32"/>
  <c r="Z949" i="32"/>
  <c r="AA949" i="32"/>
  <c r="L950" i="32"/>
  <c r="M950" i="32"/>
  <c r="N950" i="32"/>
  <c r="O950" i="32"/>
  <c r="P950" i="32"/>
  <c r="Q950" i="32"/>
  <c r="R950" i="32"/>
  <c r="S950" i="32"/>
  <c r="Z950" i="32"/>
  <c r="AA950" i="32"/>
  <c r="L951" i="32"/>
  <c r="M951" i="32"/>
  <c r="N951" i="32"/>
  <c r="O951" i="32"/>
  <c r="P951" i="32"/>
  <c r="Q951" i="32"/>
  <c r="R951" i="32"/>
  <c r="S951" i="32"/>
  <c r="Z951" i="32"/>
  <c r="AA951" i="32"/>
  <c r="L952" i="32"/>
  <c r="M952" i="32"/>
  <c r="N952" i="32"/>
  <c r="O952" i="32"/>
  <c r="P952" i="32"/>
  <c r="Q952" i="32"/>
  <c r="R952" i="32"/>
  <c r="S952" i="32"/>
  <c r="Z952" i="32"/>
  <c r="AA952" i="32"/>
  <c r="L953" i="32"/>
  <c r="M953" i="32"/>
  <c r="N953" i="32"/>
  <c r="O953" i="32"/>
  <c r="P953" i="32"/>
  <c r="Q953" i="32"/>
  <c r="R953" i="32"/>
  <c r="S953" i="32"/>
  <c r="Z953" i="32"/>
  <c r="AA953" i="32"/>
  <c r="L954" i="32"/>
  <c r="M954" i="32"/>
  <c r="N954" i="32"/>
  <c r="O954" i="32"/>
  <c r="P954" i="32"/>
  <c r="Q954" i="32"/>
  <c r="R954" i="32"/>
  <c r="S954" i="32"/>
  <c r="Z954" i="32"/>
  <c r="AA954" i="32"/>
  <c r="L955" i="32"/>
  <c r="M955" i="32"/>
  <c r="N955" i="32"/>
  <c r="O955" i="32"/>
  <c r="P955" i="32"/>
  <c r="Q955" i="32"/>
  <c r="R955" i="32"/>
  <c r="S955" i="32"/>
  <c r="Z955" i="32"/>
  <c r="AA955" i="32"/>
  <c r="L956" i="32"/>
  <c r="M956" i="32"/>
  <c r="N956" i="32"/>
  <c r="O956" i="32"/>
  <c r="P956" i="32"/>
  <c r="Q956" i="32"/>
  <c r="R956" i="32"/>
  <c r="S956" i="32"/>
  <c r="Z956" i="32"/>
  <c r="AA956" i="32"/>
  <c r="L957" i="32"/>
  <c r="M957" i="32"/>
  <c r="N957" i="32"/>
  <c r="O957" i="32"/>
  <c r="P957" i="32"/>
  <c r="Q957" i="32"/>
  <c r="R957" i="32"/>
  <c r="S957" i="32"/>
  <c r="Z957" i="32"/>
  <c r="AA957" i="32"/>
  <c r="L958" i="32"/>
  <c r="M958" i="32"/>
  <c r="N958" i="32"/>
  <c r="O958" i="32"/>
  <c r="P958" i="32"/>
  <c r="Q958" i="32"/>
  <c r="R958" i="32"/>
  <c r="S958" i="32"/>
  <c r="Z958" i="32"/>
  <c r="AA958" i="32"/>
  <c r="L959" i="32"/>
  <c r="M959" i="32"/>
  <c r="N959" i="32"/>
  <c r="O959" i="32"/>
  <c r="P959" i="32"/>
  <c r="Q959" i="32"/>
  <c r="R959" i="32"/>
  <c r="S959" i="32"/>
  <c r="Z959" i="32"/>
  <c r="AA959" i="32"/>
  <c r="L960" i="32"/>
  <c r="M960" i="32"/>
  <c r="N960" i="32"/>
  <c r="O960" i="32"/>
  <c r="P960" i="32"/>
  <c r="Q960" i="32"/>
  <c r="R960" i="32"/>
  <c r="S960" i="32"/>
  <c r="Z960" i="32"/>
  <c r="AA960" i="32"/>
  <c r="L961" i="32"/>
  <c r="M961" i="32"/>
  <c r="N961" i="32"/>
  <c r="O961" i="32"/>
  <c r="P961" i="32"/>
  <c r="Q961" i="32"/>
  <c r="R961" i="32"/>
  <c r="S961" i="32"/>
  <c r="Z961" i="32"/>
  <c r="AA961" i="32"/>
  <c r="Z962" i="32"/>
  <c r="AA962" i="32"/>
  <c r="G963" i="32"/>
  <c r="H963" i="32"/>
  <c r="B979" i="32"/>
  <c r="C979" i="32"/>
  <c r="D979" i="32"/>
  <c r="E979" i="32"/>
  <c r="F979" i="32"/>
  <c r="G979" i="32"/>
  <c r="H979" i="32"/>
  <c r="I979" i="32"/>
  <c r="K982" i="32"/>
  <c r="L988" i="32"/>
  <c r="M988" i="32"/>
  <c r="N988" i="32"/>
  <c r="O988" i="32"/>
  <c r="P988" i="32"/>
  <c r="Q988" i="32"/>
  <c r="R988" i="32"/>
  <c r="S988" i="32"/>
  <c r="Z988" i="32"/>
  <c r="AA988" i="32"/>
  <c r="L989" i="32"/>
  <c r="M989" i="32"/>
  <c r="N989" i="32"/>
  <c r="O989" i="32"/>
  <c r="P989" i="32"/>
  <c r="Q989" i="32"/>
  <c r="R989" i="32"/>
  <c r="S989" i="32"/>
  <c r="Z989" i="32"/>
  <c r="AA989" i="32"/>
  <c r="L990" i="32"/>
  <c r="M990" i="32"/>
  <c r="N990" i="32"/>
  <c r="O990" i="32"/>
  <c r="P990" i="32"/>
  <c r="Q990" i="32"/>
  <c r="R990" i="32"/>
  <c r="S990" i="32"/>
  <c r="Z990" i="32"/>
  <c r="AA990" i="32"/>
  <c r="L991" i="32"/>
  <c r="M991" i="32"/>
  <c r="N991" i="32"/>
  <c r="O991" i="32"/>
  <c r="P991" i="32"/>
  <c r="Q991" i="32"/>
  <c r="R991" i="32"/>
  <c r="S991" i="32"/>
  <c r="Z991" i="32"/>
  <c r="AA991" i="32"/>
  <c r="L992" i="32"/>
  <c r="M992" i="32"/>
  <c r="N992" i="32"/>
  <c r="O992" i="32"/>
  <c r="P992" i="32"/>
  <c r="Q992" i="32"/>
  <c r="R992" i="32"/>
  <c r="S992" i="32"/>
  <c r="Z992" i="32"/>
  <c r="AA992" i="32"/>
  <c r="Z993" i="32"/>
  <c r="AA993" i="32"/>
  <c r="B994" i="32"/>
  <c r="C994" i="32"/>
  <c r="D994" i="32"/>
  <c r="E994" i="32"/>
  <c r="E1006" i="32" s="1"/>
  <c r="F994" i="32"/>
  <c r="G994" i="32"/>
  <c r="H994" i="32"/>
  <c r="I994" i="32"/>
  <c r="L999" i="32"/>
  <c r="M999" i="32"/>
  <c r="N999" i="32"/>
  <c r="O999" i="32"/>
  <c r="P999" i="32"/>
  <c r="Q999" i="32"/>
  <c r="R999" i="32"/>
  <c r="S999" i="32"/>
  <c r="Z999" i="32"/>
  <c r="AA999" i="32"/>
  <c r="L1000" i="32"/>
  <c r="M1000" i="32"/>
  <c r="N1000" i="32"/>
  <c r="O1000" i="32"/>
  <c r="P1000" i="32"/>
  <c r="Q1000" i="32"/>
  <c r="R1000" i="32"/>
  <c r="S1000" i="32"/>
  <c r="Z1000" i="32"/>
  <c r="AA1000" i="32"/>
  <c r="L1001" i="32"/>
  <c r="M1001" i="32"/>
  <c r="N1001" i="32"/>
  <c r="O1001" i="32"/>
  <c r="P1001" i="32"/>
  <c r="Q1001" i="32"/>
  <c r="R1001" i="32"/>
  <c r="S1001" i="32"/>
  <c r="Z1001" i="32"/>
  <c r="AA1001" i="32"/>
  <c r="L1002" i="32"/>
  <c r="M1002" i="32"/>
  <c r="N1002" i="32"/>
  <c r="O1002" i="32"/>
  <c r="P1002" i="32"/>
  <c r="Q1002" i="32"/>
  <c r="R1002" i="32"/>
  <c r="S1002" i="32"/>
  <c r="Z1002" i="32"/>
  <c r="AA1002" i="32"/>
  <c r="L1003" i="32"/>
  <c r="M1003" i="32"/>
  <c r="N1003" i="32"/>
  <c r="O1003" i="32"/>
  <c r="P1003" i="32"/>
  <c r="Q1003" i="32"/>
  <c r="R1003" i="32"/>
  <c r="S1003" i="32"/>
  <c r="Z1003" i="32"/>
  <c r="AA1003" i="32"/>
  <c r="Z1004" i="32"/>
  <c r="AA1004" i="32"/>
  <c r="B1005" i="32"/>
  <c r="B1006" i="32" s="1"/>
  <c r="C1005" i="32"/>
  <c r="D1005" i="32"/>
  <c r="E1005" i="32"/>
  <c r="F1005" i="32"/>
  <c r="G1005" i="32"/>
  <c r="R1005" i="32" s="1"/>
  <c r="H1005" i="32"/>
  <c r="I1005" i="32"/>
  <c r="C1006" i="32"/>
  <c r="L1012" i="32"/>
  <c r="M1012" i="32"/>
  <c r="N1012" i="32"/>
  <c r="O1012" i="32"/>
  <c r="P1012" i="32"/>
  <c r="Q1012" i="32"/>
  <c r="R1012" i="32"/>
  <c r="S1012" i="32"/>
  <c r="Z1012" i="32"/>
  <c r="AA1012" i="32"/>
  <c r="Z1013" i="32"/>
  <c r="AA1013" i="32"/>
  <c r="B1014" i="32"/>
  <c r="AE83" i="5" s="1"/>
  <c r="C1014" i="32"/>
  <c r="C1033" i="32" s="1"/>
  <c r="D1014" i="32"/>
  <c r="D1033" i="32" s="1"/>
  <c r="E1014" i="32"/>
  <c r="F1014" i="32"/>
  <c r="AE81" i="5" s="1"/>
  <c r="AE114" i="5" s="1"/>
  <c r="G1014" i="32"/>
  <c r="H1014" i="32"/>
  <c r="AE80" i="5" s="1"/>
  <c r="I1014" i="32"/>
  <c r="L1014" i="32" s="1"/>
  <c r="L1015" i="32"/>
  <c r="M1015" i="32"/>
  <c r="N1015" i="32"/>
  <c r="O1015" i="32"/>
  <c r="P1015" i="32"/>
  <c r="Q1015" i="32"/>
  <c r="R1015" i="32"/>
  <c r="S1015" i="32"/>
  <c r="Z1015" i="32"/>
  <c r="AA1015" i="32"/>
  <c r="L1016" i="32"/>
  <c r="M1016" i="32"/>
  <c r="N1016" i="32"/>
  <c r="O1016" i="32"/>
  <c r="P1016" i="32"/>
  <c r="Q1016" i="32"/>
  <c r="R1016" i="32"/>
  <c r="S1016" i="32"/>
  <c r="Z1016" i="32"/>
  <c r="AA1016" i="32"/>
  <c r="L1017" i="32"/>
  <c r="M1017" i="32"/>
  <c r="N1017" i="32"/>
  <c r="O1017" i="32"/>
  <c r="P1017" i="32"/>
  <c r="Q1017" i="32"/>
  <c r="R1017" i="32"/>
  <c r="S1017" i="32"/>
  <c r="Z1017" i="32"/>
  <c r="AA1017" i="32"/>
  <c r="L1018" i="32"/>
  <c r="M1018" i="32"/>
  <c r="N1018" i="32"/>
  <c r="O1018" i="32"/>
  <c r="P1018" i="32"/>
  <c r="Q1018" i="32"/>
  <c r="R1018" i="32"/>
  <c r="S1018" i="32"/>
  <c r="Z1018" i="32"/>
  <c r="AA1018" i="32"/>
  <c r="L1019" i="32"/>
  <c r="M1019" i="32"/>
  <c r="N1019" i="32"/>
  <c r="O1019" i="32"/>
  <c r="P1019" i="32"/>
  <c r="Q1019" i="32"/>
  <c r="R1019" i="32"/>
  <c r="S1019" i="32"/>
  <c r="Z1019" i="32"/>
  <c r="AA1019" i="32"/>
  <c r="L1020" i="32"/>
  <c r="M1020" i="32"/>
  <c r="N1020" i="32"/>
  <c r="O1020" i="32"/>
  <c r="P1020" i="32"/>
  <c r="Q1020" i="32"/>
  <c r="R1020" i="32"/>
  <c r="S1020" i="32"/>
  <c r="Z1020" i="32"/>
  <c r="AA1020" i="32"/>
  <c r="L1021" i="32"/>
  <c r="M1021" i="32"/>
  <c r="N1021" i="32"/>
  <c r="O1021" i="32"/>
  <c r="P1021" i="32"/>
  <c r="Q1021" i="32"/>
  <c r="R1021" i="32"/>
  <c r="S1021" i="32"/>
  <c r="Z1021" i="32"/>
  <c r="AA1021" i="32"/>
  <c r="L1022" i="32"/>
  <c r="M1022" i="32"/>
  <c r="N1022" i="32"/>
  <c r="O1022" i="32"/>
  <c r="P1022" i="32"/>
  <c r="Q1022" i="32"/>
  <c r="R1022" i="32"/>
  <c r="S1022" i="32"/>
  <c r="Z1022" i="32"/>
  <c r="AA1022" i="32"/>
  <c r="L1023" i="32"/>
  <c r="M1023" i="32"/>
  <c r="N1023" i="32"/>
  <c r="O1023" i="32"/>
  <c r="P1023" i="32"/>
  <c r="Q1023" i="32"/>
  <c r="R1023" i="32"/>
  <c r="S1023" i="32"/>
  <c r="Z1023" i="32"/>
  <c r="AA1023" i="32"/>
  <c r="L1024" i="32"/>
  <c r="M1024" i="32"/>
  <c r="N1024" i="32"/>
  <c r="O1024" i="32"/>
  <c r="P1024" i="32"/>
  <c r="Q1024" i="32"/>
  <c r="R1024" i="32"/>
  <c r="S1024" i="32"/>
  <c r="Z1024" i="32"/>
  <c r="AA1024" i="32"/>
  <c r="L1025" i="32"/>
  <c r="M1025" i="32"/>
  <c r="N1025" i="32"/>
  <c r="O1025" i="32"/>
  <c r="P1025" i="32"/>
  <c r="Q1025" i="32"/>
  <c r="R1025" i="32"/>
  <c r="S1025" i="32"/>
  <c r="Z1025" i="32"/>
  <c r="AA1025" i="32"/>
  <c r="L1026" i="32"/>
  <c r="M1026" i="32"/>
  <c r="N1026" i="32"/>
  <c r="O1026" i="32"/>
  <c r="P1026" i="32"/>
  <c r="Q1026" i="32"/>
  <c r="R1026" i="32"/>
  <c r="S1026" i="32"/>
  <c r="Z1026" i="32"/>
  <c r="AA1026" i="32"/>
  <c r="L1027" i="32"/>
  <c r="M1027" i="32"/>
  <c r="N1027" i="32"/>
  <c r="O1027" i="32"/>
  <c r="P1027" i="32"/>
  <c r="Q1027" i="32"/>
  <c r="R1027" i="32"/>
  <c r="S1027" i="32"/>
  <c r="Z1027" i="32"/>
  <c r="AA1027" i="32"/>
  <c r="L1028" i="32"/>
  <c r="M1028" i="32"/>
  <c r="N1028" i="32"/>
  <c r="O1028" i="32"/>
  <c r="P1028" i="32"/>
  <c r="Q1028" i="32"/>
  <c r="R1028" i="32"/>
  <c r="S1028" i="32"/>
  <c r="Z1028" i="32"/>
  <c r="AA1028" i="32"/>
  <c r="L1029" i="32"/>
  <c r="M1029" i="32"/>
  <c r="N1029" i="32"/>
  <c r="O1029" i="32"/>
  <c r="P1029" i="32"/>
  <c r="Q1029" i="32"/>
  <c r="R1029" i="32"/>
  <c r="S1029" i="32"/>
  <c r="Z1029" i="32"/>
  <c r="AA1029" i="32"/>
  <c r="L1030" i="32"/>
  <c r="M1030" i="32"/>
  <c r="N1030" i="32"/>
  <c r="O1030" i="32"/>
  <c r="P1030" i="32"/>
  <c r="Q1030" i="32"/>
  <c r="R1030" i="32"/>
  <c r="S1030" i="32"/>
  <c r="Z1030" i="32"/>
  <c r="AA1030" i="32"/>
  <c r="L1031" i="32"/>
  <c r="M1031" i="32"/>
  <c r="N1031" i="32"/>
  <c r="O1031" i="32"/>
  <c r="P1031" i="32"/>
  <c r="Q1031" i="32"/>
  <c r="R1031" i="32"/>
  <c r="S1031" i="32"/>
  <c r="Z1031" i="32"/>
  <c r="AA1031" i="32"/>
  <c r="Z1032" i="32"/>
  <c r="AA1032" i="32"/>
  <c r="F1033" i="32"/>
  <c r="H1033" i="32"/>
  <c r="I1033" i="32"/>
  <c r="B1049" i="32"/>
  <c r="C1049" i="32"/>
  <c r="D1049" i="32"/>
  <c r="E1049" i="32"/>
  <c r="F1049" i="32"/>
  <c r="G1049" i="32"/>
  <c r="H1049" i="32"/>
  <c r="I1049" i="32"/>
  <c r="K1052" i="32"/>
  <c r="B1058" i="32"/>
  <c r="C1058" i="32"/>
  <c r="D1058" i="32"/>
  <c r="E1058" i="32"/>
  <c r="F1058" i="32"/>
  <c r="G1058" i="32"/>
  <c r="H1058" i="32"/>
  <c r="H1969" i="32" s="1"/>
  <c r="I1058" i="32"/>
  <c r="B1059" i="32"/>
  <c r="C1059" i="32"/>
  <c r="Q1059" i="32" s="1"/>
  <c r="D1059" i="32"/>
  <c r="E1059" i="32"/>
  <c r="F1059" i="32"/>
  <c r="G1059" i="32"/>
  <c r="G1970" i="32" s="1"/>
  <c r="H1059" i="32"/>
  <c r="I1059" i="32"/>
  <c r="AA1059" i="32"/>
  <c r="B1060" i="32"/>
  <c r="C1060" i="32"/>
  <c r="D1060" i="32"/>
  <c r="E1060" i="32"/>
  <c r="F1060" i="32"/>
  <c r="G1060" i="32"/>
  <c r="H1060" i="32"/>
  <c r="I1060" i="32"/>
  <c r="M1060" i="32" s="1"/>
  <c r="B1061" i="32"/>
  <c r="C1061" i="32"/>
  <c r="D1061" i="32"/>
  <c r="E1061" i="32"/>
  <c r="F1061" i="32"/>
  <c r="F1972" i="32" s="1"/>
  <c r="G1061" i="32"/>
  <c r="H1061" i="32"/>
  <c r="I1061" i="32"/>
  <c r="B1062" i="32"/>
  <c r="C1062" i="32"/>
  <c r="D1062" i="32"/>
  <c r="D1973" i="32" s="1"/>
  <c r="E1062" i="32"/>
  <c r="F1062" i="32"/>
  <c r="Q1062" i="32" s="1"/>
  <c r="G1062" i="32"/>
  <c r="H1062" i="32"/>
  <c r="I1062" i="32"/>
  <c r="B1063" i="32"/>
  <c r="C1063" i="32"/>
  <c r="D1063" i="32"/>
  <c r="D1974" i="32" s="1"/>
  <c r="E1063" i="32"/>
  <c r="E1974" i="32" s="1"/>
  <c r="F1063" i="32"/>
  <c r="G1063" i="32"/>
  <c r="H1063" i="32"/>
  <c r="I1063" i="32"/>
  <c r="I1974" i="32" s="1"/>
  <c r="B1069" i="32"/>
  <c r="C1069" i="32"/>
  <c r="D1069" i="32"/>
  <c r="E1069" i="32"/>
  <c r="F1069" i="32"/>
  <c r="G1069" i="32"/>
  <c r="H1069" i="32"/>
  <c r="I1069" i="32"/>
  <c r="L1069" i="32" s="1"/>
  <c r="S1069" i="32"/>
  <c r="B1070" i="32"/>
  <c r="C1070" i="32"/>
  <c r="D1070" i="32"/>
  <c r="E1070" i="32"/>
  <c r="F1070" i="32"/>
  <c r="G1070" i="32"/>
  <c r="R1070" i="32" s="1"/>
  <c r="H1070" i="32"/>
  <c r="I1070" i="32"/>
  <c r="Q1070" i="32"/>
  <c r="AA1070" i="32"/>
  <c r="B1071" i="32"/>
  <c r="C1071" i="32"/>
  <c r="D1071" i="32"/>
  <c r="D1982" i="32" s="1"/>
  <c r="E1071" i="32"/>
  <c r="Q1071" i="32" s="1"/>
  <c r="F1071" i="32"/>
  <c r="AA1071" i="32" s="1"/>
  <c r="G1071" i="32"/>
  <c r="H1071" i="32"/>
  <c r="I1071" i="32"/>
  <c r="B1072" i="32"/>
  <c r="C1072" i="32"/>
  <c r="Z1072" i="32" s="1"/>
  <c r="D1072" i="32"/>
  <c r="E1072" i="32"/>
  <c r="E1075" i="32" s="1"/>
  <c r="E1076" i="32" s="1"/>
  <c r="Q1076" i="32" s="1"/>
  <c r="F1072" i="32"/>
  <c r="G1072" i="32"/>
  <c r="R1072" i="32" s="1"/>
  <c r="H1072" i="32"/>
  <c r="H1983" i="32" s="1"/>
  <c r="I1072" i="32"/>
  <c r="L1072" i="32" s="1"/>
  <c r="Q1072" i="32"/>
  <c r="AA1072" i="32"/>
  <c r="B1073" i="32"/>
  <c r="C1073" i="32"/>
  <c r="Z1073" i="32" s="1"/>
  <c r="D1073" i="32"/>
  <c r="E1073" i="32"/>
  <c r="Q1073" i="32" s="1"/>
  <c r="F1073" i="32"/>
  <c r="F1984" i="32" s="1"/>
  <c r="G1073" i="32"/>
  <c r="H1073" i="32"/>
  <c r="I1073" i="32"/>
  <c r="L1073" i="32" s="1"/>
  <c r="B1074" i="32"/>
  <c r="C1074" i="32"/>
  <c r="Z1074" i="32"/>
  <c r="D1074" i="32"/>
  <c r="D1985" i="32" s="1"/>
  <c r="E1074" i="32"/>
  <c r="F1074" i="32"/>
  <c r="AA1074" i="32" s="1"/>
  <c r="G1074" i="32"/>
  <c r="H1074" i="32"/>
  <c r="I1074" i="32"/>
  <c r="C1075" i="32"/>
  <c r="Z1075" i="32" s="1"/>
  <c r="B1082" i="32"/>
  <c r="C1082" i="32"/>
  <c r="Z1082" i="32" s="1"/>
  <c r="D1082" i="32"/>
  <c r="E1082" i="32"/>
  <c r="F1082" i="32"/>
  <c r="G1082" i="32"/>
  <c r="R1082" i="32" s="1"/>
  <c r="H1082" i="32"/>
  <c r="H1993" i="32" s="1"/>
  <c r="I1082" i="32"/>
  <c r="Z1083" i="32"/>
  <c r="AA1083" i="32"/>
  <c r="B1085" i="32"/>
  <c r="V1070" i="32" s="1"/>
  <c r="C1085" i="32"/>
  <c r="D1085" i="32"/>
  <c r="E1085" i="32"/>
  <c r="F1085" i="32"/>
  <c r="AA1085" i="32" s="1"/>
  <c r="G1085" i="32"/>
  <c r="G1996" i="32" s="1"/>
  <c r="H1085" i="32"/>
  <c r="I1085" i="32"/>
  <c r="B1086" i="32"/>
  <c r="C1086" i="32"/>
  <c r="D1086" i="32"/>
  <c r="N1086" i="32" s="1"/>
  <c r="E1086" i="32"/>
  <c r="P1086" i="32" s="1"/>
  <c r="F1086" i="32"/>
  <c r="F1997" i="32" s="1"/>
  <c r="G1086" i="32"/>
  <c r="H1086" i="32"/>
  <c r="I1086" i="32"/>
  <c r="L1086" i="32" s="1"/>
  <c r="B1087" i="32"/>
  <c r="V1072" i="32" s="1"/>
  <c r="C1087" i="32"/>
  <c r="D1087" i="32"/>
  <c r="E1087" i="32"/>
  <c r="F1087" i="32"/>
  <c r="F1998" i="32" s="1"/>
  <c r="G1087" i="32"/>
  <c r="H1087" i="32"/>
  <c r="I1087" i="32"/>
  <c r="L1087" i="32" s="1"/>
  <c r="B1088" i="32"/>
  <c r="C1088" i="32"/>
  <c r="D1088" i="32"/>
  <c r="E1088" i="32"/>
  <c r="F1088" i="32"/>
  <c r="G1088" i="32"/>
  <c r="S1088" i="32" s="1"/>
  <c r="H1088" i="32"/>
  <c r="V1067" i="32" s="1"/>
  <c r="I1088" i="32"/>
  <c r="B1089" i="32"/>
  <c r="C1089" i="32"/>
  <c r="D1089" i="32"/>
  <c r="D2000" i="32" s="1"/>
  <c r="E1089" i="32"/>
  <c r="F1089" i="32"/>
  <c r="G1089" i="32"/>
  <c r="H1089" i="32"/>
  <c r="I1089" i="32"/>
  <c r="I2000" i="32" s="1"/>
  <c r="B1090" i="32"/>
  <c r="V1075" i="32" s="1"/>
  <c r="C1090" i="32"/>
  <c r="Z1090" i="32" s="1"/>
  <c r="D1090" i="32"/>
  <c r="E1090" i="32"/>
  <c r="F1090" i="32"/>
  <c r="G1090" i="32"/>
  <c r="V1057" i="32" s="1"/>
  <c r="H1090" i="32"/>
  <c r="V1064" i="32" s="1"/>
  <c r="I1090" i="32"/>
  <c r="B1091" i="32"/>
  <c r="V1076" i="32" s="1"/>
  <c r="C1091" i="32"/>
  <c r="C2002" i="32" s="1"/>
  <c r="D1091" i="32"/>
  <c r="E1091" i="32"/>
  <c r="P1091" i="32" s="1"/>
  <c r="F1091" i="32"/>
  <c r="G1091" i="32"/>
  <c r="R1091" i="32" s="1"/>
  <c r="H1091" i="32"/>
  <c r="H2002" i="32" s="1"/>
  <c r="I1091" i="32"/>
  <c r="B1092" i="32"/>
  <c r="C1092" i="32"/>
  <c r="C2003" i="32" s="1"/>
  <c r="D1092" i="32"/>
  <c r="E1092" i="32"/>
  <c r="F1092" i="32"/>
  <c r="G1092" i="32"/>
  <c r="H1092" i="32"/>
  <c r="V1065" i="32" s="1"/>
  <c r="I1092" i="32"/>
  <c r="S1092" i="32"/>
  <c r="B1093" i="32"/>
  <c r="C1093" i="32"/>
  <c r="D1093" i="32"/>
  <c r="E1093" i="32"/>
  <c r="P1093" i="32" s="1"/>
  <c r="F1093" i="32"/>
  <c r="G1093" i="32"/>
  <c r="H1093" i="32"/>
  <c r="I1093" i="32"/>
  <c r="B1094" i="32"/>
  <c r="C1094" i="32"/>
  <c r="D1094" i="32"/>
  <c r="D2005" i="32" s="1"/>
  <c r="E1094" i="32"/>
  <c r="F1094" i="32"/>
  <c r="G1094" i="32"/>
  <c r="H1094" i="32"/>
  <c r="I1094" i="32"/>
  <c r="B1095" i="32"/>
  <c r="C1095" i="32"/>
  <c r="D1095" i="32"/>
  <c r="E1095" i="32"/>
  <c r="F1095" i="32"/>
  <c r="F2006" i="32"/>
  <c r="G1095" i="32"/>
  <c r="H1095" i="32"/>
  <c r="I1095" i="32"/>
  <c r="I2006" i="32" s="1"/>
  <c r="B1096" i="32"/>
  <c r="V1081" i="32" s="1"/>
  <c r="C1096" i="32"/>
  <c r="D1096" i="32"/>
  <c r="E1096" i="32"/>
  <c r="F1096" i="32"/>
  <c r="G1096" i="32"/>
  <c r="H1096" i="32"/>
  <c r="I1096" i="32"/>
  <c r="B1097" i="32"/>
  <c r="C1097" i="32"/>
  <c r="D1097" i="32"/>
  <c r="E1097" i="32"/>
  <c r="F1097" i="32"/>
  <c r="F2008" i="32"/>
  <c r="G1097" i="32"/>
  <c r="H1097" i="32"/>
  <c r="V1066" i="32"/>
  <c r="I1097" i="32"/>
  <c r="B1098" i="32"/>
  <c r="C1098" i="32"/>
  <c r="D1098" i="32"/>
  <c r="N1098" i="32" s="1"/>
  <c r="E1098" i="32"/>
  <c r="F1098" i="32"/>
  <c r="F2009" i="32"/>
  <c r="G1098" i="32"/>
  <c r="H1098" i="32"/>
  <c r="I1098" i="32"/>
  <c r="L1098" i="32"/>
  <c r="B1099" i="32"/>
  <c r="C1099" i="32"/>
  <c r="D1099" i="32"/>
  <c r="E1099" i="32"/>
  <c r="F1099" i="32"/>
  <c r="G1099" i="32"/>
  <c r="H1099" i="32"/>
  <c r="H2010" i="32" s="1"/>
  <c r="I1099" i="32"/>
  <c r="S1099" i="32"/>
  <c r="B1100" i="32"/>
  <c r="C1100" i="32"/>
  <c r="D1100" i="32"/>
  <c r="E1100" i="32"/>
  <c r="F1100" i="32"/>
  <c r="F2011" i="32" s="1"/>
  <c r="G1100" i="32"/>
  <c r="R1100" i="32" s="1"/>
  <c r="H1100" i="32"/>
  <c r="I1100" i="32"/>
  <c r="B1101" i="32"/>
  <c r="V1086" i="32"/>
  <c r="C1101" i="32"/>
  <c r="D1101" i="32"/>
  <c r="N1101" i="32" s="1"/>
  <c r="E1101" i="32"/>
  <c r="F1101" i="32"/>
  <c r="G1101" i="32"/>
  <c r="G1084" i="32" s="1"/>
  <c r="H1101" i="32"/>
  <c r="I1101" i="32"/>
  <c r="B1102" i="32"/>
  <c r="V1087" i="32" s="1"/>
  <c r="C1102" i="32"/>
  <c r="D1102" i="32"/>
  <c r="E1102" i="32"/>
  <c r="E2013" i="32" s="1"/>
  <c r="F1102" i="32"/>
  <c r="F2013" i="32" s="1"/>
  <c r="G1102" i="32"/>
  <c r="H1102" i="32"/>
  <c r="I1102" i="32"/>
  <c r="B1110" i="32"/>
  <c r="B2021" i="32" s="1"/>
  <c r="C1110" i="32"/>
  <c r="D1110" i="32"/>
  <c r="E1110" i="32"/>
  <c r="E2021" i="32" s="1"/>
  <c r="F1110" i="32"/>
  <c r="F2021" i="32" s="1"/>
  <c r="G1110" i="32"/>
  <c r="H1110" i="32"/>
  <c r="I1110" i="32"/>
  <c r="B1111" i="32"/>
  <c r="B2022" i="32" s="1"/>
  <c r="C1111" i="32"/>
  <c r="D1111" i="32"/>
  <c r="E1111" i="32"/>
  <c r="F1111" i="32"/>
  <c r="F2022" i="32" s="1"/>
  <c r="G1111" i="32"/>
  <c r="H1111" i="32"/>
  <c r="I1111" i="32"/>
  <c r="B1112" i="32"/>
  <c r="B2023" i="32" s="1"/>
  <c r="C1112" i="32"/>
  <c r="D1112" i="32"/>
  <c r="E1112" i="32"/>
  <c r="E2023" i="32" s="1"/>
  <c r="F1112" i="32"/>
  <c r="F2023" i="32"/>
  <c r="G1112" i="32"/>
  <c r="H1112" i="32"/>
  <c r="I1112" i="32"/>
  <c r="B1113" i="32"/>
  <c r="B2024" i="32" s="1"/>
  <c r="C1113" i="32"/>
  <c r="D1113" i="32"/>
  <c r="D1119" i="32" s="1"/>
  <c r="D2030" i="32" s="1"/>
  <c r="E1113" i="32"/>
  <c r="F1113" i="32"/>
  <c r="F2024" i="32" s="1"/>
  <c r="G1113" i="32"/>
  <c r="H1113" i="32"/>
  <c r="I1113" i="32"/>
  <c r="B1115" i="32"/>
  <c r="B2026" i="32" s="1"/>
  <c r="C1115" i="32"/>
  <c r="D1115" i="32"/>
  <c r="D2026" i="32" s="1"/>
  <c r="E1115" i="32"/>
  <c r="F1115" i="32"/>
  <c r="F2026" i="32"/>
  <c r="G1115" i="32"/>
  <c r="H1115" i="32"/>
  <c r="I1115" i="32"/>
  <c r="B1116" i="32"/>
  <c r="B2027" i="32" s="1"/>
  <c r="C1116" i="32"/>
  <c r="C2027" i="32" s="1"/>
  <c r="D1116" i="32"/>
  <c r="E1116" i="32"/>
  <c r="F1116" i="32"/>
  <c r="F2027" i="32" s="1"/>
  <c r="G1116" i="32"/>
  <c r="H1116" i="32"/>
  <c r="I1116" i="32"/>
  <c r="B1117" i="32"/>
  <c r="B2028" i="32" s="1"/>
  <c r="C1117" i="32"/>
  <c r="C2028" i="32" s="1"/>
  <c r="D1117" i="32"/>
  <c r="E1117" i="32"/>
  <c r="F1117" i="32"/>
  <c r="F2028" i="32" s="1"/>
  <c r="G1117" i="32"/>
  <c r="H1117" i="32"/>
  <c r="I1117" i="32"/>
  <c r="B1118" i="32"/>
  <c r="B2029" i="32" s="1"/>
  <c r="C1118" i="32"/>
  <c r="C2029" i="32" s="1"/>
  <c r="D1118" i="32"/>
  <c r="E1118" i="32"/>
  <c r="F1118" i="32"/>
  <c r="F2029" i="32" s="1"/>
  <c r="G1118" i="32"/>
  <c r="H1118" i="32"/>
  <c r="I1118" i="32"/>
  <c r="F1119" i="32"/>
  <c r="F2030" i="32" s="1"/>
  <c r="K1122" i="32"/>
  <c r="L1128" i="32"/>
  <c r="M1128" i="32"/>
  <c r="N1128" i="32"/>
  <c r="O1128" i="32"/>
  <c r="P1128" i="32"/>
  <c r="Q1128" i="32"/>
  <c r="R1128" i="32"/>
  <c r="S1128" i="32"/>
  <c r="Z1128" i="32"/>
  <c r="AA1128" i="32"/>
  <c r="L1129" i="32"/>
  <c r="M1129" i="32"/>
  <c r="N1129" i="32"/>
  <c r="O1129" i="32"/>
  <c r="P1129" i="32"/>
  <c r="Q1129" i="32"/>
  <c r="R1129" i="32"/>
  <c r="S1129" i="32"/>
  <c r="Z1129" i="32"/>
  <c r="AA1129" i="32"/>
  <c r="L1130" i="32"/>
  <c r="M1130" i="32"/>
  <c r="N1130" i="32"/>
  <c r="O1130" i="32"/>
  <c r="P1130" i="32"/>
  <c r="Q1130" i="32"/>
  <c r="R1130" i="32"/>
  <c r="S1130" i="32"/>
  <c r="Z1130" i="32"/>
  <c r="AA1130" i="32"/>
  <c r="L1131" i="32"/>
  <c r="M1131" i="32"/>
  <c r="N1131" i="32"/>
  <c r="O1131" i="32"/>
  <c r="P1131" i="32"/>
  <c r="Q1131" i="32"/>
  <c r="R1131" i="32"/>
  <c r="S1131" i="32"/>
  <c r="Z1131" i="32"/>
  <c r="AA1131" i="32"/>
  <c r="L1132" i="32"/>
  <c r="M1132" i="32"/>
  <c r="N1132" i="32"/>
  <c r="O1132" i="32"/>
  <c r="P1132" i="32"/>
  <c r="Q1132" i="32"/>
  <c r="R1132" i="32"/>
  <c r="S1132" i="32"/>
  <c r="Z1132" i="32"/>
  <c r="AA1132" i="32"/>
  <c r="Z1133" i="32"/>
  <c r="AA1133" i="32"/>
  <c r="B1134" i="32"/>
  <c r="C1134" i="32"/>
  <c r="D1134" i="32"/>
  <c r="E1134" i="32"/>
  <c r="F1134" i="32"/>
  <c r="G1134" i="32"/>
  <c r="H1134" i="32"/>
  <c r="I1134" i="32"/>
  <c r="L1139" i="32"/>
  <c r="M1139" i="32"/>
  <c r="N1139" i="32"/>
  <c r="O1139" i="32"/>
  <c r="P1139" i="32"/>
  <c r="Q1139" i="32"/>
  <c r="R1139" i="32"/>
  <c r="S1139" i="32"/>
  <c r="Z1139" i="32"/>
  <c r="AA1139" i="32"/>
  <c r="L1140" i="32"/>
  <c r="M1140" i="32"/>
  <c r="N1140" i="32"/>
  <c r="O1140" i="32"/>
  <c r="P1140" i="32"/>
  <c r="Q1140" i="32"/>
  <c r="R1140" i="32"/>
  <c r="S1140" i="32"/>
  <c r="Z1140" i="32"/>
  <c r="AA1140" i="32"/>
  <c r="L1141" i="32"/>
  <c r="M1141" i="32"/>
  <c r="N1141" i="32"/>
  <c r="O1141" i="32"/>
  <c r="P1141" i="32"/>
  <c r="Q1141" i="32"/>
  <c r="R1141" i="32"/>
  <c r="S1141" i="32"/>
  <c r="Z1141" i="32"/>
  <c r="AA1141" i="32"/>
  <c r="L1142" i="32"/>
  <c r="M1142" i="32"/>
  <c r="N1142" i="32"/>
  <c r="O1142" i="32"/>
  <c r="P1142" i="32"/>
  <c r="Q1142" i="32"/>
  <c r="R1142" i="32"/>
  <c r="S1142" i="32"/>
  <c r="Z1142" i="32"/>
  <c r="AA1142" i="32"/>
  <c r="L1143" i="32"/>
  <c r="M1143" i="32"/>
  <c r="N1143" i="32"/>
  <c r="O1143" i="32"/>
  <c r="P1143" i="32"/>
  <c r="Q1143" i="32"/>
  <c r="R1143" i="32"/>
  <c r="S1143" i="32"/>
  <c r="Z1143" i="32"/>
  <c r="AA1143" i="32"/>
  <c r="Z1144" i="32"/>
  <c r="AA1144" i="32"/>
  <c r="B1145" i="32"/>
  <c r="C1145" i="32"/>
  <c r="D1145" i="32"/>
  <c r="E1145" i="32"/>
  <c r="F1145" i="32"/>
  <c r="G1145" i="32"/>
  <c r="R1145" i="32" s="1"/>
  <c r="H1145" i="32"/>
  <c r="I1145" i="32"/>
  <c r="L1152" i="32"/>
  <c r="M1152" i="32"/>
  <c r="N1152" i="32"/>
  <c r="O1152" i="32"/>
  <c r="P1152" i="32"/>
  <c r="Q1152" i="32"/>
  <c r="R1152" i="32"/>
  <c r="S1152" i="32"/>
  <c r="Z1152" i="32"/>
  <c r="AA1152" i="32"/>
  <c r="Z1153" i="32"/>
  <c r="AA1153" i="32"/>
  <c r="B1154" i="32"/>
  <c r="B1173" i="32" s="1"/>
  <c r="C1154" i="32"/>
  <c r="D1154" i="32"/>
  <c r="D1173" i="32" s="1"/>
  <c r="E1154" i="32"/>
  <c r="E1173" i="32" s="1"/>
  <c r="F1154" i="32"/>
  <c r="G1154" i="32"/>
  <c r="G1173" i="32" s="1"/>
  <c r="H1154" i="32"/>
  <c r="V1133" i="32" s="1"/>
  <c r="BI12" i="32" s="1"/>
  <c r="AH139" i="5" s="1"/>
  <c r="I1154" i="32"/>
  <c r="L1155" i="32"/>
  <c r="M1155" i="32"/>
  <c r="N1155" i="32"/>
  <c r="O1155" i="32"/>
  <c r="P1155" i="32"/>
  <c r="Q1155" i="32"/>
  <c r="R1155" i="32"/>
  <c r="S1155" i="32"/>
  <c r="Z1155" i="32"/>
  <c r="AA1155" i="32"/>
  <c r="L1156" i="32"/>
  <c r="M1156" i="32"/>
  <c r="N1156" i="32"/>
  <c r="O1156" i="32"/>
  <c r="P1156" i="32"/>
  <c r="Q1156" i="32"/>
  <c r="R1156" i="32"/>
  <c r="S1156" i="32"/>
  <c r="Z1156" i="32"/>
  <c r="AA1156" i="32"/>
  <c r="L1157" i="32"/>
  <c r="M1157" i="32"/>
  <c r="N1157" i="32"/>
  <c r="O1157" i="32"/>
  <c r="P1157" i="32"/>
  <c r="Q1157" i="32"/>
  <c r="R1157" i="32"/>
  <c r="S1157" i="32"/>
  <c r="Z1157" i="32"/>
  <c r="AA1157" i="32"/>
  <c r="L1158" i="32"/>
  <c r="M1158" i="32"/>
  <c r="N1158" i="32"/>
  <c r="O1158" i="32"/>
  <c r="P1158" i="32"/>
  <c r="Q1158" i="32"/>
  <c r="R1158" i="32"/>
  <c r="S1158" i="32"/>
  <c r="Z1158" i="32"/>
  <c r="AA1158" i="32"/>
  <c r="L1159" i="32"/>
  <c r="M1159" i="32"/>
  <c r="N1159" i="32"/>
  <c r="O1159" i="32"/>
  <c r="P1159" i="32"/>
  <c r="Q1159" i="32"/>
  <c r="R1159" i="32"/>
  <c r="S1159" i="32"/>
  <c r="Z1159" i="32"/>
  <c r="AA1159" i="32"/>
  <c r="L1160" i="32"/>
  <c r="M1160" i="32"/>
  <c r="N1160" i="32"/>
  <c r="O1160" i="32"/>
  <c r="P1160" i="32"/>
  <c r="Q1160" i="32"/>
  <c r="R1160" i="32"/>
  <c r="S1160" i="32"/>
  <c r="Z1160" i="32"/>
  <c r="AA1160" i="32"/>
  <c r="L1161" i="32"/>
  <c r="M1161" i="32"/>
  <c r="N1161" i="32"/>
  <c r="O1161" i="32"/>
  <c r="P1161" i="32"/>
  <c r="Q1161" i="32"/>
  <c r="R1161" i="32"/>
  <c r="S1161" i="32"/>
  <c r="Z1161" i="32"/>
  <c r="AA1161" i="32"/>
  <c r="L1162" i="32"/>
  <c r="M1162" i="32"/>
  <c r="N1162" i="32"/>
  <c r="O1162" i="32"/>
  <c r="P1162" i="32"/>
  <c r="Q1162" i="32"/>
  <c r="R1162" i="32"/>
  <c r="S1162" i="32"/>
  <c r="Z1162" i="32"/>
  <c r="AA1162" i="32"/>
  <c r="L1163" i="32"/>
  <c r="M1163" i="32"/>
  <c r="N1163" i="32"/>
  <c r="O1163" i="32"/>
  <c r="P1163" i="32"/>
  <c r="Q1163" i="32"/>
  <c r="R1163" i="32"/>
  <c r="S1163" i="32"/>
  <c r="Z1163" i="32"/>
  <c r="AA1163" i="32"/>
  <c r="L1164" i="32"/>
  <c r="M1164" i="32"/>
  <c r="N1164" i="32"/>
  <c r="O1164" i="32"/>
  <c r="P1164" i="32"/>
  <c r="Q1164" i="32"/>
  <c r="R1164" i="32"/>
  <c r="S1164" i="32"/>
  <c r="Z1164" i="32"/>
  <c r="AA1164" i="32"/>
  <c r="L1165" i="32"/>
  <c r="M1165" i="32"/>
  <c r="N1165" i="32"/>
  <c r="O1165" i="32"/>
  <c r="P1165" i="32"/>
  <c r="Q1165" i="32"/>
  <c r="R1165" i="32"/>
  <c r="S1165" i="32"/>
  <c r="Z1165" i="32"/>
  <c r="AA1165" i="32"/>
  <c r="L1166" i="32"/>
  <c r="M1166" i="32"/>
  <c r="N1166" i="32"/>
  <c r="O1166" i="32"/>
  <c r="P1166" i="32"/>
  <c r="Q1166" i="32"/>
  <c r="R1166" i="32"/>
  <c r="S1166" i="32"/>
  <c r="Z1166" i="32"/>
  <c r="AA1166" i="32"/>
  <c r="L1167" i="32"/>
  <c r="M1167" i="32"/>
  <c r="N1167" i="32"/>
  <c r="O1167" i="32"/>
  <c r="P1167" i="32"/>
  <c r="Q1167" i="32"/>
  <c r="R1167" i="32"/>
  <c r="S1167" i="32"/>
  <c r="Z1167" i="32"/>
  <c r="AA1167" i="32"/>
  <c r="L1168" i="32"/>
  <c r="M1168" i="32"/>
  <c r="N1168" i="32"/>
  <c r="O1168" i="32"/>
  <c r="P1168" i="32"/>
  <c r="Q1168" i="32"/>
  <c r="R1168" i="32"/>
  <c r="S1168" i="32"/>
  <c r="Z1168" i="32"/>
  <c r="AA1168" i="32"/>
  <c r="L1169" i="32"/>
  <c r="M1169" i="32"/>
  <c r="N1169" i="32"/>
  <c r="O1169" i="32"/>
  <c r="P1169" i="32"/>
  <c r="Q1169" i="32"/>
  <c r="R1169" i="32"/>
  <c r="S1169" i="32"/>
  <c r="Z1169" i="32"/>
  <c r="AA1169" i="32"/>
  <c r="L1170" i="32"/>
  <c r="M1170" i="32"/>
  <c r="N1170" i="32"/>
  <c r="O1170" i="32"/>
  <c r="P1170" i="32"/>
  <c r="Q1170" i="32"/>
  <c r="R1170" i="32"/>
  <c r="S1170" i="32"/>
  <c r="Z1170" i="32"/>
  <c r="AA1170" i="32"/>
  <c r="L1171" i="32"/>
  <c r="M1171" i="32"/>
  <c r="N1171" i="32"/>
  <c r="O1171" i="32"/>
  <c r="P1171" i="32"/>
  <c r="Q1171" i="32"/>
  <c r="R1171" i="32"/>
  <c r="S1171" i="32"/>
  <c r="Z1171" i="32"/>
  <c r="AA1171" i="32"/>
  <c r="Z1172" i="32"/>
  <c r="AA1172" i="32"/>
  <c r="F1173" i="32"/>
  <c r="I1173" i="32"/>
  <c r="B1189" i="32"/>
  <c r="C1189" i="32"/>
  <c r="D1189" i="32"/>
  <c r="E1189" i="32"/>
  <c r="F1189" i="32"/>
  <c r="G1189" i="32"/>
  <c r="H1189" i="32"/>
  <c r="I1189" i="32"/>
  <c r="K1192" i="32"/>
  <c r="L1198" i="32"/>
  <c r="M1198" i="32"/>
  <c r="N1198" i="32"/>
  <c r="O1198" i="32"/>
  <c r="P1198" i="32"/>
  <c r="Q1198" i="32"/>
  <c r="R1198" i="32"/>
  <c r="S1198" i="32"/>
  <c r="Z1198" i="32"/>
  <c r="AA1198" i="32"/>
  <c r="L1199" i="32"/>
  <c r="M1199" i="32"/>
  <c r="N1199" i="32"/>
  <c r="O1199" i="32"/>
  <c r="P1199" i="32"/>
  <c r="Q1199" i="32"/>
  <c r="R1199" i="32"/>
  <c r="S1199" i="32"/>
  <c r="Z1199" i="32"/>
  <c r="AA1199" i="32"/>
  <c r="L1200" i="32"/>
  <c r="M1200" i="32"/>
  <c r="N1200" i="32"/>
  <c r="O1200" i="32"/>
  <c r="P1200" i="32"/>
  <c r="Q1200" i="32"/>
  <c r="R1200" i="32"/>
  <c r="S1200" i="32"/>
  <c r="Z1200" i="32"/>
  <c r="AA1200" i="32"/>
  <c r="L1201" i="32"/>
  <c r="M1201" i="32"/>
  <c r="N1201" i="32"/>
  <c r="O1201" i="32"/>
  <c r="P1201" i="32"/>
  <c r="Q1201" i="32"/>
  <c r="R1201" i="32"/>
  <c r="S1201" i="32"/>
  <c r="Z1201" i="32"/>
  <c r="AA1201" i="32"/>
  <c r="L1202" i="32"/>
  <c r="M1202" i="32"/>
  <c r="N1202" i="32"/>
  <c r="O1202" i="32"/>
  <c r="P1202" i="32"/>
  <c r="Q1202" i="32"/>
  <c r="R1202" i="32"/>
  <c r="S1202" i="32"/>
  <c r="Z1202" i="32"/>
  <c r="AA1202" i="32"/>
  <c r="Z1203" i="32"/>
  <c r="AA1203" i="32"/>
  <c r="B1204" i="32"/>
  <c r="C1204" i="32"/>
  <c r="D1204" i="32"/>
  <c r="M1204" i="32" s="1"/>
  <c r="D1216" i="32"/>
  <c r="E1204" i="32"/>
  <c r="F1204" i="32"/>
  <c r="G1204" i="32"/>
  <c r="H1204" i="32"/>
  <c r="I1204" i="32"/>
  <c r="L1209" i="32"/>
  <c r="M1209" i="32"/>
  <c r="N1209" i="32"/>
  <c r="O1209" i="32"/>
  <c r="P1209" i="32"/>
  <c r="Q1209" i="32"/>
  <c r="R1209" i="32"/>
  <c r="S1209" i="32"/>
  <c r="Z1209" i="32"/>
  <c r="AA1209" i="32"/>
  <c r="L1210" i="32"/>
  <c r="M1210" i="32"/>
  <c r="N1210" i="32"/>
  <c r="O1210" i="32"/>
  <c r="P1210" i="32"/>
  <c r="Q1210" i="32"/>
  <c r="R1210" i="32"/>
  <c r="S1210" i="32"/>
  <c r="Z1210" i="32"/>
  <c r="AA1210" i="32"/>
  <c r="L1211" i="32"/>
  <c r="M1211" i="32"/>
  <c r="N1211" i="32"/>
  <c r="O1211" i="32"/>
  <c r="P1211" i="32"/>
  <c r="Q1211" i="32"/>
  <c r="R1211" i="32"/>
  <c r="S1211" i="32"/>
  <c r="Z1211" i="32"/>
  <c r="AA1211" i="32"/>
  <c r="L1212" i="32"/>
  <c r="M1212" i="32"/>
  <c r="N1212" i="32"/>
  <c r="O1212" i="32"/>
  <c r="P1212" i="32"/>
  <c r="Q1212" i="32"/>
  <c r="R1212" i="32"/>
  <c r="S1212" i="32"/>
  <c r="Z1212" i="32"/>
  <c r="AA1212" i="32"/>
  <c r="L1213" i="32"/>
  <c r="M1213" i="32"/>
  <c r="N1213" i="32"/>
  <c r="O1213" i="32"/>
  <c r="P1213" i="32"/>
  <c r="Q1213" i="32"/>
  <c r="R1213" i="32"/>
  <c r="S1213" i="32"/>
  <c r="Z1213" i="32"/>
  <c r="AA1213" i="32"/>
  <c r="Z1214" i="32"/>
  <c r="AA1214" i="32"/>
  <c r="B1215" i="32"/>
  <c r="B1216" i="32" s="1"/>
  <c r="C1215" i="32"/>
  <c r="D1215" i="32"/>
  <c r="N1215" i="32" s="1"/>
  <c r="E1215" i="32"/>
  <c r="E1216" i="32"/>
  <c r="AA1216" i="32" s="1"/>
  <c r="F1215" i="32"/>
  <c r="G1215" i="32"/>
  <c r="S1215" i="32" s="1"/>
  <c r="H1215" i="32"/>
  <c r="I1215" i="32"/>
  <c r="L1222" i="32"/>
  <c r="M1222" i="32"/>
  <c r="N1222" i="32"/>
  <c r="O1222" i="32"/>
  <c r="P1222" i="32"/>
  <c r="Q1222" i="32"/>
  <c r="R1222" i="32"/>
  <c r="S1222" i="32"/>
  <c r="Z1222" i="32"/>
  <c r="AA1222" i="32"/>
  <c r="Z1223" i="32"/>
  <c r="AA1223" i="32"/>
  <c r="B1224" i="32"/>
  <c r="B1243" i="32" s="1"/>
  <c r="C1224" i="32"/>
  <c r="C1243" i="32" s="1"/>
  <c r="D1224" i="32"/>
  <c r="E1224" i="32"/>
  <c r="E1243" i="32" s="1"/>
  <c r="F1224" i="32"/>
  <c r="G1224" i="32"/>
  <c r="V1196" i="32" s="1"/>
  <c r="BH5" i="32" s="1"/>
  <c r="AG132" i="5" s="1"/>
  <c r="H1224" i="32"/>
  <c r="V1203" i="32" s="1"/>
  <c r="BH12" i="32" s="1"/>
  <c r="AG139" i="5" s="1"/>
  <c r="I1224" i="32"/>
  <c r="M1224" i="32" s="1"/>
  <c r="L1225" i="32"/>
  <c r="M1225" i="32"/>
  <c r="N1225" i="32"/>
  <c r="O1225" i="32"/>
  <c r="P1225" i="32"/>
  <c r="Q1225" i="32"/>
  <c r="R1225" i="32"/>
  <c r="S1225" i="32"/>
  <c r="Z1225" i="32"/>
  <c r="AA1225" i="32"/>
  <c r="L1226" i="32"/>
  <c r="M1226" i="32"/>
  <c r="N1226" i="32"/>
  <c r="O1226" i="32"/>
  <c r="P1226" i="32"/>
  <c r="Q1226" i="32"/>
  <c r="R1226" i="32"/>
  <c r="S1226" i="32"/>
  <c r="Z1226" i="32"/>
  <c r="AA1226" i="32"/>
  <c r="L1227" i="32"/>
  <c r="M1227" i="32"/>
  <c r="N1227" i="32"/>
  <c r="O1227" i="32"/>
  <c r="P1227" i="32"/>
  <c r="Q1227" i="32"/>
  <c r="R1227" i="32"/>
  <c r="S1227" i="32"/>
  <c r="Z1227" i="32"/>
  <c r="AA1227" i="32"/>
  <c r="L1228" i="32"/>
  <c r="M1228" i="32"/>
  <c r="N1228" i="32"/>
  <c r="O1228" i="32"/>
  <c r="P1228" i="32"/>
  <c r="Q1228" i="32"/>
  <c r="R1228" i="32"/>
  <c r="S1228" i="32"/>
  <c r="Z1228" i="32"/>
  <c r="AA1228" i="32"/>
  <c r="L1229" i="32"/>
  <c r="M1229" i="32"/>
  <c r="N1229" i="32"/>
  <c r="O1229" i="32"/>
  <c r="P1229" i="32"/>
  <c r="Q1229" i="32"/>
  <c r="R1229" i="32"/>
  <c r="S1229" i="32"/>
  <c r="Z1229" i="32"/>
  <c r="AA1229" i="32"/>
  <c r="L1230" i="32"/>
  <c r="M1230" i="32"/>
  <c r="N1230" i="32"/>
  <c r="O1230" i="32"/>
  <c r="P1230" i="32"/>
  <c r="Q1230" i="32"/>
  <c r="R1230" i="32"/>
  <c r="S1230" i="32"/>
  <c r="Z1230" i="32"/>
  <c r="AA1230" i="32"/>
  <c r="L1231" i="32"/>
  <c r="M1231" i="32"/>
  <c r="N1231" i="32"/>
  <c r="O1231" i="32"/>
  <c r="P1231" i="32"/>
  <c r="Q1231" i="32"/>
  <c r="R1231" i="32"/>
  <c r="S1231" i="32"/>
  <c r="Z1231" i="32"/>
  <c r="AA1231" i="32"/>
  <c r="L1232" i="32"/>
  <c r="M1232" i="32"/>
  <c r="N1232" i="32"/>
  <c r="O1232" i="32"/>
  <c r="P1232" i="32"/>
  <c r="Q1232" i="32"/>
  <c r="R1232" i="32"/>
  <c r="S1232" i="32"/>
  <c r="Z1232" i="32"/>
  <c r="AA1232" i="32"/>
  <c r="L1233" i="32"/>
  <c r="M1233" i="32"/>
  <c r="N1233" i="32"/>
  <c r="O1233" i="32"/>
  <c r="P1233" i="32"/>
  <c r="Q1233" i="32"/>
  <c r="R1233" i="32"/>
  <c r="S1233" i="32"/>
  <c r="Z1233" i="32"/>
  <c r="AA1233" i="32"/>
  <c r="L1234" i="32"/>
  <c r="M1234" i="32"/>
  <c r="N1234" i="32"/>
  <c r="O1234" i="32"/>
  <c r="P1234" i="32"/>
  <c r="Q1234" i="32"/>
  <c r="R1234" i="32"/>
  <c r="S1234" i="32"/>
  <c r="Z1234" i="32"/>
  <c r="AA1234" i="32"/>
  <c r="L1235" i="32"/>
  <c r="M1235" i="32"/>
  <c r="N1235" i="32"/>
  <c r="O1235" i="32"/>
  <c r="P1235" i="32"/>
  <c r="Q1235" i="32"/>
  <c r="R1235" i="32"/>
  <c r="S1235" i="32"/>
  <c r="Z1235" i="32"/>
  <c r="AA1235" i="32"/>
  <c r="L1236" i="32"/>
  <c r="M1236" i="32"/>
  <c r="N1236" i="32"/>
  <c r="O1236" i="32"/>
  <c r="P1236" i="32"/>
  <c r="Q1236" i="32"/>
  <c r="R1236" i="32"/>
  <c r="S1236" i="32"/>
  <c r="Z1236" i="32"/>
  <c r="AA1236" i="32"/>
  <c r="L1237" i="32"/>
  <c r="M1237" i="32"/>
  <c r="N1237" i="32"/>
  <c r="O1237" i="32"/>
  <c r="P1237" i="32"/>
  <c r="Q1237" i="32"/>
  <c r="R1237" i="32"/>
  <c r="S1237" i="32"/>
  <c r="Z1237" i="32"/>
  <c r="AA1237" i="32"/>
  <c r="L1238" i="32"/>
  <c r="M1238" i="32"/>
  <c r="N1238" i="32"/>
  <c r="O1238" i="32"/>
  <c r="P1238" i="32"/>
  <c r="Q1238" i="32"/>
  <c r="R1238" i="32"/>
  <c r="S1238" i="32"/>
  <c r="Z1238" i="32"/>
  <c r="AA1238" i="32"/>
  <c r="L1239" i="32"/>
  <c r="M1239" i="32"/>
  <c r="N1239" i="32"/>
  <c r="O1239" i="32"/>
  <c r="P1239" i="32"/>
  <c r="Q1239" i="32"/>
  <c r="R1239" i="32"/>
  <c r="S1239" i="32"/>
  <c r="Z1239" i="32"/>
  <c r="AA1239" i="32"/>
  <c r="L1240" i="32"/>
  <c r="M1240" i="32"/>
  <c r="N1240" i="32"/>
  <c r="O1240" i="32"/>
  <c r="P1240" i="32"/>
  <c r="Q1240" i="32"/>
  <c r="R1240" i="32"/>
  <c r="S1240" i="32"/>
  <c r="Z1240" i="32"/>
  <c r="AA1240" i="32"/>
  <c r="L1241" i="32"/>
  <c r="M1241" i="32"/>
  <c r="N1241" i="32"/>
  <c r="O1241" i="32"/>
  <c r="P1241" i="32"/>
  <c r="Q1241" i="32"/>
  <c r="R1241" i="32"/>
  <c r="S1241" i="32"/>
  <c r="Z1241" i="32"/>
  <c r="AA1241" i="32"/>
  <c r="Z1242" i="32"/>
  <c r="AA1242" i="32"/>
  <c r="D1243" i="32"/>
  <c r="F1243" i="32"/>
  <c r="B1259" i="32"/>
  <c r="C1259" i="32"/>
  <c r="D1259" i="32"/>
  <c r="E1259" i="32"/>
  <c r="F1259" i="32"/>
  <c r="G1259" i="32"/>
  <c r="H1259" i="32"/>
  <c r="I1259" i="32"/>
  <c r="K1263" i="32"/>
  <c r="L1269" i="32"/>
  <c r="M1269" i="32"/>
  <c r="N1269" i="32"/>
  <c r="O1269" i="32"/>
  <c r="P1269" i="32"/>
  <c r="Q1269" i="32"/>
  <c r="R1269" i="32"/>
  <c r="S1269" i="32"/>
  <c r="Z1269" i="32"/>
  <c r="AA1269" i="32"/>
  <c r="L1270" i="32"/>
  <c r="M1270" i="32"/>
  <c r="N1270" i="32"/>
  <c r="O1270" i="32"/>
  <c r="P1270" i="32"/>
  <c r="Q1270" i="32"/>
  <c r="R1270" i="32"/>
  <c r="S1270" i="32"/>
  <c r="Z1270" i="32"/>
  <c r="AA1270" i="32"/>
  <c r="L1271" i="32"/>
  <c r="M1271" i="32"/>
  <c r="N1271" i="32"/>
  <c r="O1271" i="32"/>
  <c r="P1271" i="32"/>
  <c r="Q1271" i="32"/>
  <c r="R1271" i="32"/>
  <c r="S1271" i="32"/>
  <c r="Z1271" i="32"/>
  <c r="AA1271" i="32"/>
  <c r="L1272" i="32"/>
  <c r="M1272" i="32"/>
  <c r="N1272" i="32"/>
  <c r="O1272" i="32"/>
  <c r="P1272" i="32"/>
  <c r="Q1272" i="32"/>
  <c r="R1272" i="32"/>
  <c r="S1272" i="32"/>
  <c r="Z1272" i="32"/>
  <c r="AA1272" i="32"/>
  <c r="L1273" i="32"/>
  <c r="M1273" i="32"/>
  <c r="N1273" i="32"/>
  <c r="O1273" i="32"/>
  <c r="P1273" i="32"/>
  <c r="Q1273" i="32"/>
  <c r="R1273" i="32"/>
  <c r="S1273" i="32"/>
  <c r="Z1273" i="32"/>
  <c r="AA1273" i="32"/>
  <c r="Z1274" i="32"/>
  <c r="AA1274" i="32"/>
  <c r="B1275" i="32"/>
  <c r="C1275" i="32"/>
  <c r="D1275" i="32"/>
  <c r="E1275" i="32"/>
  <c r="E1287" i="32" s="1"/>
  <c r="F1275" i="32"/>
  <c r="G1275" i="32"/>
  <c r="R1275" i="32" s="1"/>
  <c r="H1275" i="32"/>
  <c r="H1287" i="32" s="1"/>
  <c r="I1275" i="32"/>
  <c r="L1280" i="32"/>
  <c r="M1280" i="32"/>
  <c r="N1280" i="32"/>
  <c r="O1280" i="32"/>
  <c r="P1280" i="32"/>
  <c r="Q1280" i="32"/>
  <c r="R1280" i="32"/>
  <c r="S1280" i="32"/>
  <c r="Z1280" i="32"/>
  <c r="AA1280" i="32"/>
  <c r="L1281" i="32"/>
  <c r="M1281" i="32"/>
  <c r="N1281" i="32"/>
  <c r="O1281" i="32"/>
  <c r="P1281" i="32"/>
  <c r="Q1281" i="32"/>
  <c r="R1281" i="32"/>
  <c r="S1281" i="32"/>
  <c r="Z1281" i="32"/>
  <c r="AA1281" i="32"/>
  <c r="L1282" i="32"/>
  <c r="M1282" i="32"/>
  <c r="N1282" i="32"/>
  <c r="O1282" i="32"/>
  <c r="P1282" i="32"/>
  <c r="Q1282" i="32"/>
  <c r="R1282" i="32"/>
  <c r="S1282" i="32"/>
  <c r="Z1282" i="32"/>
  <c r="AA1282" i="32"/>
  <c r="L1283" i="32"/>
  <c r="M1283" i="32"/>
  <c r="N1283" i="32"/>
  <c r="O1283" i="32"/>
  <c r="P1283" i="32"/>
  <c r="Q1283" i="32"/>
  <c r="R1283" i="32"/>
  <c r="S1283" i="32"/>
  <c r="Z1283" i="32"/>
  <c r="AA1283" i="32"/>
  <c r="L1284" i="32"/>
  <c r="M1284" i="32"/>
  <c r="N1284" i="32"/>
  <c r="O1284" i="32"/>
  <c r="P1284" i="32"/>
  <c r="Q1284" i="32"/>
  <c r="R1284" i="32"/>
  <c r="S1284" i="32"/>
  <c r="Z1284" i="32"/>
  <c r="AA1284" i="32"/>
  <c r="Z1285" i="32"/>
  <c r="AA1285" i="32"/>
  <c r="B1286" i="32"/>
  <c r="C1286" i="32"/>
  <c r="Z1286" i="32" s="1"/>
  <c r="D1286" i="32"/>
  <c r="N1286" i="32" s="1"/>
  <c r="E1286" i="32"/>
  <c r="F1286" i="32"/>
  <c r="G1286" i="32"/>
  <c r="S1286" i="32"/>
  <c r="H1286" i="32"/>
  <c r="I1286" i="32"/>
  <c r="C1287" i="32"/>
  <c r="L1293" i="32"/>
  <c r="M1293" i="32"/>
  <c r="N1293" i="32"/>
  <c r="O1293" i="32"/>
  <c r="P1293" i="32"/>
  <c r="Q1293" i="32"/>
  <c r="R1293" i="32"/>
  <c r="S1293" i="32"/>
  <c r="Z1293" i="32"/>
  <c r="AA1293" i="32"/>
  <c r="Z1294" i="32"/>
  <c r="AA1294" i="32"/>
  <c r="B1295" i="32"/>
  <c r="C1295" i="32"/>
  <c r="D1295" i="32"/>
  <c r="G84" i="5" s="1"/>
  <c r="G104" i="5" s="1"/>
  <c r="E1295" i="32"/>
  <c r="E1314" i="32" s="1"/>
  <c r="F1295" i="32"/>
  <c r="G81" i="5" s="1"/>
  <c r="G1295" i="32"/>
  <c r="G1314" i="32" s="1"/>
  <c r="H1295" i="32"/>
  <c r="I1295" i="32"/>
  <c r="I1314" i="32" s="1"/>
  <c r="L1296" i="32"/>
  <c r="M1296" i="32"/>
  <c r="N1296" i="32"/>
  <c r="O1296" i="32"/>
  <c r="P1296" i="32"/>
  <c r="Q1296" i="32"/>
  <c r="R1296" i="32"/>
  <c r="S1296" i="32"/>
  <c r="Z1296" i="32"/>
  <c r="AA1296" i="32"/>
  <c r="L1297" i="32"/>
  <c r="M1297" i="32"/>
  <c r="N1297" i="32"/>
  <c r="O1297" i="32"/>
  <c r="P1297" i="32"/>
  <c r="Q1297" i="32"/>
  <c r="R1297" i="32"/>
  <c r="S1297" i="32"/>
  <c r="Z1297" i="32"/>
  <c r="AA1297" i="32"/>
  <c r="L1298" i="32"/>
  <c r="M1298" i="32"/>
  <c r="N1298" i="32"/>
  <c r="O1298" i="32"/>
  <c r="P1298" i="32"/>
  <c r="Q1298" i="32"/>
  <c r="R1298" i="32"/>
  <c r="S1298" i="32"/>
  <c r="Z1298" i="32"/>
  <c r="AA1298" i="32"/>
  <c r="L1299" i="32"/>
  <c r="M1299" i="32"/>
  <c r="N1299" i="32"/>
  <c r="O1299" i="32"/>
  <c r="P1299" i="32"/>
  <c r="Q1299" i="32"/>
  <c r="R1299" i="32"/>
  <c r="S1299" i="32"/>
  <c r="Z1299" i="32"/>
  <c r="AA1299" i="32"/>
  <c r="L1300" i="32"/>
  <c r="M1300" i="32"/>
  <c r="N1300" i="32"/>
  <c r="O1300" i="32"/>
  <c r="P1300" i="32"/>
  <c r="Q1300" i="32"/>
  <c r="R1300" i="32"/>
  <c r="S1300" i="32"/>
  <c r="Z1300" i="32"/>
  <c r="AA1300" i="32"/>
  <c r="L1301" i="32"/>
  <c r="M1301" i="32"/>
  <c r="N1301" i="32"/>
  <c r="O1301" i="32"/>
  <c r="P1301" i="32"/>
  <c r="Q1301" i="32"/>
  <c r="R1301" i="32"/>
  <c r="S1301" i="32"/>
  <c r="Z1301" i="32"/>
  <c r="AA1301" i="32"/>
  <c r="L1302" i="32"/>
  <c r="M1302" i="32"/>
  <c r="N1302" i="32"/>
  <c r="O1302" i="32"/>
  <c r="P1302" i="32"/>
  <c r="Q1302" i="32"/>
  <c r="R1302" i="32"/>
  <c r="S1302" i="32"/>
  <c r="Z1302" i="32"/>
  <c r="AA1302" i="32"/>
  <c r="L1303" i="32"/>
  <c r="M1303" i="32"/>
  <c r="N1303" i="32"/>
  <c r="O1303" i="32"/>
  <c r="P1303" i="32"/>
  <c r="Q1303" i="32"/>
  <c r="R1303" i="32"/>
  <c r="S1303" i="32"/>
  <c r="Z1303" i="32"/>
  <c r="AA1303" i="32"/>
  <c r="L1304" i="32"/>
  <c r="M1304" i="32"/>
  <c r="N1304" i="32"/>
  <c r="O1304" i="32"/>
  <c r="P1304" i="32"/>
  <c r="Q1304" i="32"/>
  <c r="R1304" i="32"/>
  <c r="S1304" i="32"/>
  <c r="Z1304" i="32"/>
  <c r="AA1304" i="32"/>
  <c r="L1305" i="32"/>
  <c r="M1305" i="32"/>
  <c r="N1305" i="32"/>
  <c r="O1305" i="32"/>
  <c r="P1305" i="32"/>
  <c r="Q1305" i="32"/>
  <c r="R1305" i="32"/>
  <c r="S1305" i="32"/>
  <c r="Z1305" i="32"/>
  <c r="AA1305" i="32"/>
  <c r="L1306" i="32"/>
  <c r="M1306" i="32"/>
  <c r="N1306" i="32"/>
  <c r="O1306" i="32"/>
  <c r="P1306" i="32"/>
  <c r="Q1306" i="32"/>
  <c r="R1306" i="32"/>
  <c r="S1306" i="32"/>
  <c r="Z1306" i="32"/>
  <c r="AA1306" i="32"/>
  <c r="L1307" i="32"/>
  <c r="M1307" i="32"/>
  <c r="N1307" i="32"/>
  <c r="O1307" i="32"/>
  <c r="P1307" i="32"/>
  <c r="Q1307" i="32"/>
  <c r="R1307" i="32"/>
  <c r="S1307" i="32"/>
  <c r="Z1307" i="32"/>
  <c r="AA1307" i="32"/>
  <c r="L1308" i="32"/>
  <c r="M1308" i="32"/>
  <c r="N1308" i="32"/>
  <c r="O1308" i="32"/>
  <c r="P1308" i="32"/>
  <c r="Q1308" i="32"/>
  <c r="R1308" i="32"/>
  <c r="S1308" i="32"/>
  <c r="Z1308" i="32"/>
  <c r="AA1308" i="32"/>
  <c r="L1309" i="32"/>
  <c r="M1309" i="32"/>
  <c r="N1309" i="32"/>
  <c r="O1309" i="32"/>
  <c r="P1309" i="32"/>
  <c r="Q1309" i="32"/>
  <c r="R1309" i="32"/>
  <c r="S1309" i="32"/>
  <c r="Z1309" i="32"/>
  <c r="AA1309" i="32"/>
  <c r="L1310" i="32"/>
  <c r="M1310" i="32"/>
  <c r="N1310" i="32"/>
  <c r="O1310" i="32"/>
  <c r="P1310" i="32"/>
  <c r="Q1310" i="32"/>
  <c r="R1310" i="32"/>
  <c r="S1310" i="32"/>
  <c r="Z1310" i="32"/>
  <c r="AA1310" i="32"/>
  <c r="L1311" i="32"/>
  <c r="M1311" i="32"/>
  <c r="N1311" i="32"/>
  <c r="O1311" i="32"/>
  <c r="P1311" i="32"/>
  <c r="Q1311" i="32"/>
  <c r="R1311" i="32"/>
  <c r="S1311" i="32"/>
  <c r="Z1311" i="32"/>
  <c r="AA1311" i="32"/>
  <c r="L1312" i="32"/>
  <c r="M1312" i="32"/>
  <c r="N1312" i="32"/>
  <c r="O1312" i="32"/>
  <c r="P1312" i="32"/>
  <c r="Q1312" i="32"/>
  <c r="R1312" i="32"/>
  <c r="S1312" i="32"/>
  <c r="Z1312" i="32"/>
  <c r="AA1312" i="32"/>
  <c r="Z1313" i="32"/>
  <c r="AA1313" i="32"/>
  <c r="H1314" i="32"/>
  <c r="K1333" i="32"/>
  <c r="L1339" i="32"/>
  <c r="M1339" i="32"/>
  <c r="N1339" i="32"/>
  <c r="O1339" i="32"/>
  <c r="P1339" i="32"/>
  <c r="Q1339" i="32"/>
  <c r="R1339" i="32"/>
  <c r="S1339" i="32"/>
  <c r="Z1339" i="32"/>
  <c r="AA1339" i="32"/>
  <c r="L1340" i="32"/>
  <c r="M1340" i="32"/>
  <c r="N1340" i="32"/>
  <c r="O1340" i="32"/>
  <c r="P1340" i="32"/>
  <c r="Q1340" i="32"/>
  <c r="R1340" i="32"/>
  <c r="S1340" i="32"/>
  <c r="Z1340" i="32"/>
  <c r="AA1340" i="32"/>
  <c r="L1341" i="32"/>
  <c r="M1341" i="32"/>
  <c r="N1341" i="32"/>
  <c r="O1341" i="32"/>
  <c r="P1341" i="32"/>
  <c r="Q1341" i="32"/>
  <c r="R1341" i="32"/>
  <c r="S1341" i="32"/>
  <c r="Z1341" i="32"/>
  <c r="AA1341" i="32"/>
  <c r="L1342" i="32"/>
  <c r="M1342" i="32"/>
  <c r="N1342" i="32"/>
  <c r="O1342" i="32"/>
  <c r="P1342" i="32"/>
  <c r="Q1342" i="32"/>
  <c r="R1342" i="32"/>
  <c r="S1342" i="32"/>
  <c r="Z1342" i="32"/>
  <c r="AA1342" i="32"/>
  <c r="L1343" i="32"/>
  <c r="M1343" i="32"/>
  <c r="N1343" i="32"/>
  <c r="O1343" i="32"/>
  <c r="P1343" i="32"/>
  <c r="Q1343" i="32"/>
  <c r="R1343" i="32"/>
  <c r="S1343" i="32"/>
  <c r="Z1343" i="32"/>
  <c r="AA1343" i="32"/>
  <c r="Z1344" i="32"/>
  <c r="AA1344" i="32"/>
  <c r="B1345" i="32"/>
  <c r="C1345" i="32"/>
  <c r="D1345" i="32"/>
  <c r="M1345" i="32" s="1"/>
  <c r="E1345" i="32"/>
  <c r="E1357" i="32" s="1"/>
  <c r="F1345" i="32"/>
  <c r="Q1345" i="32"/>
  <c r="G1345" i="32"/>
  <c r="H1345" i="32"/>
  <c r="I1345" i="32"/>
  <c r="L1350" i="32"/>
  <c r="M1350" i="32"/>
  <c r="N1350" i="32"/>
  <c r="O1350" i="32"/>
  <c r="P1350" i="32"/>
  <c r="Q1350" i="32"/>
  <c r="R1350" i="32"/>
  <c r="S1350" i="32"/>
  <c r="Z1350" i="32"/>
  <c r="AA1350" i="32"/>
  <c r="L1351" i="32"/>
  <c r="M1351" i="32"/>
  <c r="N1351" i="32"/>
  <c r="O1351" i="32"/>
  <c r="P1351" i="32"/>
  <c r="Q1351" i="32"/>
  <c r="R1351" i="32"/>
  <c r="S1351" i="32"/>
  <c r="Z1351" i="32"/>
  <c r="AA1351" i="32"/>
  <c r="L1352" i="32"/>
  <c r="M1352" i="32"/>
  <c r="N1352" i="32"/>
  <c r="O1352" i="32"/>
  <c r="P1352" i="32"/>
  <c r="Q1352" i="32"/>
  <c r="R1352" i="32"/>
  <c r="S1352" i="32"/>
  <c r="Z1352" i="32"/>
  <c r="AA1352" i="32"/>
  <c r="L1353" i="32"/>
  <c r="M1353" i="32"/>
  <c r="N1353" i="32"/>
  <c r="O1353" i="32"/>
  <c r="P1353" i="32"/>
  <c r="Q1353" i="32"/>
  <c r="R1353" i="32"/>
  <c r="S1353" i="32"/>
  <c r="Z1353" i="32"/>
  <c r="AA1353" i="32"/>
  <c r="L1354" i="32"/>
  <c r="M1354" i="32"/>
  <c r="N1354" i="32"/>
  <c r="O1354" i="32"/>
  <c r="P1354" i="32"/>
  <c r="Q1354" i="32"/>
  <c r="R1354" i="32"/>
  <c r="S1354" i="32"/>
  <c r="Z1354" i="32"/>
  <c r="AA1354" i="32"/>
  <c r="Z1355" i="32"/>
  <c r="AA1355" i="32"/>
  <c r="B1356" i="32"/>
  <c r="C1356" i="32"/>
  <c r="D1356" i="32"/>
  <c r="E1356" i="32"/>
  <c r="F1356" i="32"/>
  <c r="G1356" i="32"/>
  <c r="G1357" i="32" s="1"/>
  <c r="H1356" i="32"/>
  <c r="I1356" i="32"/>
  <c r="L1363" i="32"/>
  <c r="M1363" i="32"/>
  <c r="N1363" i="32"/>
  <c r="O1363" i="32"/>
  <c r="P1363" i="32"/>
  <c r="Q1363" i="32"/>
  <c r="R1363" i="32"/>
  <c r="S1363" i="32"/>
  <c r="Z1363" i="32"/>
  <c r="AA1363" i="32"/>
  <c r="Z1364" i="32"/>
  <c r="AA1364" i="32"/>
  <c r="B1365" i="32"/>
  <c r="I83" i="5" s="1"/>
  <c r="C1365" i="32"/>
  <c r="C1384" i="32" s="1"/>
  <c r="D1365" i="32"/>
  <c r="I84" i="5"/>
  <c r="I104" i="5" s="1"/>
  <c r="E1365" i="32"/>
  <c r="E1384" i="32" s="1"/>
  <c r="F1365" i="32"/>
  <c r="I81" i="5" s="1"/>
  <c r="I114" i="5" s="1"/>
  <c r="G1365" i="32"/>
  <c r="G1384" i="32" s="1"/>
  <c r="H1365" i="32"/>
  <c r="H1384" i="32" s="1"/>
  <c r="P1384" i="32" s="1"/>
  <c r="I1365" i="32"/>
  <c r="I1384" i="32" s="1"/>
  <c r="L1366" i="32"/>
  <c r="M1366" i="32"/>
  <c r="N1366" i="32"/>
  <c r="O1366" i="32"/>
  <c r="P1366" i="32"/>
  <c r="Q1366" i="32"/>
  <c r="R1366" i="32"/>
  <c r="S1366" i="32"/>
  <c r="Z1366" i="32"/>
  <c r="AA1366" i="32"/>
  <c r="L1367" i="32"/>
  <c r="M1367" i="32"/>
  <c r="N1367" i="32"/>
  <c r="O1367" i="32"/>
  <c r="P1367" i="32"/>
  <c r="Q1367" i="32"/>
  <c r="R1367" i="32"/>
  <c r="S1367" i="32"/>
  <c r="Z1367" i="32"/>
  <c r="AA1367" i="32"/>
  <c r="L1368" i="32"/>
  <c r="M1368" i="32"/>
  <c r="N1368" i="32"/>
  <c r="O1368" i="32"/>
  <c r="P1368" i="32"/>
  <c r="Q1368" i="32"/>
  <c r="R1368" i="32"/>
  <c r="S1368" i="32"/>
  <c r="Z1368" i="32"/>
  <c r="AA1368" i="32"/>
  <c r="L1369" i="32"/>
  <c r="M1369" i="32"/>
  <c r="N1369" i="32"/>
  <c r="O1369" i="32"/>
  <c r="P1369" i="32"/>
  <c r="Q1369" i="32"/>
  <c r="R1369" i="32"/>
  <c r="S1369" i="32"/>
  <c r="Z1369" i="32"/>
  <c r="AA1369" i="32"/>
  <c r="L1370" i="32"/>
  <c r="M1370" i="32"/>
  <c r="N1370" i="32"/>
  <c r="O1370" i="32"/>
  <c r="P1370" i="32"/>
  <c r="Q1370" i="32"/>
  <c r="R1370" i="32"/>
  <c r="S1370" i="32"/>
  <c r="Z1370" i="32"/>
  <c r="AA1370" i="32"/>
  <c r="L1371" i="32"/>
  <c r="M1371" i="32"/>
  <c r="N1371" i="32"/>
  <c r="O1371" i="32"/>
  <c r="P1371" i="32"/>
  <c r="Q1371" i="32"/>
  <c r="R1371" i="32"/>
  <c r="S1371" i="32"/>
  <c r="Z1371" i="32"/>
  <c r="AA1371" i="32"/>
  <c r="L1372" i="32"/>
  <c r="M1372" i="32"/>
  <c r="N1372" i="32"/>
  <c r="O1372" i="32"/>
  <c r="P1372" i="32"/>
  <c r="Q1372" i="32"/>
  <c r="R1372" i="32"/>
  <c r="S1372" i="32"/>
  <c r="Z1372" i="32"/>
  <c r="AA1372" i="32"/>
  <c r="L1373" i="32"/>
  <c r="M1373" i="32"/>
  <c r="N1373" i="32"/>
  <c r="O1373" i="32"/>
  <c r="P1373" i="32"/>
  <c r="Q1373" i="32"/>
  <c r="R1373" i="32"/>
  <c r="S1373" i="32"/>
  <c r="Z1373" i="32"/>
  <c r="AA1373" i="32"/>
  <c r="L1374" i="32"/>
  <c r="M1374" i="32"/>
  <c r="N1374" i="32"/>
  <c r="O1374" i="32"/>
  <c r="P1374" i="32"/>
  <c r="Q1374" i="32"/>
  <c r="R1374" i="32"/>
  <c r="S1374" i="32"/>
  <c r="Z1374" i="32"/>
  <c r="AA1374" i="32"/>
  <c r="L1375" i="32"/>
  <c r="M1375" i="32"/>
  <c r="N1375" i="32"/>
  <c r="O1375" i="32"/>
  <c r="P1375" i="32"/>
  <c r="Q1375" i="32"/>
  <c r="R1375" i="32"/>
  <c r="S1375" i="32"/>
  <c r="Z1375" i="32"/>
  <c r="AA1375" i="32"/>
  <c r="L1376" i="32"/>
  <c r="M1376" i="32"/>
  <c r="N1376" i="32"/>
  <c r="O1376" i="32"/>
  <c r="P1376" i="32"/>
  <c r="Q1376" i="32"/>
  <c r="R1376" i="32"/>
  <c r="S1376" i="32"/>
  <c r="Z1376" i="32"/>
  <c r="AA1376" i="32"/>
  <c r="L1377" i="32"/>
  <c r="M1377" i="32"/>
  <c r="N1377" i="32"/>
  <c r="O1377" i="32"/>
  <c r="P1377" i="32"/>
  <c r="Q1377" i="32"/>
  <c r="R1377" i="32"/>
  <c r="S1377" i="32"/>
  <c r="Z1377" i="32"/>
  <c r="AA1377" i="32"/>
  <c r="L1378" i="32"/>
  <c r="M1378" i="32"/>
  <c r="N1378" i="32"/>
  <c r="O1378" i="32"/>
  <c r="P1378" i="32"/>
  <c r="Q1378" i="32"/>
  <c r="R1378" i="32"/>
  <c r="S1378" i="32"/>
  <c r="Z1378" i="32"/>
  <c r="AA1378" i="32"/>
  <c r="L1379" i="32"/>
  <c r="M1379" i="32"/>
  <c r="N1379" i="32"/>
  <c r="O1379" i="32"/>
  <c r="P1379" i="32"/>
  <c r="Q1379" i="32"/>
  <c r="R1379" i="32"/>
  <c r="S1379" i="32"/>
  <c r="Z1379" i="32"/>
  <c r="AA1379" i="32"/>
  <c r="L1380" i="32"/>
  <c r="M1380" i="32"/>
  <c r="N1380" i="32"/>
  <c r="O1380" i="32"/>
  <c r="P1380" i="32"/>
  <c r="Q1380" i="32"/>
  <c r="R1380" i="32"/>
  <c r="S1380" i="32"/>
  <c r="Z1380" i="32"/>
  <c r="AA1380" i="32"/>
  <c r="L1381" i="32"/>
  <c r="M1381" i="32"/>
  <c r="N1381" i="32"/>
  <c r="O1381" i="32"/>
  <c r="P1381" i="32"/>
  <c r="Q1381" i="32"/>
  <c r="R1381" i="32"/>
  <c r="S1381" i="32"/>
  <c r="Z1381" i="32"/>
  <c r="AA1381" i="32"/>
  <c r="L1382" i="32"/>
  <c r="M1382" i="32"/>
  <c r="N1382" i="32"/>
  <c r="O1382" i="32"/>
  <c r="P1382" i="32"/>
  <c r="Q1382" i="32"/>
  <c r="R1382" i="32"/>
  <c r="S1382" i="32"/>
  <c r="Z1382" i="32"/>
  <c r="AA1382" i="32"/>
  <c r="Z1383" i="32"/>
  <c r="AA1383" i="32"/>
  <c r="D1384" i="32"/>
  <c r="K1403" i="32"/>
  <c r="L1409" i="32"/>
  <c r="M1409" i="32"/>
  <c r="N1409" i="32"/>
  <c r="O1409" i="32"/>
  <c r="P1409" i="32"/>
  <c r="Q1409" i="32"/>
  <c r="R1409" i="32"/>
  <c r="S1409" i="32"/>
  <c r="Z1409" i="32"/>
  <c r="AA1409" i="32"/>
  <c r="L1410" i="32"/>
  <c r="M1410" i="32"/>
  <c r="N1410" i="32"/>
  <c r="O1410" i="32"/>
  <c r="P1410" i="32"/>
  <c r="Q1410" i="32"/>
  <c r="R1410" i="32"/>
  <c r="S1410" i="32"/>
  <c r="Z1410" i="32"/>
  <c r="AA1410" i="32"/>
  <c r="L1411" i="32"/>
  <c r="M1411" i="32"/>
  <c r="N1411" i="32"/>
  <c r="O1411" i="32"/>
  <c r="P1411" i="32"/>
  <c r="Q1411" i="32"/>
  <c r="R1411" i="32"/>
  <c r="S1411" i="32"/>
  <c r="Z1411" i="32"/>
  <c r="AA1411" i="32"/>
  <c r="L1412" i="32"/>
  <c r="M1412" i="32"/>
  <c r="N1412" i="32"/>
  <c r="O1412" i="32"/>
  <c r="P1412" i="32"/>
  <c r="Q1412" i="32"/>
  <c r="R1412" i="32"/>
  <c r="S1412" i="32"/>
  <c r="Z1412" i="32"/>
  <c r="AA1412" i="32"/>
  <c r="L1413" i="32"/>
  <c r="M1413" i="32"/>
  <c r="N1413" i="32"/>
  <c r="O1413" i="32"/>
  <c r="P1413" i="32"/>
  <c r="Q1413" i="32"/>
  <c r="R1413" i="32"/>
  <c r="S1413" i="32"/>
  <c r="Z1413" i="32"/>
  <c r="AA1413" i="32"/>
  <c r="Z1414" i="32"/>
  <c r="AA1414" i="32"/>
  <c r="B1415" i="32"/>
  <c r="C1415" i="32"/>
  <c r="D1415" i="32"/>
  <c r="E1415" i="32"/>
  <c r="E1427" i="32" s="1"/>
  <c r="F1415" i="32"/>
  <c r="G1415" i="32"/>
  <c r="G1427" i="32" s="1"/>
  <c r="H1415" i="32"/>
  <c r="I1415" i="32"/>
  <c r="I1427" i="32"/>
  <c r="L1420" i="32"/>
  <c r="M1420" i="32"/>
  <c r="N1420" i="32"/>
  <c r="O1420" i="32"/>
  <c r="P1420" i="32"/>
  <c r="Q1420" i="32"/>
  <c r="R1420" i="32"/>
  <c r="S1420" i="32"/>
  <c r="Z1420" i="32"/>
  <c r="AA1420" i="32"/>
  <c r="L1421" i="32"/>
  <c r="M1421" i="32"/>
  <c r="N1421" i="32"/>
  <c r="O1421" i="32"/>
  <c r="P1421" i="32"/>
  <c r="Q1421" i="32"/>
  <c r="R1421" i="32"/>
  <c r="S1421" i="32"/>
  <c r="Z1421" i="32"/>
  <c r="AA1421" i="32"/>
  <c r="L1422" i="32"/>
  <c r="M1422" i="32"/>
  <c r="N1422" i="32"/>
  <c r="O1422" i="32"/>
  <c r="P1422" i="32"/>
  <c r="Q1422" i="32"/>
  <c r="R1422" i="32"/>
  <c r="S1422" i="32"/>
  <c r="Z1422" i="32"/>
  <c r="AA1422" i="32"/>
  <c r="L1423" i="32"/>
  <c r="M1423" i="32"/>
  <c r="N1423" i="32"/>
  <c r="O1423" i="32"/>
  <c r="P1423" i="32"/>
  <c r="Q1423" i="32"/>
  <c r="R1423" i="32"/>
  <c r="S1423" i="32"/>
  <c r="Z1423" i="32"/>
  <c r="AA1423" i="32"/>
  <c r="L1424" i="32"/>
  <c r="M1424" i="32"/>
  <c r="N1424" i="32"/>
  <c r="O1424" i="32"/>
  <c r="P1424" i="32"/>
  <c r="Q1424" i="32"/>
  <c r="R1424" i="32"/>
  <c r="S1424" i="32"/>
  <c r="Z1424" i="32"/>
  <c r="AA1424" i="32"/>
  <c r="Z1425" i="32"/>
  <c r="AA1425" i="32"/>
  <c r="B1426" i="32"/>
  <c r="B1427" i="32" s="1"/>
  <c r="C1426" i="32"/>
  <c r="Z1426" i="32" s="1"/>
  <c r="D1426" i="32"/>
  <c r="E1426" i="32"/>
  <c r="F1426" i="32"/>
  <c r="G1426" i="32"/>
  <c r="H1426" i="32"/>
  <c r="H1427" i="32"/>
  <c r="I1426" i="32"/>
  <c r="L1433" i="32"/>
  <c r="M1433" i="32"/>
  <c r="N1433" i="32"/>
  <c r="O1433" i="32"/>
  <c r="P1433" i="32"/>
  <c r="Q1433" i="32"/>
  <c r="R1433" i="32"/>
  <c r="S1433" i="32"/>
  <c r="Z1433" i="32"/>
  <c r="AA1433" i="32"/>
  <c r="Z1434" i="32"/>
  <c r="AA1434" i="32"/>
  <c r="B1435" i="32"/>
  <c r="C1435" i="32"/>
  <c r="D1435" i="32"/>
  <c r="E1435" i="32"/>
  <c r="E1454" i="32" s="1"/>
  <c r="F1435" i="32"/>
  <c r="L81" i="5"/>
  <c r="G1435" i="32"/>
  <c r="G1454" i="32"/>
  <c r="H1435" i="32"/>
  <c r="H1454" i="32" s="1"/>
  <c r="I1435" i="32"/>
  <c r="I1454" i="32" s="1"/>
  <c r="L1436" i="32"/>
  <c r="M1436" i="32"/>
  <c r="N1436" i="32"/>
  <c r="O1436" i="32"/>
  <c r="P1436" i="32"/>
  <c r="Q1436" i="32"/>
  <c r="R1436" i="32"/>
  <c r="S1436" i="32"/>
  <c r="Z1436" i="32"/>
  <c r="AA1436" i="32"/>
  <c r="L1437" i="32"/>
  <c r="M1437" i="32"/>
  <c r="N1437" i="32"/>
  <c r="O1437" i="32"/>
  <c r="P1437" i="32"/>
  <c r="Q1437" i="32"/>
  <c r="R1437" i="32"/>
  <c r="S1437" i="32"/>
  <c r="Z1437" i="32"/>
  <c r="AA1437" i="32"/>
  <c r="L1438" i="32"/>
  <c r="M1438" i="32"/>
  <c r="N1438" i="32"/>
  <c r="O1438" i="32"/>
  <c r="P1438" i="32"/>
  <c r="Q1438" i="32"/>
  <c r="R1438" i="32"/>
  <c r="S1438" i="32"/>
  <c r="Z1438" i="32"/>
  <c r="AA1438" i="32"/>
  <c r="L1439" i="32"/>
  <c r="M1439" i="32"/>
  <c r="N1439" i="32"/>
  <c r="O1439" i="32"/>
  <c r="P1439" i="32"/>
  <c r="Q1439" i="32"/>
  <c r="R1439" i="32"/>
  <c r="S1439" i="32"/>
  <c r="Z1439" i="32"/>
  <c r="AA1439" i="32"/>
  <c r="L1440" i="32"/>
  <c r="M1440" i="32"/>
  <c r="N1440" i="32"/>
  <c r="O1440" i="32"/>
  <c r="P1440" i="32"/>
  <c r="Q1440" i="32"/>
  <c r="R1440" i="32"/>
  <c r="S1440" i="32"/>
  <c r="Z1440" i="32"/>
  <c r="AA1440" i="32"/>
  <c r="L1441" i="32"/>
  <c r="M1441" i="32"/>
  <c r="N1441" i="32"/>
  <c r="O1441" i="32"/>
  <c r="P1441" i="32"/>
  <c r="Q1441" i="32"/>
  <c r="R1441" i="32"/>
  <c r="S1441" i="32"/>
  <c r="Z1441" i="32"/>
  <c r="AA1441" i="32"/>
  <c r="L1442" i="32"/>
  <c r="M1442" i="32"/>
  <c r="N1442" i="32"/>
  <c r="O1442" i="32"/>
  <c r="P1442" i="32"/>
  <c r="Q1442" i="32"/>
  <c r="R1442" i="32"/>
  <c r="S1442" i="32"/>
  <c r="Z1442" i="32"/>
  <c r="AA1442" i="32"/>
  <c r="L1443" i="32"/>
  <c r="M1443" i="32"/>
  <c r="N1443" i="32"/>
  <c r="O1443" i="32"/>
  <c r="P1443" i="32"/>
  <c r="Q1443" i="32"/>
  <c r="R1443" i="32"/>
  <c r="S1443" i="32"/>
  <c r="Z1443" i="32"/>
  <c r="AA1443" i="32"/>
  <c r="L1444" i="32"/>
  <c r="M1444" i="32"/>
  <c r="N1444" i="32"/>
  <c r="O1444" i="32"/>
  <c r="P1444" i="32"/>
  <c r="Q1444" i="32"/>
  <c r="R1444" i="32"/>
  <c r="S1444" i="32"/>
  <c r="Z1444" i="32"/>
  <c r="AA1444" i="32"/>
  <c r="L1445" i="32"/>
  <c r="M1445" i="32"/>
  <c r="N1445" i="32"/>
  <c r="O1445" i="32"/>
  <c r="P1445" i="32"/>
  <c r="Q1445" i="32"/>
  <c r="R1445" i="32"/>
  <c r="S1445" i="32"/>
  <c r="Z1445" i="32"/>
  <c r="AA1445" i="32"/>
  <c r="L1446" i="32"/>
  <c r="M1446" i="32"/>
  <c r="N1446" i="32"/>
  <c r="O1446" i="32"/>
  <c r="P1446" i="32"/>
  <c r="Q1446" i="32"/>
  <c r="R1446" i="32"/>
  <c r="S1446" i="32"/>
  <c r="Z1446" i="32"/>
  <c r="AA1446" i="32"/>
  <c r="L1447" i="32"/>
  <c r="M1447" i="32"/>
  <c r="N1447" i="32"/>
  <c r="O1447" i="32"/>
  <c r="P1447" i="32"/>
  <c r="Q1447" i="32"/>
  <c r="R1447" i="32"/>
  <c r="S1447" i="32"/>
  <c r="Z1447" i="32"/>
  <c r="AA1447" i="32"/>
  <c r="L1448" i="32"/>
  <c r="M1448" i="32"/>
  <c r="N1448" i="32"/>
  <c r="O1448" i="32"/>
  <c r="P1448" i="32"/>
  <c r="Q1448" i="32"/>
  <c r="R1448" i="32"/>
  <c r="S1448" i="32"/>
  <c r="Z1448" i="32"/>
  <c r="AA1448" i="32"/>
  <c r="L1449" i="32"/>
  <c r="M1449" i="32"/>
  <c r="N1449" i="32"/>
  <c r="O1449" i="32"/>
  <c r="P1449" i="32"/>
  <c r="Q1449" i="32"/>
  <c r="R1449" i="32"/>
  <c r="S1449" i="32"/>
  <c r="Z1449" i="32"/>
  <c r="AA1449" i="32"/>
  <c r="L1450" i="32"/>
  <c r="M1450" i="32"/>
  <c r="N1450" i="32"/>
  <c r="O1450" i="32"/>
  <c r="P1450" i="32"/>
  <c r="Q1450" i="32"/>
  <c r="R1450" i="32"/>
  <c r="S1450" i="32"/>
  <c r="Z1450" i="32"/>
  <c r="AA1450" i="32"/>
  <c r="L1451" i="32"/>
  <c r="M1451" i="32"/>
  <c r="N1451" i="32"/>
  <c r="O1451" i="32"/>
  <c r="P1451" i="32"/>
  <c r="Q1451" i="32"/>
  <c r="R1451" i="32"/>
  <c r="S1451" i="32"/>
  <c r="Z1451" i="32"/>
  <c r="AA1451" i="32"/>
  <c r="L1452" i="32"/>
  <c r="M1452" i="32"/>
  <c r="N1452" i="32"/>
  <c r="O1452" i="32"/>
  <c r="P1452" i="32"/>
  <c r="Q1452" i="32"/>
  <c r="R1452" i="32"/>
  <c r="S1452" i="32"/>
  <c r="Z1452" i="32"/>
  <c r="AA1452" i="32"/>
  <c r="Z1453" i="32"/>
  <c r="AA1453" i="32"/>
  <c r="K1473" i="32"/>
  <c r="L1479" i="32"/>
  <c r="M1479" i="32"/>
  <c r="N1479" i="32"/>
  <c r="O1479" i="32"/>
  <c r="P1479" i="32"/>
  <c r="Q1479" i="32"/>
  <c r="R1479" i="32"/>
  <c r="S1479" i="32"/>
  <c r="Z1479" i="32"/>
  <c r="AA1479" i="32"/>
  <c r="L1480" i="32"/>
  <c r="M1480" i="32"/>
  <c r="N1480" i="32"/>
  <c r="O1480" i="32"/>
  <c r="P1480" i="32"/>
  <c r="Q1480" i="32"/>
  <c r="R1480" i="32"/>
  <c r="S1480" i="32"/>
  <c r="Z1480" i="32"/>
  <c r="AA1480" i="32"/>
  <c r="L1481" i="32"/>
  <c r="M1481" i="32"/>
  <c r="N1481" i="32"/>
  <c r="O1481" i="32"/>
  <c r="P1481" i="32"/>
  <c r="Q1481" i="32"/>
  <c r="R1481" i="32"/>
  <c r="S1481" i="32"/>
  <c r="Z1481" i="32"/>
  <c r="AA1481" i="32"/>
  <c r="L1482" i="32"/>
  <c r="M1482" i="32"/>
  <c r="N1482" i="32"/>
  <c r="O1482" i="32"/>
  <c r="P1482" i="32"/>
  <c r="Q1482" i="32"/>
  <c r="R1482" i="32"/>
  <c r="S1482" i="32"/>
  <c r="Z1482" i="32"/>
  <c r="AA1482" i="32"/>
  <c r="L1483" i="32"/>
  <c r="M1483" i="32"/>
  <c r="N1483" i="32"/>
  <c r="O1483" i="32"/>
  <c r="P1483" i="32"/>
  <c r="Q1483" i="32"/>
  <c r="R1483" i="32"/>
  <c r="S1483" i="32"/>
  <c r="Z1483" i="32"/>
  <c r="AA1483" i="32"/>
  <c r="Z1484" i="32"/>
  <c r="AA1484" i="32"/>
  <c r="B1485" i="32"/>
  <c r="B1497" i="32" s="1"/>
  <c r="C1485" i="32"/>
  <c r="D1485" i="32"/>
  <c r="E1485" i="32"/>
  <c r="F1485" i="32"/>
  <c r="G1485" i="32"/>
  <c r="H1485" i="32"/>
  <c r="I1485" i="32"/>
  <c r="Q1485" i="32"/>
  <c r="L1490" i="32"/>
  <c r="M1490" i="32"/>
  <c r="N1490" i="32"/>
  <c r="O1490" i="32"/>
  <c r="P1490" i="32"/>
  <c r="Q1490" i="32"/>
  <c r="R1490" i="32"/>
  <c r="S1490" i="32"/>
  <c r="Z1490" i="32"/>
  <c r="AA1490" i="32"/>
  <c r="L1491" i="32"/>
  <c r="M1491" i="32"/>
  <c r="N1491" i="32"/>
  <c r="O1491" i="32"/>
  <c r="P1491" i="32"/>
  <c r="Q1491" i="32"/>
  <c r="R1491" i="32"/>
  <c r="S1491" i="32"/>
  <c r="Z1491" i="32"/>
  <c r="AA1491" i="32"/>
  <c r="L1492" i="32"/>
  <c r="M1492" i="32"/>
  <c r="N1492" i="32"/>
  <c r="O1492" i="32"/>
  <c r="P1492" i="32"/>
  <c r="Q1492" i="32"/>
  <c r="R1492" i="32"/>
  <c r="S1492" i="32"/>
  <c r="Z1492" i="32"/>
  <c r="AA1492" i="32"/>
  <c r="L1493" i="32"/>
  <c r="M1493" i="32"/>
  <c r="N1493" i="32"/>
  <c r="O1493" i="32"/>
  <c r="P1493" i="32"/>
  <c r="Q1493" i="32"/>
  <c r="R1493" i="32"/>
  <c r="S1493" i="32"/>
  <c r="Z1493" i="32"/>
  <c r="AA1493" i="32"/>
  <c r="L1494" i="32"/>
  <c r="M1494" i="32"/>
  <c r="N1494" i="32"/>
  <c r="O1494" i="32"/>
  <c r="P1494" i="32"/>
  <c r="Q1494" i="32"/>
  <c r="R1494" i="32"/>
  <c r="S1494" i="32"/>
  <c r="Z1494" i="32"/>
  <c r="AA1494" i="32"/>
  <c r="Z1495" i="32"/>
  <c r="AA1495" i="32"/>
  <c r="B1496" i="32"/>
  <c r="C1496" i="32"/>
  <c r="D1496" i="32"/>
  <c r="N1496" i="32" s="1"/>
  <c r="E1496" i="32"/>
  <c r="F1496" i="32"/>
  <c r="O1496" i="32" s="1"/>
  <c r="G1496" i="32"/>
  <c r="H1496" i="32"/>
  <c r="I1496" i="32"/>
  <c r="L1503" i="32"/>
  <c r="M1503" i="32"/>
  <c r="N1503" i="32"/>
  <c r="O1503" i="32"/>
  <c r="P1503" i="32"/>
  <c r="Q1503" i="32"/>
  <c r="R1503" i="32"/>
  <c r="S1503" i="32"/>
  <c r="Z1503" i="32"/>
  <c r="AA1503" i="32"/>
  <c r="Z1504" i="32"/>
  <c r="AA1504" i="32"/>
  <c r="B1505" i="32"/>
  <c r="Q83" i="5" s="1"/>
  <c r="C1505" i="32"/>
  <c r="C1524" i="32" s="1"/>
  <c r="D1505" i="32"/>
  <c r="Q84" i="5" s="1"/>
  <c r="E1505" i="32"/>
  <c r="E1524" i="32" s="1"/>
  <c r="F1505" i="32"/>
  <c r="G1505" i="32"/>
  <c r="G1524" i="32" s="1"/>
  <c r="H1505" i="32"/>
  <c r="H1524" i="32" s="1"/>
  <c r="I1505" i="32"/>
  <c r="L1506" i="32"/>
  <c r="M1506" i="32"/>
  <c r="N1506" i="32"/>
  <c r="O1506" i="32"/>
  <c r="P1506" i="32"/>
  <c r="Q1506" i="32"/>
  <c r="R1506" i="32"/>
  <c r="S1506" i="32"/>
  <c r="Z1506" i="32"/>
  <c r="AA1506" i="32"/>
  <c r="L1507" i="32"/>
  <c r="M1507" i="32"/>
  <c r="N1507" i="32"/>
  <c r="O1507" i="32"/>
  <c r="P1507" i="32"/>
  <c r="Q1507" i="32"/>
  <c r="R1507" i="32"/>
  <c r="S1507" i="32"/>
  <c r="Z1507" i="32"/>
  <c r="AA1507" i="32"/>
  <c r="L1508" i="32"/>
  <c r="M1508" i="32"/>
  <c r="N1508" i="32"/>
  <c r="O1508" i="32"/>
  <c r="P1508" i="32"/>
  <c r="Q1508" i="32"/>
  <c r="R1508" i="32"/>
  <c r="S1508" i="32"/>
  <c r="Z1508" i="32"/>
  <c r="AA1508" i="32"/>
  <c r="L1509" i="32"/>
  <c r="M1509" i="32"/>
  <c r="N1509" i="32"/>
  <c r="O1509" i="32"/>
  <c r="P1509" i="32"/>
  <c r="Q1509" i="32"/>
  <c r="R1509" i="32"/>
  <c r="S1509" i="32"/>
  <c r="Z1509" i="32"/>
  <c r="AA1509" i="32"/>
  <c r="L1510" i="32"/>
  <c r="M1510" i="32"/>
  <c r="N1510" i="32"/>
  <c r="O1510" i="32"/>
  <c r="P1510" i="32"/>
  <c r="Q1510" i="32"/>
  <c r="R1510" i="32"/>
  <c r="S1510" i="32"/>
  <c r="Z1510" i="32"/>
  <c r="AA1510" i="32"/>
  <c r="L1511" i="32"/>
  <c r="M1511" i="32"/>
  <c r="N1511" i="32"/>
  <c r="O1511" i="32"/>
  <c r="P1511" i="32"/>
  <c r="Q1511" i="32"/>
  <c r="R1511" i="32"/>
  <c r="S1511" i="32"/>
  <c r="Z1511" i="32"/>
  <c r="AA1511" i="32"/>
  <c r="L1512" i="32"/>
  <c r="M1512" i="32"/>
  <c r="N1512" i="32"/>
  <c r="O1512" i="32"/>
  <c r="P1512" i="32"/>
  <c r="Q1512" i="32"/>
  <c r="R1512" i="32"/>
  <c r="S1512" i="32"/>
  <c r="Z1512" i="32"/>
  <c r="AA1512" i="32"/>
  <c r="L1513" i="32"/>
  <c r="M1513" i="32"/>
  <c r="N1513" i="32"/>
  <c r="O1513" i="32"/>
  <c r="P1513" i="32"/>
  <c r="Q1513" i="32"/>
  <c r="R1513" i="32"/>
  <c r="S1513" i="32"/>
  <c r="Z1513" i="32"/>
  <c r="AA1513" i="32"/>
  <c r="L1514" i="32"/>
  <c r="M1514" i="32"/>
  <c r="N1514" i="32"/>
  <c r="O1514" i="32"/>
  <c r="P1514" i="32"/>
  <c r="Q1514" i="32"/>
  <c r="R1514" i="32"/>
  <c r="S1514" i="32"/>
  <c r="Z1514" i="32"/>
  <c r="AA1514" i="32"/>
  <c r="L1515" i="32"/>
  <c r="M1515" i="32"/>
  <c r="N1515" i="32"/>
  <c r="O1515" i="32"/>
  <c r="P1515" i="32"/>
  <c r="Q1515" i="32"/>
  <c r="R1515" i="32"/>
  <c r="S1515" i="32"/>
  <c r="Z1515" i="32"/>
  <c r="AA1515" i="32"/>
  <c r="L1516" i="32"/>
  <c r="M1516" i="32"/>
  <c r="N1516" i="32"/>
  <c r="O1516" i="32"/>
  <c r="P1516" i="32"/>
  <c r="Q1516" i="32"/>
  <c r="R1516" i="32"/>
  <c r="S1516" i="32"/>
  <c r="Z1516" i="32"/>
  <c r="AA1516" i="32"/>
  <c r="L1517" i="32"/>
  <c r="M1517" i="32"/>
  <c r="N1517" i="32"/>
  <c r="O1517" i="32"/>
  <c r="P1517" i="32"/>
  <c r="Q1517" i="32"/>
  <c r="R1517" i="32"/>
  <c r="S1517" i="32"/>
  <c r="Z1517" i="32"/>
  <c r="AA1517" i="32"/>
  <c r="L1518" i="32"/>
  <c r="M1518" i="32"/>
  <c r="N1518" i="32"/>
  <c r="O1518" i="32"/>
  <c r="P1518" i="32"/>
  <c r="Q1518" i="32"/>
  <c r="R1518" i="32"/>
  <c r="S1518" i="32"/>
  <c r="Z1518" i="32"/>
  <c r="AA1518" i="32"/>
  <c r="L1519" i="32"/>
  <c r="M1519" i="32"/>
  <c r="N1519" i="32"/>
  <c r="O1519" i="32"/>
  <c r="P1519" i="32"/>
  <c r="Q1519" i="32"/>
  <c r="R1519" i="32"/>
  <c r="S1519" i="32"/>
  <c r="Z1519" i="32"/>
  <c r="AA1519" i="32"/>
  <c r="L1520" i="32"/>
  <c r="M1520" i="32"/>
  <c r="N1520" i="32"/>
  <c r="O1520" i="32"/>
  <c r="P1520" i="32"/>
  <c r="Q1520" i="32"/>
  <c r="R1520" i="32"/>
  <c r="S1520" i="32"/>
  <c r="Z1520" i="32"/>
  <c r="AA1520" i="32"/>
  <c r="L1521" i="32"/>
  <c r="M1521" i="32"/>
  <c r="N1521" i="32"/>
  <c r="O1521" i="32"/>
  <c r="P1521" i="32"/>
  <c r="Q1521" i="32"/>
  <c r="R1521" i="32"/>
  <c r="S1521" i="32"/>
  <c r="Z1521" i="32"/>
  <c r="AA1521" i="32"/>
  <c r="L1522" i="32"/>
  <c r="M1522" i="32"/>
  <c r="N1522" i="32"/>
  <c r="O1522" i="32"/>
  <c r="P1522" i="32"/>
  <c r="Q1522" i="32"/>
  <c r="R1522" i="32"/>
  <c r="S1522" i="32"/>
  <c r="Z1522" i="32"/>
  <c r="AA1522" i="32"/>
  <c r="Z1523" i="32"/>
  <c r="AA1523" i="32"/>
  <c r="K1543" i="32"/>
  <c r="L1549" i="32"/>
  <c r="M1549" i="32"/>
  <c r="N1549" i="32"/>
  <c r="O1549" i="32"/>
  <c r="P1549" i="32"/>
  <c r="Q1549" i="32"/>
  <c r="R1549" i="32"/>
  <c r="S1549" i="32"/>
  <c r="Z1549" i="32"/>
  <c r="AA1549" i="32"/>
  <c r="L1550" i="32"/>
  <c r="M1550" i="32"/>
  <c r="N1550" i="32"/>
  <c r="O1550" i="32"/>
  <c r="P1550" i="32"/>
  <c r="Q1550" i="32"/>
  <c r="R1550" i="32"/>
  <c r="S1550" i="32"/>
  <c r="Z1550" i="32"/>
  <c r="AA1550" i="32"/>
  <c r="L1551" i="32"/>
  <c r="M1551" i="32"/>
  <c r="N1551" i="32"/>
  <c r="O1551" i="32"/>
  <c r="P1551" i="32"/>
  <c r="Q1551" i="32"/>
  <c r="R1551" i="32"/>
  <c r="S1551" i="32"/>
  <c r="Z1551" i="32"/>
  <c r="AA1551" i="32"/>
  <c r="L1552" i="32"/>
  <c r="M1552" i="32"/>
  <c r="N1552" i="32"/>
  <c r="O1552" i="32"/>
  <c r="P1552" i="32"/>
  <c r="Q1552" i="32"/>
  <c r="R1552" i="32"/>
  <c r="S1552" i="32"/>
  <c r="Z1552" i="32"/>
  <c r="AA1552" i="32"/>
  <c r="L1553" i="32"/>
  <c r="M1553" i="32"/>
  <c r="N1553" i="32"/>
  <c r="O1553" i="32"/>
  <c r="P1553" i="32"/>
  <c r="Q1553" i="32"/>
  <c r="R1553" i="32"/>
  <c r="S1553" i="32"/>
  <c r="Z1553" i="32"/>
  <c r="AA1553" i="32"/>
  <c r="Z1554" i="32"/>
  <c r="AA1554" i="32"/>
  <c r="B1555" i="32"/>
  <c r="C1555" i="32"/>
  <c r="C1567" i="32" s="1"/>
  <c r="D1555" i="32"/>
  <c r="E1555" i="32"/>
  <c r="F1555" i="32"/>
  <c r="G1555" i="32"/>
  <c r="R1555" i="32" s="1"/>
  <c r="H1555" i="32"/>
  <c r="I1555" i="32"/>
  <c r="L1560" i="32"/>
  <c r="M1560" i="32"/>
  <c r="N1560" i="32"/>
  <c r="O1560" i="32"/>
  <c r="P1560" i="32"/>
  <c r="Q1560" i="32"/>
  <c r="R1560" i="32"/>
  <c r="S1560" i="32"/>
  <c r="Z1560" i="32"/>
  <c r="AA1560" i="32"/>
  <c r="L1561" i="32"/>
  <c r="M1561" i="32"/>
  <c r="N1561" i="32"/>
  <c r="O1561" i="32"/>
  <c r="P1561" i="32"/>
  <c r="Q1561" i="32"/>
  <c r="R1561" i="32"/>
  <c r="S1561" i="32"/>
  <c r="Z1561" i="32"/>
  <c r="AA1561" i="32"/>
  <c r="L1562" i="32"/>
  <c r="M1562" i="32"/>
  <c r="N1562" i="32"/>
  <c r="O1562" i="32"/>
  <c r="P1562" i="32"/>
  <c r="Q1562" i="32"/>
  <c r="R1562" i="32"/>
  <c r="S1562" i="32"/>
  <c r="Z1562" i="32"/>
  <c r="AA1562" i="32"/>
  <c r="L1563" i="32"/>
  <c r="M1563" i="32"/>
  <c r="N1563" i="32"/>
  <c r="O1563" i="32"/>
  <c r="P1563" i="32"/>
  <c r="Q1563" i="32"/>
  <c r="R1563" i="32"/>
  <c r="S1563" i="32"/>
  <c r="Z1563" i="32"/>
  <c r="AA1563" i="32"/>
  <c r="L1564" i="32"/>
  <c r="M1564" i="32"/>
  <c r="N1564" i="32"/>
  <c r="O1564" i="32"/>
  <c r="P1564" i="32"/>
  <c r="Q1564" i="32"/>
  <c r="R1564" i="32"/>
  <c r="S1564" i="32"/>
  <c r="Z1564" i="32"/>
  <c r="AA1564" i="32"/>
  <c r="Z1565" i="32"/>
  <c r="AA1565" i="32"/>
  <c r="B1566" i="32"/>
  <c r="Z1566" i="32" s="1"/>
  <c r="C1566" i="32"/>
  <c r="D1566" i="32"/>
  <c r="E1566" i="32"/>
  <c r="E1567" i="32" s="1"/>
  <c r="F1566" i="32"/>
  <c r="G1566" i="32"/>
  <c r="H1566" i="32"/>
  <c r="I1566" i="32"/>
  <c r="I1567" i="32"/>
  <c r="L1573" i="32"/>
  <c r="M1573" i="32"/>
  <c r="N1573" i="32"/>
  <c r="O1573" i="32"/>
  <c r="P1573" i="32"/>
  <c r="Q1573" i="32"/>
  <c r="R1573" i="32"/>
  <c r="S1573" i="32"/>
  <c r="Z1573" i="32"/>
  <c r="AA1573" i="32"/>
  <c r="Z1574" i="32"/>
  <c r="AA1574" i="32"/>
  <c r="B1575" i="32"/>
  <c r="V83" i="5" s="1"/>
  <c r="C1575" i="32"/>
  <c r="C1594" i="32" s="1"/>
  <c r="D1575" i="32"/>
  <c r="E1575" i="32"/>
  <c r="F1575" i="32"/>
  <c r="V81" i="5" s="1"/>
  <c r="V114" i="5" s="1"/>
  <c r="G1575" i="32"/>
  <c r="G1594" i="32" s="1"/>
  <c r="H1575" i="32"/>
  <c r="H1594" i="32" s="1"/>
  <c r="I1575" i="32"/>
  <c r="L1576" i="32"/>
  <c r="M1576" i="32"/>
  <c r="N1576" i="32"/>
  <c r="O1576" i="32"/>
  <c r="P1576" i="32"/>
  <c r="Q1576" i="32"/>
  <c r="R1576" i="32"/>
  <c r="S1576" i="32"/>
  <c r="Z1576" i="32"/>
  <c r="AA1576" i="32"/>
  <c r="L1577" i="32"/>
  <c r="M1577" i="32"/>
  <c r="N1577" i="32"/>
  <c r="O1577" i="32"/>
  <c r="P1577" i="32"/>
  <c r="Q1577" i="32"/>
  <c r="R1577" i="32"/>
  <c r="S1577" i="32"/>
  <c r="Z1577" i="32"/>
  <c r="AA1577" i="32"/>
  <c r="L1578" i="32"/>
  <c r="M1578" i="32"/>
  <c r="N1578" i="32"/>
  <c r="O1578" i="32"/>
  <c r="P1578" i="32"/>
  <c r="Q1578" i="32"/>
  <c r="R1578" i="32"/>
  <c r="S1578" i="32"/>
  <c r="Z1578" i="32"/>
  <c r="AA1578" i="32"/>
  <c r="L1579" i="32"/>
  <c r="M1579" i="32"/>
  <c r="N1579" i="32"/>
  <c r="O1579" i="32"/>
  <c r="P1579" i="32"/>
  <c r="Q1579" i="32"/>
  <c r="R1579" i="32"/>
  <c r="S1579" i="32"/>
  <c r="Z1579" i="32"/>
  <c r="AA1579" i="32"/>
  <c r="L1580" i="32"/>
  <c r="M1580" i="32"/>
  <c r="N1580" i="32"/>
  <c r="O1580" i="32"/>
  <c r="P1580" i="32"/>
  <c r="Q1580" i="32"/>
  <c r="R1580" i="32"/>
  <c r="S1580" i="32"/>
  <c r="Z1580" i="32"/>
  <c r="AA1580" i="32"/>
  <c r="L1581" i="32"/>
  <c r="M1581" i="32"/>
  <c r="N1581" i="32"/>
  <c r="O1581" i="32"/>
  <c r="P1581" i="32"/>
  <c r="Q1581" i="32"/>
  <c r="R1581" i="32"/>
  <c r="S1581" i="32"/>
  <c r="Z1581" i="32"/>
  <c r="AA1581" i="32"/>
  <c r="L1582" i="32"/>
  <c r="M1582" i="32"/>
  <c r="N1582" i="32"/>
  <c r="O1582" i="32"/>
  <c r="P1582" i="32"/>
  <c r="Q1582" i="32"/>
  <c r="R1582" i="32"/>
  <c r="S1582" i="32"/>
  <c r="Z1582" i="32"/>
  <c r="AA1582" i="32"/>
  <c r="L1583" i="32"/>
  <c r="M1583" i="32"/>
  <c r="N1583" i="32"/>
  <c r="O1583" i="32"/>
  <c r="P1583" i="32"/>
  <c r="Q1583" i="32"/>
  <c r="R1583" i="32"/>
  <c r="S1583" i="32"/>
  <c r="Z1583" i="32"/>
  <c r="AA1583" i="32"/>
  <c r="L1584" i="32"/>
  <c r="M1584" i="32"/>
  <c r="N1584" i="32"/>
  <c r="O1584" i="32"/>
  <c r="P1584" i="32"/>
  <c r="Q1584" i="32"/>
  <c r="R1584" i="32"/>
  <c r="S1584" i="32"/>
  <c r="Z1584" i="32"/>
  <c r="AA1584" i="32"/>
  <c r="L1585" i="32"/>
  <c r="M1585" i="32"/>
  <c r="N1585" i="32"/>
  <c r="O1585" i="32"/>
  <c r="P1585" i="32"/>
  <c r="Q1585" i="32"/>
  <c r="R1585" i="32"/>
  <c r="S1585" i="32"/>
  <c r="Z1585" i="32"/>
  <c r="AA1585" i="32"/>
  <c r="L1586" i="32"/>
  <c r="M1586" i="32"/>
  <c r="N1586" i="32"/>
  <c r="O1586" i="32"/>
  <c r="P1586" i="32"/>
  <c r="Q1586" i="32"/>
  <c r="R1586" i="32"/>
  <c r="S1586" i="32"/>
  <c r="Z1586" i="32"/>
  <c r="AA1586" i="32"/>
  <c r="L1587" i="32"/>
  <c r="M1587" i="32"/>
  <c r="N1587" i="32"/>
  <c r="O1587" i="32"/>
  <c r="P1587" i="32"/>
  <c r="Q1587" i="32"/>
  <c r="R1587" i="32"/>
  <c r="S1587" i="32"/>
  <c r="Z1587" i="32"/>
  <c r="AA1587" i="32"/>
  <c r="L1588" i="32"/>
  <c r="M1588" i="32"/>
  <c r="N1588" i="32"/>
  <c r="O1588" i="32"/>
  <c r="P1588" i="32"/>
  <c r="Q1588" i="32"/>
  <c r="R1588" i="32"/>
  <c r="S1588" i="32"/>
  <c r="Z1588" i="32"/>
  <c r="AA1588" i="32"/>
  <c r="L1589" i="32"/>
  <c r="M1589" i="32"/>
  <c r="N1589" i="32"/>
  <c r="O1589" i="32"/>
  <c r="P1589" i="32"/>
  <c r="Q1589" i="32"/>
  <c r="R1589" i="32"/>
  <c r="S1589" i="32"/>
  <c r="Z1589" i="32"/>
  <c r="AA1589" i="32"/>
  <c r="L1590" i="32"/>
  <c r="M1590" i="32"/>
  <c r="N1590" i="32"/>
  <c r="O1590" i="32"/>
  <c r="P1590" i="32"/>
  <c r="Q1590" i="32"/>
  <c r="R1590" i="32"/>
  <c r="S1590" i="32"/>
  <c r="Z1590" i="32"/>
  <c r="AA1590" i="32"/>
  <c r="L1591" i="32"/>
  <c r="M1591" i="32"/>
  <c r="N1591" i="32"/>
  <c r="O1591" i="32"/>
  <c r="P1591" i="32"/>
  <c r="Q1591" i="32"/>
  <c r="R1591" i="32"/>
  <c r="S1591" i="32"/>
  <c r="Z1591" i="32"/>
  <c r="AA1591" i="32"/>
  <c r="L1592" i="32"/>
  <c r="M1592" i="32"/>
  <c r="N1592" i="32"/>
  <c r="O1592" i="32"/>
  <c r="P1592" i="32"/>
  <c r="Q1592" i="32"/>
  <c r="R1592" i="32"/>
  <c r="S1592" i="32"/>
  <c r="Z1592" i="32"/>
  <c r="AA1592" i="32"/>
  <c r="Z1593" i="32"/>
  <c r="AA1593" i="32"/>
  <c r="B1594" i="32"/>
  <c r="E1594" i="32"/>
  <c r="K1613" i="32"/>
  <c r="L1619" i="32"/>
  <c r="M1619" i="32"/>
  <c r="N1619" i="32"/>
  <c r="O1619" i="32"/>
  <c r="P1619" i="32"/>
  <c r="Q1619" i="32"/>
  <c r="R1619" i="32"/>
  <c r="S1619" i="32"/>
  <c r="Z1619" i="32"/>
  <c r="AA1619" i="32"/>
  <c r="L1620" i="32"/>
  <c r="M1620" i="32"/>
  <c r="N1620" i="32"/>
  <c r="O1620" i="32"/>
  <c r="P1620" i="32"/>
  <c r="Q1620" i="32"/>
  <c r="R1620" i="32"/>
  <c r="S1620" i="32"/>
  <c r="Z1620" i="32"/>
  <c r="AA1620" i="32"/>
  <c r="L1621" i="32"/>
  <c r="M1621" i="32"/>
  <c r="N1621" i="32"/>
  <c r="O1621" i="32"/>
  <c r="P1621" i="32"/>
  <c r="Q1621" i="32"/>
  <c r="R1621" i="32"/>
  <c r="S1621" i="32"/>
  <c r="Z1621" i="32"/>
  <c r="AA1621" i="32"/>
  <c r="L1622" i="32"/>
  <c r="M1622" i="32"/>
  <c r="N1622" i="32"/>
  <c r="O1622" i="32"/>
  <c r="P1622" i="32"/>
  <c r="Q1622" i="32"/>
  <c r="R1622" i="32"/>
  <c r="S1622" i="32"/>
  <c r="Z1622" i="32"/>
  <c r="AA1622" i="32"/>
  <c r="L1623" i="32"/>
  <c r="M1623" i="32"/>
  <c r="N1623" i="32"/>
  <c r="O1623" i="32"/>
  <c r="P1623" i="32"/>
  <c r="Q1623" i="32"/>
  <c r="R1623" i="32"/>
  <c r="S1623" i="32"/>
  <c r="Z1623" i="32"/>
  <c r="AA1623" i="32"/>
  <c r="L1624" i="32"/>
  <c r="M1624" i="32"/>
  <c r="N1624" i="32"/>
  <c r="O1624" i="32"/>
  <c r="P1624" i="32"/>
  <c r="Q1624" i="32"/>
  <c r="R1624" i="32"/>
  <c r="S1624" i="32"/>
  <c r="Z1624" i="32"/>
  <c r="AA1624" i="32"/>
  <c r="B1625" i="32"/>
  <c r="C1625" i="32"/>
  <c r="D1625" i="32"/>
  <c r="E1625" i="32"/>
  <c r="F1625" i="32"/>
  <c r="G1625" i="32"/>
  <c r="H1625" i="32"/>
  <c r="I1625" i="32"/>
  <c r="L1630" i="32"/>
  <c r="M1630" i="32"/>
  <c r="N1630" i="32"/>
  <c r="O1630" i="32"/>
  <c r="P1630" i="32"/>
  <c r="Q1630" i="32"/>
  <c r="R1630" i="32"/>
  <c r="S1630" i="32"/>
  <c r="Z1630" i="32"/>
  <c r="AA1630" i="32"/>
  <c r="L1631" i="32"/>
  <c r="M1631" i="32"/>
  <c r="N1631" i="32"/>
  <c r="O1631" i="32"/>
  <c r="P1631" i="32"/>
  <c r="Q1631" i="32"/>
  <c r="R1631" i="32"/>
  <c r="S1631" i="32"/>
  <c r="Z1631" i="32"/>
  <c r="AA1631" i="32"/>
  <c r="L1632" i="32"/>
  <c r="M1632" i="32"/>
  <c r="N1632" i="32"/>
  <c r="O1632" i="32"/>
  <c r="P1632" i="32"/>
  <c r="Q1632" i="32"/>
  <c r="R1632" i="32"/>
  <c r="S1632" i="32"/>
  <c r="Z1632" i="32"/>
  <c r="AA1632" i="32"/>
  <c r="L1633" i="32"/>
  <c r="M1633" i="32"/>
  <c r="N1633" i="32"/>
  <c r="O1633" i="32"/>
  <c r="P1633" i="32"/>
  <c r="Q1633" i="32"/>
  <c r="R1633" i="32"/>
  <c r="S1633" i="32"/>
  <c r="Z1633" i="32"/>
  <c r="AA1633" i="32"/>
  <c r="L1634" i="32"/>
  <c r="M1634" i="32"/>
  <c r="N1634" i="32"/>
  <c r="O1634" i="32"/>
  <c r="P1634" i="32"/>
  <c r="Q1634" i="32"/>
  <c r="R1634" i="32"/>
  <c r="S1634" i="32"/>
  <c r="Z1634" i="32"/>
  <c r="AA1634" i="32"/>
  <c r="L1635" i="32"/>
  <c r="M1635" i="32"/>
  <c r="N1635" i="32"/>
  <c r="O1635" i="32"/>
  <c r="P1635" i="32"/>
  <c r="Q1635" i="32"/>
  <c r="R1635" i="32"/>
  <c r="S1635" i="32"/>
  <c r="Z1635" i="32"/>
  <c r="AA1635" i="32"/>
  <c r="B1636" i="32"/>
  <c r="B1637" i="32" s="1"/>
  <c r="C1636" i="32"/>
  <c r="D1636" i="32"/>
  <c r="E1636" i="32"/>
  <c r="S1636" i="32" s="1"/>
  <c r="F1636" i="32"/>
  <c r="G1636" i="32"/>
  <c r="H1636" i="32"/>
  <c r="I1636" i="32"/>
  <c r="L1643" i="32"/>
  <c r="M1643" i="32"/>
  <c r="N1643" i="32"/>
  <c r="O1643" i="32"/>
  <c r="P1643" i="32"/>
  <c r="Q1643" i="32"/>
  <c r="R1643" i="32"/>
  <c r="S1643" i="32"/>
  <c r="Z1643" i="32"/>
  <c r="AA1643" i="32"/>
  <c r="Z1644" i="32"/>
  <c r="AA1644" i="32"/>
  <c r="B1645" i="32"/>
  <c r="T83" i="5" s="1"/>
  <c r="C1645" i="32"/>
  <c r="D1645" i="32"/>
  <c r="D1664" i="32" s="1"/>
  <c r="E1645" i="32"/>
  <c r="E1664" i="32" s="1"/>
  <c r="F1645" i="32"/>
  <c r="T81" i="5" s="1"/>
  <c r="T114" i="5" s="1"/>
  <c r="G1645" i="32"/>
  <c r="H1645" i="32"/>
  <c r="H1664" i="32" s="1"/>
  <c r="I1645" i="32"/>
  <c r="I1664" i="32" s="1"/>
  <c r="L1646" i="32"/>
  <c r="M1646" i="32"/>
  <c r="N1646" i="32"/>
  <c r="O1646" i="32"/>
  <c r="P1646" i="32"/>
  <c r="Q1646" i="32"/>
  <c r="R1646" i="32"/>
  <c r="S1646" i="32"/>
  <c r="Z1646" i="32"/>
  <c r="AA1646" i="32"/>
  <c r="L1647" i="32"/>
  <c r="M1647" i="32"/>
  <c r="N1647" i="32"/>
  <c r="O1647" i="32"/>
  <c r="P1647" i="32"/>
  <c r="Q1647" i="32"/>
  <c r="R1647" i="32"/>
  <c r="S1647" i="32"/>
  <c r="Z1647" i="32"/>
  <c r="AA1647" i="32"/>
  <c r="L1648" i="32"/>
  <c r="M1648" i="32"/>
  <c r="N1648" i="32"/>
  <c r="O1648" i="32"/>
  <c r="P1648" i="32"/>
  <c r="Q1648" i="32"/>
  <c r="R1648" i="32"/>
  <c r="S1648" i="32"/>
  <c r="Z1648" i="32"/>
  <c r="AA1648" i="32"/>
  <c r="L1649" i="32"/>
  <c r="M1649" i="32"/>
  <c r="N1649" i="32"/>
  <c r="O1649" i="32"/>
  <c r="P1649" i="32"/>
  <c r="Q1649" i="32"/>
  <c r="R1649" i="32"/>
  <c r="S1649" i="32"/>
  <c r="Z1649" i="32"/>
  <c r="AA1649" i="32"/>
  <c r="L1650" i="32"/>
  <c r="M1650" i="32"/>
  <c r="N1650" i="32"/>
  <c r="O1650" i="32"/>
  <c r="P1650" i="32"/>
  <c r="Q1650" i="32"/>
  <c r="R1650" i="32"/>
  <c r="S1650" i="32"/>
  <c r="Z1650" i="32"/>
  <c r="AA1650" i="32"/>
  <c r="L1651" i="32"/>
  <c r="M1651" i="32"/>
  <c r="N1651" i="32"/>
  <c r="O1651" i="32"/>
  <c r="P1651" i="32"/>
  <c r="Q1651" i="32"/>
  <c r="R1651" i="32"/>
  <c r="S1651" i="32"/>
  <c r="Z1651" i="32"/>
  <c r="AA1651" i="32"/>
  <c r="L1652" i="32"/>
  <c r="M1652" i="32"/>
  <c r="N1652" i="32"/>
  <c r="O1652" i="32"/>
  <c r="P1652" i="32"/>
  <c r="Q1652" i="32"/>
  <c r="R1652" i="32"/>
  <c r="S1652" i="32"/>
  <c r="Z1652" i="32"/>
  <c r="AA1652" i="32"/>
  <c r="L1653" i="32"/>
  <c r="M1653" i="32"/>
  <c r="N1653" i="32"/>
  <c r="O1653" i="32"/>
  <c r="P1653" i="32"/>
  <c r="Q1653" i="32"/>
  <c r="R1653" i="32"/>
  <c r="S1653" i="32"/>
  <c r="Z1653" i="32"/>
  <c r="AA1653" i="32"/>
  <c r="L1654" i="32"/>
  <c r="M1654" i="32"/>
  <c r="N1654" i="32"/>
  <c r="O1654" i="32"/>
  <c r="P1654" i="32"/>
  <c r="Q1654" i="32"/>
  <c r="R1654" i="32"/>
  <c r="S1654" i="32"/>
  <c r="Z1654" i="32"/>
  <c r="AA1654" i="32"/>
  <c r="L1655" i="32"/>
  <c r="M1655" i="32"/>
  <c r="N1655" i="32"/>
  <c r="O1655" i="32"/>
  <c r="P1655" i="32"/>
  <c r="Q1655" i="32"/>
  <c r="R1655" i="32"/>
  <c r="S1655" i="32"/>
  <c r="Z1655" i="32"/>
  <c r="AA1655" i="32"/>
  <c r="L1656" i="32"/>
  <c r="M1656" i="32"/>
  <c r="N1656" i="32"/>
  <c r="O1656" i="32"/>
  <c r="P1656" i="32"/>
  <c r="Q1656" i="32"/>
  <c r="R1656" i="32"/>
  <c r="S1656" i="32"/>
  <c r="Z1656" i="32"/>
  <c r="AA1656" i="32"/>
  <c r="L1657" i="32"/>
  <c r="M1657" i="32"/>
  <c r="N1657" i="32"/>
  <c r="O1657" i="32"/>
  <c r="P1657" i="32"/>
  <c r="Q1657" i="32"/>
  <c r="R1657" i="32"/>
  <c r="S1657" i="32"/>
  <c r="Z1657" i="32"/>
  <c r="AA1657" i="32"/>
  <c r="L1658" i="32"/>
  <c r="M1658" i="32"/>
  <c r="N1658" i="32"/>
  <c r="O1658" i="32"/>
  <c r="P1658" i="32"/>
  <c r="Q1658" i="32"/>
  <c r="R1658" i="32"/>
  <c r="S1658" i="32"/>
  <c r="Z1658" i="32"/>
  <c r="AA1658" i="32"/>
  <c r="L1659" i="32"/>
  <c r="M1659" i="32"/>
  <c r="N1659" i="32"/>
  <c r="O1659" i="32"/>
  <c r="P1659" i="32"/>
  <c r="Q1659" i="32"/>
  <c r="R1659" i="32"/>
  <c r="S1659" i="32"/>
  <c r="Z1659" i="32"/>
  <c r="AA1659" i="32"/>
  <c r="L1660" i="32"/>
  <c r="M1660" i="32"/>
  <c r="N1660" i="32"/>
  <c r="O1660" i="32"/>
  <c r="P1660" i="32"/>
  <c r="Q1660" i="32"/>
  <c r="R1660" i="32"/>
  <c r="S1660" i="32"/>
  <c r="Z1660" i="32"/>
  <c r="AA1660" i="32"/>
  <c r="L1661" i="32"/>
  <c r="M1661" i="32"/>
  <c r="N1661" i="32"/>
  <c r="O1661" i="32"/>
  <c r="P1661" i="32"/>
  <c r="Q1661" i="32"/>
  <c r="R1661" i="32"/>
  <c r="S1661" i="32"/>
  <c r="Z1661" i="32"/>
  <c r="AA1661" i="32"/>
  <c r="L1662" i="32"/>
  <c r="M1662" i="32"/>
  <c r="N1662" i="32"/>
  <c r="O1662" i="32"/>
  <c r="P1662" i="32"/>
  <c r="Q1662" i="32"/>
  <c r="R1662" i="32"/>
  <c r="S1662" i="32"/>
  <c r="Z1662" i="32"/>
  <c r="AA1662" i="32"/>
  <c r="Z1663" i="32"/>
  <c r="AA1663" i="32"/>
  <c r="C1664" i="32"/>
  <c r="K1683" i="32"/>
  <c r="L1689" i="32"/>
  <c r="M1689" i="32"/>
  <c r="N1689" i="32"/>
  <c r="O1689" i="32"/>
  <c r="P1689" i="32"/>
  <c r="Q1689" i="32"/>
  <c r="R1689" i="32"/>
  <c r="S1689" i="32"/>
  <c r="Z1689" i="32"/>
  <c r="AA1689" i="32"/>
  <c r="L1690" i="32"/>
  <c r="M1690" i="32"/>
  <c r="N1690" i="32"/>
  <c r="O1690" i="32"/>
  <c r="P1690" i="32"/>
  <c r="Q1690" i="32"/>
  <c r="R1690" i="32"/>
  <c r="S1690" i="32"/>
  <c r="Z1690" i="32"/>
  <c r="AA1690" i="32"/>
  <c r="L1691" i="32"/>
  <c r="M1691" i="32"/>
  <c r="N1691" i="32"/>
  <c r="O1691" i="32"/>
  <c r="P1691" i="32"/>
  <c r="Q1691" i="32"/>
  <c r="R1691" i="32"/>
  <c r="S1691" i="32"/>
  <c r="Z1691" i="32"/>
  <c r="AA1691" i="32"/>
  <c r="L1692" i="32"/>
  <c r="M1692" i="32"/>
  <c r="N1692" i="32"/>
  <c r="O1692" i="32"/>
  <c r="P1692" i="32"/>
  <c r="Q1692" i="32"/>
  <c r="R1692" i="32"/>
  <c r="S1692" i="32"/>
  <c r="Z1692" i="32"/>
  <c r="AA1692" i="32"/>
  <c r="L1693" i="32"/>
  <c r="M1693" i="32"/>
  <c r="N1693" i="32"/>
  <c r="O1693" i="32"/>
  <c r="P1693" i="32"/>
  <c r="Q1693" i="32"/>
  <c r="R1693" i="32"/>
  <c r="S1693" i="32"/>
  <c r="Z1693" i="32"/>
  <c r="AA1693" i="32"/>
  <c r="Z1694" i="32"/>
  <c r="AA1694" i="32"/>
  <c r="B1695" i="32"/>
  <c r="C1695" i="32"/>
  <c r="D1695" i="32"/>
  <c r="E1695" i="32"/>
  <c r="F1695" i="32"/>
  <c r="G1695" i="32"/>
  <c r="H1695" i="32"/>
  <c r="I1695" i="32"/>
  <c r="L1700" i="32"/>
  <c r="M1700" i="32"/>
  <c r="N1700" i="32"/>
  <c r="O1700" i="32"/>
  <c r="P1700" i="32"/>
  <c r="Q1700" i="32"/>
  <c r="R1700" i="32"/>
  <c r="S1700" i="32"/>
  <c r="Z1700" i="32"/>
  <c r="AA1700" i="32"/>
  <c r="L1701" i="32"/>
  <c r="M1701" i="32"/>
  <c r="N1701" i="32"/>
  <c r="O1701" i="32"/>
  <c r="P1701" i="32"/>
  <c r="Q1701" i="32"/>
  <c r="R1701" i="32"/>
  <c r="S1701" i="32"/>
  <c r="Z1701" i="32"/>
  <c r="AA1701" i="32"/>
  <c r="L1702" i="32"/>
  <c r="M1702" i="32"/>
  <c r="N1702" i="32"/>
  <c r="O1702" i="32"/>
  <c r="P1702" i="32"/>
  <c r="Q1702" i="32"/>
  <c r="R1702" i="32"/>
  <c r="S1702" i="32"/>
  <c r="Z1702" i="32"/>
  <c r="AA1702" i="32"/>
  <c r="L1703" i="32"/>
  <c r="M1703" i="32"/>
  <c r="N1703" i="32"/>
  <c r="O1703" i="32"/>
  <c r="P1703" i="32"/>
  <c r="Q1703" i="32"/>
  <c r="R1703" i="32"/>
  <c r="S1703" i="32"/>
  <c r="Z1703" i="32"/>
  <c r="AA1703" i="32"/>
  <c r="L1704" i="32"/>
  <c r="M1704" i="32"/>
  <c r="N1704" i="32"/>
  <c r="O1704" i="32"/>
  <c r="P1704" i="32"/>
  <c r="Q1704" i="32"/>
  <c r="R1704" i="32"/>
  <c r="S1704" i="32"/>
  <c r="Z1704" i="32"/>
  <c r="AA1704" i="32"/>
  <c r="Z1705" i="32"/>
  <c r="AA1705" i="32"/>
  <c r="B1706" i="32"/>
  <c r="C1706" i="32"/>
  <c r="D1706" i="32"/>
  <c r="E1706" i="32"/>
  <c r="F1706" i="32"/>
  <c r="G1706" i="32"/>
  <c r="H1706" i="32"/>
  <c r="I1706" i="32"/>
  <c r="L1713" i="32"/>
  <c r="M1713" i="32"/>
  <c r="N1713" i="32"/>
  <c r="O1713" i="32"/>
  <c r="P1713" i="32"/>
  <c r="Q1713" i="32"/>
  <c r="R1713" i="32"/>
  <c r="S1713" i="32"/>
  <c r="Z1713" i="32"/>
  <c r="AA1713" i="32"/>
  <c r="Z1714" i="32"/>
  <c r="AA1714" i="32"/>
  <c r="B1715" i="32"/>
  <c r="Y83" i="5" s="1"/>
  <c r="C1715" i="32"/>
  <c r="C1734" i="32" s="1"/>
  <c r="D1715" i="32"/>
  <c r="E1715" i="32"/>
  <c r="E1734" i="32"/>
  <c r="F1715" i="32"/>
  <c r="Y81" i="5"/>
  <c r="Y114" i="5" s="1"/>
  <c r="G1715" i="32"/>
  <c r="V1687" i="32" s="1"/>
  <c r="AZ5" i="32" s="1"/>
  <c r="Y132" i="5" s="1"/>
  <c r="H1715" i="32"/>
  <c r="H1734" i="32" s="1"/>
  <c r="I1715" i="32"/>
  <c r="L1716" i="32"/>
  <c r="M1716" i="32"/>
  <c r="N1716" i="32"/>
  <c r="O1716" i="32"/>
  <c r="P1716" i="32"/>
  <c r="Q1716" i="32"/>
  <c r="R1716" i="32"/>
  <c r="S1716" i="32"/>
  <c r="Z1716" i="32"/>
  <c r="AA1716" i="32"/>
  <c r="L1717" i="32"/>
  <c r="M1717" i="32"/>
  <c r="N1717" i="32"/>
  <c r="O1717" i="32"/>
  <c r="P1717" i="32"/>
  <c r="Q1717" i="32"/>
  <c r="R1717" i="32"/>
  <c r="S1717" i="32"/>
  <c r="Z1717" i="32"/>
  <c r="AA1717" i="32"/>
  <c r="L1718" i="32"/>
  <c r="M1718" i="32"/>
  <c r="N1718" i="32"/>
  <c r="O1718" i="32"/>
  <c r="P1718" i="32"/>
  <c r="Q1718" i="32"/>
  <c r="R1718" i="32"/>
  <c r="S1718" i="32"/>
  <c r="Z1718" i="32"/>
  <c r="AA1718" i="32"/>
  <c r="L1719" i="32"/>
  <c r="M1719" i="32"/>
  <c r="N1719" i="32"/>
  <c r="O1719" i="32"/>
  <c r="P1719" i="32"/>
  <c r="Q1719" i="32"/>
  <c r="R1719" i="32"/>
  <c r="S1719" i="32"/>
  <c r="Z1719" i="32"/>
  <c r="AA1719" i="32"/>
  <c r="L1720" i="32"/>
  <c r="M1720" i="32"/>
  <c r="N1720" i="32"/>
  <c r="O1720" i="32"/>
  <c r="P1720" i="32"/>
  <c r="Q1720" i="32"/>
  <c r="R1720" i="32"/>
  <c r="S1720" i="32"/>
  <c r="Z1720" i="32"/>
  <c r="AA1720" i="32"/>
  <c r="L1721" i="32"/>
  <c r="M1721" i="32"/>
  <c r="N1721" i="32"/>
  <c r="O1721" i="32"/>
  <c r="P1721" i="32"/>
  <c r="Q1721" i="32"/>
  <c r="R1721" i="32"/>
  <c r="S1721" i="32"/>
  <c r="Z1721" i="32"/>
  <c r="AA1721" i="32"/>
  <c r="L1722" i="32"/>
  <c r="M1722" i="32"/>
  <c r="N1722" i="32"/>
  <c r="O1722" i="32"/>
  <c r="P1722" i="32"/>
  <c r="Q1722" i="32"/>
  <c r="R1722" i="32"/>
  <c r="S1722" i="32"/>
  <c r="Z1722" i="32"/>
  <c r="AA1722" i="32"/>
  <c r="L1723" i="32"/>
  <c r="M1723" i="32"/>
  <c r="N1723" i="32"/>
  <c r="O1723" i="32"/>
  <c r="P1723" i="32"/>
  <c r="Q1723" i="32"/>
  <c r="R1723" i="32"/>
  <c r="S1723" i="32"/>
  <c r="Z1723" i="32"/>
  <c r="AA1723" i="32"/>
  <c r="L1724" i="32"/>
  <c r="M1724" i="32"/>
  <c r="N1724" i="32"/>
  <c r="O1724" i="32"/>
  <c r="P1724" i="32"/>
  <c r="Q1724" i="32"/>
  <c r="R1724" i="32"/>
  <c r="S1724" i="32"/>
  <c r="Z1724" i="32"/>
  <c r="AA1724" i="32"/>
  <c r="L1725" i="32"/>
  <c r="M1725" i="32"/>
  <c r="N1725" i="32"/>
  <c r="O1725" i="32"/>
  <c r="P1725" i="32"/>
  <c r="Q1725" i="32"/>
  <c r="R1725" i="32"/>
  <c r="S1725" i="32"/>
  <c r="Z1725" i="32"/>
  <c r="AA1725" i="32"/>
  <c r="L1726" i="32"/>
  <c r="M1726" i="32"/>
  <c r="N1726" i="32"/>
  <c r="O1726" i="32"/>
  <c r="P1726" i="32"/>
  <c r="Q1726" i="32"/>
  <c r="R1726" i="32"/>
  <c r="S1726" i="32"/>
  <c r="Z1726" i="32"/>
  <c r="AA1726" i="32"/>
  <c r="L1727" i="32"/>
  <c r="M1727" i="32"/>
  <c r="N1727" i="32"/>
  <c r="O1727" i="32"/>
  <c r="P1727" i="32"/>
  <c r="Q1727" i="32"/>
  <c r="R1727" i="32"/>
  <c r="S1727" i="32"/>
  <c r="Z1727" i="32"/>
  <c r="AA1727" i="32"/>
  <c r="L1728" i="32"/>
  <c r="M1728" i="32"/>
  <c r="N1728" i="32"/>
  <c r="O1728" i="32"/>
  <c r="P1728" i="32"/>
  <c r="Q1728" i="32"/>
  <c r="R1728" i="32"/>
  <c r="S1728" i="32"/>
  <c r="Z1728" i="32"/>
  <c r="AA1728" i="32"/>
  <c r="L1729" i="32"/>
  <c r="M1729" i="32"/>
  <c r="N1729" i="32"/>
  <c r="O1729" i="32"/>
  <c r="P1729" i="32"/>
  <c r="Q1729" i="32"/>
  <c r="R1729" i="32"/>
  <c r="S1729" i="32"/>
  <c r="Z1729" i="32"/>
  <c r="AA1729" i="32"/>
  <c r="L1730" i="32"/>
  <c r="M1730" i="32"/>
  <c r="N1730" i="32"/>
  <c r="O1730" i="32"/>
  <c r="P1730" i="32"/>
  <c r="Q1730" i="32"/>
  <c r="R1730" i="32"/>
  <c r="S1730" i="32"/>
  <c r="Z1730" i="32"/>
  <c r="AA1730" i="32"/>
  <c r="L1731" i="32"/>
  <c r="M1731" i="32"/>
  <c r="N1731" i="32"/>
  <c r="O1731" i="32"/>
  <c r="P1731" i="32"/>
  <c r="Q1731" i="32"/>
  <c r="R1731" i="32"/>
  <c r="S1731" i="32"/>
  <c r="Z1731" i="32"/>
  <c r="AA1731" i="32"/>
  <c r="L1732" i="32"/>
  <c r="M1732" i="32"/>
  <c r="N1732" i="32"/>
  <c r="O1732" i="32"/>
  <c r="P1732" i="32"/>
  <c r="Q1732" i="32"/>
  <c r="R1732" i="32"/>
  <c r="S1732" i="32"/>
  <c r="Z1732" i="32"/>
  <c r="AA1732" i="32"/>
  <c r="Z1733" i="32"/>
  <c r="AA1733" i="32"/>
  <c r="F1734" i="32"/>
  <c r="G1734" i="32"/>
  <c r="O1734" i="32" s="1"/>
  <c r="I1734" i="32"/>
  <c r="K1753" i="32"/>
  <c r="L1759" i="32"/>
  <c r="M1759" i="32"/>
  <c r="N1759" i="32"/>
  <c r="O1759" i="32"/>
  <c r="P1759" i="32"/>
  <c r="Q1759" i="32"/>
  <c r="R1759" i="32"/>
  <c r="S1759" i="32"/>
  <c r="Z1759" i="32"/>
  <c r="AA1759" i="32"/>
  <c r="L1760" i="32"/>
  <c r="M1760" i="32"/>
  <c r="N1760" i="32"/>
  <c r="O1760" i="32"/>
  <c r="P1760" i="32"/>
  <c r="Q1760" i="32"/>
  <c r="R1760" i="32"/>
  <c r="S1760" i="32"/>
  <c r="Z1760" i="32"/>
  <c r="AA1760" i="32"/>
  <c r="L1761" i="32"/>
  <c r="M1761" i="32"/>
  <c r="N1761" i="32"/>
  <c r="O1761" i="32"/>
  <c r="P1761" i="32"/>
  <c r="Q1761" i="32"/>
  <c r="R1761" i="32"/>
  <c r="S1761" i="32"/>
  <c r="Z1761" i="32"/>
  <c r="AA1761" i="32"/>
  <c r="L1762" i="32"/>
  <c r="M1762" i="32"/>
  <c r="N1762" i="32"/>
  <c r="O1762" i="32"/>
  <c r="P1762" i="32"/>
  <c r="Q1762" i="32"/>
  <c r="R1762" i="32"/>
  <c r="S1762" i="32"/>
  <c r="Z1762" i="32"/>
  <c r="AA1762" i="32"/>
  <c r="L1763" i="32"/>
  <c r="M1763" i="32"/>
  <c r="N1763" i="32"/>
  <c r="O1763" i="32"/>
  <c r="P1763" i="32"/>
  <c r="Q1763" i="32"/>
  <c r="R1763" i="32"/>
  <c r="S1763" i="32"/>
  <c r="Z1763" i="32"/>
  <c r="AA1763" i="32"/>
  <c r="Z1764" i="32"/>
  <c r="AA1764" i="32"/>
  <c r="B1765" i="32"/>
  <c r="C1765" i="32"/>
  <c r="D1765" i="32"/>
  <c r="D1777" i="32" s="1"/>
  <c r="E1765" i="32"/>
  <c r="F1765" i="32"/>
  <c r="G1765" i="32"/>
  <c r="H1765" i="32"/>
  <c r="I1765" i="32"/>
  <c r="L1770" i="32"/>
  <c r="M1770" i="32"/>
  <c r="N1770" i="32"/>
  <c r="O1770" i="32"/>
  <c r="P1770" i="32"/>
  <c r="Q1770" i="32"/>
  <c r="R1770" i="32"/>
  <c r="S1770" i="32"/>
  <c r="Z1770" i="32"/>
  <c r="AA1770" i="32"/>
  <c r="L1771" i="32"/>
  <c r="M1771" i="32"/>
  <c r="N1771" i="32"/>
  <c r="O1771" i="32"/>
  <c r="P1771" i="32"/>
  <c r="Q1771" i="32"/>
  <c r="R1771" i="32"/>
  <c r="S1771" i="32"/>
  <c r="Z1771" i="32"/>
  <c r="AA1771" i="32"/>
  <c r="L1772" i="32"/>
  <c r="M1772" i="32"/>
  <c r="N1772" i="32"/>
  <c r="O1772" i="32"/>
  <c r="P1772" i="32"/>
  <c r="Q1772" i="32"/>
  <c r="R1772" i="32"/>
  <c r="S1772" i="32"/>
  <c r="Z1772" i="32"/>
  <c r="AA1772" i="32"/>
  <c r="L1773" i="32"/>
  <c r="M1773" i="32"/>
  <c r="N1773" i="32"/>
  <c r="O1773" i="32"/>
  <c r="P1773" i="32"/>
  <c r="Q1773" i="32"/>
  <c r="R1773" i="32"/>
  <c r="S1773" i="32"/>
  <c r="Z1773" i="32"/>
  <c r="AA1773" i="32"/>
  <c r="L1774" i="32"/>
  <c r="M1774" i="32"/>
  <c r="N1774" i="32"/>
  <c r="O1774" i="32"/>
  <c r="P1774" i="32"/>
  <c r="Q1774" i="32"/>
  <c r="R1774" i="32"/>
  <c r="S1774" i="32"/>
  <c r="Z1774" i="32"/>
  <c r="AA1774" i="32"/>
  <c r="Z1775" i="32"/>
  <c r="AA1775" i="32"/>
  <c r="B1776" i="32"/>
  <c r="C1776" i="32"/>
  <c r="D1776" i="32"/>
  <c r="N1776" i="32"/>
  <c r="E1776" i="32"/>
  <c r="F1776" i="32"/>
  <c r="AA1776" i="32" s="1"/>
  <c r="G1776" i="32"/>
  <c r="H1776" i="32"/>
  <c r="I1776" i="32"/>
  <c r="L1783" i="32"/>
  <c r="M1783" i="32"/>
  <c r="N1783" i="32"/>
  <c r="O1783" i="32"/>
  <c r="P1783" i="32"/>
  <c r="Q1783" i="32"/>
  <c r="R1783" i="32"/>
  <c r="S1783" i="32"/>
  <c r="Z1783" i="32"/>
  <c r="AA1783" i="32"/>
  <c r="Z1784" i="32"/>
  <c r="AA1784" i="32"/>
  <c r="B1785" i="32"/>
  <c r="C1785" i="32"/>
  <c r="D1785" i="32"/>
  <c r="E1785" i="32"/>
  <c r="E1804" i="32" s="1"/>
  <c r="F1785" i="32"/>
  <c r="G1785" i="32"/>
  <c r="H1785" i="32"/>
  <c r="I1785" i="32"/>
  <c r="L1786" i="32"/>
  <c r="M1786" i="32"/>
  <c r="N1786" i="32"/>
  <c r="O1786" i="32"/>
  <c r="P1786" i="32"/>
  <c r="Q1786" i="32"/>
  <c r="R1786" i="32"/>
  <c r="S1786" i="32"/>
  <c r="Z1786" i="32"/>
  <c r="AA1786" i="32"/>
  <c r="L1787" i="32"/>
  <c r="M1787" i="32"/>
  <c r="N1787" i="32"/>
  <c r="O1787" i="32"/>
  <c r="P1787" i="32"/>
  <c r="Q1787" i="32"/>
  <c r="R1787" i="32"/>
  <c r="S1787" i="32"/>
  <c r="Z1787" i="32"/>
  <c r="AA1787" i="32"/>
  <c r="L1788" i="32"/>
  <c r="M1788" i="32"/>
  <c r="N1788" i="32"/>
  <c r="O1788" i="32"/>
  <c r="P1788" i="32"/>
  <c r="Q1788" i="32"/>
  <c r="R1788" i="32"/>
  <c r="S1788" i="32"/>
  <c r="Z1788" i="32"/>
  <c r="AA1788" i="32"/>
  <c r="L1789" i="32"/>
  <c r="M1789" i="32"/>
  <c r="N1789" i="32"/>
  <c r="O1789" i="32"/>
  <c r="P1789" i="32"/>
  <c r="Q1789" i="32"/>
  <c r="R1789" i="32"/>
  <c r="S1789" i="32"/>
  <c r="Z1789" i="32"/>
  <c r="AA1789" i="32"/>
  <c r="L1790" i="32"/>
  <c r="M1790" i="32"/>
  <c r="N1790" i="32"/>
  <c r="O1790" i="32"/>
  <c r="P1790" i="32"/>
  <c r="Q1790" i="32"/>
  <c r="R1790" i="32"/>
  <c r="S1790" i="32"/>
  <c r="Z1790" i="32"/>
  <c r="AA1790" i="32"/>
  <c r="L1791" i="32"/>
  <c r="M1791" i="32"/>
  <c r="N1791" i="32"/>
  <c r="O1791" i="32"/>
  <c r="P1791" i="32"/>
  <c r="Q1791" i="32"/>
  <c r="R1791" i="32"/>
  <c r="S1791" i="32"/>
  <c r="Z1791" i="32"/>
  <c r="AA1791" i="32"/>
  <c r="L1792" i="32"/>
  <c r="M1792" i="32"/>
  <c r="N1792" i="32"/>
  <c r="O1792" i="32"/>
  <c r="P1792" i="32"/>
  <c r="Q1792" i="32"/>
  <c r="R1792" i="32"/>
  <c r="S1792" i="32"/>
  <c r="Z1792" i="32"/>
  <c r="AA1792" i="32"/>
  <c r="L1793" i="32"/>
  <c r="M1793" i="32"/>
  <c r="N1793" i="32"/>
  <c r="O1793" i="32"/>
  <c r="P1793" i="32"/>
  <c r="Q1793" i="32"/>
  <c r="R1793" i="32"/>
  <c r="S1793" i="32"/>
  <c r="Z1793" i="32"/>
  <c r="AA1793" i="32"/>
  <c r="L1794" i="32"/>
  <c r="M1794" i="32"/>
  <c r="N1794" i="32"/>
  <c r="O1794" i="32"/>
  <c r="P1794" i="32"/>
  <c r="Q1794" i="32"/>
  <c r="R1794" i="32"/>
  <c r="S1794" i="32"/>
  <c r="Z1794" i="32"/>
  <c r="AA1794" i="32"/>
  <c r="L1795" i="32"/>
  <c r="M1795" i="32"/>
  <c r="N1795" i="32"/>
  <c r="O1795" i="32"/>
  <c r="P1795" i="32"/>
  <c r="Q1795" i="32"/>
  <c r="R1795" i="32"/>
  <c r="S1795" i="32"/>
  <c r="Z1795" i="32"/>
  <c r="AA1795" i="32"/>
  <c r="L1796" i="32"/>
  <c r="M1796" i="32"/>
  <c r="N1796" i="32"/>
  <c r="O1796" i="32"/>
  <c r="P1796" i="32"/>
  <c r="Q1796" i="32"/>
  <c r="R1796" i="32"/>
  <c r="S1796" i="32"/>
  <c r="Z1796" i="32"/>
  <c r="AA1796" i="32"/>
  <c r="L1797" i="32"/>
  <c r="M1797" i="32"/>
  <c r="N1797" i="32"/>
  <c r="O1797" i="32"/>
  <c r="P1797" i="32"/>
  <c r="Q1797" i="32"/>
  <c r="R1797" i="32"/>
  <c r="S1797" i="32"/>
  <c r="Z1797" i="32"/>
  <c r="AA1797" i="32"/>
  <c r="L1798" i="32"/>
  <c r="M1798" i="32"/>
  <c r="N1798" i="32"/>
  <c r="O1798" i="32"/>
  <c r="P1798" i="32"/>
  <c r="Q1798" i="32"/>
  <c r="R1798" i="32"/>
  <c r="S1798" i="32"/>
  <c r="Z1798" i="32"/>
  <c r="AA1798" i="32"/>
  <c r="L1799" i="32"/>
  <c r="M1799" i="32"/>
  <c r="N1799" i="32"/>
  <c r="O1799" i="32"/>
  <c r="P1799" i="32"/>
  <c r="Q1799" i="32"/>
  <c r="R1799" i="32"/>
  <c r="S1799" i="32"/>
  <c r="Z1799" i="32"/>
  <c r="AA1799" i="32"/>
  <c r="L1800" i="32"/>
  <c r="M1800" i="32"/>
  <c r="N1800" i="32"/>
  <c r="O1800" i="32"/>
  <c r="P1800" i="32"/>
  <c r="Q1800" i="32"/>
  <c r="R1800" i="32"/>
  <c r="S1800" i="32"/>
  <c r="Z1800" i="32"/>
  <c r="AA1800" i="32"/>
  <c r="L1801" i="32"/>
  <c r="M1801" i="32"/>
  <c r="N1801" i="32"/>
  <c r="O1801" i="32"/>
  <c r="P1801" i="32"/>
  <c r="Q1801" i="32"/>
  <c r="R1801" i="32"/>
  <c r="S1801" i="32"/>
  <c r="Z1801" i="32"/>
  <c r="AA1801" i="32"/>
  <c r="L1802" i="32"/>
  <c r="M1802" i="32"/>
  <c r="N1802" i="32"/>
  <c r="O1802" i="32"/>
  <c r="P1802" i="32"/>
  <c r="Q1802" i="32"/>
  <c r="R1802" i="32"/>
  <c r="S1802" i="32"/>
  <c r="Z1802" i="32"/>
  <c r="AA1802" i="32"/>
  <c r="Z1803" i="32"/>
  <c r="AA1803" i="32"/>
  <c r="K1823" i="32"/>
  <c r="L1829" i="32"/>
  <c r="M1829" i="32"/>
  <c r="N1829" i="32"/>
  <c r="O1829" i="32"/>
  <c r="P1829" i="32"/>
  <c r="Q1829" i="32"/>
  <c r="R1829" i="32"/>
  <c r="S1829" i="32"/>
  <c r="Z1829" i="32"/>
  <c r="AA1829" i="32"/>
  <c r="L1830" i="32"/>
  <c r="M1830" i="32"/>
  <c r="N1830" i="32"/>
  <c r="O1830" i="32"/>
  <c r="P1830" i="32"/>
  <c r="Q1830" i="32"/>
  <c r="R1830" i="32"/>
  <c r="S1830" i="32"/>
  <c r="Z1830" i="32"/>
  <c r="AA1830" i="32"/>
  <c r="L1831" i="32"/>
  <c r="M1831" i="32"/>
  <c r="N1831" i="32"/>
  <c r="O1831" i="32"/>
  <c r="P1831" i="32"/>
  <c r="Q1831" i="32"/>
  <c r="R1831" i="32"/>
  <c r="S1831" i="32"/>
  <c r="Z1831" i="32"/>
  <c r="AA1831" i="32"/>
  <c r="L1832" i="32"/>
  <c r="M1832" i="32"/>
  <c r="N1832" i="32"/>
  <c r="O1832" i="32"/>
  <c r="P1832" i="32"/>
  <c r="Q1832" i="32"/>
  <c r="R1832" i="32"/>
  <c r="S1832" i="32"/>
  <c r="Z1832" i="32"/>
  <c r="AA1832" i="32"/>
  <c r="L1833" i="32"/>
  <c r="M1833" i="32"/>
  <c r="N1833" i="32"/>
  <c r="O1833" i="32"/>
  <c r="P1833" i="32"/>
  <c r="Q1833" i="32"/>
  <c r="R1833" i="32"/>
  <c r="S1833" i="32"/>
  <c r="Z1833" i="32"/>
  <c r="AA1833" i="32"/>
  <c r="L1834" i="32"/>
  <c r="N1834" i="32"/>
  <c r="O1834" i="32"/>
  <c r="P1834" i="32"/>
  <c r="Q1834" i="32"/>
  <c r="S1834" i="32"/>
  <c r="Z1834" i="32"/>
  <c r="AA1834" i="32"/>
  <c r="B1835" i="32"/>
  <c r="C1835" i="32"/>
  <c r="D1835" i="32"/>
  <c r="E1835" i="32"/>
  <c r="F1835" i="32"/>
  <c r="G1835" i="32"/>
  <c r="R1835" i="32" s="1"/>
  <c r="H1835" i="32"/>
  <c r="I1835" i="32"/>
  <c r="L1840" i="32"/>
  <c r="M1840" i="32"/>
  <c r="N1840" i="32"/>
  <c r="O1840" i="32"/>
  <c r="P1840" i="32"/>
  <c r="Q1840" i="32"/>
  <c r="R1840" i="32"/>
  <c r="S1840" i="32"/>
  <c r="Z1840" i="32"/>
  <c r="AA1840" i="32"/>
  <c r="L1841" i="32"/>
  <c r="M1841" i="32"/>
  <c r="N1841" i="32"/>
  <c r="O1841" i="32"/>
  <c r="P1841" i="32"/>
  <c r="Q1841" i="32"/>
  <c r="R1841" i="32"/>
  <c r="S1841" i="32"/>
  <c r="Z1841" i="32"/>
  <c r="AA1841" i="32"/>
  <c r="L1842" i="32"/>
  <c r="M1842" i="32"/>
  <c r="N1842" i="32"/>
  <c r="O1842" i="32"/>
  <c r="P1842" i="32"/>
  <c r="Q1842" i="32"/>
  <c r="R1842" i="32"/>
  <c r="S1842" i="32"/>
  <c r="Z1842" i="32"/>
  <c r="AA1842" i="32"/>
  <c r="L1843" i="32"/>
  <c r="M1843" i="32"/>
  <c r="N1843" i="32"/>
  <c r="O1843" i="32"/>
  <c r="P1843" i="32"/>
  <c r="Q1843" i="32"/>
  <c r="R1843" i="32"/>
  <c r="S1843" i="32"/>
  <c r="Z1843" i="32"/>
  <c r="AA1843" i="32"/>
  <c r="L1844" i="32"/>
  <c r="M1844" i="32"/>
  <c r="N1844" i="32"/>
  <c r="O1844" i="32"/>
  <c r="P1844" i="32"/>
  <c r="Q1844" i="32"/>
  <c r="R1844" i="32"/>
  <c r="S1844" i="32"/>
  <c r="Z1844" i="32"/>
  <c r="AA1844" i="32"/>
  <c r="L1845" i="32"/>
  <c r="M1845" i="32"/>
  <c r="N1845" i="32"/>
  <c r="O1845" i="32"/>
  <c r="P1845" i="32"/>
  <c r="Q1845" i="32"/>
  <c r="R1845" i="32"/>
  <c r="S1845" i="32"/>
  <c r="Z1845" i="32"/>
  <c r="AA1845" i="32"/>
  <c r="B1846" i="32"/>
  <c r="C1846" i="32"/>
  <c r="D1846" i="32"/>
  <c r="E1846" i="32"/>
  <c r="F1846" i="32"/>
  <c r="F1847" i="32" s="1"/>
  <c r="G1846" i="32"/>
  <c r="H1846" i="32"/>
  <c r="I1846" i="32"/>
  <c r="B1847" i="32"/>
  <c r="L1853" i="32"/>
  <c r="M1853" i="32"/>
  <c r="N1853" i="32"/>
  <c r="O1853" i="32"/>
  <c r="P1853" i="32"/>
  <c r="Q1853" i="32"/>
  <c r="R1853" i="32"/>
  <c r="S1853" i="32"/>
  <c r="Z1853" i="32"/>
  <c r="AA1853" i="32"/>
  <c r="Z1854" i="32"/>
  <c r="AA1854" i="32"/>
  <c r="B1855" i="32"/>
  <c r="AD83" i="5" s="1"/>
  <c r="C1855" i="32"/>
  <c r="D1855" i="32"/>
  <c r="E1855" i="32"/>
  <c r="F1855" i="32"/>
  <c r="AD81" i="5" s="1"/>
  <c r="G1855" i="32"/>
  <c r="H1855" i="32"/>
  <c r="H1874" i="32" s="1"/>
  <c r="I1855" i="32"/>
  <c r="L1856" i="32"/>
  <c r="M1856" i="32"/>
  <c r="N1856" i="32"/>
  <c r="O1856" i="32"/>
  <c r="P1856" i="32"/>
  <c r="Q1856" i="32"/>
  <c r="R1856" i="32"/>
  <c r="S1856" i="32"/>
  <c r="Z1856" i="32"/>
  <c r="AA1856" i="32"/>
  <c r="L1857" i="32"/>
  <c r="M1857" i="32"/>
  <c r="N1857" i="32"/>
  <c r="O1857" i="32"/>
  <c r="P1857" i="32"/>
  <c r="Q1857" i="32"/>
  <c r="R1857" i="32"/>
  <c r="S1857" i="32"/>
  <c r="Z1857" i="32"/>
  <c r="AA1857" i="32"/>
  <c r="L1858" i="32"/>
  <c r="M1858" i="32"/>
  <c r="N1858" i="32"/>
  <c r="O1858" i="32"/>
  <c r="P1858" i="32"/>
  <c r="Q1858" i="32"/>
  <c r="R1858" i="32"/>
  <c r="S1858" i="32"/>
  <c r="Z1858" i="32"/>
  <c r="AA1858" i="32"/>
  <c r="L1859" i="32"/>
  <c r="M1859" i="32"/>
  <c r="N1859" i="32"/>
  <c r="O1859" i="32"/>
  <c r="P1859" i="32"/>
  <c r="Q1859" i="32"/>
  <c r="R1859" i="32"/>
  <c r="S1859" i="32"/>
  <c r="Z1859" i="32"/>
  <c r="AA1859" i="32"/>
  <c r="L1860" i="32"/>
  <c r="M1860" i="32"/>
  <c r="N1860" i="32"/>
  <c r="O1860" i="32"/>
  <c r="P1860" i="32"/>
  <c r="Q1860" i="32"/>
  <c r="R1860" i="32"/>
  <c r="S1860" i="32"/>
  <c r="Z1860" i="32"/>
  <c r="AA1860" i="32"/>
  <c r="L1861" i="32"/>
  <c r="M1861" i="32"/>
  <c r="N1861" i="32"/>
  <c r="O1861" i="32"/>
  <c r="P1861" i="32"/>
  <c r="Q1861" i="32"/>
  <c r="R1861" i="32"/>
  <c r="S1861" i="32"/>
  <c r="Z1861" i="32"/>
  <c r="AA1861" i="32"/>
  <c r="L1862" i="32"/>
  <c r="M1862" i="32"/>
  <c r="N1862" i="32"/>
  <c r="O1862" i="32"/>
  <c r="P1862" i="32"/>
  <c r="Q1862" i="32"/>
  <c r="R1862" i="32"/>
  <c r="S1862" i="32"/>
  <c r="Z1862" i="32"/>
  <c r="AA1862" i="32"/>
  <c r="L1863" i="32"/>
  <c r="M1863" i="32"/>
  <c r="N1863" i="32"/>
  <c r="O1863" i="32"/>
  <c r="P1863" i="32"/>
  <c r="Q1863" i="32"/>
  <c r="R1863" i="32"/>
  <c r="S1863" i="32"/>
  <c r="Z1863" i="32"/>
  <c r="AA1863" i="32"/>
  <c r="L1864" i="32"/>
  <c r="M1864" i="32"/>
  <c r="N1864" i="32"/>
  <c r="O1864" i="32"/>
  <c r="P1864" i="32"/>
  <c r="Q1864" i="32"/>
  <c r="R1864" i="32"/>
  <c r="S1864" i="32"/>
  <c r="Z1864" i="32"/>
  <c r="AA1864" i="32"/>
  <c r="L1865" i="32"/>
  <c r="M1865" i="32"/>
  <c r="N1865" i="32"/>
  <c r="O1865" i="32"/>
  <c r="P1865" i="32"/>
  <c r="Q1865" i="32"/>
  <c r="R1865" i="32"/>
  <c r="S1865" i="32"/>
  <c r="Z1865" i="32"/>
  <c r="AA1865" i="32"/>
  <c r="L1866" i="32"/>
  <c r="M1866" i="32"/>
  <c r="N1866" i="32"/>
  <c r="O1866" i="32"/>
  <c r="P1866" i="32"/>
  <c r="Q1866" i="32"/>
  <c r="R1866" i="32"/>
  <c r="S1866" i="32"/>
  <c r="Z1866" i="32"/>
  <c r="AA1866" i="32"/>
  <c r="L1867" i="32"/>
  <c r="M1867" i="32"/>
  <c r="N1867" i="32"/>
  <c r="O1867" i="32"/>
  <c r="P1867" i="32"/>
  <c r="Q1867" i="32"/>
  <c r="R1867" i="32"/>
  <c r="S1867" i="32"/>
  <c r="Z1867" i="32"/>
  <c r="AA1867" i="32"/>
  <c r="L1868" i="32"/>
  <c r="M1868" i="32"/>
  <c r="N1868" i="32"/>
  <c r="O1868" i="32"/>
  <c r="P1868" i="32"/>
  <c r="Q1868" i="32"/>
  <c r="R1868" i="32"/>
  <c r="S1868" i="32"/>
  <c r="Z1868" i="32"/>
  <c r="AA1868" i="32"/>
  <c r="L1869" i="32"/>
  <c r="M1869" i="32"/>
  <c r="N1869" i="32"/>
  <c r="O1869" i="32"/>
  <c r="P1869" i="32"/>
  <c r="Q1869" i="32"/>
  <c r="R1869" i="32"/>
  <c r="S1869" i="32"/>
  <c r="Z1869" i="32"/>
  <c r="AA1869" i="32"/>
  <c r="L1870" i="32"/>
  <c r="M1870" i="32"/>
  <c r="N1870" i="32"/>
  <c r="O1870" i="32"/>
  <c r="P1870" i="32"/>
  <c r="Q1870" i="32"/>
  <c r="R1870" i="32"/>
  <c r="S1870" i="32"/>
  <c r="Z1870" i="32"/>
  <c r="AA1870" i="32"/>
  <c r="L1871" i="32"/>
  <c r="M1871" i="32"/>
  <c r="N1871" i="32"/>
  <c r="O1871" i="32"/>
  <c r="P1871" i="32"/>
  <c r="Q1871" i="32"/>
  <c r="R1871" i="32"/>
  <c r="S1871" i="32"/>
  <c r="Z1871" i="32"/>
  <c r="AA1871" i="32"/>
  <c r="L1872" i="32"/>
  <c r="M1872" i="32"/>
  <c r="N1872" i="32"/>
  <c r="O1872" i="32"/>
  <c r="P1872" i="32"/>
  <c r="Q1872" i="32"/>
  <c r="R1872" i="32"/>
  <c r="S1872" i="32"/>
  <c r="Z1872" i="32"/>
  <c r="AA1872" i="32"/>
  <c r="Z1873" i="32"/>
  <c r="AA1873" i="32"/>
  <c r="D1874" i="32"/>
  <c r="I1874" i="32"/>
  <c r="K1893" i="32"/>
  <c r="L1899" i="32"/>
  <c r="M1899" i="32"/>
  <c r="N1899" i="32"/>
  <c r="O1899" i="32"/>
  <c r="P1899" i="32"/>
  <c r="Q1899" i="32"/>
  <c r="R1899" i="32"/>
  <c r="S1899" i="32"/>
  <c r="Z1899" i="32"/>
  <c r="AA1899" i="32"/>
  <c r="L1900" i="32"/>
  <c r="M1900" i="32"/>
  <c r="N1900" i="32"/>
  <c r="O1900" i="32"/>
  <c r="P1900" i="32"/>
  <c r="Q1900" i="32"/>
  <c r="R1900" i="32"/>
  <c r="S1900" i="32"/>
  <c r="Z1900" i="32"/>
  <c r="AA1900" i="32"/>
  <c r="L1901" i="32"/>
  <c r="M1901" i="32"/>
  <c r="N1901" i="32"/>
  <c r="O1901" i="32"/>
  <c r="P1901" i="32"/>
  <c r="Q1901" i="32"/>
  <c r="R1901" i="32"/>
  <c r="S1901" i="32"/>
  <c r="Z1901" i="32"/>
  <c r="AA1901" i="32"/>
  <c r="L1902" i="32"/>
  <c r="M1902" i="32"/>
  <c r="N1902" i="32"/>
  <c r="O1902" i="32"/>
  <c r="P1902" i="32"/>
  <c r="Q1902" i="32"/>
  <c r="R1902" i="32"/>
  <c r="S1902" i="32"/>
  <c r="Z1902" i="32"/>
  <c r="AA1902" i="32"/>
  <c r="L1903" i="32"/>
  <c r="M1903" i="32"/>
  <c r="N1903" i="32"/>
  <c r="O1903" i="32"/>
  <c r="P1903" i="32"/>
  <c r="Q1903" i="32"/>
  <c r="R1903" i="32"/>
  <c r="S1903" i="32"/>
  <c r="Z1903" i="32"/>
  <c r="AA1903" i="32"/>
  <c r="Z1904" i="32"/>
  <c r="AA1904" i="32"/>
  <c r="B1905" i="32"/>
  <c r="B1917" i="32" s="1"/>
  <c r="C1905" i="32"/>
  <c r="D1905" i="32"/>
  <c r="E1905" i="32"/>
  <c r="F1905" i="32"/>
  <c r="P1905" i="32" s="1"/>
  <c r="G1905" i="32"/>
  <c r="S1905" i="32"/>
  <c r="H1905" i="32"/>
  <c r="I1905" i="32"/>
  <c r="I1917" i="32" s="1"/>
  <c r="L1910" i="32"/>
  <c r="M1910" i="32"/>
  <c r="N1910" i="32"/>
  <c r="O1910" i="32"/>
  <c r="P1910" i="32"/>
  <c r="Q1910" i="32"/>
  <c r="R1910" i="32"/>
  <c r="S1910" i="32"/>
  <c r="Z1910" i="32"/>
  <c r="AA1910" i="32"/>
  <c r="L1911" i="32"/>
  <c r="M1911" i="32"/>
  <c r="N1911" i="32"/>
  <c r="O1911" i="32"/>
  <c r="P1911" i="32"/>
  <c r="Q1911" i="32"/>
  <c r="R1911" i="32"/>
  <c r="S1911" i="32"/>
  <c r="Z1911" i="32"/>
  <c r="AA1911" i="32"/>
  <c r="L1912" i="32"/>
  <c r="M1912" i="32"/>
  <c r="N1912" i="32"/>
  <c r="O1912" i="32"/>
  <c r="P1912" i="32"/>
  <c r="Q1912" i="32"/>
  <c r="R1912" i="32"/>
  <c r="S1912" i="32"/>
  <c r="Z1912" i="32"/>
  <c r="AA1912" i="32"/>
  <c r="L1913" i="32"/>
  <c r="M1913" i="32"/>
  <c r="N1913" i="32"/>
  <c r="O1913" i="32"/>
  <c r="P1913" i="32"/>
  <c r="Q1913" i="32"/>
  <c r="R1913" i="32"/>
  <c r="S1913" i="32"/>
  <c r="Z1913" i="32"/>
  <c r="AA1913" i="32"/>
  <c r="L1914" i="32"/>
  <c r="M1914" i="32"/>
  <c r="N1914" i="32"/>
  <c r="O1914" i="32"/>
  <c r="P1914" i="32"/>
  <c r="Q1914" i="32"/>
  <c r="R1914" i="32"/>
  <c r="S1914" i="32"/>
  <c r="Z1914" i="32"/>
  <c r="AA1914" i="32"/>
  <c r="Z1915" i="32"/>
  <c r="AA1915" i="32"/>
  <c r="B1916" i="32"/>
  <c r="C1916" i="32"/>
  <c r="D1916" i="32"/>
  <c r="N1916" i="32" s="1"/>
  <c r="E1916" i="32"/>
  <c r="F1916" i="32"/>
  <c r="G1916" i="32"/>
  <c r="H1916" i="32"/>
  <c r="H1917" i="32" s="1"/>
  <c r="I1916" i="32"/>
  <c r="L1923" i="32"/>
  <c r="M1923" i="32"/>
  <c r="N1923" i="32"/>
  <c r="O1923" i="32"/>
  <c r="P1923" i="32"/>
  <c r="Q1923" i="32"/>
  <c r="R1923" i="32"/>
  <c r="S1923" i="32"/>
  <c r="Z1923" i="32"/>
  <c r="AA1923" i="32"/>
  <c r="Z1924" i="32"/>
  <c r="AA1924" i="32"/>
  <c r="B1925" i="32"/>
  <c r="AC83" i="5" s="1"/>
  <c r="C1925" i="32"/>
  <c r="D1925" i="32"/>
  <c r="AC84" i="5" s="1"/>
  <c r="AC104" i="5" s="1"/>
  <c r="E1925" i="32"/>
  <c r="F1925" i="32"/>
  <c r="AC81" i="5" s="1"/>
  <c r="AC87" i="5" s="1"/>
  <c r="G1925" i="32"/>
  <c r="G1944" i="32" s="1"/>
  <c r="H1925" i="32"/>
  <c r="H1944" i="32" s="1"/>
  <c r="I1925" i="32"/>
  <c r="L1926" i="32"/>
  <c r="M1926" i="32"/>
  <c r="N1926" i="32"/>
  <c r="O1926" i="32"/>
  <c r="P1926" i="32"/>
  <c r="Q1926" i="32"/>
  <c r="R1926" i="32"/>
  <c r="S1926" i="32"/>
  <c r="Z1926" i="32"/>
  <c r="AA1926" i="32"/>
  <c r="L1927" i="32"/>
  <c r="M1927" i="32"/>
  <c r="N1927" i="32"/>
  <c r="O1927" i="32"/>
  <c r="P1927" i="32"/>
  <c r="Q1927" i="32"/>
  <c r="R1927" i="32"/>
  <c r="S1927" i="32"/>
  <c r="Z1927" i="32"/>
  <c r="AA1927" i="32"/>
  <c r="L1928" i="32"/>
  <c r="M1928" i="32"/>
  <c r="N1928" i="32"/>
  <c r="O1928" i="32"/>
  <c r="P1928" i="32"/>
  <c r="Q1928" i="32"/>
  <c r="R1928" i="32"/>
  <c r="S1928" i="32"/>
  <c r="Z1928" i="32"/>
  <c r="AA1928" i="32"/>
  <c r="L1929" i="32"/>
  <c r="M1929" i="32"/>
  <c r="N1929" i="32"/>
  <c r="O1929" i="32"/>
  <c r="P1929" i="32"/>
  <c r="Q1929" i="32"/>
  <c r="R1929" i="32"/>
  <c r="S1929" i="32"/>
  <c r="Z1929" i="32"/>
  <c r="AA1929" i="32"/>
  <c r="L1930" i="32"/>
  <c r="M1930" i="32"/>
  <c r="N1930" i="32"/>
  <c r="O1930" i="32"/>
  <c r="P1930" i="32"/>
  <c r="Q1930" i="32"/>
  <c r="R1930" i="32"/>
  <c r="S1930" i="32"/>
  <c r="Z1930" i="32"/>
  <c r="AA1930" i="32"/>
  <c r="L1931" i="32"/>
  <c r="M1931" i="32"/>
  <c r="N1931" i="32"/>
  <c r="O1931" i="32"/>
  <c r="P1931" i="32"/>
  <c r="Q1931" i="32"/>
  <c r="R1931" i="32"/>
  <c r="S1931" i="32"/>
  <c r="Z1931" i="32"/>
  <c r="AA1931" i="32"/>
  <c r="L1932" i="32"/>
  <c r="M1932" i="32"/>
  <c r="N1932" i="32"/>
  <c r="O1932" i="32"/>
  <c r="P1932" i="32"/>
  <c r="Q1932" i="32"/>
  <c r="R1932" i="32"/>
  <c r="S1932" i="32"/>
  <c r="Z1932" i="32"/>
  <c r="AA1932" i="32"/>
  <c r="L1933" i="32"/>
  <c r="M1933" i="32"/>
  <c r="N1933" i="32"/>
  <c r="O1933" i="32"/>
  <c r="P1933" i="32"/>
  <c r="Q1933" i="32"/>
  <c r="R1933" i="32"/>
  <c r="S1933" i="32"/>
  <c r="Z1933" i="32"/>
  <c r="AA1933" i="32"/>
  <c r="L1934" i="32"/>
  <c r="M1934" i="32"/>
  <c r="N1934" i="32"/>
  <c r="O1934" i="32"/>
  <c r="P1934" i="32"/>
  <c r="Q1934" i="32"/>
  <c r="R1934" i="32"/>
  <c r="S1934" i="32"/>
  <c r="Z1934" i="32"/>
  <c r="AA1934" i="32"/>
  <c r="L1935" i="32"/>
  <c r="M1935" i="32"/>
  <c r="N1935" i="32"/>
  <c r="O1935" i="32"/>
  <c r="P1935" i="32"/>
  <c r="Q1935" i="32"/>
  <c r="R1935" i="32"/>
  <c r="S1935" i="32"/>
  <c r="Z1935" i="32"/>
  <c r="AA1935" i="32"/>
  <c r="L1936" i="32"/>
  <c r="M1936" i="32"/>
  <c r="N1936" i="32"/>
  <c r="O1936" i="32"/>
  <c r="P1936" i="32"/>
  <c r="Q1936" i="32"/>
  <c r="R1936" i="32"/>
  <c r="S1936" i="32"/>
  <c r="Z1936" i="32"/>
  <c r="AA1936" i="32"/>
  <c r="L1937" i="32"/>
  <c r="M1937" i="32"/>
  <c r="N1937" i="32"/>
  <c r="O1937" i="32"/>
  <c r="P1937" i="32"/>
  <c r="Q1937" i="32"/>
  <c r="R1937" i="32"/>
  <c r="S1937" i="32"/>
  <c r="Z1937" i="32"/>
  <c r="AA1937" i="32"/>
  <c r="L1938" i="32"/>
  <c r="M1938" i="32"/>
  <c r="N1938" i="32"/>
  <c r="O1938" i="32"/>
  <c r="P1938" i="32"/>
  <c r="Q1938" i="32"/>
  <c r="R1938" i="32"/>
  <c r="S1938" i="32"/>
  <c r="Z1938" i="32"/>
  <c r="AA1938" i="32"/>
  <c r="L1939" i="32"/>
  <c r="M1939" i="32"/>
  <c r="N1939" i="32"/>
  <c r="O1939" i="32"/>
  <c r="P1939" i="32"/>
  <c r="Q1939" i="32"/>
  <c r="R1939" i="32"/>
  <c r="S1939" i="32"/>
  <c r="Z1939" i="32"/>
  <c r="AA1939" i="32"/>
  <c r="L1940" i="32"/>
  <c r="M1940" i="32"/>
  <c r="N1940" i="32"/>
  <c r="O1940" i="32"/>
  <c r="P1940" i="32"/>
  <c r="Q1940" i="32"/>
  <c r="R1940" i="32"/>
  <c r="S1940" i="32"/>
  <c r="Z1940" i="32"/>
  <c r="AA1940" i="32"/>
  <c r="L1941" i="32"/>
  <c r="M1941" i="32"/>
  <c r="N1941" i="32"/>
  <c r="O1941" i="32"/>
  <c r="P1941" i="32"/>
  <c r="Q1941" i="32"/>
  <c r="R1941" i="32"/>
  <c r="S1941" i="32"/>
  <c r="Z1941" i="32"/>
  <c r="AA1941" i="32"/>
  <c r="L1942" i="32"/>
  <c r="M1942" i="32"/>
  <c r="N1942" i="32"/>
  <c r="O1942" i="32"/>
  <c r="P1942" i="32"/>
  <c r="Q1942" i="32"/>
  <c r="R1942" i="32"/>
  <c r="S1942" i="32"/>
  <c r="Z1942" i="32"/>
  <c r="AA1942" i="32"/>
  <c r="Z1943" i="32"/>
  <c r="AA1943" i="32"/>
  <c r="B1944" i="32"/>
  <c r="Z1944" i="32" s="1"/>
  <c r="K1963" i="32"/>
  <c r="C1969" i="32"/>
  <c r="D1969" i="32"/>
  <c r="E1969" i="32"/>
  <c r="G1969" i="32"/>
  <c r="B1970" i="32"/>
  <c r="C1970" i="32"/>
  <c r="E1970" i="32"/>
  <c r="F1970" i="32"/>
  <c r="H1970" i="32"/>
  <c r="I1970" i="32"/>
  <c r="B1971" i="32"/>
  <c r="C1971" i="32"/>
  <c r="L1971" i="32" s="1"/>
  <c r="D1971" i="32"/>
  <c r="F1971" i="32"/>
  <c r="G1971" i="32"/>
  <c r="H1971" i="32"/>
  <c r="I1971" i="32"/>
  <c r="B1972" i="32"/>
  <c r="C1972" i="32"/>
  <c r="Q1972" i="32" s="1"/>
  <c r="E1972" i="32"/>
  <c r="H1972" i="32"/>
  <c r="I1972" i="32"/>
  <c r="B1973" i="32"/>
  <c r="C1973" i="32"/>
  <c r="E1973" i="32"/>
  <c r="F1973" i="32"/>
  <c r="P1973" i="32" s="1"/>
  <c r="G1973" i="32"/>
  <c r="H1973" i="32"/>
  <c r="I1973" i="32"/>
  <c r="B1974" i="32"/>
  <c r="C1974" i="32"/>
  <c r="F1974" i="32"/>
  <c r="G1974" i="32"/>
  <c r="H1974" i="32"/>
  <c r="B1980" i="32"/>
  <c r="C1980" i="32"/>
  <c r="E1980" i="32"/>
  <c r="F1980" i="32"/>
  <c r="G1980" i="32"/>
  <c r="H1980" i="32"/>
  <c r="I1980" i="32"/>
  <c r="B1981" i="32"/>
  <c r="C1981" i="32"/>
  <c r="E1981" i="32"/>
  <c r="F1981" i="32"/>
  <c r="G1981" i="32"/>
  <c r="S1981" i="32" s="1"/>
  <c r="H1981" i="32"/>
  <c r="I1981" i="32"/>
  <c r="B1982" i="32"/>
  <c r="C1982" i="32"/>
  <c r="E1982" i="32"/>
  <c r="P1982" i="32" s="1"/>
  <c r="F1982" i="32"/>
  <c r="G1982" i="32"/>
  <c r="H1982" i="32"/>
  <c r="B1983" i="32"/>
  <c r="Z1983" i="32" s="1"/>
  <c r="C1983" i="32"/>
  <c r="E1983" i="32"/>
  <c r="F1983" i="32"/>
  <c r="G1983" i="32"/>
  <c r="I1983" i="32"/>
  <c r="B1984" i="32"/>
  <c r="C1984" i="32"/>
  <c r="E1984" i="32"/>
  <c r="G1984" i="32"/>
  <c r="H1984" i="32"/>
  <c r="I1984" i="32"/>
  <c r="B1985" i="32"/>
  <c r="Z1985" i="32" s="1"/>
  <c r="C1985" i="32"/>
  <c r="E1985" i="32"/>
  <c r="F1985" i="32"/>
  <c r="G1985" i="32"/>
  <c r="I1985" i="32"/>
  <c r="B1993" i="32"/>
  <c r="C1993" i="32"/>
  <c r="E1993" i="32"/>
  <c r="F1993" i="32"/>
  <c r="G1993" i="32"/>
  <c r="I1993" i="32"/>
  <c r="Z1994" i="32"/>
  <c r="AA1994" i="32"/>
  <c r="B1996" i="32"/>
  <c r="V1981" i="32" s="1"/>
  <c r="C1996" i="32"/>
  <c r="Z1996" i="32"/>
  <c r="D1996" i="32"/>
  <c r="E1996" i="32"/>
  <c r="F1996" i="32"/>
  <c r="H1996" i="32"/>
  <c r="I1996" i="32"/>
  <c r="B1997" i="32"/>
  <c r="C1997" i="32"/>
  <c r="D1997" i="32"/>
  <c r="E1997" i="32"/>
  <c r="G1997" i="32"/>
  <c r="H1997" i="32"/>
  <c r="I1997" i="32"/>
  <c r="B1998" i="32"/>
  <c r="C1998" i="32"/>
  <c r="E1998" i="32"/>
  <c r="G1998" i="32"/>
  <c r="H1998" i="32"/>
  <c r="I1998" i="32"/>
  <c r="C1999" i="32"/>
  <c r="D1999" i="32"/>
  <c r="G1999" i="32"/>
  <c r="H1999" i="32"/>
  <c r="I1999" i="32"/>
  <c r="R1999" i="32"/>
  <c r="C2000" i="32"/>
  <c r="E2000" i="32"/>
  <c r="G2000" i="32"/>
  <c r="H2000" i="32"/>
  <c r="B2001" i="32"/>
  <c r="V1986" i="32" s="1"/>
  <c r="C2001" i="32"/>
  <c r="E2001" i="32"/>
  <c r="F2001" i="32"/>
  <c r="G2001" i="32"/>
  <c r="H2001" i="32"/>
  <c r="V1975" i="32" s="1"/>
  <c r="I2001" i="32"/>
  <c r="B2002" i="32"/>
  <c r="E2002" i="32"/>
  <c r="F2002" i="32"/>
  <c r="G2002" i="32"/>
  <c r="I2002" i="32"/>
  <c r="D2003" i="32"/>
  <c r="E2003" i="32"/>
  <c r="G2003" i="32"/>
  <c r="V1969" i="32"/>
  <c r="H2003" i="32"/>
  <c r="V1976" i="32" s="1"/>
  <c r="I2003" i="32"/>
  <c r="C2004" i="32"/>
  <c r="D2004" i="32"/>
  <c r="E2004" i="32"/>
  <c r="P2004" i="32"/>
  <c r="G2004" i="32"/>
  <c r="H2004" i="32"/>
  <c r="I2004" i="32"/>
  <c r="C2005" i="32"/>
  <c r="E2005" i="32"/>
  <c r="F2005" i="32"/>
  <c r="H2005" i="32"/>
  <c r="I2005" i="32"/>
  <c r="C2006" i="32"/>
  <c r="D2006" i="32"/>
  <c r="E2006" i="32"/>
  <c r="G2006" i="32"/>
  <c r="H2006" i="32"/>
  <c r="B2007" i="32"/>
  <c r="V1992" i="32" s="1"/>
  <c r="C2007" i="32"/>
  <c r="E2007" i="32"/>
  <c r="F2007" i="32"/>
  <c r="G2007" i="32"/>
  <c r="I2007" i="32"/>
  <c r="C2008" i="32"/>
  <c r="D2008" i="32"/>
  <c r="E2008" i="32"/>
  <c r="H2008" i="32"/>
  <c r="V1977" i="32" s="1"/>
  <c r="I2008" i="32"/>
  <c r="C2009" i="32"/>
  <c r="D2009" i="32"/>
  <c r="E2009" i="32"/>
  <c r="G2009" i="32"/>
  <c r="H2009" i="32"/>
  <c r="I2009" i="32"/>
  <c r="C2010" i="32"/>
  <c r="E2010" i="32"/>
  <c r="F2010" i="32"/>
  <c r="O2010" i="32" s="1"/>
  <c r="G2010" i="32"/>
  <c r="S2010" i="32" s="1"/>
  <c r="I2010" i="32"/>
  <c r="C2011" i="32"/>
  <c r="D2011" i="32"/>
  <c r="E2011" i="32"/>
  <c r="G2011" i="32"/>
  <c r="R2011" i="32" s="1"/>
  <c r="H2011" i="32"/>
  <c r="I2011" i="32"/>
  <c r="M2011" i="32" s="1"/>
  <c r="B2012" i="32"/>
  <c r="V1997" i="32" s="1"/>
  <c r="C2012" i="32"/>
  <c r="D2012" i="32"/>
  <c r="E2012" i="32"/>
  <c r="Q2012" i="32"/>
  <c r="F2012" i="32"/>
  <c r="H2012" i="32"/>
  <c r="I2012" i="32"/>
  <c r="B2013" i="32"/>
  <c r="V1998" i="32" s="1"/>
  <c r="D2013" i="32"/>
  <c r="G2013" i="32"/>
  <c r="H2013" i="32"/>
  <c r="I2013" i="32"/>
  <c r="C2021" i="32"/>
  <c r="D2021" i="32"/>
  <c r="G2021" i="32"/>
  <c r="H2021" i="32"/>
  <c r="I2021" i="32"/>
  <c r="C2022" i="32"/>
  <c r="D2022" i="32"/>
  <c r="E2022" i="32"/>
  <c r="G2022" i="32"/>
  <c r="H2022" i="32"/>
  <c r="I2022" i="32"/>
  <c r="C2023" i="32"/>
  <c r="D2023" i="32"/>
  <c r="G2023" i="32"/>
  <c r="H2023" i="32"/>
  <c r="I2023" i="32"/>
  <c r="C2024" i="32"/>
  <c r="D2024" i="32"/>
  <c r="E2024" i="32"/>
  <c r="G2024" i="32"/>
  <c r="H2024" i="32"/>
  <c r="I2024" i="32"/>
  <c r="C2026" i="32"/>
  <c r="E2026" i="32"/>
  <c r="G2026" i="32"/>
  <c r="H2026" i="32"/>
  <c r="I2026" i="32"/>
  <c r="D2027" i="32"/>
  <c r="E2027" i="32"/>
  <c r="G2027" i="32"/>
  <c r="H2027" i="32"/>
  <c r="I2027" i="32"/>
  <c r="D2028" i="32"/>
  <c r="E2028" i="32"/>
  <c r="G2028" i="32"/>
  <c r="H2028" i="32"/>
  <c r="I2028" i="32"/>
  <c r="D2029" i="32"/>
  <c r="E2029" i="32"/>
  <c r="G2029" i="32"/>
  <c r="H2029" i="32"/>
  <c r="I2029" i="32"/>
  <c r="Q9" i="13"/>
  <c r="L19" i="2"/>
  <c r="L20" i="2"/>
  <c r="L21" i="2"/>
  <c r="J22" i="2"/>
  <c r="L22" i="2"/>
  <c r="J23" i="2"/>
  <c r="L23" i="2"/>
  <c r="N23" i="2"/>
  <c r="J24" i="2"/>
  <c r="L24" i="2"/>
  <c r="N24" i="2"/>
  <c r="J25" i="2"/>
  <c r="L25" i="2"/>
  <c r="N25" i="2"/>
  <c r="J26" i="2"/>
  <c r="L26" i="2"/>
  <c r="N26" i="2"/>
  <c r="J27" i="2"/>
  <c r="L27" i="2"/>
  <c r="N27" i="2"/>
  <c r="J28" i="2"/>
  <c r="L28" i="2"/>
  <c r="N28" i="2"/>
  <c r="J29" i="2"/>
  <c r="J20" i="2" s="1"/>
  <c r="L29" i="2"/>
  <c r="N29" i="2"/>
  <c r="J30" i="2"/>
  <c r="L30" i="2"/>
  <c r="N30" i="2"/>
  <c r="J31" i="2"/>
  <c r="L31" i="2"/>
  <c r="N31" i="2"/>
  <c r="J32" i="2"/>
  <c r="L32" i="2"/>
  <c r="N32" i="2"/>
  <c r="J33" i="2"/>
  <c r="L33" i="2"/>
  <c r="N33" i="2"/>
  <c r="J34" i="2"/>
  <c r="L34" i="2"/>
  <c r="N34" i="2"/>
  <c r="J35" i="2"/>
  <c r="L35" i="2"/>
  <c r="N35" i="2"/>
  <c r="J36" i="2"/>
  <c r="L36" i="2"/>
  <c r="N36" i="2"/>
  <c r="J37" i="2"/>
  <c r="L37" i="2"/>
  <c r="N37" i="2"/>
  <c r="J38" i="2"/>
  <c r="L38" i="2"/>
  <c r="N38" i="2"/>
  <c r="J39" i="2"/>
  <c r="L39" i="2"/>
  <c r="N39" i="2"/>
  <c r="J40" i="2"/>
  <c r="L40" i="2"/>
  <c r="N40" i="2"/>
  <c r="J41" i="2"/>
  <c r="L41" i="2"/>
  <c r="N41" i="2"/>
  <c r="J42" i="2"/>
  <c r="L42" i="2"/>
  <c r="N42" i="2"/>
  <c r="J43" i="2"/>
  <c r="L43" i="2"/>
  <c r="N43" i="2"/>
  <c r="J44" i="2"/>
  <c r="L44" i="2"/>
  <c r="N44" i="2"/>
  <c r="J45" i="2"/>
  <c r="L45" i="2"/>
  <c r="N45" i="2"/>
  <c r="J46" i="2"/>
  <c r="L46" i="2"/>
  <c r="N46" i="2"/>
  <c r="J47" i="2"/>
  <c r="L47" i="2"/>
  <c r="N47" i="2"/>
  <c r="J48" i="2"/>
  <c r="L48" i="2"/>
  <c r="N48" i="2"/>
  <c r="J49" i="2"/>
  <c r="L49" i="2"/>
  <c r="N49" i="2"/>
  <c r="J50" i="2"/>
  <c r="L50" i="2"/>
  <c r="N50" i="2"/>
  <c r="J51" i="2"/>
  <c r="L51" i="2"/>
  <c r="N51" i="2"/>
  <c r="J52" i="2"/>
  <c r="U4" i="16"/>
  <c r="B5" i="16"/>
  <c r="T4" i="16" s="1"/>
  <c r="U5" i="16"/>
  <c r="U6" i="16"/>
  <c r="B7" i="16"/>
  <c r="T5" i="16" s="1"/>
  <c r="U7" i="16"/>
  <c r="B8" i="16"/>
  <c r="T6" i="16" s="1"/>
  <c r="U8" i="16"/>
  <c r="U9" i="16"/>
  <c r="B10" i="16"/>
  <c r="T7" i="16" s="1"/>
  <c r="B13" i="16"/>
  <c r="T8" i="16" s="1"/>
  <c r="B14" i="16"/>
  <c r="T9" i="16" s="1"/>
  <c r="B16" i="16"/>
  <c r="B18" i="16"/>
  <c r="B19" i="16"/>
  <c r="B21" i="16"/>
  <c r="B24" i="16"/>
  <c r="B25" i="16"/>
  <c r="B27" i="16"/>
  <c r="B29" i="16"/>
  <c r="B30" i="16"/>
  <c r="B32" i="16"/>
  <c r="B35" i="16"/>
  <c r="B36" i="16"/>
  <c r="B38" i="16"/>
  <c r="B40" i="16"/>
  <c r="B41" i="16"/>
  <c r="B43" i="16"/>
  <c r="B46" i="16"/>
  <c r="B47" i="16"/>
  <c r="B49" i="16"/>
  <c r="B51" i="16"/>
  <c r="B52" i="16"/>
  <c r="B54" i="16"/>
  <c r="B57" i="16"/>
  <c r="B58" i="16"/>
  <c r="B60" i="16"/>
  <c r="B62" i="16"/>
  <c r="B63" i="16"/>
  <c r="B65" i="16"/>
  <c r="B68" i="16"/>
  <c r="B69" i="16"/>
  <c r="B71" i="16"/>
  <c r="B73" i="16"/>
  <c r="B74" i="16"/>
  <c r="B76" i="16"/>
  <c r="B79" i="16"/>
  <c r="B80" i="16"/>
  <c r="B82" i="16"/>
  <c r="B84" i="16"/>
  <c r="B85" i="16"/>
  <c r="B87" i="16"/>
  <c r="B90" i="16"/>
  <c r="B91" i="16"/>
  <c r="B93" i="16"/>
  <c r="B95" i="16"/>
  <c r="B96" i="16"/>
  <c r="B98" i="16"/>
  <c r="B101" i="16"/>
  <c r="B102" i="16"/>
  <c r="B104" i="16"/>
  <c r="B106" i="16"/>
  <c r="B107" i="16"/>
  <c r="B109" i="16"/>
  <c r="B112" i="16"/>
  <c r="B113" i="16"/>
  <c r="B115" i="16"/>
  <c r="B117" i="16"/>
  <c r="B118" i="16"/>
  <c r="B120" i="16"/>
  <c r="B123" i="16"/>
  <c r="B124" i="16"/>
  <c r="B126" i="16"/>
  <c r="B128" i="16"/>
  <c r="B129" i="16"/>
  <c r="B131" i="16"/>
  <c r="B134" i="16"/>
  <c r="B135" i="16"/>
  <c r="B137" i="16"/>
  <c r="B139" i="16"/>
  <c r="B140" i="16"/>
  <c r="B142" i="16"/>
  <c r="B145" i="16"/>
  <c r="B146" i="16"/>
  <c r="B148" i="16"/>
  <c r="B150" i="16"/>
  <c r="B151" i="16"/>
  <c r="B153" i="16"/>
  <c r="B156" i="16"/>
  <c r="B157" i="16"/>
  <c r="B159" i="16"/>
  <c r="B161" i="16"/>
  <c r="B162" i="16"/>
  <c r="B164" i="16"/>
  <c r="B167" i="16"/>
  <c r="B168" i="16"/>
  <c r="B170" i="16"/>
  <c r="B172" i="16"/>
  <c r="B173" i="16"/>
  <c r="B175" i="16"/>
  <c r="B178" i="16"/>
  <c r="B179" i="16"/>
  <c r="B181" i="16"/>
  <c r="B183" i="16"/>
  <c r="B184" i="16"/>
  <c r="B186" i="16"/>
  <c r="B189" i="16"/>
  <c r="B190" i="16"/>
  <c r="B192" i="16"/>
  <c r="B194" i="16"/>
  <c r="B195" i="16"/>
  <c r="B197" i="16"/>
  <c r="B200" i="16"/>
  <c r="B201" i="16"/>
  <c r="B203" i="16"/>
  <c r="B205" i="16"/>
  <c r="B206" i="16"/>
  <c r="B208" i="16"/>
  <c r="B211" i="16"/>
  <c r="B212" i="16"/>
  <c r="B214" i="16"/>
  <c r="B216" i="16"/>
  <c r="B217" i="16"/>
  <c r="B219" i="16"/>
  <c r="B222" i="16"/>
  <c r="B223" i="16"/>
  <c r="B225" i="16"/>
  <c r="B227" i="16"/>
  <c r="B228" i="16"/>
  <c r="B230" i="16"/>
  <c r="B233" i="16"/>
  <c r="B234" i="16"/>
  <c r="B236" i="16"/>
  <c r="B238" i="16"/>
  <c r="B239" i="16"/>
  <c r="B241" i="16"/>
  <c r="B244" i="16"/>
  <c r="B245" i="16"/>
  <c r="B247" i="16"/>
  <c r="B249" i="16"/>
  <c r="B250" i="16"/>
  <c r="B252" i="16"/>
  <c r="B255" i="16"/>
  <c r="B256" i="16"/>
  <c r="B258" i="16"/>
  <c r="B260" i="16"/>
  <c r="B261" i="16"/>
  <c r="B263" i="16"/>
  <c r="B266" i="16"/>
  <c r="B267" i="16"/>
  <c r="B269" i="16"/>
  <c r="B271" i="16"/>
  <c r="B272" i="16"/>
  <c r="B274" i="16"/>
  <c r="B277" i="16"/>
  <c r="B278" i="16"/>
  <c r="B280" i="16"/>
  <c r="B282" i="16"/>
  <c r="B283" i="16"/>
  <c r="B285" i="16"/>
  <c r="B288" i="16"/>
  <c r="B289" i="16"/>
  <c r="B291" i="16"/>
  <c r="B293" i="16"/>
  <c r="B294" i="16"/>
  <c r="B296" i="16"/>
  <c r="B299" i="16"/>
  <c r="B300" i="16"/>
  <c r="B302" i="16"/>
  <c r="B304" i="16"/>
  <c r="B305" i="16"/>
  <c r="B307" i="16"/>
  <c r="B310" i="16"/>
  <c r="B311" i="16"/>
  <c r="B313" i="16"/>
  <c r="B315" i="16"/>
  <c r="B316" i="16"/>
  <c r="B318" i="16"/>
  <c r="B321" i="16"/>
  <c r="B322" i="16"/>
  <c r="B324" i="16"/>
  <c r="B326" i="16"/>
  <c r="B327" i="16"/>
  <c r="B329" i="16"/>
  <c r="B332" i="16"/>
  <c r="B333" i="16"/>
  <c r="B6" i="17"/>
  <c r="T5" i="17" s="1"/>
  <c r="B15" i="17"/>
  <c r="T6" i="17" s="1"/>
  <c r="B21" i="17"/>
  <c r="T7" i="17" s="1"/>
  <c r="B29" i="17"/>
  <c r="T8" i="17" s="1"/>
  <c r="B39" i="17"/>
  <c r="T9" i="17" s="1"/>
  <c r="B46" i="17"/>
  <c r="T10" i="17" s="1"/>
  <c r="B52" i="17"/>
  <c r="B61" i="17"/>
  <c r="B67" i="17"/>
  <c r="B75" i="17"/>
  <c r="B85" i="17"/>
  <c r="B92" i="17"/>
  <c r="B98" i="17"/>
  <c r="B107" i="17"/>
  <c r="B113" i="17"/>
  <c r="B121" i="17"/>
  <c r="B131" i="17"/>
  <c r="B138" i="17"/>
  <c r="B144" i="17"/>
  <c r="B153" i="17"/>
  <c r="B159" i="17"/>
  <c r="B167" i="17"/>
  <c r="B177" i="17"/>
  <c r="B184" i="17"/>
  <c r="B190" i="17"/>
  <c r="B199" i="17"/>
  <c r="B205" i="17"/>
  <c r="B213" i="17"/>
  <c r="B223" i="17"/>
  <c r="B230" i="17"/>
  <c r="B236" i="17"/>
  <c r="B245" i="17"/>
  <c r="B251" i="17"/>
  <c r="B259" i="17"/>
  <c r="B269" i="17"/>
  <c r="B276" i="17"/>
  <c r="B282" i="17"/>
  <c r="B291" i="17"/>
  <c r="B297" i="17"/>
  <c r="B305" i="17"/>
  <c r="B315" i="17"/>
  <c r="B322" i="17"/>
  <c r="B328" i="17"/>
  <c r="B338" i="17"/>
  <c r="B344" i="17"/>
  <c r="B352" i="17"/>
  <c r="B361" i="17"/>
  <c r="B368" i="17"/>
  <c r="B374" i="17"/>
  <c r="B383" i="17"/>
  <c r="B389" i="17"/>
  <c r="B397" i="17"/>
  <c r="B407" i="17"/>
  <c r="B414" i="17"/>
  <c r="B420" i="17"/>
  <c r="B429" i="17"/>
  <c r="B435" i="17"/>
  <c r="B444" i="17"/>
  <c r="B453" i="17"/>
  <c r="B460" i="17"/>
  <c r="B466" i="17"/>
  <c r="B475" i="17"/>
  <c r="B481" i="17"/>
  <c r="B489" i="17"/>
  <c r="B499" i="17"/>
  <c r="B506" i="17"/>
  <c r="B512" i="17"/>
  <c r="B521" i="17"/>
  <c r="B527" i="17"/>
  <c r="B535" i="17"/>
  <c r="B545" i="17"/>
  <c r="B552" i="17"/>
  <c r="B558" i="17"/>
  <c r="B567" i="17"/>
  <c r="B573" i="17"/>
  <c r="B581" i="17"/>
  <c r="B591" i="17"/>
  <c r="B598" i="17"/>
  <c r="B604" i="17"/>
  <c r="B613" i="17"/>
  <c r="B619" i="17"/>
  <c r="B627" i="17"/>
  <c r="B637" i="17"/>
  <c r="B644" i="17"/>
  <c r="B650" i="17"/>
  <c r="B659" i="17"/>
  <c r="B665" i="17"/>
  <c r="B673" i="17"/>
  <c r="B683" i="17"/>
  <c r="B690" i="17"/>
  <c r="B696" i="17"/>
  <c r="B705" i="17"/>
  <c r="B711" i="17"/>
  <c r="B719" i="17"/>
  <c r="B729" i="17"/>
  <c r="B736" i="17"/>
  <c r="B742" i="17"/>
  <c r="B751" i="17"/>
  <c r="B757" i="17"/>
  <c r="B765" i="17"/>
  <c r="B775" i="17"/>
  <c r="B782" i="17"/>
  <c r="B788" i="17"/>
  <c r="B797" i="17"/>
  <c r="B803" i="17"/>
  <c r="B811" i="17"/>
  <c r="B821" i="17"/>
  <c r="B828" i="17"/>
  <c r="B834" i="17"/>
  <c r="B843" i="17"/>
  <c r="B849" i="17"/>
  <c r="B857" i="17"/>
  <c r="B867" i="17"/>
  <c r="B874" i="17"/>
  <c r="B880" i="17"/>
  <c r="B889" i="17"/>
  <c r="B895" i="17"/>
  <c r="B903" i="17"/>
  <c r="B913" i="17"/>
  <c r="B920" i="17"/>
  <c r="B926" i="17"/>
  <c r="B935" i="17"/>
  <c r="B941" i="17"/>
  <c r="B949" i="17"/>
  <c r="B959" i="17"/>
  <c r="B966" i="17"/>
  <c r="B972" i="17"/>
  <c r="B981" i="17"/>
  <c r="B987" i="17"/>
  <c r="B995" i="17"/>
  <c r="B1005" i="17"/>
  <c r="B1012" i="17"/>
  <c r="B1018" i="17"/>
  <c r="B1027" i="17"/>
  <c r="B1033" i="17"/>
  <c r="B1041" i="17"/>
  <c r="B1051" i="17"/>
  <c r="B1058" i="17"/>
  <c r="B1064" i="17"/>
  <c r="B1073" i="17"/>
  <c r="B1079" i="17"/>
  <c r="B1087" i="17"/>
  <c r="B1097" i="17"/>
  <c r="B1104" i="17"/>
  <c r="B1110" i="17"/>
  <c r="B1119" i="17"/>
  <c r="B1125" i="17"/>
  <c r="B1133" i="17"/>
  <c r="B1143" i="17"/>
  <c r="B1150" i="17"/>
  <c r="B1156" i="17"/>
  <c r="B1165" i="17"/>
  <c r="B1171" i="17"/>
  <c r="B1179" i="17"/>
  <c r="B1189" i="17"/>
  <c r="B1196" i="17"/>
  <c r="B1202" i="17"/>
  <c r="B1211" i="17"/>
  <c r="B1217" i="17"/>
  <c r="B1225" i="17"/>
  <c r="B1235" i="17"/>
  <c r="B1242" i="17"/>
  <c r="B1248" i="17"/>
  <c r="B1257" i="17"/>
  <c r="B1263" i="17"/>
  <c r="B1271" i="17"/>
  <c r="B1281" i="17"/>
  <c r="B1288" i="17"/>
  <c r="B1294" i="17"/>
  <c r="B1303" i="17"/>
  <c r="B1309" i="17"/>
  <c r="B1317" i="17"/>
  <c r="B1327" i="17"/>
  <c r="B1334" i="17"/>
  <c r="B1340" i="17"/>
  <c r="B1349" i="17"/>
  <c r="B1355" i="17"/>
  <c r="B1363" i="17"/>
  <c r="B1373" i="17"/>
  <c r="B1380" i="17"/>
  <c r="R73" i="29"/>
  <c r="S73" i="29" s="1"/>
  <c r="N74" i="29"/>
  <c r="R74" i="29" s="1"/>
  <c r="O85" i="44"/>
  <c r="T73" i="44"/>
  <c r="AO6" i="7"/>
  <c r="AA2013" i="32"/>
  <c r="M2008" i="32"/>
  <c r="M2006" i="32"/>
  <c r="M2004" i="32"/>
  <c r="S2003" i="32"/>
  <c r="L1997" i="32"/>
  <c r="L1993" i="32"/>
  <c r="P1993" i="32"/>
  <c r="G1986" i="32"/>
  <c r="Q1982" i="32"/>
  <c r="Q1980" i="32"/>
  <c r="L1972" i="32"/>
  <c r="Z1971" i="32"/>
  <c r="I1944" i="32"/>
  <c r="E1944" i="32"/>
  <c r="S1944" i="32" s="1"/>
  <c r="C1944" i="32"/>
  <c r="AC80" i="5"/>
  <c r="V1904" i="32"/>
  <c r="BD12" i="32" s="1"/>
  <c r="AC139" i="5" s="1"/>
  <c r="L1917" i="32"/>
  <c r="G1917" i="32"/>
  <c r="O1905" i="32"/>
  <c r="M1874" i="32"/>
  <c r="AD80" i="5"/>
  <c r="V1834" i="32"/>
  <c r="BE12" i="32" s="1"/>
  <c r="AD139" i="5" s="1"/>
  <c r="I1847" i="32"/>
  <c r="L1847" i="32" s="1"/>
  <c r="G1847" i="32"/>
  <c r="C1847" i="32"/>
  <c r="Z1847" i="32" s="1"/>
  <c r="M1846" i="32"/>
  <c r="Q1846" i="32"/>
  <c r="I1804" i="32"/>
  <c r="G1804" i="32"/>
  <c r="C1804" i="32"/>
  <c r="S1785" i="32"/>
  <c r="M1785" i="32"/>
  <c r="I1777" i="32"/>
  <c r="G1777" i="32"/>
  <c r="E1777" i="32"/>
  <c r="C1777" i="32"/>
  <c r="M1765" i="32"/>
  <c r="P1765" i="32"/>
  <c r="R1715" i="32"/>
  <c r="L1715" i="32"/>
  <c r="Z1715" i="32"/>
  <c r="L1706" i="32"/>
  <c r="P1706" i="32"/>
  <c r="T80" i="5"/>
  <c r="V1624" i="32"/>
  <c r="AU12" i="32" s="1"/>
  <c r="T139" i="5" s="1"/>
  <c r="I1637" i="32"/>
  <c r="L1637" i="32"/>
  <c r="G1637" i="32"/>
  <c r="AA1636" i="32"/>
  <c r="Q1636" i="32"/>
  <c r="R1575" i="32"/>
  <c r="V82" i="5"/>
  <c r="V116" i="5" s="1"/>
  <c r="V1547" i="32"/>
  <c r="AW5" i="32" s="1"/>
  <c r="V132" i="5" s="1"/>
  <c r="P1575" i="32"/>
  <c r="D1567" i="32"/>
  <c r="M1567" i="32" s="1"/>
  <c r="L1566" i="32"/>
  <c r="P1566" i="32"/>
  <c r="P1555" i="32"/>
  <c r="P1998" i="32"/>
  <c r="L1970" i="32"/>
  <c r="AC82" i="5"/>
  <c r="AC116" i="5" s="1"/>
  <c r="V1897" i="32"/>
  <c r="BD5" i="32"/>
  <c r="AC132" i="5" s="1"/>
  <c r="AD82" i="5"/>
  <c r="AD88" i="5" s="1"/>
  <c r="V1827" i="32"/>
  <c r="BE5" i="32" s="1"/>
  <c r="AD132" i="5" s="1"/>
  <c r="AA82" i="5"/>
  <c r="AA116" i="5" s="1"/>
  <c r="V1757" i="32"/>
  <c r="BB5" i="32" s="1"/>
  <c r="AA132" i="5" s="1"/>
  <c r="Y80" i="5"/>
  <c r="V1694" i="32"/>
  <c r="AZ12" i="32" s="1"/>
  <c r="Y139" i="5" s="1"/>
  <c r="T82" i="5"/>
  <c r="T116" i="5" s="1"/>
  <c r="V1617" i="32"/>
  <c r="AU5" i="32" s="1"/>
  <c r="T132" i="5" s="1"/>
  <c r="V80" i="5"/>
  <c r="V1554" i="32"/>
  <c r="AW12" i="32" s="1"/>
  <c r="V139" i="5" s="1"/>
  <c r="Q82" i="5"/>
  <c r="Q116" i="5" s="1"/>
  <c r="V1477" i="32"/>
  <c r="AR5" i="32" s="1"/>
  <c r="Q132" i="5" s="1"/>
  <c r="P1454" i="32"/>
  <c r="L80" i="5"/>
  <c r="V1414" i="32"/>
  <c r="AM12" i="32" s="1"/>
  <c r="L139" i="5" s="1"/>
  <c r="L1427" i="32"/>
  <c r="P1427" i="32"/>
  <c r="I82" i="5"/>
  <c r="V1337" i="32"/>
  <c r="AJ5" i="32" s="1"/>
  <c r="I132" i="5" s="1"/>
  <c r="G80" i="5"/>
  <c r="V1274" i="32"/>
  <c r="AH12" i="32" s="1"/>
  <c r="G139" i="5" s="1"/>
  <c r="P1101" i="32"/>
  <c r="Q1006" i="32"/>
  <c r="L1555" i="32"/>
  <c r="S1505" i="32"/>
  <c r="Q80" i="5"/>
  <c r="V1484" i="32"/>
  <c r="AR12" i="32" s="1"/>
  <c r="Q139" i="5" s="1"/>
  <c r="G1497" i="32"/>
  <c r="AA1496" i="32"/>
  <c r="Q1496" i="32"/>
  <c r="O1485" i="32"/>
  <c r="R1435" i="32"/>
  <c r="L1435" i="32"/>
  <c r="L82" i="5"/>
  <c r="V1407" i="32"/>
  <c r="AM5" i="32" s="1"/>
  <c r="L132" i="5" s="1"/>
  <c r="P1435" i="32"/>
  <c r="D1427" i="32"/>
  <c r="R1427" i="32" s="1"/>
  <c r="L1426" i="32"/>
  <c r="P1426" i="32"/>
  <c r="P1415" i="32"/>
  <c r="L1415" i="32"/>
  <c r="S1365" i="32"/>
  <c r="I80" i="5"/>
  <c r="V1344" i="32"/>
  <c r="AJ12" i="32" s="1"/>
  <c r="I139" i="5" s="1"/>
  <c r="I1357" i="32"/>
  <c r="AA1356" i="32"/>
  <c r="Q1356" i="32"/>
  <c r="O1345" i="32"/>
  <c r="R1295" i="32"/>
  <c r="G82" i="5"/>
  <c r="G88" i="5" s="1"/>
  <c r="V1267" i="32"/>
  <c r="AH5" i="32"/>
  <c r="G132" i="5" s="1"/>
  <c r="P1295" i="32"/>
  <c r="P1286" i="32"/>
  <c r="P1275" i="32"/>
  <c r="L1275" i="32"/>
  <c r="S1224" i="32"/>
  <c r="AA1224" i="32"/>
  <c r="Q1224" i="32"/>
  <c r="I1216" i="32"/>
  <c r="M1216" i="32" s="1"/>
  <c r="G1216" i="32"/>
  <c r="AA1215" i="32"/>
  <c r="Q1215" i="32"/>
  <c r="O1204" i="32"/>
  <c r="P1154" i="32"/>
  <c r="L1154" i="32"/>
  <c r="O1154" i="32"/>
  <c r="V1126" i="32"/>
  <c r="BI5" i="32" s="1"/>
  <c r="AH132" i="5" s="1"/>
  <c r="Q1154" i="32"/>
  <c r="O1134" i="32"/>
  <c r="Z1070" i="32"/>
  <c r="Z1063" i="32"/>
  <c r="AA1062" i="32"/>
  <c r="M1062" i="32"/>
  <c r="S1060" i="32"/>
  <c r="O1060" i="32"/>
  <c r="M1058" i="32"/>
  <c r="AA1058" i="32"/>
  <c r="Z1014" i="32"/>
  <c r="AE82" i="5"/>
  <c r="V986" i="32"/>
  <c r="BF5" i="32" s="1"/>
  <c r="AE132" i="5" s="1"/>
  <c r="D1006" i="32"/>
  <c r="R994" i="32"/>
  <c r="Q944" i="32"/>
  <c r="N944" i="32"/>
  <c r="L944" i="32"/>
  <c r="AB82" i="5"/>
  <c r="AB116" i="5" s="1"/>
  <c r="V916" i="32"/>
  <c r="BC5" i="32" s="1"/>
  <c r="AB132" i="5" s="1"/>
  <c r="I936" i="32"/>
  <c r="Q936" i="32"/>
  <c r="AA935" i="32"/>
  <c r="R874" i="32"/>
  <c r="L874" i="32"/>
  <c r="N82" i="5"/>
  <c r="N116" i="5" s="1"/>
  <c r="V846" i="32"/>
  <c r="AO5" i="32" s="1"/>
  <c r="N132" i="5" s="1"/>
  <c r="P874" i="32"/>
  <c r="Z865" i="32"/>
  <c r="H866" i="32"/>
  <c r="B866" i="32"/>
  <c r="Z866" i="32" s="1"/>
  <c r="F823" i="32"/>
  <c r="AA823" i="32" s="1"/>
  <c r="D823" i="32"/>
  <c r="M823" i="32" s="1"/>
  <c r="B823" i="32"/>
  <c r="Z823" i="32" s="1"/>
  <c r="Q804" i="32"/>
  <c r="L804" i="32"/>
  <c r="Z82" i="5"/>
  <c r="Z116" i="5" s="1"/>
  <c r="V776" i="32"/>
  <c r="BA5" i="32" s="1"/>
  <c r="Z132" i="5" s="1"/>
  <c r="Z804" i="32"/>
  <c r="B796" i="32"/>
  <c r="L796" i="32" s="1"/>
  <c r="I753" i="32"/>
  <c r="E753" i="32"/>
  <c r="C753" i="32"/>
  <c r="Z753" i="32" s="1"/>
  <c r="E80" i="5"/>
  <c r="V713" i="32"/>
  <c r="AF12" i="32" s="1"/>
  <c r="E139" i="5" s="1"/>
  <c r="G726" i="32"/>
  <c r="C726" i="32"/>
  <c r="F683" i="32"/>
  <c r="AA683" i="32" s="1"/>
  <c r="D683" i="32"/>
  <c r="B683" i="32"/>
  <c r="L683" i="32" s="1"/>
  <c r="O664" i="32"/>
  <c r="X82" i="5"/>
  <c r="V636" i="32"/>
  <c r="AY5" i="32" s="1"/>
  <c r="X132" i="5" s="1"/>
  <c r="L655" i="32"/>
  <c r="R655" i="32"/>
  <c r="Z655" i="32"/>
  <c r="M644" i="32"/>
  <c r="P644" i="32"/>
  <c r="F656" i="32"/>
  <c r="I613" i="32"/>
  <c r="G613" i="32"/>
  <c r="S613" i="32" s="1"/>
  <c r="U80" i="5"/>
  <c r="V573" i="32"/>
  <c r="AV12" i="32" s="1"/>
  <c r="U139" i="5" s="1"/>
  <c r="B586" i="32"/>
  <c r="L586" i="32" s="1"/>
  <c r="I543" i="32"/>
  <c r="L543" i="32" s="1"/>
  <c r="E543" i="32"/>
  <c r="P543" i="32" s="1"/>
  <c r="C543" i="32"/>
  <c r="Z543" i="32" s="1"/>
  <c r="S80" i="5"/>
  <c r="V503" i="32"/>
  <c r="AT12" i="32" s="1"/>
  <c r="S139" i="5" s="1"/>
  <c r="I516" i="32"/>
  <c r="L516" i="32" s="1"/>
  <c r="M473" i="32"/>
  <c r="Q473" i="32"/>
  <c r="H446" i="32"/>
  <c r="P446" i="32" s="1"/>
  <c r="P434" i="32"/>
  <c r="M434" i="32"/>
  <c r="F403" i="32"/>
  <c r="AA403" i="32" s="1"/>
  <c r="B403" i="32"/>
  <c r="L403" i="32" s="1"/>
  <c r="Q384" i="32"/>
  <c r="L384" i="32"/>
  <c r="O82" i="5"/>
  <c r="O88" i="5" s="1"/>
  <c r="V356" i="32"/>
  <c r="AP5" i="32" s="1"/>
  <c r="O132" i="5" s="1"/>
  <c r="Z384" i="32"/>
  <c r="B376" i="32"/>
  <c r="G306" i="32"/>
  <c r="I306" i="32"/>
  <c r="E306" i="32"/>
  <c r="AA306" i="32" s="1"/>
  <c r="L294" i="32"/>
  <c r="Z235" i="32"/>
  <c r="I166" i="32"/>
  <c r="O1059" i="32"/>
  <c r="V993" i="32"/>
  <c r="BF12" i="32" s="1"/>
  <c r="AE139" i="5" s="1"/>
  <c r="AB80" i="5"/>
  <c r="V923" i="32"/>
  <c r="BC12" i="32" s="1"/>
  <c r="AB139" i="5" s="1"/>
  <c r="P893" i="32"/>
  <c r="N80" i="5"/>
  <c r="N85" i="5" s="1"/>
  <c r="V853" i="32"/>
  <c r="AO12" i="32" s="1"/>
  <c r="N139" i="5" s="1"/>
  <c r="Z80" i="5"/>
  <c r="Z74" i="5" s="1"/>
  <c r="V783" i="32"/>
  <c r="BA12" i="32" s="1"/>
  <c r="Z139" i="5" s="1"/>
  <c r="H796" i="32"/>
  <c r="O784" i="32"/>
  <c r="E82" i="5"/>
  <c r="V706" i="32"/>
  <c r="AF5" i="32" s="1"/>
  <c r="E132" i="5" s="1"/>
  <c r="P725" i="32"/>
  <c r="L714" i="32"/>
  <c r="X80" i="5"/>
  <c r="V643" i="32"/>
  <c r="AY12" i="32" s="1"/>
  <c r="X139" i="5" s="1"/>
  <c r="Q613" i="32"/>
  <c r="U82" i="5"/>
  <c r="U116" i="5" s="1"/>
  <c r="V566" i="32"/>
  <c r="AV5" i="32" s="1"/>
  <c r="U132" i="5" s="1"/>
  <c r="H586" i="32"/>
  <c r="S82" i="5"/>
  <c r="S116" i="5" s="1"/>
  <c r="V496" i="32"/>
  <c r="AT5" i="32" s="1"/>
  <c r="S132" i="5" s="1"/>
  <c r="O80" i="5"/>
  <c r="V363" i="32"/>
  <c r="AP12" i="32" s="1"/>
  <c r="O139" i="5" s="1"/>
  <c r="C166" i="32"/>
  <c r="L375" i="32"/>
  <c r="R375" i="32"/>
  <c r="Z375" i="32"/>
  <c r="P364" i="32"/>
  <c r="M305" i="32"/>
  <c r="H306" i="32"/>
  <c r="M294" i="32"/>
  <c r="C306" i="32"/>
  <c r="Z306" i="32" s="1"/>
  <c r="M224" i="32"/>
  <c r="P224" i="32"/>
  <c r="P193" i="32"/>
  <c r="AA165" i="32"/>
  <c r="Q165" i="32"/>
  <c r="D96" i="32"/>
  <c r="L95" i="32"/>
  <c r="Z95" i="32"/>
  <c r="I26" i="32"/>
  <c r="C26" i="32"/>
  <c r="F96" i="32"/>
  <c r="O2011" i="32"/>
  <c r="O2009" i="32"/>
  <c r="O2002" i="32"/>
  <c r="O2001" i="32"/>
  <c r="Q2001" i="32"/>
  <c r="O1984" i="32"/>
  <c r="O1983" i="32"/>
  <c r="O1982" i="32"/>
  <c r="O1981" i="32"/>
  <c r="O1980" i="32"/>
  <c r="O1973" i="32"/>
  <c r="O1971" i="32"/>
  <c r="P1944" i="32"/>
  <c r="P1925" i="32"/>
  <c r="P1916" i="32"/>
  <c r="L1905" i="32"/>
  <c r="O1846" i="32"/>
  <c r="O1835" i="32"/>
  <c r="M1835" i="32"/>
  <c r="AA1785" i="32"/>
  <c r="P1776" i="32"/>
  <c r="L1765" i="32"/>
  <c r="Z2012" i="32"/>
  <c r="N2012" i="32"/>
  <c r="R2009" i="32"/>
  <c r="Z2007" i="32"/>
  <c r="R2006" i="32"/>
  <c r="R2004" i="32"/>
  <c r="R2003" i="32"/>
  <c r="M1999" i="32"/>
  <c r="Q1998" i="32"/>
  <c r="O1997" i="32"/>
  <c r="M1997" i="32"/>
  <c r="S1996" i="32"/>
  <c r="P1996" i="32"/>
  <c r="L1996" i="32"/>
  <c r="O1996" i="32"/>
  <c r="Q1996" i="32"/>
  <c r="O1993" i="32"/>
  <c r="Q1993" i="32"/>
  <c r="Z1982" i="32"/>
  <c r="R1982" i="32"/>
  <c r="N1982" i="32"/>
  <c r="Z1981" i="32"/>
  <c r="Z1980" i="32"/>
  <c r="C1975" i="32"/>
  <c r="AA1974" i="32"/>
  <c r="R1973" i="32"/>
  <c r="N1973" i="32"/>
  <c r="Z1972" i="32"/>
  <c r="Z1970" i="32"/>
  <c r="O1970" i="32"/>
  <c r="R1969" i="32"/>
  <c r="N1969" i="32"/>
  <c r="S1925" i="32"/>
  <c r="O1925" i="32"/>
  <c r="M1925" i="32"/>
  <c r="S1916" i="32"/>
  <c r="M1916" i="32"/>
  <c r="Q1905" i="32"/>
  <c r="N1846" i="32"/>
  <c r="S1777" i="32"/>
  <c r="M1777" i="32"/>
  <c r="S1776" i="32"/>
  <c r="O1776" i="32"/>
  <c r="M1776" i="32"/>
  <c r="Y82" i="5"/>
  <c r="Y116" i="5" s="1"/>
  <c r="S1715" i="32"/>
  <c r="P1715" i="32"/>
  <c r="I1707" i="32"/>
  <c r="P1695" i="32"/>
  <c r="G1707" i="32"/>
  <c r="E1707" i="32"/>
  <c r="L1695" i="32"/>
  <c r="C1707" i="32"/>
  <c r="L1134" i="32"/>
  <c r="O1093" i="32"/>
  <c r="M1093" i="32"/>
  <c r="M1092" i="32"/>
  <c r="O1091" i="32"/>
  <c r="M1091" i="32"/>
  <c r="Q1091" i="32"/>
  <c r="O1090" i="32"/>
  <c r="M1090" i="32"/>
  <c r="Q1090" i="32"/>
  <c r="H1084" i="32"/>
  <c r="V1063" i="32" s="1"/>
  <c r="O1082" i="32"/>
  <c r="M1082" i="32"/>
  <c r="Q1082" i="32"/>
  <c r="P1073" i="32"/>
  <c r="P1072" i="32"/>
  <c r="P1071" i="32"/>
  <c r="P1070" i="32"/>
  <c r="P1069" i="32"/>
  <c r="P1062" i="32"/>
  <c r="L1062" i="32"/>
  <c r="L1060" i="32"/>
  <c r="L1058" i="32"/>
  <c r="O1005" i="32"/>
  <c r="O994" i="32"/>
  <c r="P963" i="32"/>
  <c r="P944" i="32"/>
  <c r="O865" i="32"/>
  <c r="M865" i="32"/>
  <c r="N865" i="32"/>
  <c r="O854" i="32"/>
  <c r="M854" i="32"/>
  <c r="N854" i="32"/>
  <c r="R854" i="32"/>
  <c r="M1706" i="32"/>
  <c r="Q1706" i="32"/>
  <c r="O1695" i="32"/>
  <c r="M1695" i="32"/>
  <c r="AA1645" i="32"/>
  <c r="Q1645" i="32"/>
  <c r="N1645" i="32"/>
  <c r="L1645" i="32"/>
  <c r="P1645" i="32"/>
  <c r="Z1645" i="32"/>
  <c r="L1636" i="32"/>
  <c r="R1636" i="32"/>
  <c r="P1636" i="32"/>
  <c r="Z1636" i="32"/>
  <c r="S1625" i="32"/>
  <c r="P1625" i="32"/>
  <c r="L1625" i="32"/>
  <c r="Q1594" i="32"/>
  <c r="S1575" i="32"/>
  <c r="O1566" i="32"/>
  <c r="M1566" i="32"/>
  <c r="Q1566" i="32"/>
  <c r="O1555" i="32"/>
  <c r="M1555" i="32"/>
  <c r="P1524" i="32"/>
  <c r="AA1505" i="32"/>
  <c r="Q1505" i="32"/>
  <c r="N1505" i="32"/>
  <c r="L1505" i="32"/>
  <c r="P1505" i="32"/>
  <c r="Z1505" i="32"/>
  <c r="L1496" i="32"/>
  <c r="P1496" i="32"/>
  <c r="Z1496" i="32"/>
  <c r="S1485" i="32"/>
  <c r="P1485" i="32"/>
  <c r="S1435" i="32"/>
  <c r="M1427" i="32"/>
  <c r="Q1427" i="32"/>
  <c r="O1426" i="32"/>
  <c r="M1426" i="32"/>
  <c r="Q1426" i="32"/>
  <c r="O1415" i="32"/>
  <c r="M1415" i="32"/>
  <c r="R1384" i="32"/>
  <c r="AA1365" i="32"/>
  <c r="Q1365" i="32"/>
  <c r="N1365" i="32"/>
  <c r="L1365" i="32"/>
  <c r="P1365" i="32"/>
  <c r="Z1365" i="32"/>
  <c r="L1356" i="32"/>
  <c r="R1356" i="32"/>
  <c r="P1356" i="32"/>
  <c r="Z1356" i="32"/>
  <c r="S1345" i="32"/>
  <c r="P1345" i="32"/>
  <c r="L1345" i="32"/>
  <c r="S1295" i="32"/>
  <c r="O1286" i="32"/>
  <c r="M1286" i="32"/>
  <c r="Q1286" i="32"/>
  <c r="O1275" i="32"/>
  <c r="M1275" i="32"/>
  <c r="Z1243" i="32"/>
  <c r="L1224" i="32"/>
  <c r="R1224" i="32"/>
  <c r="P1224" i="32"/>
  <c r="Z1224" i="32"/>
  <c r="L1215" i="32"/>
  <c r="R1215" i="32"/>
  <c r="P1215" i="32"/>
  <c r="Z1215" i="32"/>
  <c r="S1204" i="32"/>
  <c r="P1204" i="32"/>
  <c r="L1204" i="32"/>
  <c r="M1173" i="32"/>
  <c r="Q1173" i="32"/>
  <c r="R1154" i="32"/>
  <c r="I1146" i="32"/>
  <c r="G1146" i="32"/>
  <c r="C1146" i="32"/>
  <c r="Q1134" i="32"/>
  <c r="AA1102" i="32"/>
  <c r="M1101" i="32"/>
  <c r="Q1101" i="32"/>
  <c r="O1100" i="32"/>
  <c r="M1100" i="32"/>
  <c r="Q1100" i="32"/>
  <c r="O1099" i="32"/>
  <c r="M1099" i="32"/>
  <c r="Q1099" i="32"/>
  <c r="O1098" i="32"/>
  <c r="M1098" i="32"/>
  <c r="Q1098" i="32"/>
  <c r="O1097" i="32"/>
  <c r="M1097" i="32"/>
  <c r="Q1097" i="32"/>
  <c r="Q1096" i="32"/>
  <c r="O1095" i="32"/>
  <c r="M1095" i="32"/>
  <c r="Q1095" i="32"/>
  <c r="O1088" i="32"/>
  <c r="M1088" i="32"/>
  <c r="O1087" i="32"/>
  <c r="M1087" i="32"/>
  <c r="Q1087" i="32"/>
  <c r="O1086" i="32"/>
  <c r="M1086" i="32"/>
  <c r="Q1086" i="32"/>
  <c r="I1084" i="32"/>
  <c r="I1103" i="32" s="1"/>
  <c r="E1084" i="32"/>
  <c r="E1103" i="32" s="1"/>
  <c r="C1084" i="32"/>
  <c r="Z1084" i="32" s="1"/>
  <c r="M1072" i="32"/>
  <c r="M1071" i="32"/>
  <c r="M1069" i="32"/>
  <c r="P1061" i="32"/>
  <c r="L1061" i="32"/>
  <c r="S1059" i="32"/>
  <c r="P1059" i="32"/>
  <c r="L1059" i="32"/>
  <c r="R1014" i="32"/>
  <c r="N1014" i="32"/>
  <c r="Z1006" i="32"/>
  <c r="N1006" i="32"/>
  <c r="N1005" i="32"/>
  <c r="S963" i="32"/>
  <c r="L935" i="32"/>
  <c r="R935" i="32"/>
  <c r="P935" i="32"/>
  <c r="Z935" i="32"/>
  <c r="S924" i="32"/>
  <c r="F936" i="32"/>
  <c r="L924" i="32"/>
  <c r="S874" i="32"/>
  <c r="F866" i="32"/>
  <c r="D866" i="32"/>
  <c r="P854" i="32"/>
  <c r="P823" i="32"/>
  <c r="P804" i="32"/>
  <c r="P655" i="32"/>
  <c r="L644" i="32"/>
  <c r="Q586" i="32"/>
  <c r="O585" i="32"/>
  <c r="O574" i="32"/>
  <c r="P524" i="32"/>
  <c r="P515" i="32"/>
  <c r="L504" i="32"/>
  <c r="O473" i="32"/>
  <c r="O445" i="32"/>
  <c r="P403" i="32"/>
  <c r="P384" i="32"/>
  <c r="O333" i="32"/>
  <c r="O305" i="32"/>
  <c r="O294" i="32"/>
  <c r="P263" i="32"/>
  <c r="L235" i="32"/>
  <c r="M235" i="32"/>
  <c r="R235" i="32"/>
  <c r="L224" i="32"/>
  <c r="Q224" i="32"/>
  <c r="O154" i="32"/>
  <c r="S154" i="32"/>
  <c r="P95" i="32"/>
  <c r="O53" i="32"/>
  <c r="S14" i="32"/>
  <c r="S823" i="32"/>
  <c r="S804" i="32"/>
  <c r="O804" i="32"/>
  <c r="M804" i="32"/>
  <c r="L795" i="32"/>
  <c r="Z795" i="32"/>
  <c r="S784" i="32"/>
  <c r="P784" i="32"/>
  <c r="F796" i="32"/>
  <c r="L784" i="32"/>
  <c r="Q753" i="32"/>
  <c r="S734" i="32"/>
  <c r="P734" i="32"/>
  <c r="O734" i="32"/>
  <c r="O725" i="32"/>
  <c r="M725" i="32"/>
  <c r="Q725" i="32"/>
  <c r="O714" i="32"/>
  <c r="M714" i="32"/>
  <c r="P683" i="32"/>
  <c r="Z683" i="32"/>
  <c r="AA664" i="32"/>
  <c r="Q664" i="32"/>
  <c r="N664" i="32"/>
  <c r="L664" i="32"/>
  <c r="P664" i="32"/>
  <c r="Z664" i="32"/>
  <c r="I656" i="32"/>
  <c r="G656" i="32"/>
  <c r="S656" i="32" s="1"/>
  <c r="S655" i="32"/>
  <c r="O655" i="32"/>
  <c r="M655" i="32"/>
  <c r="Q644" i="32"/>
  <c r="Z594" i="32"/>
  <c r="R594" i="32"/>
  <c r="N594" i="32"/>
  <c r="F586" i="32"/>
  <c r="D586" i="32"/>
  <c r="N586" i="32" s="1"/>
  <c r="Z585" i="32"/>
  <c r="R574" i="32"/>
  <c r="N574" i="32"/>
  <c r="S524" i="32"/>
  <c r="O524" i="32"/>
  <c r="M524" i="32"/>
  <c r="S515" i="32"/>
  <c r="O515" i="32"/>
  <c r="M515" i="32"/>
  <c r="Q504" i="32"/>
  <c r="Z473" i="32"/>
  <c r="R473" i="32"/>
  <c r="N473" i="32"/>
  <c r="F446" i="32"/>
  <c r="O446" i="32" s="1"/>
  <c r="D446" i="32"/>
  <c r="Z445" i="32"/>
  <c r="R445" i="32"/>
  <c r="N445" i="32"/>
  <c r="S403" i="32"/>
  <c r="O403" i="32"/>
  <c r="S384" i="32"/>
  <c r="O384" i="32"/>
  <c r="S375" i="32"/>
  <c r="M375" i="32"/>
  <c r="Q364" i="32"/>
  <c r="R333" i="32"/>
  <c r="N333" i="32"/>
  <c r="F306" i="32"/>
  <c r="O306" i="32" s="1"/>
  <c r="D306" i="32"/>
  <c r="R305" i="32"/>
  <c r="R294" i="32"/>
  <c r="N294" i="32"/>
  <c r="O263" i="32"/>
  <c r="M263" i="32"/>
  <c r="M236" i="32"/>
  <c r="O224" i="32"/>
  <c r="O193" i="32"/>
  <c r="M193" i="32"/>
  <c r="N193" i="32"/>
  <c r="R193" i="32"/>
  <c r="A173" i="32"/>
  <c r="Z193" i="32"/>
  <c r="B166" i="32"/>
  <c r="Z166" i="32" s="1"/>
  <c r="O165" i="32"/>
  <c r="Q154" i="32"/>
  <c r="P123" i="32"/>
  <c r="E96" i="32"/>
  <c r="C96" i="32"/>
  <c r="Z96" i="32" s="1"/>
  <c r="B26" i="32"/>
  <c r="O25" i="32"/>
  <c r="Q14" i="32"/>
  <c r="L165" i="32"/>
  <c r="R165" i="32"/>
  <c r="P165" i="32"/>
  <c r="Z165" i="32"/>
  <c r="P154" i="32"/>
  <c r="L154" i="32"/>
  <c r="O123" i="32"/>
  <c r="M123" i="32"/>
  <c r="Q123" i="32"/>
  <c r="Q96" i="32"/>
  <c r="O95" i="32"/>
  <c r="M95" i="32"/>
  <c r="Q95" i="32"/>
  <c r="O84" i="32"/>
  <c r="M84" i="32"/>
  <c r="L53" i="32"/>
  <c r="R53" i="32"/>
  <c r="P53" i="32"/>
  <c r="Z53" i="32"/>
  <c r="L25" i="32"/>
  <c r="R25" i="32"/>
  <c r="P25" i="32"/>
  <c r="Z25" i="32"/>
  <c r="L14" i="32"/>
  <c r="O1706" i="32"/>
  <c r="AA1706" i="32"/>
  <c r="AA2012" i="32"/>
  <c r="AA2011" i="32"/>
  <c r="AA2008" i="32"/>
  <c r="AA2007" i="32"/>
  <c r="AA2006" i="32"/>
  <c r="AA2005" i="32"/>
  <c r="AA2001" i="32"/>
  <c r="AA1996" i="32"/>
  <c r="AA1993" i="32"/>
  <c r="AA1984" i="32"/>
  <c r="AA1983" i="32"/>
  <c r="AA1982" i="32"/>
  <c r="AA1981" i="32"/>
  <c r="AA1980" i="32"/>
  <c r="AA1973" i="32"/>
  <c r="S1973" i="32"/>
  <c r="Q1973" i="32"/>
  <c r="AA1972" i="32"/>
  <c r="S1971" i="32"/>
  <c r="Q1971" i="32"/>
  <c r="AA1970" i="32"/>
  <c r="S1970" i="32"/>
  <c r="Q1970" i="32"/>
  <c r="R1925" i="32"/>
  <c r="AA1855" i="32"/>
  <c r="O1855" i="32"/>
  <c r="M1855" i="32"/>
  <c r="AA1846" i="32"/>
  <c r="S1835" i="32"/>
  <c r="Q1835" i="32"/>
  <c r="R1785" i="32"/>
  <c r="R1765" i="32"/>
  <c r="N1765" i="32"/>
  <c r="AA1734" i="32"/>
  <c r="AA1715" i="32"/>
  <c r="Q1715" i="32"/>
  <c r="O1715" i="32"/>
  <c r="M1715" i="32"/>
  <c r="Z1706" i="32"/>
  <c r="R1706" i="32"/>
  <c r="N1706" i="32"/>
  <c r="S1695" i="32"/>
  <c r="Q1695" i="32"/>
  <c r="R1645" i="32"/>
  <c r="R1625" i="32"/>
  <c r="AA1575" i="32"/>
  <c r="Q1575" i="32"/>
  <c r="O1575" i="32"/>
  <c r="AA1566" i="32"/>
  <c r="S1555" i="32"/>
  <c r="Q1555" i="32"/>
  <c r="R1505" i="32"/>
  <c r="R1485" i="32"/>
  <c r="N1485" i="32"/>
  <c r="AA1435" i="32"/>
  <c r="Q1435" i="32"/>
  <c r="O1435" i="32"/>
  <c r="M1435" i="32"/>
  <c r="AA1426" i="32"/>
  <c r="S1415" i="32"/>
  <c r="Q1415" i="32"/>
  <c r="R1365" i="32"/>
  <c r="R1345" i="32"/>
  <c r="N1345" i="32"/>
  <c r="AA1295" i="32"/>
  <c r="Q1295" i="32"/>
  <c r="O1295" i="32"/>
  <c r="M1295" i="32"/>
  <c r="AA1286" i="32"/>
  <c r="S1275" i="32"/>
  <c r="Q1275" i="32"/>
  <c r="R1204" i="32"/>
  <c r="N1204" i="32"/>
  <c r="AA1173" i="32"/>
  <c r="AA1154" i="32"/>
  <c r="S1154" i="32"/>
  <c r="M1154" i="32"/>
  <c r="S1145" i="32"/>
  <c r="O1145" i="32"/>
  <c r="M1145" i="32"/>
  <c r="AA936" i="32"/>
  <c r="O434" i="32"/>
  <c r="Q434" i="32"/>
  <c r="S434" i="32"/>
  <c r="R1134" i="32"/>
  <c r="N1134" i="32"/>
  <c r="AA1101" i="32"/>
  <c r="AA1100" i="32"/>
  <c r="AA1099" i="32"/>
  <c r="AA1098" i="32"/>
  <c r="AA1097" i="32"/>
  <c r="AA1096" i="32"/>
  <c r="AA1095" i="32"/>
  <c r="AA1091" i="32"/>
  <c r="AA1090" i="32"/>
  <c r="AA1087" i="32"/>
  <c r="AA1086" i="32"/>
  <c r="AA1082" i="32"/>
  <c r="Z1062" i="32"/>
  <c r="R1062" i="32"/>
  <c r="N1062" i="32"/>
  <c r="Z1061" i="32"/>
  <c r="R1061" i="32"/>
  <c r="N1061" i="32"/>
  <c r="Z1060" i="32"/>
  <c r="R1060" i="32"/>
  <c r="N1060" i="32"/>
  <c r="Z1059" i="32"/>
  <c r="R1059" i="32"/>
  <c r="N1059" i="32"/>
  <c r="Z1058" i="32"/>
  <c r="R1058" i="32"/>
  <c r="N1058" i="32"/>
  <c r="AA1014" i="32"/>
  <c r="Q1014" i="32"/>
  <c r="O1014" i="32"/>
  <c r="M1014" i="32"/>
  <c r="AA1005" i="32"/>
  <c r="S994" i="32"/>
  <c r="Q994" i="32"/>
  <c r="R944" i="32"/>
  <c r="R924" i="32"/>
  <c r="N924" i="32"/>
  <c r="AA874" i="32"/>
  <c r="Q874" i="32"/>
  <c r="O874" i="32"/>
  <c r="M874" i="32"/>
  <c r="AA865" i="32"/>
  <c r="S854" i="32"/>
  <c r="Q854" i="32"/>
  <c r="R804" i="32"/>
  <c r="AA734" i="32"/>
  <c r="Q734" i="32"/>
  <c r="M734" i="32"/>
  <c r="AA725" i="32"/>
  <c r="S714" i="32"/>
  <c r="Q714" i="32"/>
  <c r="R664" i="32"/>
  <c r="R644" i="32"/>
  <c r="N644" i="32"/>
  <c r="AA594" i="32"/>
  <c r="Q594" i="32"/>
  <c r="O594" i="32"/>
  <c r="M594" i="32"/>
  <c r="AA585" i="32"/>
  <c r="S574" i="32"/>
  <c r="Q574" i="32"/>
  <c r="R524" i="32"/>
  <c r="R504" i="32"/>
  <c r="N504" i="32"/>
  <c r="AA473" i="32"/>
  <c r="AA445" i="32"/>
  <c r="R434" i="32"/>
  <c r="N434" i="32"/>
  <c r="R364" i="32"/>
  <c r="N364" i="32"/>
  <c r="AA333" i="32"/>
  <c r="AA305" i="32"/>
  <c r="S294" i="32"/>
  <c r="Q294" i="32"/>
  <c r="R224" i="32"/>
  <c r="N224" i="32"/>
  <c r="AA193" i="32"/>
  <c r="Q193" i="32"/>
  <c r="R154" i="32"/>
  <c r="N154" i="32"/>
  <c r="AA123" i="32"/>
  <c r="AA96" i="32"/>
  <c r="AA95" i="32"/>
  <c r="S84" i="32"/>
  <c r="R14" i="32"/>
  <c r="N14" i="32"/>
  <c r="O683" i="32"/>
  <c r="S1804" i="32"/>
  <c r="M936" i="32"/>
  <c r="N1427" i="32"/>
  <c r="R306" i="32"/>
  <c r="R446" i="32"/>
  <c r="M586" i="32"/>
  <c r="N26" i="32"/>
  <c r="S1707" i="32"/>
  <c r="D82" i="14"/>
  <c r="AG118" i="14"/>
  <c r="Q118" i="14"/>
  <c r="AF116" i="14"/>
  <c r="AD116" i="14"/>
  <c r="AB116" i="14"/>
  <c r="Z116" i="14"/>
  <c r="X116" i="14"/>
  <c r="V116" i="14"/>
  <c r="T116" i="14"/>
  <c r="R116" i="14"/>
  <c r="P116" i="14"/>
  <c r="N116" i="14"/>
  <c r="L116" i="14"/>
  <c r="J116" i="14"/>
  <c r="H116" i="14"/>
  <c r="F116" i="14"/>
  <c r="AB118" i="14"/>
  <c r="T118" i="14"/>
  <c r="L118" i="14"/>
  <c r="J118" i="14"/>
  <c r="H118" i="14"/>
  <c r="F118" i="14"/>
  <c r="AE118" i="14"/>
  <c r="AC118" i="14"/>
  <c r="AA118" i="14"/>
  <c r="W118" i="14"/>
  <c r="U118" i="14"/>
  <c r="S118" i="14"/>
  <c r="O118" i="14"/>
  <c r="M118" i="14"/>
  <c r="K118" i="14"/>
  <c r="AG114" i="14"/>
  <c r="AC114" i="14"/>
  <c r="AA114" i="14"/>
  <c r="Y114" i="14"/>
  <c r="W114" i="14"/>
  <c r="U114" i="14"/>
  <c r="Q114" i="14"/>
  <c r="O114" i="14"/>
  <c r="M114" i="14"/>
  <c r="K114" i="14"/>
  <c r="AF114" i="14"/>
  <c r="AD114" i="14"/>
  <c r="AB114" i="14"/>
  <c r="Z114" i="14"/>
  <c r="X114" i="14"/>
  <c r="V114" i="14"/>
  <c r="T114" i="14"/>
  <c r="R114" i="14"/>
  <c r="P114" i="14"/>
  <c r="N114" i="14"/>
  <c r="L114" i="14"/>
  <c r="AG112" i="14"/>
  <c r="AE112" i="14"/>
  <c r="AC112" i="14"/>
  <c r="AA112" i="14"/>
  <c r="Y112" i="14"/>
  <c r="W112" i="14"/>
  <c r="U112" i="14"/>
  <c r="S112" i="14"/>
  <c r="Q112" i="14"/>
  <c r="O112" i="14"/>
  <c r="M112" i="14"/>
  <c r="K112" i="14"/>
  <c r="AF112" i="14"/>
  <c r="AD112" i="14"/>
  <c r="Z112" i="14"/>
  <c r="X112" i="14"/>
  <c r="V112" i="14"/>
  <c r="R112" i="14"/>
  <c r="P112" i="14"/>
  <c r="N112" i="14"/>
  <c r="AG108" i="14"/>
  <c r="AC108" i="14"/>
  <c r="Y108" i="14"/>
  <c r="U108" i="14"/>
  <c r="Q108" i="14"/>
  <c r="M108" i="14"/>
  <c r="I108" i="14"/>
  <c r="E108" i="14"/>
  <c r="AD108" i="14"/>
  <c r="Z108" i="14"/>
  <c r="V108" i="14"/>
  <c r="R108" i="14"/>
  <c r="N108" i="14"/>
  <c r="J108" i="14"/>
  <c r="F108" i="14"/>
  <c r="E119" i="18"/>
  <c r="C114" i="18"/>
  <c r="C62" i="14"/>
  <c r="C60" i="14"/>
  <c r="C58" i="14"/>
  <c r="C56" i="14"/>
  <c r="C54" i="14"/>
  <c r="C52" i="14"/>
  <c r="C50" i="14"/>
  <c r="C48" i="14"/>
  <c r="C46" i="14"/>
  <c r="C44" i="14"/>
  <c r="C42" i="14"/>
  <c r="C40" i="14"/>
  <c r="C36" i="14"/>
  <c r="C34" i="14"/>
  <c r="C32" i="14"/>
  <c r="C24" i="14"/>
  <c r="C16" i="14"/>
  <c r="C10" i="14"/>
  <c r="C61" i="14"/>
  <c r="C59" i="14"/>
  <c r="C57" i="14"/>
  <c r="C55" i="14"/>
  <c r="C53" i="14"/>
  <c r="C49" i="14"/>
  <c r="C43" i="14"/>
  <c r="C41" i="14"/>
  <c r="C39" i="14"/>
  <c r="C37" i="14"/>
  <c r="C35" i="14"/>
  <c r="C33" i="14"/>
  <c r="C31" i="14"/>
  <c r="C29" i="14"/>
  <c r="C19" i="14"/>
  <c r="C17" i="14"/>
  <c r="C15" i="14"/>
  <c r="C9" i="14"/>
  <c r="D116" i="14"/>
  <c r="C76" i="14"/>
  <c r="D118" i="14"/>
  <c r="D117" i="14"/>
  <c r="C72" i="14"/>
  <c r="D113" i="14"/>
  <c r="C105" i="14"/>
  <c r="C89" i="14"/>
  <c r="C71" i="14"/>
  <c r="C70" i="14"/>
  <c r="C68" i="14"/>
  <c r="C67" i="14"/>
  <c r="C65" i="14"/>
  <c r="C45" i="14"/>
  <c r="AG110" i="14"/>
  <c r="AC110" i="14"/>
  <c r="AA110" i="14"/>
  <c r="Y110" i="14"/>
  <c r="W110" i="14"/>
  <c r="I112" i="14"/>
  <c r="G112" i="14"/>
  <c r="E112" i="14"/>
  <c r="I114" i="14"/>
  <c r="G114" i="14"/>
  <c r="E114" i="14"/>
  <c r="V117" i="14"/>
  <c r="T117" i="14"/>
  <c r="R117" i="14"/>
  <c r="G115" i="14"/>
  <c r="Y260" i="7"/>
  <c r="Y271" i="7"/>
  <c r="Y249" i="7"/>
  <c r="Y227" i="7"/>
  <c r="Y216" i="7"/>
  <c r="Y194" i="7"/>
  <c r="Y150" i="7"/>
  <c r="Y139" i="7"/>
  <c r="Y62" i="7"/>
  <c r="Y304" i="7"/>
  <c r="Y95" i="7"/>
  <c r="Y282" i="7"/>
  <c r="Y326" i="7"/>
  <c r="Y205" i="7"/>
  <c r="Y183" i="7"/>
  <c r="Y172" i="7"/>
  <c r="Y161" i="7"/>
  <c r="Y315" i="7"/>
  <c r="Y128" i="7"/>
  <c r="Y117" i="7"/>
  <c r="Y73" i="7"/>
  <c r="Y40" i="7"/>
  <c r="Y7" i="7"/>
  <c r="T168" i="5"/>
  <c r="L168" i="5"/>
  <c r="I88" i="14"/>
  <c r="C18" i="18"/>
  <c r="Y29" i="7"/>
  <c r="AC13" i="7"/>
  <c r="AE13" i="7" s="1"/>
  <c r="AC11" i="7"/>
  <c r="AE12" i="7" s="1"/>
  <c r="AC9" i="7"/>
  <c r="AC7" i="7"/>
  <c r="AF7" i="7" s="1"/>
  <c r="C120" i="18"/>
  <c r="C56" i="18"/>
  <c r="E160" i="18"/>
  <c r="AC16" i="7"/>
  <c r="AE16" i="7" s="1"/>
  <c r="AC14" i="7"/>
  <c r="AE14" i="7" s="1"/>
  <c r="AC12" i="7"/>
  <c r="AC8" i="7"/>
  <c r="AF8" i="7" s="1"/>
  <c r="Y18" i="7"/>
  <c r="J114" i="14"/>
  <c r="AM6" i="7"/>
  <c r="J28" i="44"/>
  <c r="O28" i="44"/>
  <c r="J30" i="44"/>
  <c r="O30" i="44"/>
  <c r="O57" i="44" s="1"/>
  <c r="N32" i="44"/>
  <c r="N34" i="44"/>
  <c r="N53" i="44"/>
  <c r="S6" i="35"/>
  <c r="R10" i="5" s="1"/>
  <c r="F68" i="5"/>
  <c r="Y64" i="5"/>
  <c r="S64" i="5"/>
  <c r="O64" i="5"/>
  <c r="K64" i="5"/>
  <c r="G64" i="5"/>
  <c r="R6" i="35"/>
  <c r="Q10" i="5" s="1"/>
  <c r="AB6" i="35"/>
  <c r="AA10" i="5" s="1"/>
  <c r="AF6" i="35"/>
  <c r="AE10" i="5" s="1"/>
  <c r="BC6" i="7"/>
  <c r="AQ6" i="7"/>
  <c r="G43" i="35"/>
  <c r="AI43" i="35"/>
  <c r="AG43" i="35"/>
  <c r="U317" i="5"/>
  <c r="F64" i="5"/>
  <c r="W317" i="5"/>
  <c r="E321" i="5"/>
  <c r="AG6" i="35"/>
  <c r="AF10" i="5" s="1"/>
  <c r="AB315" i="5"/>
  <c r="AC6" i="35"/>
  <c r="AB10" i="5" s="1"/>
  <c r="N55" i="35"/>
  <c r="V55" i="35"/>
  <c r="AA75" i="5"/>
  <c r="AA93" i="5" s="1"/>
  <c r="Q75" i="5"/>
  <c r="Q93" i="5" s="1"/>
  <c r="V75" i="5"/>
  <c r="V93" i="5" s="1"/>
  <c r="O75" i="5"/>
  <c r="O93" i="5" s="1"/>
  <c r="J75" i="5"/>
  <c r="J93" i="5" s="1"/>
  <c r="P75" i="5"/>
  <c r="P93" i="5" s="1"/>
  <c r="H75" i="5"/>
  <c r="H93" i="5" s="1"/>
  <c r="I330" i="5"/>
  <c r="F101" i="35"/>
  <c r="M75" i="5"/>
  <c r="M93" i="5" s="1"/>
  <c r="I66" i="35"/>
  <c r="H329" i="5" s="1"/>
  <c r="W55" i="35"/>
  <c r="AB55" i="35"/>
  <c r="AF55" i="35"/>
  <c r="AX6" i="7"/>
  <c r="AH6" i="7"/>
  <c r="AA95" i="35"/>
  <c r="Z121" i="5" s="1"/>
  <c r="J100" i="35"/>
  <c r="S100" i="35"/>
  <c r="X100" i="35"/>
  <c r="G100" i="35"/>
  <c r="AB100" i="35"/>
  <c r="F100" i="35"/>
  <c r="AD66" i="35"/>
  <c r="AC329" i="5" s="1"/>
  <c r="Z66" i="35"/>
  <c r="Y329" i="5" s="1"/>
  <c r="V66" i="35"/>
  <c r="U329" i="5" s="1"/>
  <c r="R66" i="35"/>
  <c r="Q329" i="5" s="1"/>
  <c r="P66" i="35"/>
  <c r="O329" i="5" s="1"/>
  <c r="N66" i="35"/>
  <c r="M329" i="5" s="1"/>
  <c r="L66" i="35"/>
  <c r="K329" i="5" s="1"/>
  <c r="K330" i="5"/>
  <c r="E331" i="5"/>
  <c r="E357" i="5" s="1"/>
  <c r="AD331" i="5"/>
  <c r="AD369" i="5" s="1"/>
  <c r="AB331" i="5"/>
  <c r="Z331" i="5"/>
  <c r="Z339" i="5" s="1"/>
  <c r="X331" i="5"/>
  <c r="V331" i="5"/>
  <c r="V369" i="5" s="1"/>
  <c r="T331" i="5"/>
  <c r="T369" i="5" s="1"/>
  <c r="R331" i="5"/>
  <c r="R369" i="5" s="1"/>
  <c r="P331" i="5"/>
  <c r="P369" i="5" s="1"/>
  <c r="O101" i="35"/>
  <c r="N331" i="5"/>
  <c r="L331" i="5"/>
  <c r="L357" i="5" s="1"/>
  <c r="J331" i="5"/>
  <c r="H331" i="5"/>
  <c r="F331" i="5"/>
  <c r="S95" i="35"/>
  <c r="S96" i="35" s="1"/>
  <c r="R373" i="5" s="1"/>
  <c r="R374" i="5" s="1"/>
  <c r="W95" i="35"/>
  <c r="X95" i="35"/>
  <c r="W121" i="5" s="1"/>
  <c r="AB95" i="35"/>
  <c r="AA121" i="5" s="1"/>
  <c r="AC95" i="35"/>
  <c r="AB121" i="5" s="1"/>
  <c r="AB122" i="5" s="1"/>
  <c r="Z100" i="35"/>
  <c r="AE331" i="5"/>
  <c r="AE345" i="5" s="1"/>
  <c r="AC331" i="5"/>
  <c r="AC369" i="5" s="1"/>
  <c r="AA331" i="5"/>
  <c r="AA369" i="5" s="1"/>
  <c r="Y331" i="5"/>
  <c r="Y357" i="5" s="1"/>
  <c r="X101" i="35"/>
  <c r="W331" i="5"/>
  <c r="W339" i="5" s="1"/>
  <c r="U331" i="5"/>
  <c r="S331" i="5"/>
  <c r="Q331" i="5"/>
  <c r="O331" i="5"/>
  <c r="M331" i="5"/>
  <c r="K331" i="5"/>
  <c r="I331" i="5"/>
  <c r="I357" i="5" s="1"/>
  <c r="G95" i="35"/>
  <c r="F121" i="5" s="1"/>
  <c r="F122" i="5" s="1"/>
  <c r="K95" i="35"/>
  <c r="J121" i="5" s="1"/>
  <c r="J122" i="5" s="1"/>
  <c r="O95" i="35"/>
  <c r="N121" i="5" s="1"/>
  <c r="AE102" i="35"/>
  <c r="AE103" i="35" s="1"/>
  <c r="AE104" i="35" s="1"/>
  <c r="AC102" i="35"/>
  <c r="AC103" i="35" s="1"/>
  <c r="AA102" i="35"/>
  <c r="AA103" i="35" s="1"/>
  <c r="AA104" i="35" s="1"/>
  <c r="W102" i="35"/>
  <c r="W103" i="35" s="1"/>
  <c r="W104" i="35" s="1"/>
  <c r="S102" i="35"/>
  <c r="S103" i="35" s="1"/>
  <c r="S104" i="35" s="1"/>
  <c r="Q102" i="35"/>
  <c r="O102" i="35"/>
  <c r="O103" i="35" s="1"/>
  <c r="O104" i="35" s="1"/>
  <c r="K102" i="35"/>
  <c r="K103" i="35" s="1"/>
  <c r="K104" i="35" s="1"/>
  <c r="G102" i="35"/>
  <c r="G103" i="35" s="1"/>
  <c r="G104" i="35" s="1"/>
  <c r="AF102" i="35"/>
  <c r="AB102" i="35"/>
  <c r="AB103" i="35" s="1"/>
  <c r="AB104" i="35" s="1"/>
  <c r="X102" i="35"/>
  <c r="X103" i="35" s="1"/>
  <c r="X104" i="35" s="1"/>
  <c r="T102" i="35"/>
  <c r="T103" i="35" s="1"/>
  <c r="T104" i="35" s="1"/>
  <c r="P102" i="35"/>
  <c r="P103" i="35" s="1"/>
  <c r="P104" i="35" s="1"/>
  <c r="L102" i="35"/>
  <c r="L103" i="35" s="1"/>
  <c r="L104" i="35" s="1"/>
  <c r="J102" i="35"/>
  <c r="H102" i="35"/>
  <c r="AD325" i="5"/>
  <c r="AB325" i="5"/>
  <c r="Z325" i="5"/>
  <c r="V325" i="5"/>
  <c r="R325" i="5"/>
  <c r="P325" i="5"/>
  <c r="N325" i="5"/>
  <c r="J325" i="5"/>
  <c r="H325" i="5"/>
  <c r="F325" i="5"/>
  <c r="I1327" i="17"/>
  <c r="I1294" i="17"/>
  <c r="I1257" i="17"/>
  <c r="I1263" i="17"/>
  <c r="I1271" i="17"/>
  <c r="I1340" i="17"/>
  <c r="I1373" i="17"/>
  <c r="I1380" i="17"/>
  <c r="I857" i="17"/>
  <c r="AH393" i="5"/>
  <c r="I159" i="17"/>
  <c r="I184" i="17"/>
  <c r="I144" i="17"/>
  <c r="T393" i="5"/>
  <c r="R400" i="5"/>
  <c r="Y30" i="5"/>
  <c r="Q30" i="5"/>
  <c r="K30" i="5"/>
  <c r="G30" i="5"/>
  <c r="AC28" i="5"/>
  <c r="Y28" i="5"/>
  <c r="Q28" i="5"/>
  <c r="I28" i="5"/>
  <c r="E28" i="5"/>
  <c r="X114" i="5"/>
  <c r="P86" i="5"/>
  <c r="J85" i="5"/>
  <c r="G114" i="5"/>
  <c r="K116" i="5"/>
  <c r="R114" i="5"/>
  <c r="E114" i="5"/>
  <c r="I153" i="17"/>
  <c r="I177" i="17"/>
  <c r="I167" i="17"/>
  <c r="I1349" i="17"/>
  <c r="I1355" i="17"/>
  <c r="I1363" i="17"/>
  <c r="I1281" i="17"/>
  <c r="I1248" i="17"/>
  <c r="I1288" i="17"/>
  <c r="AL6" i="7"/>
  <c r="AT6" i="7"/>
  <c r="BB6" i="7"/>
  <c r="AJ6" i="7"/>
  <c r="AZ6" i="7"/>
  <c r="I400" i="5"/>
  <c r="S400" i="5"/>
  <c r="W400" i="5"/>
  <c r="AE400" i="5"/>
  <c r="Y338" i="5"/>
  <c r="U338" i="5"/>
  <c r="AH346" i="5"/>
  <c r="AH352" i="5" s="1"/>
  <c r="E835" i="17"/>
  <c r="AA346" i="5"/>
  <c r="AA364" i="5" s="1"/>
  <c r="K370" i="5"/>
  <c r="AH339" i="5"/>
  <c r="AA358" i="5"/>
  <c r="H370" i="5"/>
  <c r="AG358" i="5"/>
  <c r="AB370" i="5"/>
  <c r="P370" i="5"/>
  <c r="X346" i="5"/>
  <c r="X352" i="5" s="1"/>
  <c r="X358" i="5" s="1"/>
  <c r="Y368" i="5"/>
  <c r="Y389" i="5" s="1"/>
  <c r="Y396" i="5" s="1"/>
  <c r="Y403" i="5" s="1"/>
  <c r="Y410" i="5" s="1"/>
  <c r="Y417" i="5" s="1"/>
  <c r="Y424" i="5" s="1"/>
  <c r="U335" i="5"/>
  <c r="U391" i="5" s="1"/>
  <c r="AH370" i="5"/>
  <c r="AF370" i="5"/>
  <c r="AF346" i="5"/>
  <c r="AF352" i="5" s="1"/>
  <c r="AG339" i="5"/>
  <c r="E1309" i="17"/>
  <c r="BE6" i="7"/>
  <c r="AS6" i="7"/>
  <c r="AK6" i="7"/>
  <c r="AG6" i="7"/>
  <c r="BD6" i="7"/>
  <c r="AV6" i="7"/>
  <c r="AN6" i="7"/>
  <c r="K87" i="5"/>
  <c r="Q104" i="5"/>
  <c r="O85" i="5"/>
  <c r="K29" i="5"/>
  <c r="AD114" i="5"/>
  <c r="Z114" i="5"/>
  <c r="U114" i="5"/>
  <c r="O114" i="5"/>
  <c r="M88" i="5"/>
  <c r="I1317" i="17"/>
  <c r="I843" i="17"/>
  <c r="I834" i="17"/>
  <c r="Q393" i="5"/>
  <c r="Q27" i="5"/>
  <c r="BF6" i="7"/>
  <c r="AP6" i="7"/>
  <c r="O29" i="5"/>
  <c r="AB29" i="5"/>
  <c r="X26" i="5"/>
  <c r="X28" i="5"/>
  <c r="V27" i="5"/>
  <c r="V30" i="5"/>
  <c r="T27" i="5"/>
  <c r="T29" i="5"/>
  <c r="G340" i="5"/>
  <c r="I347" i="5"/>
  <c r="I365" i="5" s="1"/>
  <c r="I371" i="5" s="1"/>
  <c r="AF382" i="5"/>
  <c r="AF407" i="5" s="1"/>
  <c r="BG6" i="7"/>
  <c r="BA6" i="7"/>
  <c r="AW6" i="7"/>
  <c r="AU6" i="7"/>
  <c r="AI6" i="7"/>
  <c r="H26" i="5"/>
  <c r="H29" i="5"/>
  <c r="H30" i="5"/>
  <c r="O87" i="5"/>
  <c r="I87" i="5"/>
  <c r="K88" i="5"/>
  <c r="K89" i="5" s="1"/>
  <c r="M114" i="5"/>
  <c r="M87" i="5"/>
  <c r="J88" i="5"/>
  <c r="J89" i="5" s="1"/>
  <c r="J87" i="5"/>
  <c r="N341" i="5"/>
  <c r="N347" i="5"/>
  <c r="N353" i="5" s="1"/>
  <c r="N359" i="5" s="1"/>
  <c r="X85" i="5"/>
  <c r="AD85" i="5"/>
  <c r="G85" i="5"/>
  <c r="H55" i="18"/>
  <c r="H867" i="17"/>
  <c r="H857" i="17"/>
  <c r="H834" i="17"/>
  <c r="Y341" i="5"/>
  <c r="W359" i="5"/>
  <c r="W347" i="5"/>
  <c r="W365" i="5" s="1"/>
  <c r="T341" i="5"/>
  <c r="T371" i="5"/>
  <c r="S341" i="5"/>
  <c r="S347" i="5"/>
  <c r="S365" i="5" s="1"/>
  <c r="S371" i="5" s="1"/>
  <c r="Q359" i="5"/>
  <c r="P347" i="5"/>
  <c r="P365" i="5" s="1"/>
  <c r="P341" i="5"/>
  <c r="P371" i="5"/>
  <c r="J347" i="5"/>
  <c r="J353" i="5" s="1"/>
  <c r="J359" i="5" s="1"/>
  <c r="J341" i="5"/>
  <c r="H341" i="5"/>
  <c r="AC340" i="5"/>
  <c r="AC346" i="5"/>
  <c r="AC364" i="5" s="1"/>
  <c r="AB340" i="5"/>
  <c r="AA340" i="5"/>
  <c r="AA370" i="5"/>
  <c r="W340" i="5"/>
  <c r="W370" i="5"/>
  <c r="P358" i="5"/>
  <c r="P340" i="5"/>
  <c r="N340" i="5"/>
  <c r="H340" i="5"/>
  <c r="H358" i="5"/>
  <c r="AG340" i="5"/>
  <c r="AH357" i="5"/>
  <c r="AH369" i="5"/>
  <c r="E383" i="5"/>
  <c r="E145" i="17"/>
  <c r="AD382" i="5"/>
  <c r="AD407" i="5" s="1"/>
  <c r="AD400" i="5"/>
  <c r="Z400" i="5"/>
  <c r="X382" i="5"/>
  <c r="X407" i="5" s="1"/>
  <c r="V382" i="5"/>
  <c r="V407" i="5" s="1"/>
  <c r="V400" i="5"/>
  <c r="N382" i="5"/>
  <c r="N407" i="5" s="1"/>
  <c r="N400" i="5"/>
  <c r="J382" i="5"/>
  <c r="J407" i="5" s="1"/>
  <c r="F382" i="5"/>
  <c r="F407" i="5" s="1"/>
  <c r="AG393" i="5"/>
  <c r="H28" i="5"/>
  <c r="U127" i="5"/>
  <c r="AW13" i="7" s="1"/>
  <c r="AE26" i="5"/>
  <c r="AE27" i="5"/>
  <c r="AA26" i="5"/>
  <c r="AA27" i="5"/>
  <c r="F27" i="5"/>
  <c r="F26" i="5"/>
  <c r="F29" i="5"/>
  <c r="F30" i="5"/>
  <c r="D27" i="5"/>
  <c r="F341" i="5"/>
  <c r="V358" i="5"/>
  <c r="V346" i="5"/>
  <c r="V364" i="5" s="1"/>
  <c r="L400" i="5"/>
  <c r="Y26" i="5"/>
  <c r="Y29" i="5"/>
  <c r="W26" i="5"/>
  <c r="W27" i="5"/>
  <c r="U26" i="5"/>
  <c r="P26" i="5"/>
  <c r="P28" i="5"/>
  <c r="P30" i="5"/>
  <c r="N27" i="5"/>
  <c r="N26" i="5"/>
  <c r="N30" i="5"/>
  <c r="J27" i="5"/>
  <c r="J28" i="5"/>
  <c r="J30" i="5"/>
  <c r="AD26" i="5"/>
  <c r="AD30" i="5"/>
  <c r="Z26" i="5"/>
  <c r="Z27" i="5"/>
  <c r="G26" i="5"/>
  <c r="G27" i="5"/>
  <c r="G29" i="5"/>
  <c r="E26" i="5"/>
  <c r="E29" i="5"/>
  <c r="H1363" i="17"/>
  <c r="H1340" i="17"/>
  <c r="H1380" i="17"/>
  <c r="AD29" i="5"/>
  <c r="X29" i="5"/>
  <c r="V29" i="5"/>
  <c r="P29" i="5"/>
  <c r="N29" i="5"/>
  <c r="AD28" i="5"/>
  <c r="V28" i="5"/>
  <c r="N28" i="5"/>
  <c r="F28" i="5"/>
  <c r="AD27" i="5"/>
  <c r="X27" i="5"/>
  <c r="P27" i="5"/>
  <c r="H27" i="5"/>
  <c r="M96" i="32"/>
  <c r="N96" i="32"/>
  <c r="G6" i="5"/>
  <c r="H100" i="35"/>
  <c r="K6" i="5"/>
  <c r="L100" i="35"/>
  <c r="L95" i="35"/>
  <c r="K121" i="5" s="1"/>
  <c r="K122" i="5" s="1"/>
  <c r="K123" i="5" s="1"/>
  <c r="K124" i="5" s="1"/>
  <c r="K125" i="5" s="1"/>
  <c r="H335" i="5"/>
  <c r="H391" i="5" s="1"/>
  <c r="H398" i="5" s="1"/>
  <c r="H412" i="5" s="1"/>
  <c r="H419" i="5" s="1"/>
  <c r="H426" i="5" s="1"/>
  <c r="R1216" i="32"/>
  <c r="R795" i="32"/>
  <c r="P795" i="32"/>
  <c r="S795" i="32"/>
  <c r="O795" i="32"/>
  <c r="G796" i="32"/>
  <c r="O796" i="32" s="1"/>
  <c r="Q516" i="32"/>
  <c r="H26" i="32"/>
  <c r="P14" i="32"/>
  <c r="O14" i="32"/>
  <c r="AO27" i="3"/>
  <c r="AO22" i="3"/>
  <c r="C103" i="14"/>
  <c r="J80" i="14"/>
  <c r="J104" i="5"/>
  <c r="L613" i="32"/>
  <c r="X116" i="5"/>
  <c r="N683" i="32"/>
  <c r="R683" i="32"/>
  <c r="M683" i="32"/>
  <c r="D1984" i="32"/>
  <c r="N1073" i="32"/>
  <c r="M1073" i="32"/>
  <c r="X96" i="35"/>
  <c r="W373" i="5" s="1"/>
  <c r="W374" i="5" s="1"/>
  <c r="W375" i="5" s="1"/>
  <c r="M26" i="32"/>
  <c r="L26" i="32"/>
  <c r="L753" i="32"/>
  <c r="M753" i="32"/>
  <c r="S2006" i="32"/>
  <c r="O2006" i="32"/>
  <c r="Q2002" i="32"/>
  <c r="S2002" i="32"/>
  <c r="AA2002" i="32"/>
  <c r="P2002" i="32"/>
  <c r="V1983" i="32"/>
  <c r="Z1998" i="32"/>
  <c r="L1998" i="32"/>
  <c r="P1997" i="32"/>
  <c r="AA1997" i="32"/>
  <c r="Q1997" i="32"/>
  <c r="N1996" i="32"/>
  <c r="M1996" i="32"/>
  <c r="L1984" i="32"/>
  <c r="Q1984" i="32"/>
  <c r="Z1984" i="32"/>
  <c r="AA80" i="5"/>
  <c r="AA74" i="5" s="1"/>
  <c r="P1785" i="32"/>
  <c r="V1764" i="32"/>
  <c r="BB12" i="32" s="1"/>
  <c r="AA139" i="5" s="1"/>
  <c r="H1804" i="32"/>
  <c r="P1804" i="32" s="1"/>
  <c r="AA84" i="5"/>
  <c r="AA104" i="5" s="1"/>
  <c r="D1804" i="32"/>
  <c r="N1785" i="32"/>
  <c r="R1777" i="32"/>
  <c r="S1524" i="32"/>
  <c r="I1497" i="32"/>
  <c r="L1485" i="32"/>
  <c r="S1357" i="32"/>
  <c r="G83" i="5"/>
  <c r="G87" i="5" s="1"/>
  <c r="B1314" i="32"/>
  <c r="Q1314" i="32" s="1"/>
  <c r="L1295" i="32"/>
  <c r="N1295" i="32"/>
  <c r="H2007" i="32"/>
  <c r="O1096" i="32"/>
  <c r="P1096" i="32"/>
  <c r="V1068" i="32"/>
  <c r="D2007" i="32"/>
  <c r="D1995" i="32" s="1"/>
  <c r="N1096" i="32"/>
  <c r="M1096" i="32"/>
  <c r="G2005" i="32"/>
  <c r="F2004" i="32"/>
  <c r="AA1093" i="32"/>
  <c r="V1078" i="32"/>
  <c r="Z1093" i="32"/>
  <c r="B2004" i="32"/>
  <c r="Q2004" i="32" s="1"/>
  <c r="Q1093" i="32"/>
  <c r="F2003" i="32"/>
  <c r="O1092" i="32"/>
  <c r="AA1092" i="32"/>
  <c r="V1077" i="32"/>
  <c r="L1092" i="32"/>
  <c r="B2003" i="32"/>
  <c r="N2003" i="32" s="1"/>
  <c r="Z1092" i="32"/>
  <c r="Q1092" i="32"/>
  <c r="AA1089" i="32"/>
  <c r="F2000" i="32"/>
  <c r="AA2000" i="32" s="1"/>
  <c r="V1074" i="32"/>
  <c r="Z1089" i="32"/>
  <c r="B2000" i="32"/>
  <c r="V1985" i="32" s="1"/>
  <c r="F1999" i="32"/>
  <c r="O1999" i="32" s="1"/>
  <c r="F1084" i="32"/>
  <c r="AA1084" i="32" s="1"/>
  <c r="AA1088" i="32"/>
  <c r="V1073" i="32"/>
  <c r="B1999" i="32"/>
  <c r="L1088" i="32"/>
  <c r="Z1088" i="32"/>
  <c r="B1084" i="32"/>
  <c r="Q1088" i="32"/>
  <c r="D1084" i="32"/>
  <c r="M1084" i="32" s="1"/>
  <c r="Q924" i="32"/>
  <c r="P924" i="32"/>
  <c r="O924" i="32"/>
  <c r="P613" i="32"/>
  <c r="M585" i="32"/>
  <c r="R585" i="32"/>
  <c r="N585" i="32"/>
  <c r="S543" i="32"/>
  <c r="P235" i="32"/>
  <c r="S235" i="32"/>
  <c r="E236" i="32"/>
  <c r="S236" i="32" s="1"/>
  <c r="F236" i="32"/>
  <c r="AA236" i="32" s="1"/>
  <c r="G96" i="32"/>
  <c r="R84" i="32"/>
  <c r="L84" i="32"/>
  <c r="N84" i="32"/>
  <c r="Q84" i="32"/>
  <c r="L10" i="4"/>
  <c r="I10" i="4"/>
  <c r="J10" i="4"/>
  <c r="K10" i="4"/>
  <c r="E9" i="5"/>
  <c r="Y6" i="3"/>
  <c r="AC6" i="3"/>
  <c r="AG6" i="3"/>
  <c r="AK6" i="3"/>
  <c r="Z6" i="3"/>
  <c r="AD6" i="3"/>
  <c r="AH6" i="3"/>
  <c r="AL6" i="3"/>
  <c r="AA6" i="3"/>
  <c r="AE6" i="3"/>
  <c r="AI6" i="3"/>
  <c r="AM6" i="3"/>
  <c r="AB6" i="3"/>
  <c r="AF6" i="3"/>
  <c r="AJ6" i="3"/>
  <c r="AA96" i="35"/>
  <c r="Z373" i="5" s="1"/>
  <c r="Z374" i="5" s="1"/>
  <c r="Z375" i="5" s="1"/>
  <c r="Q823" i="32"/>
  <c r="L823" i="32"/>
  <c r="N823" i="32"/>
  <c r="V1978" i="32"/>
  <c r="H1995" i="32"/>
  <c r="V1974" i="32"/>
  <c r="D1917" i="32"/>
  <c r="R1905" i="32"/>
  <c r="M1905" i="32"/>
  <c r="N1905" i="32"/>
  <c r="P1855" i="32"/>
  <c r="E1874" i="32"/>
  <c r="S1874" i="32" s="1"/>
  <c r="Q1855" i="32"/>
  <c r="AB81" i="5"/>
  <c r="F963" i="32"/>
  <c r="O944" i="32"/>
  <c r="AA944" i="32"/>
  <c r="C963" i="32"/>
  <c r="Z944" i="32"/>
  <c r="B446" i="32"/>
  <c r="Q446" i="32" s="1"/>
  <c r="C446" i="32"/>
  <c r="O84" i="5"/>
  <c r="O104" i="5" s="1"/>
  <c r="N384" i="32"/>
  <c r="D403" i="32"/>
  <c r="M384" i="32"/>
  <c r="R384" i="32"/>
  <c r="L376" i="32"/>
  <c r="P375" i="32"/>
  <c r="O375" i="32"/>
  <c r="M364" i="32"/>
  <c r="L364" i="32"/>
  <c r="L305" i="32"/>
  <c r="B306" i="32"/>
  <c r="N306" i="32" s="1"/>
  <c r="Q305" i="32"/>
  <c r="Z305" i="32"/>
  <c r="N305" i="32"/>
  <c r="Q263" i="32"/>
  <c r="S263" i="32"/>
  <c r="E115" i="14"/>
  <c r="C75" i="14"/>
  <c r="X118" i="14"/>
  <c r="P118" i="14"/>
  <c r="G118" i="14"/>
  <c r="C74" i="14"/>
  <c r="V118" i="14"/>
  <c r="N118" i="14"/>
  <c r="I118" i="14"/>
  <c r="E118" i="14"/>
  <c r="H121" i="18"/>
  <c r="AF117" i="14"/>
  <c r="W117" i="14"/>
  <c r="K113" i="14"/>
  <c r="C69" i="14"/>
  <c r="G108" i="14"/>
  <c r="C64" i="14"/>
  <c r="F80" i="18"/>
  <c r="V107" i="14"/>
  <c r="C63" i="14"/>
  <c r="E84" i="14"/>
  <c r="C28" i="14"/>
  <c r="C26" i="14"/>
  <c r="V86" i="14"/>
  <c r="F86" i="14"/>
  <c r="C25" i="14"/>
  <c r="C85" i="14"/>
  <c r="K82" i="14"/>
  <c r="C23" i="14"/>
  <c r="AE82" i="14"/>
  <c r="R82" i="14"/>
  <c r="O82" i="14"/>
  <c r="C22" i="14"/>
  <c r="M306" i="32"/>
  <c r="P2009" i="32"/>
  <c r="AA2009" i="32"/>
  <c r="M2003" i="32"/>
  <c r="R1971" i="32"/>
  <c r="M1971" i="32"/>
  <c r="N1971" i="32"/>
  <c r="F1917" i="32"/>
  <c r="AA1916" i="32"/>
  <c r="O1916" i="32"/>
  <c r="H1637" i="32"/>
  <c r="O1625" i="32"/>
  <c r="M1625" i="32"/>
  <c r="D1637" i="32"/>
  <c r="N1625" i="32"/>
  <c r="P1594" i="32"/>
  <c r="L1575" i="32"/>
  <c r="I1594" i="32"/>
  <c r="M1575" i="32"/>
  <c r="M1384" i="32"/>
  <c r="S1314" i="32"/>
  <c r="P1314" i="32"/>
  <c r="S1173" i="32"/>
  <c r="R1173" i="32"/>
  <c r="Q1145" i="32"/>
  <c r="E1146" i="32"/>
  <c r="P1145" i="32"/>
  <c r="N1070" i="32"/>
  <c r="D1075" i="32"/>
  <c r="D1076" i="32" s="1"/>
  <c r="N1076" i="32" s="1"/>
  <c r="D1981" i="32"/>
  <c r="M1070" i="32"/>
  <c r="E1971" i="32"/>
  <c r="E1064" i="32"/>
  <c r="AA1060" i="32"/>
  <c r="O1058" i="32"/>
  <c r="F1969" i="32"/>
  <c r="O1969" i="32" s="1"/>
  <c r="Q1058" i="32"/>
  <c r="F1064" i="32"/>
  <c r="P1058" i="32"/>
  <c r="B1969" i="32"/>
  <c r="B1975" i="32" s="1"/>
  <c r="B1064" i="32"/>
  <c r="I1006" i="32"/>
  <c r="M994" i="32"/>
  <c r="L994" i="32"/>
  <c r="M893" i="32"/>
  <c r="D796" i="32"/>
  <c r="M784" i="32"/>
  <c r="R784" i="32"/>
  <c r="N784" i="32"/>
  <c r="AA656" i="32"/>
  <c r="S504" i="32"/>
  <c r="G516" i="32"/>
  <c r="O504" i="32"/>
  <c r="Z516" i="32"/>
  <c r="S446" i="32"/>
  <c r="AA446" i="32"/>
  <c r="V182" i="5"/>
  <c r="V66" i="5"/>
  <c r="AC182" i="5"/>
  <c r="AC66" i="5"/>
  <c r="T69" i="5"/>
  <c r="AA586" i="32"/>
  <c r="AA753" i="32"/>
  <c r="Z403" i="32"/>
  <c r="Q403" i="32"/>
  <c r="P2006" i="32"/>
  <c r="Z2000" i="32"/>
  <c r="P1971" i="32"/>
  <c r="H1975" i="32"/>
  <c r="L1916" i="32"/>
  <c r="Z1785" i="32"/>
  <c r="Q81" i="5"/>
  <c r="F1524" i="32"/>
  <c r="AA1524" i="32" s="1"/>
  <c r="O1505" i="32"/>
  <c r="M1485" i="32"/>
  <c r="S1454" i="32"/>
  <c r="N1216" i="32"/>
  <c r="Z1102" i="32"/>
  <c r="C2013" i="32"/>
  <c r="Z2013" i="32" s="1"/>
  <c r="V1085" i="32"/>
  <c r="Z1100" i="32"/>
  <c r="B2011" i="32"/>
  <c r="R1096" i="32"/>
  <c r="V1080" i="32"/>
  <c r="Z1095" i="32"/>
  <c r="B2006" i="32"/>
  <c r="D2002" i="32"/>
  <c r="N1091" i="32"/>
  <c r="N1087" i="32"/>
  <c r="D1998" i="32"/>
  <c r="R1996" i="32"/>
  <c r="D1993" i="32"/>
  <c r="N1082" i="32"/>
  <c r="AA1069" i="32"/>
  <c r="O1069" i="32"/>
  <c r="F1075" i="32"/>
  <c r="F1076" i="32" s="1"/>
  <c r="AA1076" i="32" s="1"/>
  <c r="I1064" i="32"/>
  <c r="M1064" i="32" s="1"/>
  <c r="I1969" i="32"/>
  <c r="P1014" i="32"/>
  <c r="E1033" i="32"/>
  <c r="S893" i="32"/>
  <c r="R893" i="32"/>
  <c r="Z874" i="32"/>
  <c r="E84" i="5"/>
  <c r="E104" i="5" s="1"/>
  <c r="N734" i="32"/>
  <c r="E1119" i="32"/>
  <c r="E2030" i="32" s="1"/>
  <c r="S585" i="32"/>
  <c r="P585" i="32"/>
  <c r="G586" i="32"/>
  <c r="O586" i="32" s="1"/>
  <c r="M504" i="32"/>
  <c r="P504" i="32"/>
  <c r="L473" i="32"/>
  <c r="S445" i="32"/>
  <c r="H376" i="32"/>
  <c r="L333" i="32"/>
  <c r="P84" i="32"/>
  <c r="AA25" i="32"/>
  <c r="S25" i="32"/>
  <c r="I27" i="4"/>
  <c r="J27" i="4"/>
  <c r="L8" i="4"/>
  <c r="I8" i="4"/>
  <c r="J8" i="4"/>
  <c r="AO35" i="3"/>
  <c r="AO23" i="3"/>
  <c r="AO18" i="3"/>
  <c r="AO7" i="3"/>
  <c r="AF107" i="14"/>
  <c r="AC101" i="14"/>
  <c r="Q101" i="14"/>
  <c r="I101" i="14"/>
  <c r="E101" i="14"/>
  <c r="O98" i="14"/>
  <c r="C119" i="14"/>
  <c r="F121" i="18"/>
  <c r="AF115" i="14"/>
  <c r="F114" i="14"/>
  <c r="AF110" i="14"/>
  <c r="T110" i="14"/>
  <c r="P110" i="14"/>
  <c r="L110" i="14"/>
  <c r="H110" i="14"/>
  <c r="AE99" i="14"/>
  <c r="AA186" i="5"/>
  <c r="AA68" i="5"/>
  <c r="R69" i="5"/>
  <c r="Y69" i="5"/>
  <c r="R2002" i="32"/>
  <c r="C1986" i="32"/>
  <c r="Z1969" i="32"/>
  <c r="S1855" i="32"/>
  <c r="G1874" i="32"/>
  <c r="R1855" i="32"/>
  <c r="R1846" i="32"/>
  <c r="P1846" i="32"/>
  <c r="S1846" i="32"/>
  <c r="AA81" i="5"/>
  <c r="AA88" i="5" s="1"/>
  <c r="O1785" i="32"/>
  <c r="F1804" i="32"/>
  <c r="AA83" i="5"/>
  <c r="B1804" i="32"/>
  <c r="Z1804" i="32" s="1"/>
  <c r="L1785" i="32"/>
  <c r="S1645" i="32"/>
  <c r="O1645" i="32"/>
  <c r="G1664" i="32"/>
  <c r="M1664" i="32"/>
  <c r="S1594" i="32"/>
  <c r="Z1594" i="32"/>
  <c r="L1594" i="32"/>
  <c r="V84" i="5"/>
  <c r="V104" i="5" s="1"/>
  <c r="N1575" i="32"/>
  <c r="D1594" i="32"/>
  <c r="M1505" i="32"/>
  <c r="I1524" i="32"/>
  <c r="N1356" i="32"/>
  <c r="D1357" i="32"/>
  <c r="Z1154" i="32"/>
  <c r="C1173" i="32"/>
  <c r="Z1173" i="32" s="1"/>
  <c r="D2010" i="32"/>
  <c r="N1099" i="32"/>
  <c r="N1093" i="32"/>
  <c r="N1090" i="32"/>
  <c r="R1090" i="32"/>
  <c r="D2001" i="32"/>
  <c r="V1071" i="32"/>
  <c r="Z1086" i="32"/>
  <c r="D1970" i="32"/>
  <c r="M1059" i="32"/>
  <c r="D1064" i="32"/>
  <c r="S1014" i="32"/>
  <c r="G1033" i="32"/>
  <c r="R1033" i="32" s="1"/>
  <c r="M1033" i="32"/>
  <c r="N83" i="5"/>
  <c r="N87" i="5" s="1"/>
  <c r="B893" i="32"/>
  <c r="G753" i="32"/>
  <c r="P753" i="32" s="1"/>
  <c r="R734" i="32"/>
  <c r="Q655" i="32"/>
  <c r="AA655" i="32"/>
  <c r="G236" i="32"/>
  <c r="G1119" i="32"/>
  <c r="G2030" i="32" s="1"/>
  <c r="I25" i="4"/>
  <c r="J25" i="4"/>
  <c r="I21" i="4"/>
  <c r="J21" i="4"/>
  <c r="I17" i="4"/>
  <c r="J17" i="4"/>
  <c r="I13" i="4"/>
  <c r="J13" i="4"/>
  <c r="AO33" i="3"/>
  <c r="AO30" i="3"/>
  <c r="AO19" i="3"/>
  <c r="AO17" i="3"/>
  <c r="AO14" i="3"/>
  <c r="AO8" i="3"/>
  <c r="AD117" i="14"/>
  <c r="AD102" i="14"/>
  <c r="W70" i="5"/>
  <c r="V102" i="14"/>
  <c r="S70" i="5"/>
  <c r="R102" i="14"/>
  <c r="O70" i="5"/>
  <c r="N102" i="14"/>
  <c r="K70" i="5"/>
  <c r="J102" i="14"/>
  <c r="G70" i="5"/>
  <c r="F102" i="14"/>
  <c r="W82" i="14"/>
  <c r="G82" i="14"/>
  <c r="I179" i="5"/>
  <c r="J23" i="35"/>
  <c r="I181" i="5"/>
  <c r="I65" i="5"/>
  <c r="R318" i="5"/>
  <c r="T386" i="5"/>
  <c r="T428" i="5" s="1"/>
  <c r="T320" i="5"/>
  <c r="AD386" i="5"/>
  <c r="AD428" i="5" s="1"/>
  <c r="AD320" i="5"/>
  <c r="V386" i="5"/>
  <c r="V428" i="5" s="1"/>
  <c r="V320" i="5"/>
  <c r="M386" i="5"/>
  <c r="M428" i="5" s="1"/>
  <c r="M320" i="5"/>
  <c r="Q543" i="32"/>
  <c r="S2009" i="32"/>
  <c r="V1982" i="32"/>
  <c r="N1997" i="32"/>
  <c r="Z1997" i="32"/>
  <c r="L1980" i="32"/>
  <c r="R1970" i="32"/>
  <c r="P1970" i="32"/>
  <c r="P1835" i="32"/>
  <c r="H1847" i="32"/>
  <c r="O1636" i="32"/>
  <c r="S1566" i="32"/>
  <c r="G1567" i="32"/>
  <c r="R1566" i="32"/>
  <c r="F1454" i="32"/>
  <c r="O1365" i="32"/>
  <c r="I85" i="5"/>
  <c r="Z1295" i="32"/>
  <c r="R1286" i="32"/>
  <c r="Q1204" i="32"/>
  <c r="F1216" i="32"/>
  <c r="AA1145" i="32"/>
  <c r="Z1145" i="32"/>
  <c r="B1146" i="32"/>
  <c r="L1145" i="32"/>
  <c r="P1134" i="32"/>
  <c r="N1100" i="32"/>
  <c r="P1099" i="32"/>
  <c r="R1099" i="32"/>
  <c r="V1083" i="32"/>
  <c r="Z1098" i="32"/>
  <c r="B2009" i="32"/>
  <c r="V1082" i="32"/>
  <c r="L1097" i="32"/>
  <c r="Z1097" i="32"/>
  <c r="B2008" i="32"/>
  <c r="Z2008" i="32" s="1"/>
  <c r="N1095" i="32"/>
  <c r="M2005" i="32"/>
  <c r="H1075" i="32"/>
  <c r="H1985" i="32"/>
  <c r="H1986" i="32" s="1"/>
  <c r="N1071" i="32"/>
  <c r="S1061" i="32"/>
  <c r="G1972" i="32"/>
  <c r="G1975" i="32" s="1"/>
  <c r="D1972" i="32"/>
  <c r="M1061" i="32"/>
  <c r="S1058" i="32"/>
  <c r="AE87" i="5"/>
  <c r="I963" i="32"/>
  <c r="C936" i="32"/>
  <c r="Z936" i="32" s="1"/>
  <c r="R865" i="32"/>
  <c r="S865" i="32"/>
  <c r="P865" i="32"/>
  <c r="G866" i="32"/>
  <c r="AA804" i="32"/>
  <c r="R725" i="32"/>
  <c r="N655" i="32"/>
  <c r="H656" i="32"/>
  <c r="O656" i="32" s="1"/>
  <c r="O644" i="32"/>
  <c r="B656" i="32"/>
  <c r="L656" i="32" s="1"/>
  <c r="F516" i="32"/>
  <c r="AA515" i="32"/>
  <c r="O364" i="32"/>
  <c r="F376" i="32"/>
  <c r="AA263" i="32"/>
  <c r="Z263" i="32"/>
  <c r="L263" i="32"/>
  <c r="L193" i="32"/>
  <c r="E166" i="32"/>
  <c r="F166" i="32"/>
  <c r="S123" i="32"/>
  <c r="R123" i="32"/>
  <c r="N95" i="32"/>
  <c r="H96" i="32"/>
  <c r="P96" i="32" s="1"/>
  <c r="M53" i="32"/>
  <c r="K35" i="4"/>
  <c r="K37" i="4"/>
  <c r="K39" i="4"/>
  <c r="K41" i="4"/>
  <c r="K43" i="4"/>
  <c r="K45" i="4"/>
  <c r="K36" i="4"/>
  <c r="L24" i="4"/>
  <c r="I24" i="4"/>
  <c r="J24" i="4"/>
  <c r="L20" i="4"/>
  <c r="I20" i="4"/>
  <c r="J20" i="4"/>
  <c r="L16" i="4"/>
  <c r="I16" i="4"/>
  <c r="J16" i="4"/>
  <c r="I11" i="4"/>
  <c r="J11" i="4"/>
  <c r="K8" i="4"/>
  <c r="AO31" i="3"/>
  <c r="AO29" i="3"/>
  <c r="AO26" i="3"/>
  <c r="AO15" i="3"/>
  <c r="AO13" i="3"/>
  <c r="AE116" i="14"/>
  <c r="W116" i="14"/>
  <c r="O116" i="14"/>
  <c r="N99" i="14"/>
  <c r="X84" i="14"/>
  <c r="T84" i="14"/>
  <c r="I69" i="5"/>
  <c r="N69" i="5"/>
  <c r="AA70" i="5"/>
  <c r="V1971" i="32"/>
  <c r="S1997" i="32"/>
  <c r="Q1916" i="32"/>
  <c r="AD84" i="5"/>
  <c r="AD104" i="5" s="1"/>
  <c r="O1765" i="32"/>
  <c r="Q1765" i="32"/>
  <c r="N1715" i="32"/>
  <c r="T84" i="5"/>
  <c r="T104" i="5" s="1"/>
  <c r="Q1625" i="32"/>
  <c r="B1524" i="32"/>
  <c r="B1454" i="32"/>
  <c r="L83" i="5"/>
  <c r="M1365" i="32"/>
  <c r="F1314" i="32"/>
  <c r="C1314" i="32"/>
  <c r="O1215" i="32"/>
  <c r="S1134" i="32"/>
  <c r="L1101" i="32"/>
  <c r="Z1099" i="32"/>
  <c r="R1098" i="32"/>
  <c r="N1097" i="32"/>
  <c r="Z1096" i="32"/>
  <c r="R1095" i="32"/>
  <c r="Z1094" i="32"/>
  <c r="R1093" i="32"/>
  <c r="N1092" i="32"/>
  <c r="Z1091" i="32"/>
  <c r="N1088" i="32"/>
  <c r="Z1087" i="32"/>
  <c r="R1086" i="32"/>
  <c r="Z1085" i="32"/>
  <c r="B1075" i="32"/>
  <c r="O1062" i="32"/>
  <c r="AE84" i="5"/>
  <c r="AE104" i="5" s="1"/>
  <c r="S935" i="32"/>
  <c r="F893" i="32"/>
  <c r="C893" i="32"/>
  <c r="Z893" i="32" s="1"/>
  <c r="N804" i="32"/>
  <c r="D726" i="32"/>
  <c r="L725" i="32"/>
  <c r="M664" i="32"/>
  <c r="Q515" i="32"/>
  <c r="G376" i="32"/>
  <c r="O376" i="32" s="1"/>
  <c r="S95" i="32"/>
  <c r="E26" i="32"/>
  <c r="M35" i="4"/>
  <c r="I35" i="4"/>
  <c r="L22" i="4"/>
  <c r="L18" i="4"/>
  <c r="L14" i="4"/>
  <c r="L7" i="4"/>
  <c r="AK11" i="3"/>
  <c r="AG11" i="3"/>
  <c r="AC11" i="3"/>
  <c r="Y11" i="3"/>
  <c r="I100" i="18"/>
  <c r="AD70" i="5"/>
  <c r="Z70" i="5"/>
  <c r="V70" i="5"/>
  <c r="R70" i="5"/>
  <c r="N70" i="5"/>
  <c r="J70" i="5"/>
  <c r="F70" i="5"/>
  <c r="J179" i="5"/>
  <c r="K23" i="35"/>
  <c r="J64" i="5"/>
  <c r="M179" i="5"/>
  <c r="N23" i="35"/>
  <c r="X179" i="5"/>
  <c r="E881" i="17" s="1"/>
  <c r="Y23" i="35"/>
  <c r="X64" i="5"/>
  <c r="L181" i="5"/>
  <c r="L65" i="5"/>
  <c r="R65" i="5"/>
  <c r="R181" i="5"/>
  <c r="I182" i="5"/>
  <c r="I66" i="5"/>
  <c r="V69" i="5"/>
  <c r="AA69" i="5"/>
  <c r="S69" i="5"/>
  <c r="U69" i="5"/>
  <c r="AD69" i="5"/>
  <c r="H92" i="44"/>
  <c r="J99" i="44" s="1"/>
  <c r="J87" i="35" s="1"/>
  <c r="H58" i="44"/>
  <c r="M92" i="44"/>
  <c r="Q99" i="44"/>
  <c r="Q87" i="35" s="1"/>
  <c r="M58" i="44"/>
  <c r="S92" i="44"/>
  <c r="U99" i="44"/>
  <c r="U87" i="35" s="1"/>
  <c r="S58" i="44"/>
  <c r="W92" i="44"/>
  <c r="Y99" i="44" s="1"/>
  <c r="Y87" i="35" s="1"/>
  <c r="W58" i="44"/>
  <c r="AA58" i="44"/>
  <c r="AA92" i="44"/>
  <c r="AB99" i="44" s="1"/>
  <c r="AB87" i="35" s="1"/>
  <c r="AE92" i="44"/>
  <c r="AC99" i="44"/>
  <c r="AC87" i="35" s="1"/>
  <c r="AE58" i="44"/>
  <c r="AI92" i="44"/>
  <c r="AI99" i="44" s="1"/>
  <c r="AI87" i="35" s="1"/>
  <c r="AI58" i="44"/>
  <c r="AM92" i="44"/>
  <c r="AM58" i="44"/>
  <c r="L434" i="32"/>
  <c r="Q53" i="32"/>
  <c r="AC70" i="5"/>
  <c r="Y70" i="5"/>
  <c r="U70" i="5"/>
  <c r="Q70" i="5"/>
  <c r="M70" i="5"/>
  <c r="I70" i="5"/>
  <c r="AE179" i="5"/>
  <c r="AF23" i="35"/>
  <c r="M65" i="5"/>
  <c r="T182" i="5"/>
  <c r="T66" i="5"/>
  <c r="Y182" i="5"/>
  <c r="Y66" i="5"/>
  <c r="AE182" i="5"/>
  <c r="AE66" i="5"/>
  <c r="Y186" i="5"/>
  <c r="Y68" i="5"/>
  <c r="E6" i="5"/>
  <c r="AA317" i="5"/>
  <c r="L2030" i="32"/>
  <c r="L2029" i="32" s="1"/>
  <c r="L2007" i="32"/>
  <c r="Z2002" i="32"/>
  <c r="F1357" i="32"/>
  <c r="AA1357" i="32" s="1"/>
  <c r="D1287" i="32"/>
  <c r="F1146" i="32"/>
  <c r="J43" i="4"/>
  <c r="J41" i="4"/>
  <c r="J39" i="4"/>
  <c r="J37" i="4"/>
  <c r="I36" i="4"/>
  <c r="AM11" i="3"/>
  <c r="AI11" i="3"/>
  <c r="AE11" i="3"/>
  <c r="AA11" i="3"/>
  <c r="I108" i="18"/>
  <c r="I76" i="18"/>
  <c r="I12" i="18"/>
  <c r="I99" i="18"/>
  <c r="AB70" i="5"/>
  <c r="X70" i="5"/>
  <c r="I67" i="18"/>
  <c r="T70" i="5"/>
  <c r="P70" i="5"/>
  <c r="I35" i="18"/>
  <c r="L70" i="5"/>
  <c r="H70" i="5"/>
  <c r="Y55" i="35"/>
  <c r="R179" i="5"/>
  <c r="S23" i="35"/>
  <c r="R64" i="5"/>
  <c r="U179" i="5"/>
  <c r="V23" i="35"/>
  <c r="AC179" i="5"/>
  <c r="AD23" i="35"/>
  <c r="G181" i="5"/>
  <c r="G65" i="5"/>
  <c r="F182" i="5"/>
  <c r="F66" i="5"/>
  <c r="Z182" i="5"/>
  <c r="Z66" i="5"/>
  <c r="AC69" i="5"/>
  <c r="Z186" i="5"/>
  <c r="Z68" i="5"/>
  <c r="L383" i="5"/>
  <c r="L414" i="5" s="1"/>
  <c r="L318" i="5"/>
  <c r="M385" i="5"/>
  <c r="M421" i="5" s="1"/>
  <c r="M321" i="5"/>
  <c r="W315" i="5"/>
  <c r="X6" i="35"/>
  <c r="W10" i="5" s="1"/>
  <c r="E64" i="5"/>
  <c r="E179" i="5"/>
  <c r="K179" i="5"/>
  <c r="L23" i="35"/>
  <c r="S179" i="5"/>
  <c r="T23" i="35"/>
  <c r="Y179" i="5"/>
  <c r="Z23" i="35"/>
  <c r="Z179" i="5"/>
  <c r="AA23" i="35"/>
  <c r="G66" i="5"/>
  <c r="U66" i="5"/>
  <c r="AD66" i="5"/>
  <c r="G69" i="5"/>
  <c r="M69" i="5"/>
  <c r="P69" i="5"/>
  <c r="Q69" i="5"/>
  <c r="X69" i="5"/>
  <c r="Z69" i="5"/>
  <c r="AB69" i="5"/>
  <c r="I68" i="5"/>
  <c r="V68" i="5"/>
  <c r="X68" i="5"/>
  <c r="AE68" i="5"/>
  <c r="F58" i="44"/>
  <c r="I92" i="44"/>
  <c r="L99" i="44" s="1"/>
  <c r="L87" i="35" s="1"/>
  <c r="I58" i="44"/>
  <c r="P92" i="44"/>
  <c r="T99" i="44" s="1"/>
  <c r="T87" i="35" s="1"/>
  <c r="P58" i="44"/>
  <c r="T92" i="44"/>
  <c r="V99" i="44" s="1"/>
  <c r="V87" i="35" s="1"/>
  <c r="T58" i="44"/>
  <c r="X92" i="44"/>
  <c r="F99" i="44" s="1"/>
  <c r="F87" i="35" s="1"/>
  <c r="X58" i="44"/>
  <c r="AB92" i="44"/>
  <c r="AD99" i="44" s="1"/>
  <c r="AD87" i="35" s="1"/>
  <c r="AB58" i="44"/>
  <c r="AF92" i="44"/>
  <c r="AF99" i="44" s="1"/>
  <c r="AF87" i="35" s="1"/>
  <c r="AF58" i="44"/>
  <c r="AJ92" i="44"/>
  <c r="AG99" i="44" s="1"/>
  <c r="AG87" i="35" s="1"/>
  <c r="AJ58" i="44"/>
  <c r="K316" i="5"/>
  <c r="K380" i="5"/>
  <c r="O380" i="5"/>
  <c r="O393" i="5" s="1"/>
  <c r="O316" i="5"/>
  <c r="AC380" i="5"/>
  <c r="AC316" i="5"/>
  <c r="I318" i="5"/>
  <c r="AB383" i="5"/>
  <c r="AB414" i="5" s="1"/>
  <c r="AB318" i="5"/>
  <c r="S318" i="5"/>
  <c r="O386" i="5"/>
  <c r="O428" i="5" s="1"/>
  <c r="O320" i="5"/>
  <c r="S385" i="5"/>
  <c r="S421" i="5" s="1"/>
  <c r="S321" i="5"/>
  <c r="AA385" i="5"/>
  <c r="AA421" i="5" s="1"/>
  <c r="AA321" i="5"/>
  <c r="Q23" i="35"/>
  <c r="F179" i="5"/>
  <c r="G23" i="35"/>
  <c r="N179" i="5"/>
  <c r="O23" i="35"/>
  <c r="Q179" i="5"/>
  <c r="V179" i="5"/>
  <c r="W23" i="35"/>
  <c r="AA179" i="5"/>
  <c r="AB23" i="35"/>
  <c r="Q92" i="44"/>
  <c r="I99" i="44" s="1"/>
  <c r="I87" i="35" s="1"/>
  <c r="Q58" i="44"/>
  <c r="U92" i="44"/>
  <c r="R99" i="44" s="1"/>
  <c r="R87" i="35" s="1"/>
  <c r="U58" i="44"/>
  <c r="Y92" i="44"/>
  <c r="Z99" i="44" s="1"/>
  <c r="Z87" i="35" s="1"/>
  <c r="Y58" i="44"/>
  <c r="AC92" i="44"/>
  <c r="AE99" i="44" s="1"/>
  <c r="AE87" i="35" s="1"/>
  <c r="AC58" i="44"/>
  <c r="AG92" i="44"/>
  <c r="AG58" i="44"/>
  <c r="AK92" i="44"/>
  <c r="AK58" i="44"/>
  <c r="R382" i="5"/>
  <c r="R407" i="5" s="1"/>
  <c r="R317" i="5"/>
  <c r="X383" i="5"/>
  <c r="X414" i="5" s="1"/>
  <c r="X318" i="5"/>
  <c r="E69" i="5"/>
  <c r="I386" i="5"/>
  <c r="I428" i="5" s="1"/>
  <c r="I320" i="5"/>
  <c r="N386" i="5"/>
  <c r="N428" i="5" s="1"/>
  <c r="N320" i="5"/>
  <c r="AA386" i="5"/>
  <c r="AA428" i="5" s="1"/>
  <c r="AA320" i="5"/>
  <c r="U386" i="5"/>
  <c r="U428" i="5" s="1"/>
  <c r="U320" i="5"/>
  <c r="S386" i="5"/>
  <c r="S428" i="5" s="1"/>
  <c r="S320" i="5"/>
  <c r="R386" i="5"/>
  <c r="R428" i="5" s="1"/>
  <c r="R320" i="5"/>
  <c r="I385" i="5"/>
  <c r="I421" i="5" s="1"/>
  <c r="I321" i="5"/>
  <c r="K385" i="5"/>
  <c r="K421" i="5" s="1"/>
  <c r="K321" i="5"/>
  <c r="W183" i="5"/>
  <c r="W182" i="5"/>
  <c r="G179" i="5"/>
  <c r="H23" i="35"/>
  <c r="L179" i="5"/>
  <c r="M23" i="35"/>
  <c r="O179" i="5"/>
  <c r="P23" i="35"/>
  <c r="U23" i="35"/>
  <c r="T179" i="5"/>
  <c r="AB179" i="5"/>
  <c r="AC23" i="35"/>
  <c r="AD179" i="5"/>
  <c r="AE23" i="35"/>
  <c r="X181" i="5"/>
  <c r="G58" i="44"/>
  <c r="G92" i="44"/>
  <c r="H99" i="44" s="1"/>
  <c r="H87" i="35" s="1"/>
  <c r="L92" i="44"/>
  <c r="S99" i="44" s="1"/>
  <c r="S87" i="35" s="1"/>
  <c r="L58" i="44"/>
  <c r="R92" i="44"/>
  <c r="W99" i="44" s="1"/>
  <c r="W87" i="35" s="1"/>
  <c r="R58" i="44"/>
  <c r="V92" i="44"/>
  <c r="X99" i="44" s="1"/>
  <c r="X87" i="35" s="1"/>
  <c r="V58" i="44"/>
  <c r="Z92" i="44"/>
  <c r="AA99" i="44" s="1"/>
  <c r="AA87" i="35" s="1"/>
  <c r="Z58" i="44"/>
  <c r="AD92" i="44"/>
  <c r="O99" i="44" s="1"/>
  <c r="O87" i="35" s="1"/>
  <c r="AD58" i="44"/>
  <c r="AH92" i="44"/>
  <c r="AH99" i="44" s="1"/>
  <c r="AH87" i="35" s="1"/>
  <c r="AH58" i="44"/>
  <c r="AL92" i="44"/>
  <c r="AL58" i="44"/>
  <c r="I380" i="5"/>
  <c r="I393" i="5" s="1"/>
  <c r="I316" i="5"/>
  <c r="M380" i="5"/>
  <c r="M316" i="5"/>
  <c r="AA380" i="5"/>
  <c r="AA393" i="5" s="1"/>
  <c r="AA316" i="5"/>
  <c r="AE380" i="5"/>
  <c r="AE393" i="5" s="1"/>
  <c r="AE316" i="5"/>
  <c r="F318" i="5"/>
  <c r="AC386" i="5"/>
  <c r="AC428" i="5" s="1"/>
  <c r="AC320" i="5"/>
  <c r="F385" i="5"/>
  <c r="F421" i="5" s="1"/>
  <c r="F321" i="5"/>
  <c r="AB385" i="5"/>
  <c r="AB421" i="5" s="1"/>
  <c r="AB321" i="5"/>
  <c r="X385" i="5"/>
  <c r="X421" i="5" s="1"/>
  <c r="X321" i="5"/>
  <c r="T385" i="5"/>
  <c r="T421" i="5" s="1"/>
  <c r="T321" i="5"/>
  <c r="L385" i="5"/>
  <c r="L421" i="5" s="1"/>
  <c r="L321" i="5"/>
  <c r="K92" i="44"/>
  <c r="M99" i="44" s="1"/>
  <c r="M87" i="35" s="1"/>
  <c r="J316" i="5"/>
  <c r="L316" i="5"/>
  <c r="N316" i="5"/>
  <c r="Z316" i="5"/>
  <c r="AB316" i="5"/>
  <c r="AD316" i="5"/>
  <c r="AC318" i="5"/>
  <c r="AE383" i="5"/>
  <c r="AE414" i="5" s="1"/>
  <c r="AE320" i="5"/>
  <c r="W320" i="5"/>
  <c r="K320" i="5"/>
  <c r="G320" i="5"/>
  <c r="N385" i="5"/>
  <c r="N421" i="5" s="1"/>
  <c r="N321" i="5"/>
  <c r="Z385" i="5"/>
  <c r="Z421" i="5" s="1"/>
  <c r="Z321" i="5"/>
  <c r="V385" i="5"/>
  <c r="V421" i="5" s="1"/>
  <c r="V321" i="5"/>
  <c r="J385" i="5"/>
  <c r="J321" i="5"/>
  <c r="U321" i="5"/>
  <c r="H180" i="5"/>
  <c r="H181" i="5"/>
  <c r="W181" i="5"/>
  <c r="E849" i="17" s="1"/>
  <c r="W180" i="5"/>
  <c r="J320" i="5"/>
  <c r="F320" i="5"/>
  <c r="AD385" i="5"/>
  <c r="AD421" i="5" s="1"/>
  <c r="AD321" i="5"/>
  <c r="H385" i="5"/>
  <c r="H421" i="5" s="1"/>
  <c r="H321" i="5"/>
  <c r="P385" i="5"/>
  <c r="P421" i="5" s="1"/>
  <c r="P321" i="5"/>
  <c r="H182" i="5"/>
  <c r="H183" i="5"/>
  <c r="E56" i="44"/>
  <c r="Y320" i="5"/>
  <c r="Q320" i="5"/>
  <c r="R385" i="5"/>
  <c r="R421" i="5" s="1"/>
  <c r="R321" i="5"/>
  <c r="Y321" i="5"/>
  <c r="Q321" i="5"/>
  <c r="O335" i="5"/>
  <c r="O391" i="5" s="1"/>
  <c r="L1454" i="32"/>
  <c r="Q1454" i="32"/>
  <c r="AA166" i="32"/>
  <c r="M1972" i="32"/>
  <c r="N1972" i="32"/>
  <c r="N2008" i="32"/>
  <c r="V1994" i="32"/>
  <c r="L2009" i="32"/>
  <c r="Z2009" i="32"/>
  <c r="N2009" i="32"/>
  <c r="L1146" i="32"/>
  <c r="Z1146" i="32"/>
  <c r="L893" i="32"/>
  <c r="Q893" i="32"/>
  <c r="M2010" i="32"/>
  <c r="R2010" i="32"/>
  <c r="N1594" i="32"/>
  <c r="M1594" i="32"/>
  <c r="R1594" i="32"/>
  <c r="S1664" i="32"/>
  <c r="R1664" i="32"/>
  <c r="P1664" i="32"/>
  <c r="P1033" i="32"/>
  <c r="N1993" i="32"/>
  <c r="R1993" i="32"/>
  <c r="M1993" i="32"/>
  <c r="O1524" i="32"/>
  <c r="L2027" i="32"/>
  <c r="Q656" i="32"/>
  <c r="M796" i="32"/>
  <c r="N796" i="32"/>
  <c r="M1981" i="32"/>
  <c r="R1981" i="32"/>
  <c r="N1981" i="32"/>
  <c r="Q1146" i="32"/>
  <c r="S1146" i="32"/>
  <c r="AA963" i="32"/>
  <c r="O963" i="32"/>
  <c r="M1917" i="32"/>
  <c r="R1917" i="32"/>
  <c r="N1917" i="32"/>
  <c r="F1103" i="32"/>
  <c r="O2004" i="32"/>
  <c r="AA2004" i="32"/>
  <c r="L1497" i="32"/>
  <c r="L2024" i="32"/>
  <c r="L2028" i="32"/>
  <c r="AA1314" i="32"/>
  <c r="O1314" i="32"/>
  <c r="AA516" i="32"/>
  <c r="R866" i="32"/>
  <c r="S1567" i="32"/>
  <c r="R1567" i="32"/>
  <c r="L2021" i="32"/>
  <c r="R1874" i="32"/>
  <c r="M2002" i="32"/>
  <c r="N2002" i="32"/>
  <c r="L1006" i="32"/>
  <c r="M1006" i="32"/>
  <c r="B1076" i="32"/>
  <c r="M1637" i="32"/>
  <c r="N1637" i="32"/>
  <c r="R1637" i="32"/>
  <c r="L306" i="32"/>
  <c r="Q306" i="32"/>
  <c r="AO6" i="3"/>
  <c r="V1984" i="32"/>
  <c r="Z1999" i="32"/>
  <c r="N1999" i="32"/>
  <c r="L1999" i="32"/>
  <c r="M2007" i="32"/>
  <c r="R2007" i="32"/>
  <c r="P2007" i="32"/>
  <c r="V1979" i="32"/>
  <c r="O2007" i="32"/>
  <c r="C1995" i="32"/>
  <c r="R726" i="32"/>
  <c r="AA1146" i="32"/>
  <c r="Q26" i="32"/>
  <c r="Z1524" i="32"/>
  <c r="L1524" i="32"/>
  <c r="Q1524" i="32"/>
  <c r="L2023" i="32"/>
  <c r="R236" i="32"/>
  <c r="M1970" i="32"/>
  <c r="N1970" i="32"/>
  <c r="AA1804" i="32"/>
  <c r="O1804" i="32"/>
  <c r="L1969" i="32"/>
  <c r="I1975" i="32"/>
  <c r="L1975" i="32" s="1"/>
  <c r="N1998" i="32"/>
  <c r="R1998" i="32"/>
  <c r="M1998" i="32"/>
  <c r="V1991" i="32"/>
  <c r="N2006" i="32"/>
  <c r="L2006" i="32"/>
  <c r="Q2006" i="32"/>
  <c r="Z2006" i="32"/>
  <c r="V1996" i="32"/>
  <c r="L2011" i="32"/>
  <c r="Z2011" i="32"/>
  <c r="N2011" i="32"/>
  <c r="Q2011" i="32"/>
  <c r="M1969" i="32"/>
  <c r="N893" i="32"/>
  <c r="P1969" i="32"/>
  <c r="AA1969" i="32"/>
  <c r="E1975" i="32"/>
  <c r="AA1971" i="32"/>
  <c r="O866" i="32"/>
  <c r="Z446" i="32"/>
  <c r="R96" i="32"/>
  <c r="S96" i="32"/>
  <c r="O96" i="32"/>
  <c r="L1084" i="32"/>
  <c r="Q1084" i="32"/>
  <c r="B1103" i="32"/>
  <c r="AA2003" i="32"/>
  <c r="O2003" i="32"/>
  <c r="S2005" i="32"/>
  <c r="P2005" i="32"/>
  <c r="O2005" i="32"/>
  <c r="R2005" i="32"/>
  <c r="L96" i="35"/>
  <c r="K373" i="5" s="1"/>
  <c r="K374" i="5" s="1"/>
  <c r="AA893" i="32"/>
  <c r="O893" i="32"/>
  <c r="AA1454" i="32"/>
  <c r="O1454" i="32"/>
  <c r="S753" i="32"/>
  <c r="R753" i="32"/>
  <c r="O753" i="32"/>
  <c r="R2001" i="32"/>
  <c r="N2001" i="32"/>
  <c r="M2001" i="32"/>
  <c r="M1357" i="32"/>
  <c r="P586" i="32"/>
  <c r="S586" i="32"/>
  <c r="R586" i="32"/>
  <c r="AA1033" i="32"/>
  <c r="Q2009" i="32"/>
  <c r="N403" i="32"/>
  <c r="R403" i="32"/>
  <c r="M403" i="32"/>
  <c r="N446" i="32"/>
  <c r="R1357" i="32"/>
  <c r="N1804" i="32"/>
  <c r="M1804" i="32"/>
  <c r="R1804" i="32"/>
  <c r="M1984" i="32"/>
  <c r="N1984" i="32"/>
  <c r="R1984" i="32"/>
  <c r="C66" i="14" l="1"/>
  <c r="C30" i="14"/>
  <c r="C111" i="14"/>
  <c r="C78" i="14"/>
  <c r="V1056" i="32"/>
  <c r="G1103" i="32"/>
  <c r="R1084" i="32"/>
  <c r="S1084" i="32"/>
  <c r="O1998" i="32"/>
  <c r="F1995" i="32"/>
  <c r="AA1998" i="32"/>
  <c r="O92" i="44"/>
  <c r="P99" i="44" s="1"/>
  <c r="P87" i="35" s="1"/>
  <c r="O58" i="44"/>
  <c r="S1847" i="32"/>
  <c r="F1975" i="32"/>
  <c r="Q1975" i="32" s="1"/>
  <c r="C1076" i="32"/>
  <c r="Z1076" i="32" s="1"/>
  <c r="R1972" i="32"/>
  <c r="L1314" i="32"/>
  <c r="V1989" i="32"/>
  <c r="S1033" i="32"/>
  <c r="Z1314" i="32"/>
  <c r="N866" i="32"/>
  <c r="O1101" i="32"/>
  <c r="L1216" i="32"/>
  <c r="R1496" i="32"/>
  <c r="AG23" i="35"/>
  <c r="AG25" i="35" s="1"/>
  <c r="AF186" i="5"/>
  <c r="S1216" i="32"/>
  <c r="P1874" i="32"/>
  <c r="Q1075" i="32"/>
  <c r="S1969" i="32"/>
  <c r="N2007" i="32"/>
  <c r="Z2004" i="32"/>
  <c r="O1084" i="32"/>
  <c r="AA1075" i="32"/>
  <c r="Q1216" i="32"/>
  <c r="L1944" i="32"/>
  <c r="AC114" i="5"/>
  <c r="AA235" i="32"/>
  <c r="L1357" i="32"/>
  <c r="S1427" i="32"/>
  <c r="V1084" i="32"/>
  <c r="B2010" i="32"/>
  <c r="AO16" i="3"/>
  <c r="O1917" i="32"/>
  <c r="R1497" i="32"/>
  <c r="AC85" i="5"/>
  <c r="AB84" i="5"/>
  <c r="AB104" i="5" s="1"/>
  <c r="D963" i="32"/>
  <c r="P516" i="32"/>
  <c r="Q2003" i="32"/>
  <c r="D1103" i="32"/>
  <c r="L1804" i="32"/>
  <c r="Q2008" i="32"/>
  <c r="O1847" i="32"/>
  <c r="H1103" i="32"/>
  <c r="H2014" i="32" s="1"/>
  <c r="Q1944" i="32"/>
  <c r="C1103" i="32"/>
  <c r="Z1103" i="32" s="1"/>
  <c r="Z26" i="32"/>
  <c r="R1426" i="32"/>
  <c r="S1426" i="32"/>
  <c r="P1088" i="32"/>
  <c r="E1999" i="32"/>
  <c r="G1064" i="32"/>
  <c r="R1734" i="32"/>
  <c r="P656" i="32"/>
  <c r="L2003" i="32"/>
  <c r="N1075" i="32"/>
  <c r="O1972" i="32"/>
  <c r="O516" i="32"/>
  <c r="N2004" i="32"/>
  <c r="N1084" i="32"/>
  <c r="Q1804" i="32"/>
  <c r="L2008" i="32"/>
  <c r="M1496" i="32"/>
  <c r="S1734" i="32"/>
  <c r="B1986" i="32"/>
  <c r="P1084" i="32"/>
  <c r="O96" i="35"/>
  <c r="N373" i="5" s="1"/>
  <c r="N374" i="5" s="1"/>
  <c r="S306" i="32"/>
  <c r="T73" i="29"/>
  <c r="S1101" i="32"/>
  <c r="R1101" i="32"/>
  <c r="G2012" i="32"/>
  <c r="R796" i="32"/>
  <c r="S516" i="32"/>
  <c r="Q1969" i="32"/>
  <c r="Z2003" i="32"/>
  <c r="P1972" i="32"/>
  <c r="Q166" i="32"/>
  <c r="L2004" i="32"/>
  <c r="O1033" i="32"/>
  <c r="V1993" i="32"/>
  <c r="P1734" i="32"/>
  <c r="AA2010" i="32"/>
  <c r="M446" i="32"/>
  <c r="Z586" i="32"/>
  <c r="L1095" i="32"/>
  <c r="V1079" i="32"/>
  <c r="B2005" i="32"/>
  <c r="L1071" i="32"/>
  <c r="I1982" i="32"/>
  <c r="N1069" i="32"/>
  <c r="D1980" i="32"/>
  <c r="R516" i="32"/>
  <c r="V1988" i="32"/>
  <c r="S1972" i="32"/>
  <c r="Z1986" i="32"/>
  <c r="V1061" i="32"/>
  <c r="M516" i="32"/>
  <c r="O823" i="32"/>
  <c r="Y84" i="5"/>
  <c r="Y104" i="5" s="1"/>
  <c r="D1734" i="32"/>
  <c r="R1097" i="32"/>
  <c r="V1059" i="32"/>
  <c r="G2008" i="32"/>
  <c r="P1097" i="32"/>
  <c r="S2004" i="32"/>
  <c r="S1980" i="32"/>
  <c r="N1855" i="32"/>
  <c r="L1846" i="32"/>
  <c r="S1706" i="32"/>
  <c r="R1415" i="32"/>
  <c r="C1119" i="32"/>
  <c r="C2030" i="32" s="1"/>
  <c r="L1093" i="32"/>
  <c r="J36" i="4"/>
  <c r="J44" i="4"/>
  <c r="J38" i="4"/>
  <c r="J35" i="4"/>
  <c r="J42" i="4"/>
  <c r="J45" i="4"/>
  <c r="Z1993" i="32"/>
  <c r="E1847" i="32"/>
  <c r="Z1575" i="32"/>
  <c r="N1555" i="32"/>
  <c r="D1314" i="32"/>
  <c r="N1275" i="32"/>
  <c r="I1119" i="32"/>
  <c r="I2030" i="32" s="1"/>
  <c r="P1090" i="32"/>
  <c r="O1071" i="32"/>
  <c r="AO40" i="3"/>
  <c r="AO32" i="3"/>
  <c r="AG315" i="5"/>
  <c r="AH6" i="35"/>
  <c r="B1777" i="32"/>
  <c r="N1777" i="32" s="1"/>
  <c r="F1777" i="32"/>
  <c r="AA1777" i="32" s="1"/>
  <c r="N1435" i="32"/>
  <c r="N1426" i="32"/>
  <c r="M1356" i="32"/>
  <c r="B1357" i="32"/>
  <c r="Q1243" i="32"/>
  <c r="S1097" i="32"/>
  <c r="S1096" i="32"/>
  <c r="S1093" i="32"/>
  <c r="S1073" i="32"/>
  <c r="U284" i="5"/>
  <c r="F147" i="18" s="1"/>
  <c r="T83" i="14"/>
  <c r="M284" i="5"/>
  <c r="F139" i="18" s="1"/>
  <c r="L83" i="14"/>
  <c r="S2001" i="32"/>
  <c r="S1983" i="32"/>
  <c r="Z1974" i="32"/>
  <c r="R1916" i="32"/>
  <c r="E1917" i="32"/>
  <c r="L1835" i="32"/>
  <c r="R1776" i="32"/>
  <c r="F1637" i="32"/>
  <c r="O1637" i="32" s="1"/>
  <c r="F1497" i="32"/>
  <c r="Z1435" i="32"/>
  <c r="I1287" i="32"/>
  <c r="M1287" i="32" s="1"/>
  <c r="N1224" i="32"/>
  <c r="M1215" i="32"/>
  <c r="H1216" i="32"/>
  <c r="Z1101" i="32"/>
  <c r="P1100" i="32"/>
  <c r="G1075" i="32"/>
  <c r="D1983" i="32"/>
  <c r="N1072" i="32"/>
  <c r="L1005" i="32"/>
  <c r="R1695" i="32"/>
  <c r="R1069" i="32"/>
  <c r="C1064" i="32"/>
  <c r="T273" i="5"/>
  <c r="I68" i="18" s="1"/>
  <c r="S110" i="14"/>
  <c r="L273" i="5"/>
  <c r="I36" i="18" s="1"/>
  <c r="K110" i="14"/>
  <c r="S268" i="5"/>
  <c r="R109" i="14"/>
  <c r="K268" i="5"/>
  <c r="J109" i="14"/>
  <c r="L1981" i="32"/>
  <c r="M1734" i="32"/>
  <c r="N1636" i="32"/>
  <c r="D1497" i="32"/>
  <c r="M1497" i="32" s="1"/>
  <c r="N1173" i="32"/>
  <c r="R1088" i="32"/>
  <c r="S1062" i="32"/>
  <c r="S84" i="5"/>
  <c r="S104" i="5" s="1"/>
  <c r="D543" i="32"/>
  <c r="J40" i="4"/>
  <c r="K23" i="4"/>
  <c r="L23" i="4"/>
  <c r="J14" i="4"/>
  <c r="I14" i="4"/>
  <c r="K14" i="4"/>
  <c r="M2012" i="32"/>
  <c r="P1984" i="32"/>
  <c r="Z1846" i="32"/>
  <c r="E1497" i="32"/>
  <c r="Q1497" i="32" s="1"/>
  <c r="C1497" i="32"/>
  <c r="Z1497" i="32" s="1"/>
  <c r="D1454" i="32"/>
  <c r="H1357" i="32"/>
  <c r="P1357" i="32" s="1"/>
  <c r="S1100" i="32"/>
  <c r="S1098" i="32"/>
  <c r="L1082" i="32"/>
  <c r="Q1069" i="32"/>
  <c r="AA1063" i="32"/>
  <c r="O1061" i="32"/>
  <c r="P1060" i="32"/>
  <c r="G936" i="32"/>
  <c r="E866" i="32"/>
  <c r="AA795" i="32"/>
  <c r="E796" i="32"/>
  <c r="B726" i="32"/>
  <c r="Z726" i="32" s="1"/>
  <c r="S664" i="32"/>
  <c r="P594" i="32"/>
  <c r="R515" i="32"/>
  <c r="Q445" i="32"/>
  <c r="I446" i="32"/>
  <c r="L446" i="32" s="1"/>
  <c r="Q333" i="32"/>
  <c r="U266" i="5"/>
  <c r="C72" i="18" s="1"/>
  <c r="M266" i="5"/>
  <c r="C40" i="18" s="1"/>
  <c r="X274" i="5"/>
  <c r="I83" i="18" s="1"/>
  <c r="P274" i="5"/>
  <c r="I51" i="18" s="1"/>
  <c r="H274" i="5"/>
  <c r="H169" i="5" s="1"/>
  <c r="AF88" i="14"/>
  <c r="U84" i="14"/>
  <c r="Z86" i="14"/>
  <c r="Z276" i="5"/>
  <c r="E152" i="18" s="1"/>
  <c r="W80" i="14"/>
  <c r="O80" i="14"/>
  <c r="G80" i="14"/>
  <c r="S101" i="35"/>
  <c r="AF68" i="5"/>
  <c r="S944" i="32"/>
  <c r="Q935" i="32"/>
  <c r="M924" i="32"/>
  <c r="L734" i="32"/>
  <c r="F613" i="32"/>
  <c r="L594" i="32"/>
  <c r="L574" i="32"/>
  <c r="F543" i="32"/>
  <c r="P473" i="32"/>
  <c r="C376" i="32"/>
  <c r="Z376" i="32" s="1"/>
  <c r="S364" i="32"/>
  <c r="N123" i="32"/>
  <c r="M45" i="4"/>
  <c r="L42" i="4"/>
  <c r="L39" i="4"/>
  <c r="L36" i="4"/>
  <c r="K13" i="4"/>
  <c r="AA116" i="14"/>
  <c r="S116" i="14"/>
  <c r="K116" i="14"/>
  <c r="W265" i="5"/>
  <c r="AH273" i="5"/>
  <c r="I124" i="18" s="1"/>
  <c r="Z273" i="5"/>
  <c r="I92" i="18" s="1"/>
  <c r="R273" i="5"/>
  <c r="I60" i="18" s="1"/>
  <c r="J273" i="5"/>
  <c r="I28" i="18" s="1"/>
  <c r="R87" i="5"/>
  <c r="M101" i="35"/>
  <c r="Z1071" i="32"/>
  <c r="B1033" i="32"/>
  <c r="H1006" i="32"/>
  <c r="B963" i="32"/>
  <c r="N935" i="32"/>
  <c r="D613" i="32"/>
  <c r="S473" i="32"/>
  <c r="Z333" i="32"/>
  <c r="C236" i="32"/>
  <c r="H236" i="32"/>
  <c r="O236" i="32" s="1"/>
  <c r="Z123" i="32"/>
  <c r="S53" i="32"/>
  <c r="I22" i="4"/>
  <c r="AA266" i="5"/>
  <c r="C96" i="18" s="1"/>
  <c r="S266" i="5"/>
  <c r="C64" i="18" s="1"/>
  <c r="K266" i="5"/>
  <c r="C32" i="18" s="1"/>
  <c r="V274" i="5"/>
  <c r="I75" i="18" s="1"/>
  <c r="H276" i="5"/>
  <c r="E134" i="18" s="1"/>
  <c r="S85" i="44"/>
  <c r="K101" i="35"/>
  <c r="X273" i="5"/>
  <c r="I84" i="18" s="1"/>
  <c r="P273" i="5"/>
  <c r="I52" i="18" s="1"/>
  <c r="H273" i="5"/>
  <c r="I20" i="18" s="1"/>
  <c r="AD96" i="14"/>
  <c r="W263" i="5"/>
  <c r="C79" i="18" s="1"/>
  <c r="N96" i="14"/>
  <c r="I101" i="35"/>
  <c r="AE341" i="5"/>
  <c r="AC127" i="5"/>
  <c r="BE13" i="7" s="1"/>
  <c r="E127" i="5"/>
  <c r="AG13" i="7" s="1"/>
  <c r="H516" i="32"/>
  <c r="M14" i="32"/>
  <c r="V276" i="5"/>
  <c r="E148" i="18" s="1"/>
  <c r="C796" i="32"/>
  <c r="Z796" i="32" s="1"/>
  <c r="N263" i="32"/>
  <c r="S165" i="32"/>
  <c r="N53" i="32"/>
  <c r="M46" i="4"/>
  <c r="H114" i="14"/>
  <c r="AC96" i="14"/>
  <c r="U96" i="14"/>
  <c r="AD101" i="35"/>
  <c r="AA347" i="5"/>
  <c r="AA365" i="5" s="1"/>
  <c r="AA371" i="5" s="1"/>
  <c r="N994" i="32"/>
  <c r="O935" i="32"/>
  <c r="I726" i="32"/>
  <c r="M726" i="32" s="1"/>
  <c r="L40" i="4"/>
  <c r="L37" i="4"/>
  <c r="I23" i="4"/>
  <c r="AD11" i="3"/>
  <c r="AF118" i="14"/>
  <c r="W266" i="5"/>
  <c r="C80" i="18" s="1"/>
  <c r="G266" i="5"/>
  <c r="C16" i="18" s="1"/>
  <c r="AB100" i="14"/>
  <c r="T100" i="14"/>
  <c r="L100" i="14"/>
  <c r="D100" i="14"/>
  <c r="AH274" i="5"/>
  <c r="I123" i="18" s="1"/>
  <c r="Z274" i="5"/>
  <c r="I91" i="18" s="1"/>
  <c r="R274" i="5"/>
  <c r="I59" i="18" s="1"/>
  <c r="J274" i="5"/>
  <c r="I27" i="18" s="1"/>
  <c r="AE94" i="14"/>
  <c r="AB86" i="14"/>
  <c r="T86" i="14"/>
  <c r="L86" i="14"/>
  <c r="T82" i="14"/>
  <c r="L276" i="5"/>
  <c r="E138" i="18" s="1"/>
  <c r="N101" i="35"/>
  <c r="T74" i="29"/>
  <c r="T75" i="29" s="1"/>
  <c r="R75" i="29"/>
  <c r="I2014" i="32"/>
  <c r="L1103" i="32"/>
  <c r="L166" i="32"/>
  <c r="R823" i="32"/>
  <c r="L86" i="5"/>
  <c r="P306" i="32"/>
  <c r="Q683" i="32"/>
  <c r="D1975" i="32"/>
  <c r="E1637" i="32"/>
  <c r="N1497" i="32"/>
  <c r="AA1243" i="32"/>
  <c r="I1995" i="32"/>
  <c r="S1982" i="32"/>
  <c r="P1981" i="32"/>
  <c r="F1986" i="32"/>
  <c r="AA1986" i="32" s="1"/>
  <c r="F1944" i="32"/>
  <c r="Q1925" i="32"/>
  <c r="AA1925" i="32"/>
  <c r="Z1925" i="32"/>
  <c r="B1874" i="32"/>
  <c r="N1835" i="32"/>
  <c r="L1776" i="32"/>
  <c r="N1695" i="32"/>
  <c r="F1567" i="32"/>
  <c r="L1173" i="32"/>
  <c r="N1154" i="32"/>
  <c r="M2009" i="32"/>
  <c r="R1997" i="32"/>
  <c r="S1984" i="32"/>
  <c r="Q1981" i="32"/>
  <c r="E1986" i="32"/>
  <c r="L1973" i="32"/>
  <c r="N1925" i="32"/>
  <c r="C1917" i="32"/>
  <c r="Z1917" i="32" s="1"/>
  <c r="L1855" i="32"/>
  <c r="Z1776" i="32"/>
  <c r="C1637" i="32"/>
  <c r="Z1637" i="32" s="1"/>
  <c r="N1566" i="32"/>
  <c r="D1524" i="32"/>
  <c r="H1497" i="32"/>
  <c r="F1427" i="32"/>
  <c r="C1427" i="32"/>
  <c r="Z1427" i="32" s="1"/>
  <c r="S1384" i="32"/>
  <c r="O1356" i="32"/>
  <c r="I1243" i="32"/>
  <c r="L1243" i="32" s="1"/>
  <c r="N1243" i="32"/>
  <c r="C1216" i="32"/>
  <c r="Z1216" i="32" s="1"/>
  <c r="H1173" i="32"/>
  <c r="N1145" i="32"/>
  <c r="H1146" i="32"/>
  <c r="M1134" i="32"/>
  <c r="B1119" i="32"/>
  <c r="B2030" i="32" s="1"/>
  <c r="S1998" i="32"/>
  <c r="S1993" i="32"/>
  <c r="AA1985" i="32"/>
  <c r="L1983" i="32"/>
  <c r="Q1983" i="32"/>
  <c r="D1944" i="32"/>
  <c r="L1925" i="32"/>
  <c r="Z1855" i="32"/>
  <c r="Q1785" i="32"/>
  <c r="H1777" i="32"/>
  <c r="P1777" i="32" s="1"/>
  <c r="S1765" i="32"/>
  <c r="H1707" i="32"/>
  <c r="P1707" i="32" s="1"/>
  <c r="D1707" i="32"/>
  <c r="F1707" i="32"/>
  <c r="B1707" i="32"/>
  <c r="M1645" i="32"/>
  <c r="H1567" i="32"/>
  <c r="P1567" i="32" s="1"/>
  <c r="B1567" i="32"/>
  <c r="S1496" i="32"/>
  <c r="C1357" i="32"/>
  <c r="L1286" i="32"/>
  <c r="F1287" i="32"/>
  <c r="AA1287" i="32" s="1"/>
  <c r="B1287" i="32"/>
  <c r="G1243" i="32"/>
  <c r="O1224" i="32"/>
  <c r="D1146" i="32"/>
  <c r="R1146" i="32" s="1"/>
  <c r="L1100" i="32"/>
  <c r="L1096" i="32"/>
  <c r="AA1094" i="32"/>
  <c r="P1092" i="32"/>
  <c r="P1087" i="32"/>
  <c r="R1071" i="32"/>
  <c r="S1071" i="32"/>
  <c r="M1973" i="32"/>
  <c r="G1006" i="32"/>
  <c r="Q1005" i="32"/>
  <c r="H936" i="32"/>
  <c r="P936" i="32" s="1"/>
  <c r="N84" i="5"/>
  <c r="N104" i="5" s="1"/>
  <c r="L854" i="32"/>
  <c r="R714" i="32"/>
  <c r="P574" i="32"/>
  <c r="M574" i="32"/>
  <c r="N515" i="32"/>
  <c r="N375" i="32"/>
  <c r="S333" i="32"/>
  <c r="B236" i="32"/>
  <c r="AA53" i="32"/>
  <c r="M25" i="32"/>
  <c r="F26" i="32"/>
  <c r="J46" i="4"/>
  <c r="L45" i="4"/>
  <c r="M44" i="4"/>
  <c r="I44" i="4"/>
  <c r="I43" i="4"/>
  <c r="K42" i="4"/>
  <c r="M41" i="4"/>
  <c r="M40" i="4"/>
  <c r="I40" i="4"/>
  <c r="I39" i="4"/>
  <c r="K38" i="4"/>
  <c r="M37" i="4"/>
  <c r="L35" i="4"/>
  <c r="J23" i="4"/>
  <c r="J19" i="4"/>
  <c r="J15" i="4"/>
  <c r="AO28" i="3"/>
  <c r="AN11" i="3"/>
  <c r="AF11" i="3"/>
  <c r="J9" i="5"/>
  <c r="J11" i="5" s="1"/>
  <c r="AO10" i="3"/>
  <c r="C109" i="14"/>
  <c r="AH272" i="5"/>
  <c r="I125" i="18" s="1"/>
  <c r="Z272" i="5"/>
  <c r="I93" i="18" s="1"/>
  <c r="V272" i="5"/>
  <c r="I77" i="18" s="1"/>
  <c r="R272" i="5"/>
  <c r="I61" i="18" s="1"/>
  <c r="AH265" i="5"/>
  <c r="C125" i="18" s="1"/>
  <c r="Z265" i="5"/>
  <c r="E265" i="5"/>
  <c r="C9" i="18" s="1"/>
  <c r="AG273" i="5"/>
  <c r="I120" i="18" s="1"/>
  <c r="AC273" i="5"/>
  <c r="U273" i="5"/>
  <c r="Q273" i="5"/>
  <c r="I56" i="18" s="1"/>
  <c r="M273" i="5"/>
  <c r="I40" i="18" s="1"/>
  <c r="I273" i="5"/>
  <c r="I24" i="18" s="1"/>
  <c r="X268" i="5"/>
  <c r="H84" i="18" s="1"/>
  <c r="P268" i="5"/>
  <c r="H52" i="18" s="1"/>
  <c r="AF266" i="5"/>
  <c r="C116" i="18" s="1"/>
  <c r="X266" i="5"/>
  <c r="C84" i="18" s="1"/>
  <c r="T266" i="5"/>
  <c r="C68" i="18" s="1"/>
  <c r="P266" i="5"/>
  <c r="C52" i="18" s="1"/>
  <c r="L266" i="5"/>
  <c r="C36" i="18" s="1"/>
  <c r="H266" i="5"/>
  <c r="C20" i="18" s="1"/>
  <c r="AE70" i="5"/>
  <c r="AE274" i="5"/>
  <c r="I111" i="18" s="1"/>
  <c r="W274" i="5"/>
  <c r="S274" i="5"/>
  <c r="I63" i="18" s="1"/>
  <c r="O274" i="5"/>
  <c r="I47" i="18" s="1"/>
  <c r="G274" i="5"/>
  <c r="I15" i="18" s="1"/>
  <c r="AD270" i="5"/>
  <c r="H107" i="18" s="1"/>
  <c r="R270" i="5"/>
  <c r="H59" i="18" s="1"/>
  <c r="J270" i="5"/>
  <c r="H27" i="18" s="1"/>
  <c r="F270" i="5"/>
  <c r="H11" i="18" s="1"/>
  <c r="AF98" i="14"/>
  <c r="AB98" i="14"/>
  <c r="X98" i="14"/>
  <c r="T98" i="14"/>
  <c r="P98" i="14"/>
  <c r="L98" i="14"/>
  <c r="H98" i="14"/>
  <c r="D98" i="14"/>
  <c r="T278" i="5"/>
  <c r="E67" i="18" s="1"/>
  <c r="L278" i="5"/>
  <c r="E35" i="18" s="1"/>
  <c r="H278" i="5"/>
  <c r="E19" i="18" s="1"/>
  <c r="V263" i="5"/>
  <c r="C75" i="18" s="1"/>
  <c r="R263" i="5"/>
  <c r="C59" i="18" s="1"/>
  <c r="Z94" i="14"/>
  <c r="AC264" i="5"/>
  <c r="AC168" i="5" s="1"/>
  <c r="Q264" i="5"/>
  <c r="Q168" i="5" s="1"/>
  <c r="E264" i="5"/>
  <c r="E168" i="5" s="1"/>
  <c r="V84" i="14"/>
  <c r="R84" i="14"/>
  <c r="N84" i="14"/>
  <c r="J84" i="14"/>
  <c r="AA86" i="14"/>
  <c r="K86" i="14"/>
  <c r="AA82" i="14"/>
  <c r="W276" i="5"/>
  <c r="E149" i="18" s="1"/>
  <c r="G276" i="5"/>
  <c r="E133" i="18" s="1"/>
  <c r="AF80" i="14"/>
  <c r="X80" i="14"/>
  <c r="T80" i="14"/>
  <c r="H80" i="14"/>
  <c r="D80" i="14"/>
  <c r="Y84" i="7"/>
  <c r="AG6" i="5"/>
  <c r="AH95" i="35"/>
  <c r="AG121" i="5" s="1"/>
  <c r="AG122" i="5" s="1"/>
  <c r="AG125" i="5" s="1"/>
  <c r="P1095" i="32"/>
  <c r="M1982" i="32"/>
  <c r="D656" i="32"/>
  <c r="Z613" i="32"/>
  <c r="G26" i="32"/>
  <c r="S26" i="32" s="1"/>
  <c r="K27" i="4"/>
  <c r="AO41" i="3"/>
  <c r="AO20" i="3"/>
  <c r="F21" i="18"/>
  <c r="H287" i="5"/>
  <c r="AG272" i="5"/>
  <c r="I121" i="18" s="1"/>
  <c r="AC272" i="5"/>
  <c r="I105" i="18" s="1"/>
  <c r="U272" i="5"/>
  <c r="I73" i="18" s="1"/>
  <c r="M272" i="5"/>
  <c r="H272" i="5"/>
  <c r="H65" i="18"/>
  <c r="S269" i="5"/>
  <c r="H265" i="5"/>
  <c r="AE268" i="5"/>
  <c r="H112" i="18" s="1"/>
  <c r="W268" i="5"/>
  <c r="H80" i="18" s="1"/>
  <c r="W283" i="5"/>
  <c r="F79" i="18" s="1"/>
  <c r="H119" i="18"/>
  <c r="AG270" i="5"/>
  <c r="U270" i="5"/>
  <c r="H71" i="18" s="1"/>
  <c r="I270" i="5"/>
  <c r="H23" i="18" s="1"/>
  <c r="W278" i="5"/>
  <c r="E79" i="18" s="1"/>
  <c r="AG263" i="5"/>
  <c r="C119" i="18" s="1"/>
  <c r="AC263" i="5"/>
  <c r="C103" i="18" s="1"/>
  <c r="U263" i="5"/>
  <c r="C71" i="18" s="1"/>
  <c r="Q263" i="5"/>
  <c r="C55" i="18" s="1"/>
  <c r="C11" i="14"/>
  <c r="Y238" i="7"/>
  <c r="AI95" i="35"/>
  <c r="AH6" i="5"/>
  <c r="L1099" i="32"/>
  <c r="S1095" i="32"/>
  <c r="R1092" i="32"/>
  <c r="L1090" i="32"/>
  <c r="V1060" i="32"/>
  <c r="S1087" i="32"/>
  <c r="R1087" i="32"/>
  <c r="P1082" i="32"/>
  <c r="R1073" i="32"/>
  <c r="I1075" i="32"/>
  <c r="AA1061" i="32"/>
  <c r="Q1060" i="32"/>
  <c r="H1064" i="32"/>
  <c r="S1005" i="32"/>
  <c r="F1006" i="32"/>
  <c r="Z1005" i="32"/>
  <c r="P994" i="32"/>
  <c r="M944" i="32"/>
  <c r="N874" i="32"/>
  <c r="I866" i="32"/>
  <c r="E726" i="32"/>
  <c r="H726" i="32"/>
  <c r="O726" i="32" s="1"/>
  <c r="N714" i="32"/>
  <c r="C656" i="32"/>
  <c r="Z656" i="32" s="1"/>
  <c r="S644" i="32"/>
  <c r="Q585" i="32"/>
  <c r="N524" i="32"/>
  <c r="Z524" i="32"/>
  <c r="M445" i="32"/>
  <c r="AA375" i="32"/>
  <c r="P333" i="32"/>
  <c r="P305" i="32"/>
  <c r="R263" i="32"/>
  <c r="H166" i="32"/>
  <c r="L123" i="32"/>
  <c r="R95" i="32"/>
  <c r="I45" i="4"/>
  <c r="K44" i="4"/>
  <c r="M43" i="4"/>
  <c r="M42" i="4"/>
  <c r="I42" i="4"/>
  <c r="I41" i="4"/>
  <c r="K40" i="4"/>
  <c r="M39" i="4"/>
  <c r="M38" i="4"/>
  <c r="I38" i="4"/>
  <c r="I37" i="4"/>
  <c r="K25" i="4"/>
  <c r="K21" i="4"/>
  <c r="K17" i="4"/>
  <c r="AO25" i="3"/>
  <c r="AO12" i="3"/>
  <c r="AJ11" i="3"/>
  <c r="AB272" i="5"/>
  <c r="I101" i="18" s="1"/>
  <c r="X272" i="5"/>
  <c r="I85" i="18" s="1"/>
  <c r="T272" i="5"/>
  <c r="P272" i="5"/>
  <c r="I53" i="18" s="1"/>
  <c r="L272" i="5"/>
  <c r="I37" i="18" s="1"/>
  <c r="R269" i="5"/>
  <c r="H61" i="18" s="1"/>
  <c r="W277" i="5"/>
  <c r="AB265" i="5"/>
  <c r="P265" i="5"/>
  <c r="AG285" i="5"/>
  <c r="F120" i="18" s="1"/>
  <c r="U285" i="5"/>
  <c r="F72" i="18" s="1"/>
  <c r="AE110" i="14"/>
  <c r="AE273" i="5"/>
  <c r="AA273" i="5"/>
  <c r="W273" i="5"/>
  <c r="S273" i="5"/>
  <c r="O273" i="5"/>
  <c r="I48" i="18" s="1"/>
  <c r="J110" i="14"/>
  <c r="AC106" i="14"/>
  <c r="U106" i="14"/>
  <c r="M106" i="14"/>
  <c r="E106" i="14"/>
  <c r="AH266" i="5"/>
  <c r="C124" i="18" s="1"/>
  <c r="Z266" i="5"/>
  <c r="C92" i="18" s="1"/>
  <c r="R266" i="5"/>
  <c r="C60" i="18" s="1"/>
  <c r="AG274" i="5"/>
  <c r="U274" i="5"/>
  <c r="I71" i="18" s="1"/>
  <c r="Q274" i="5"/>
  <c r="I55" i="18" s="1"/>
  <c r="M274" i="5"/>
  <c r="I39" i="18" s="1"/>
  <c r="H115" i="18"/>
  <c r="AF270" i="5"/>
  <c r="X270" i="5"/>
  <c r="H83" i="18" s="1"/>
  <c r="H67" i="18"/>
  <c r="T270" i="5"/>
  <c r="P270" i="5"/>
  <c r="H51" i="18" s="1"/>
  <c r="H270" i="5"/>
  <c r="H19" i="18" s="1"/>
  <c r="C47" i="14"/>
  <c r="V278" i="5"/>
  <c r="E75" i="18" s="1"/>
  <c r="AF263" i="5"/>
  <c r="C115" i="18" s="1"/>
  <c r="X263" i="5"/>
  <c r="C83" i="18" s="1"/>
  <c r="T263" i="5"/>
  <c r="C67" i="18" s="1"/>
  <c r="P263" i="5"/>
  <c r="C51" i="18" s="1"/>
  <c r="L263" i="5"/>
  <c r="C35" i="18" s="1"/>
  <c r="H263" i="5"/>
  <c r="C19" i="18" s="1"/>
  <c r="X94" i="14"/>
  <c r="W264" i="5"/>
  <c r="K264" i="5"/>
  <c r="D84" i="14"/>
  <c r="AG276" i="5"/>
  <c r="E159" i="18" s="1"/>
  <c r="AC276" i="5"/>
  <c r="E155" i="18" s="1"/>
  <c r="U276" i="5"/>
  <c r="E147" i="18" s="1"/>
  <c r="R80" i="14"/>
  <c r="N80" i="14"/>
  <c r="C14" i="14"/>
  <c r="Y106" i="7"/>
  <c r="AF6" i="5"/>
  <c r="AG95" i="35"/>
  <c r="AF121" i="5" s="1"/>
  <c r="AF122" i="5" s="1"/>
  <c r="AF125" i="5" s="1"/>
  <c r="P1098" i="32"/>
  <c r="S1086" i="32"/>
  <c r="O1073" i="32"/>
  <c r="O1072" i="32"/>
  <c r="Z1069" i="32"/>
  <c r="P294" i="32"/>
  <c r="Z236" i="32"/>
  <c r="H1119" i="32"/>
  <c r="H2030" i="32" s="1"/>
  <c r="L96" i="32"/>
  <c r="AO21" i="3"/>
  <c r="W287" i="5"/>
  <c r="F81" i="18" s="1"/>
  <c r="C73" i="14"/>
  <c r="W272" i="5"/>
  <c r="I81" i="18" s="1"/>
  <c r="O272" i="5"/>
  <c r="I49" i="18" s="1"/>
  <c r="J272" i="5"/>
  <c r="I29" i="18" s="1"/>
  <c r="F272" i="5"/>
  <c r="I13" i="18" s="1"/>
  <c r="H269" i="5"/>
  <c r="H21" i="18" s="1"/>
  <c r="S265" i="5"/>
  <c r="F20" i="18"/>
  <c r="H285" i="5"/>
  <c r="AG268" i="5"/>
  <c r="H120" i="18" s="1"/>
  <c r="U268" i="5"/>
  <c r="U170" i="5" s="1"/>
  <c r="I119" i="18"/>
  <c r="H111" i="18"/>
  <c r="AE270" i="5"/>
  <c r="W270" i="5"/>
  <c r="W169" i="5" s="1"/>
  <c r="H63" i="18"/>
  <c r="S270" i="5"/>
  <c r="O270" i="5"/>
  <c r="H47" i="18" s="1"/>
  <c r="H31" i="18"/>
  <c r="K270" i="5"/>
  <c r="Z264" i="5"/>
  <c r="Z168" i="5" s="1"/>
  <c r="V264" i="5"/>
  <c r="V168" i="5" s="1"/>
  <c r="R264" i="5"/>
  <c r="C58" i="18" s="1"/>
  <c r="N264" i="5"/>
  <c r="AG83" i="14"/>
  <c r="AH284" i="5"/>
  <c r="F160" i="18" s="1"/>
  <c r="U83" i="14"/>
  <c r="V284" i="5"/>
  <c r="F148" i="18" s="1"/>
  <c r="Q83" i="14"/>
  <c r="C83" i="14" s="1"/>
  <c r="R284" i="5"/>
  <c r="F144" i="18" s="1"/>
  <c r="C8" i="14"/>
  <c r="H25" i="35"/>
  <c r="H24" i="35"/>
  <c r="M25" i="35"/>
  <c r="M24" i="35"/>
  <c r="Q25" i="35"/>
  <c r="Q24" i="35"/>
  <c r="U25" i="35"/>
  <c r="U24" i="35"/>
  <c r="Z55" i="35"/>
  <c r="Z25" i="35"/>
  <c r="Z24" i="35"/>
  <c r="AD25" i="35"/>
  <c r="AD24" i="35"/>
  <c r="E53" i="17"/>
  <c r="E283" i="17"/>
  <c r="E467" i="17"/>
  <c r="E651" i="17"/>
  <c r="E11" i="35"/>
  <c r="D11" i="35" s="1"/>
  <c r="E251" i="17"/>
  <c r="J181" i="5"/>
  <c r="AB184" i="5"/>
  <c r="AB68" i="5"/>
  <c r="E78" i="35"/>
  <c r="E95" i="5"/>
  <c r="AG69" i="5"/>
  <c r="AH23" i="35"/>
  <c r="F45" i="35"/>
  <c r="E29" i="35"/>
  <c r="E385" i="5"/>
  <c r="E421" i="5" s="1"/>
  <c r="E42" i="35"/>
  <c r="E65" i="35"/>
  <c r="J55" i="35"/>
  <c r="J25" i="35"/>
  <c r="J24" i="35"/>
  <c r="N6" i="35"/>
  <c r="M10" i="5" s="1"/>
  <c r="N25" i="35"/>
  <c r="N24" i="35"/>
  <c r="R55" i="35"/>
  <c r="R25" i="35"/>
  <c r="V25" i="35"/>
  <c r="V24" i="35"/>
  <c r="AA25" i="35"/>
  <c r="AA24" i="35"/>
  <c r="AE25" i="35"/>
  <c r="AE24" i="35"/>
  <c r="E99" i="17"/>
  <c r="E329" i="17"/>
  <c r="T64" i="5"/>
  <c r="E927" i="17"/>
  <c r="E1111" i="17"/>
  <c r="E16" i="35"/>
  <c r="F184" i="5"/>
  <c r="E20" i="35"/>
  <c r="AH69" i="5"/>
  <c r="AI23" i="35"/>
  <c r="E319" i="5"/>
  <c r="E40" i="35"/>
  <c r="E75" i="5"/>
  <c r="E93" i="5" s="1"/>
  <c r="D93" i="5" s="1"/>
  <c r="E61" i="35"/>
  <c r="E8" i="35"/>
  <c r="D9" i="35" s="1"/>
  <c r="F6" i="35"/>
  <c r="K25" i="35"/>
  <c r="K24" i="35"/>
  <c r="O25" i="35"/>
  <c r="O24" i="35"/>
  <c r="S25" i="35"/>
  <c r="S24" i="35"/>
  <c r="W6" i="35"/>
  <c r="V10" i="5" s="1"/>
  <c r="W25" i="35"/>
  <c r="W24" i="35"/>
  <c r="AB25" i="35"/>
  <c r="AB24" i="35"/>
  <c r="AF25" i="35"/>
  <c r="AF24" i="35"/>
  <c r="Q64" i="5"/>
  <c r="R23" i="35"/>
  <c r="R24" i="35" s="1"/>
  <c r="U64" i="5"/>
  <c r="Z64" i="5"/>
  <c r="AD64" i="5"/>
  <c r="F186" i="5"/>
  <c r="E22" i="35"/>
  <c r="E51" i="35"/>
  <c r="F31" i="35"/>
  <c r="H14" i="38"/>
  <c r="G25" i="35"/>
  <c r="G24" i="35"/>
  <c r="L25" i="35"/>
  <c r="L24" i="35"/>
  <c r="P25" i="35"/>
  <c r="P24" i="35"/>
  <c r="T25" i="35"/>
  <c r="T24" i="35"/>
  <c r="Y25" i="35"/>
  <c r="Y24" i="35"/>
  <c r="AC25" i="35"/>
  <c r="AC24" i="35"/>
  <c r="E9" i="35"/>
  <c r="E237" i="17"/>
  <c r="E421" i="17"/>
  <c r="E605" i="17"/>
  <c r="V64" i="5"/>
  <c r="AA64" i="5"/>
  <c r="E1203" i="17"/>
  <c r="E86" i="35"/>
  <c r="E36" i="35"/>
  <c r="AG386" i="5"/>
  <c r="AG428" i="5" s="1"/>
  <c r="AC385" i="5"/>
  <c r="AC421" i="5" s="1"/>
  <c r="AA101" i="35"/>
  <c r="V101" i="35"/>
  <c r="AE340" i="5"/>
  <c r="E64" i="35"/>
  <c r="X347" i="5"/>
  <c r="X365" i="5" s="1"/>
  <c r="Z382" i="5"/>
  <c r="Z407" i="5" s="1"/>
  <c r="AH66" i="35"/>
  <c r="AG329" i="5" s="1"/>
  <c r="AG19" i="35"/>
  <c r="E19" i="35" s="1"/>
  <c r="AG18" i="35"/>
  <c r="E18" i="35" s="1"/>
  <c r="AG17" i="35"/>
  <c r="AF66" i="5"/>
  <c r="E320" i="5"/>
  <c r="E41" i="35"/>
  <c r="AF60" i="35"/>
  <c r="AE8" i="5" s="1"/>
  <c r="AE221" i="42"/>
  <c r="AH330" i="5"/>
  <c r="F12" i="35"/>
  <c r="F15" i="35" s="1"/>
  <c r="H16" i="38"/>
  <c r="X25" i="35"/>
  <c r="X24" i="35"/>
  <c r="AG24" i="35"/>
  <c r="E21" i="35"/>
  <c r="L101" i="35"/>
  <c r="F383" i="5"/>
  <c r="F414" i="5" s="1"/>
  <c r="I25" i="35"/>
  <c r="I24" i="35"/>
  <c r="AG66" i="35"/>
  <c r="AF329" i="5" s="1"/>
  <c r="AF64" i="5"/>
  <c r="E315" i="5"/>
  <c r="E28" i="35"/>
  <c r="E8" i="5"/>
  <c r="E330" i="5"/>
  <c r="E62" i="35"/>
  <c r="E63" i="35"/>
  <c r="AB347" i="5"/>
  <c r="AB365" i="5" s="1"/>
  <c r="AB371" i="5" s="1"/>
  <c r="F32" i="35"/>
  <c r="E381" i="5" s="1"/>
  <c r="E400" i="5" s="1"/>
  <c r="H15" i="38"/>
  <c r="G331" i="16"/>
  <c r="G330" i="16"/>
  <c r="G297" i="16"/>
  <c r="AG12" i="35"/>
  <c r="AG13" i="35"/>
  <c r="W224" i="5"/>
  <c r="AH215" i="5"/>
  <c r="AF215" i="5"/>
  <c r="H215" i="5"/>
  <c r="Y51" i="7"/>
  <c r="C27" i="14"/>
  <c r="U96" i="5"/>
  <c r="H110" i="5"/>
  <c r="P96" i="5"/>
  <c r="AA148" i="5"/>
  <c r="T115" i="5"/>
  <c r="P85" i="5"/>
  <c r="K86" i="5"/>
  <c r="T339" i="5"/>
  <c r="X115" i="5"/>
  <c r="X86" i="5"/>
  <c r="X74" i="5"/>
  <c r="X147" i="5" s="1"/>
  <c r="W91" i="5"/>
  <c r="AB117" i="5"/>
  <c r="G70" i="3" s="1"/>
  <c r="I70" i="3" s="1"/>
  <c r="T117" i="5"/>
  <c r="G62" i="3" s="1"/>
  <c r="I62" i="3" s="1"/>
  <c r="F117" i="5"/>
  <c r="AD87" i="5"/>
  <c r="G89" i="5"/>
  <c r="H71" i="5"/>
  <c r="H67" i="5" s="1"/>
  <c r="H185" i="5" s="1"/>
  <c r="W71" i="5"/>
  <c r="W67" i="5" s="1"/>
  <c r="W185" i="5" s="1"/>
  <c r="H91" i="5"/>
  <c r="C65" i="18"/>
  <c r="C81" i="18"/>
  <c r="C53" i="18"/>
  <c r="C101" i="18"/>
  <c r="C21" i="18"/>
  <c r="D80" i="5"/>
  <c r="C73" i="18"/>
  <c r="C121" i="18"/>
  <c r="C93" i="18"/>
  <c r="E116" i="5"/>
  <c r="D82" i="5"/>
  <c r="D116" i="5" s="1"/>
  <c r="E17" i="5"/>
  <c r="D319" i="5"/>
  <c r="AF120" i="5"/>
  <c r="K117" i="5"/>
  <c r="S117" i="5"/>
  <c r="K74" i="5"/>
  <c r="K108" i="5" s="1"/>
  <c r="D143" i="5"/>
  <c r="D134" i="5"/>
  <c r="U346" i="5"/>
  <c r="U364" i="5" s="1"/>
  <c r="F347" i="5"/>
  <c r="F353" i="5" s="1"/>
  <c r="Z347" i="5"/>
  <c r="Z365" i="5" s="1"/>
  <c r="Z371" i="5" s="1"/>
  <c r="AG347" i="5"/>
  <c r="AG353" i="5" s="1"/>
  <c r="AG359" i="5" s="1"/>
  <c r="AH347" i="5"/>
  <c r="AH353" i="5" s="1"/>
  <c r="AH359" i="5" s="1"/>
  <c r="AF341" i="5"/>
  <c r="F74" i="5"/>
  <c r="F147" i="5" s="1"/>
  <c r="P87" i="5"/>
  <c r="D137" i="5"/>
  <c r="D141" i="5"/>
  <c r="D135" i="5"/>
  <c r="M347" i="5"/>
  <c r="M353" i="5" s="1"/>
  <c r="M359" i="5" s="1"/>
  <c r="U341" i="5"/>
  <c r="T85" i="5"/>
  <c r="P339" i="5"/>
  <c r="V85" i="5"/>
  <c r="K85" i="5"/>
  <c r="R88" i="5"/>
  <c r="R89" i="5" s="1"/>
  <c r="J86" i="5"/>
  <c r="Z122" i="5"/>
  <c r="X87" i="5"/>
  <c r="D140" i="5"/>
  <c r="D144" i="5"/>
  <c r="K335" i="5"/>
  <c r="K391" i="5" s="1"/>
  <c r="S335" i="5"/>
  <c r="S391" i="5" s="1"/>
  <c r="F340" i="5"/>
  <c r="AC341" i="5"/>
  <c r="P335" i="5"/>
  <c r="P391" i="5" s="1"/>
  <c r="AE117" i="5"/>
  <c r="Y127" i="5"/>
  <c r="BA13" i="7" s="1"/>
  <c r="Q127" i="5"/>
  <c r="AS13" i="7" s="1"/>
  <c r="AC17" i="7"/>
  <c r="AF11" i="7" s="1"/>
  <c r="AA316" i="7"/>
  <c r="AA228" i="7"/>
  <c r="AA41" i="7"/>
  <c r="AA118" i="7"/>
  <c r="AA184" i="7"/>
  <c r="AA129" i="7"/>
  <c r="AA19" i="7"/>
  <c r="AG8" i="7"/>
  <c r="AA294" i="7"/>
  <c r="AA283" i="7"/>
  <c r="AA85" i="7"/>
  <c r="AA272" i="7"/>
  <c r="AA8" i="7"/>
  <c r="AA206" i="7"/>
  <c r="AA261" i="7"/>
  <c r="AA305" i="7"/>
  <c r="AA250" i="7"/>
  <c r="AA217" i="7"/>
  <c r="C38" i="14"/>
  <c r="AA195" i="7"/>
  <c r="AA151" i="7"/>
  <c r="AA140" i="7"/>
  <c r="AA107" i="7"/>
  <c r="AA74" i="7"/>
  <c r="AA52" i="7"/>
  <c r="AA63" i="7"/>
  <c r="AA96" i="7"/>
  <c r="AA239" i="7"/>
  <c r="AA327" i="7"/>
  <c r="C7" i="14"/>
  <c r="AA30" i="7"/>
  <c r="AA173" i="7"/>
  <c r="AA162" i="7"/>
  <c r="AA18" i="7"/>
  <c r="AA172" i="7"/>
  <c r="AA194" i="7"/>
  <c r="AA29" i="7"/>
  <c r="AA304" i="7"/>
  <c r="AA205" i="7"/>
  <c r="AA183" i="7"/>
  <c r="AA95" i="7"/>
  <c r="AA238" i="7"/>
  <c r="AA40" i="7"/>
  <c r="AA271" i="7"/>
  <c r="AA7" i="7"/>
  <c r="AA282" i="7"/>
  <c r="AA216" i="7"/>
  <c r="AA227" i="7"/>
  <c r="AA117" i="7"/>
  <c r="AA51" i="7"/>
  <c r="AA260" i="7"/>
  <c r="AA128" i="7"/>
  <c r="AA62" i="7"/>
  <c r="AA315" i="7"/>
  <c r="AA139" i="7"/>
  <c r="C81" i="14"/>
  <c r="AA249" i="7"/>
  <c r="AA106" i="7"/>
  <c r="AA161" i="7"/>
  <c r="AG7" i="7"/>
  <c r="C21" i="14"/>
  <c r="AA84" i="7"/>
  <c r="AA293" i="7"/>
  <c r="AA150" i="7"/>
  <c r="AA326" i="7"/>
  <c r="AA73" i="7"/>
  <c r="Q107" i="14"/>
  <c r="C51" i="14"/>
  <c r="AC10" i="7"/>
  <c r="AF9" i="7" s="1"/>
  <c r="AA9" i="7" s="1"/>
  <c r="AC15" i="7"/>
  <c r="AF10" i="7" s="1"/>
  <c r="AA219" i="7" s="1"/>
  <c r="C12" i="14"/>
  <c r="C13" i="14"/>
  <c r="J98" i="14"/>
  <c r="Y293" i="7"/>
  <c r="AD118" i="14"/>
  <c r="AE17" i="7"/>
  <c r="V345" i="5"/>
  <c r="V363" i="5" s="1"/>
  <c r="G371" i="5"/>
  <c r="N375" i="5"/>
  <c r="AB346" i="5"/>
  <c r="AB352" i="5" s="1"/>
  <c r="U115" i="5"/>
  <c r="AD116" i="5"/>
  <c r="G115" i="5"/>
  <c r="G74" i="5" s="1"/>
  <c r="D9" i="5"/>
  <c r="R86" i="5"/>
  <c r="AB26" i="5"/>
  <c r="S27" i="5"/>
  <c r="AC26" i="5"/>
  <c r="F88" i="5"/>
  <c r="F89" i="5" s="1"/>
  <c r="L27" i="5"/>
  <c r="S29" i="5"/>
  <c r="AH400" i="5"/>
  <c r="J340" i="5"/>
  <c r="U358" i="5"/>
  <c r="L347" i="5"/>
  <c r="L365" i="5" s="1"/>
  <c r="F127" i="5"/>
  <c r="AH13" i="7" s="1"/>
  <c r="M26" i="5"/>
  <c r="G359" i="5"/>
  <c r="U30" i="5"/>
  <c r="M341" i="5"/>
  <c r="U347" i="5"/>
  <c r="U365" i="5" s="1"/>
  <c r="D30" i="5"/>
  <c r="J346" i="5"/>
  <c r="J352" i="5" s="1"/>
  <c r="AB358" i="5"/>
  <c r="X371" i="5"/>
  <c r="J29" i="5"/>
  <c r="J26" i="5"/>
  <c r="L28" i="5"/>
  <c r="L371" i="5"/>
  <c r="AE127" i="5"/>
  <c r="BG13" i="7" s="1"/>
  <c r="D26" i="5"/>
  <c r="R26" i="5"/>
  <c r="Q85" i="5"/>
  <c r="F87" i="5"/>
  <c r="T87" i="5"/>
  <c r="I228" i="16"/>
  <c r="I29" i="5"/>
  <c r="AA341" i="5"/>
  <c r="L30" i="5"/>
  <c r="AE346" i="5"/>
  <c r="AE352" i="5" s="1"/>
  <c r="AE358" i="5" s="1"/>
  <c r="L341" i="5"/>
  <c r="AE347" i="5"/>
  <c r="AE353" i="5" s="1"/>
  <c r="AE359" i="5" s="1"/>
  <c r="P88" i="5"/>
  <c r="P89" i="5" s="1"/>
  <c r="AB341" i="5"/>
  <c r="AF168" i="5"/>
  <c r="N358" i="5"/>
  <c r="P346" i="5"/>
  <c r="P352" i="5" s="1"/>
  <c r="AB27" i="5"/>
  <c r="AC29" i="5"/>
  <c r="T26" i="5"/>
  <c r="R27" i="5"/>
  <c r="F85" i="5"/>
  <c r="U27" i="5"/>
  <c r="L29" i="5"/>
  <c r="N370" i="5"/>
  <c r="G86" i="5"/>
  <c r="R30" i="5"/>
  <c r="Z85" i="5"/>
  <c r="U28" i="5"/>
  <c r="AC30" i="5"/>
  <c r="M345" i="5"/>
  <c r="M363" i="5" s="1"/>
  <c r="M369" i="5" s="1"/>
  <c r="R375" i="5"/>
  <c r="I88" i="5"/>
  <c r="I89" i="5" s="1"/>
  <c r="J370" i="5"/>
  <c r="F40" i="16"/>
  <c r="R29" i="5"/>
  <c r="Z71" i="5"/>
  <c r="Z67" i="5" s="1"/>
  <c r="Z185" i="5" s="1"/>
  <c r="AB85" i="5"/>
  <c r="H356" i="5"/>
  <c r="Z30" i="5"/>
  <c r="D28" i="5"/>
  <c r="W341" i="5"/>
  <c r="N86" i="5"/>
  <c r="AB30" i="5"/>
  <c r="M89" i="5"/>
  <c r="L346" i="5"/>
  <c r="L364" i="5" s="1"/>
  <c r="L370" i="5" s="1"/>
  <c r="Z117" i="5"/>
  <c r="G68" i="3" s="1"/>
  <c r="I68" i="3" s="1"/>
  <c r="M384" i="5"/>
  <c r="M383" i="5" s="1"/>
  <c r="M414" i="5" s="1"/>
  <c r="N39" i="35"/>
  <c r="N47" i="35" s="1"/>
  <c r="G100" i="16" s="1"/>
  <c r="AG341" i="5"/>
  <c r="Q88" i="5"/>
  <c r="Q89" i="5" s="1"/>
  <c r="Q71" i="5"/>
  <c r="Q67" i="5" s="1"/>
  <c r="Q185" i="5" s="1"/>
  <c r="V71" i="5"/>
  <c r="V67" i="5" s="1"/>
  <c r="O127" i="5"/>
  <c r="AQ13" i="7" s="1"/>
  <c r="H168" i="5"/>
  <c r="AE29" i="5"/>
  <c r="AE28" i="5"/>
  <c r="AE30" i="5"/>
  <c r="AA30" i="5"/>
  <c r="AA28" i="5"/>
  <c r="W29" i="5"/>
  <c r="W30" i="5"/>
  <c r="W28" i="5"/>
  <c r="S30" i="5"/>
  <c r="S28" i="5"/>
  <c r="Q26" i="5"/>
  <c r="Q29" i="5"/>
  <c r="O26" i="5"/>
  <c r="O30" i="5"/>
  <c r="O28" i="5"/>
  <c r="O27" i="5"/>
  <c r="M29" i="5"/>
  <c r="M27" i="5"/>
  <c r="K28" i="5"/>
  <c r="I27" i="5"/>
  <c r="I30" i="5"/>
  <c r="E27" i="5"/>
  <c r="E30" i="5"/>
  <c r="AG215" i="5"/>
  <c r="I1334" i="17"/>
  <c r="I1309" i="17"/>
  <c r="I1303" i="17"/>
  <c r="I867" i="17"/>
  <c r="I874" i="17"/>
  <c r="I849" i="17"/>
  <c r="M30" i="5"/>
  <c r="C30" i="18"/>
  <c r="K168" i="5"/>
  <c r="C50" i="18"/>
  <c r="P168" i="5"/>
  <c r="M74" i="5"/>
  <c r="M86" i="5"/>
  <c r="F86" i="5"/>
  <c r="F116" i="5"/>
  <c r="F94" i="5" s="1"/>
  <c r="F110" i="5" s="1"/>
  <c r="AA335" i="5"/>
  <c r="AA391" i="5" s="1"/>
  <c r="AA398" i="5" s="1"/>
  <c r="AA412" i="5" s="1"/>
  <c r="AA419" i="5" s="1"/>
  <c r="AA426" i="5" s="1"/>
  <c r="AA427" i="5" s="1"/>
  <c r="U356" i="5"/>
  <c r="U368" i="5"/>
  <c r="U389" i="5" s="1"/>
  <c r="U396" i="5" s="1"/>
  <c r="U403" i="5" s="1"/>
  <c r="U410" i="5" s="1"/>
  <c r="U417" i="5" s="1"/>
  <c r="U424" i="5" s="1"/>
  <c r="F371" i="5"/>
  <c r="F359" i="5"/>
  <c r="V340" i="5"/>
  <c r="V370" i="5"/>
  <c r="AH358" i="5"/>
  <c r="AH340" i="5"/>
  <c r="AF358" i="5"/>
  <c r="AF340" i="5"/>
  <c r="AG357" i="5"/>
  <c r="AG369" i="5"/>
  <c r="AG345" i="5"/>
  <c r="AG363" i="5" s="1"/>
  <c r="D7" i="5"/>
  <c r="AH323" i="5"/>
  <c r="AH337" i="5" s="1"/>
  <c r="O115" i="5"/>
  <c r="O74" i="5" s="1"/>
  <c r="O108" i="5" s="1"/>
  <c r="F123" i="5"/>
  <c r="F124" i="5" s="1"/>
  <c r="F125" i="5" s="1"/>
  <c r="K345" i="5"/>
  <c r="K363" i="5" s="1"/>
  <c r="K369" i="5" s="1"/>
  <c r="O339" i="5"/>
  <c r="S345" i="5"/>
  <c r="S363" i="5" s="1"/>
  <c r="J115" i="5"/>
  <c r="AB335" i="5"/>
  <c r="AB391" i="5" s="1"/>
  <c r="AB392" i="5" s="1"/>
  <c r="Y88" i="5"/>
  <c r="Y89" i="5" s="1"/>
  <c r="U85" i="5"/>
  <c r="AE88" i="5"/>
  <c r="AE89" i="5" s="1"/>
  <c r="AF335" i="5"/>
  <c r="AF391" i="5" s="1"/>
  <c r="G347" i="5"/>
  <c r="G365" i="5" s="1"/>
  <c r="M76" i="5"/>
  <c r="J47" i="35"/>
  <c r="G56" i="16" s="1"/>
  <c r="J46" i="35"/>
  <c r="G55" i="16" s="1"/>
  <c r="P318" i="5"/>
  <c r="Q46" i="35"/>
  <c r="G132" i="16" s="1"/>
  <c r="Q47" i="35"/>
  <c r="G133" i="16" s="1"/>
  <c r="AC46" i="35"/>
  <c r="G253" i="16" s="1"/>
  <c r="AC47" i="35"/>
  <c r="G254" i="16" s="1"/>
  <c r="J318" i="5"/>
  <c r="K46" i="35"/>
  <c r="G66" i="16" s="1"/>
  <c r="K47" i="35"/>
  <c r="G67" i="16" s="1"/>
  <c r="S46" i="35"/>
  <c r="S47" i="35"/>
  <c r="T46" i="35"/>
  <c r="G165" i="16" s="1"/>
  <c r="T47" i="35"/>
  <c r="G166" i="16" s="1"/>
  <c r="W46" i="35"/>
  <c r="G198" i="16" s="1"/>
  <c r="W47" i="35"/>
  <c r="G199" i="16" s="1"/>
  <c r="V47" i="35"/>
  <c r="G188" i="16" s="1"/>
  <c r="V46" i="35"/>
  <c r="G187" i="16" s="1"/>
  <c r="X46" i="35"/>
  <c r="X47" i="35"/>
  <c r="Z47" i="35"/>
  <c r="G221" i="16" s="1"/>
  <c r="Z46" i="35"/>
  <c r="G220" i="16" s="1"/>
  <c r="AE46" i="35"/>
  <c r="G275" i="16" s="1"/>
  <c r="AE47" i="35"/>
  <c r="G276" i="16" s="1"/>
  <c r="AH47" i="35"/>
  <c r="G309" i="16" s="1"/>
  <c r="AH46" i="35"/>
  <c r="G308" i="16" s="1"/>
  <c r="AE318" i="5"/>
  <c r="AF46" i="35"/>
  <c r="G286" i="16" s="1"/>
  <c r="AF47" i="35"/>
  <c r="G287" i="16" s="1"/>
  <c r="I71" i="5"/>
  <c r="I67" i="5" s="1"/>
  <c r="I185" i="5" s="1"/>
  <c r="I178" i="5" s="1"/>
  <c r="R121" i="5"/>
  <c r="R122" i="5" s="1"/>
  <c r="R123" i="5" s="1"/>
  <c r="R124" i="5" s="1"/>
  <c r="R323" i="5" s="1"/>
  <c r="AC64" i="5"/>
  <c r="G46" i="35"/>
  <c r="G22" i="16" s="1"/>
  <c r="G47" i="35"/>
  <c r="G23" i="16" s="1"/>
  <c r="H46" i="35"/>
  <c r="G33" i="16" s="1"/>
  <c r="H47" i="35"/>
  <c r="G34" i="16" s="1"/>
  <c r="K318" i="5"/>
  <c r="L46" i="35"/>
  <c r="G77" i="16" s="1"/>
  <c r="L47" i="35"/>
  <c r="G78" i="16" s="1"/>
  <c r="O46" i="35"/>
  <c r="G110" i="16" s="1"/>
  <c r="O47" i="35"/>
  <c r="G111" i="16" s="1"/>
  <c r="AA46" i="35"/>
  <c r="G231" i="16" s="1"/>
  <c r="AA47" i="35"/>
  <c r="G232" i="16" s="1"/>
  <c r="AD47" i="35"/>
  <c r="AD46" i="35"/>
  <c r="G264" i="16" s="1"/>
  <c r="M47" i="35"/>
  <c r="G89" i="16" s="1"/>
  <c r="M46" i="35"/>
  <c r="G88" i="16" s="1"/>
  <c r="O318" i="5"/>
  <c r="P46" i="35"/>
  <c r="G121" i="16" s="1"/>
  <c r="P47" i="35"/>
  <c r="G122" i="16" s="1"/>
  <c r="I46" i="35"/>
  <c r="G44" i="16" s="1"/>
  <c r="I47" i="35"/>
  <c r="G45" i="16" s="1"/>
  <c r="U47" i="35"/>
  <c r="G177" i="16" s="1"/>
  <c r="U46" i="35"/>
  <c r="G176" i="16" s="1"/>
  <c r="R47" i="35"/>
  <c r="R46" i="35"/>
  <c r="Y46" i="35"/>
  <c r="G209" i="16" s="1"/>
  <c r="Y47" i="35"/>
  <c r="G210" i="16" s="1"/>
  <c r="E318" i="5"/>
  <c r="F46" i="35"/>
  <c r="F47" i="35"/>
  <c r="AB46" i="35"/>
  <c r="G242" i="16" s="1"/>
  <c r="AB47" i="35"/>
  <c r="G243" i="16" s="1"/>
  <c r="O55" i="35"/>
  <c r="S55" i="35"/>
  <c r="H103" i="35"/>
  <c r="H104" i="35" s="1"/>
  <c r="F346" i="5"/>
  <c r="F352" i="5" s="1"/>
  <c r="F358" i="5" s="1"/>
  <c r="Y347" i="5"/>
  <c r="AC347" i="5"/>
  <c r="AC365" i="5" s="1"/>
  <c r="AC371" i="5" s="1"/>
  <c r="Z341" i="5"/>
  <c r="T347" i="5"/>
  <c r="T353" i="5" s="1"/>
  <c r="P6" i="5"/>
  <c r="Q100" i="35"/>
  <c r="S6" i="5"/>
  <c r="T95" i="35"/>
  <c r="S121" i="5" s="1"/>
  <c r="S122" i="5" s="1"/>
  <c r="S123" i="5" s="1"/>
  <c r="S124" i="5" s="1"/>
  <c r="S125" i="5" s="1"/>
  <c r="H6" i="5"/>
  <c r="I95" i="35"/>
  <c r="H121" i="5" s="1"/>
  <c r="H122" i="5" s="1"/>
  <c r="H124" i="5" s="1"/>
  <c r="U6" i="5"/>
  <c r="V100" i="35"/>
  <c r="V95" i="35"/>
  <c r="U121" i="5" s="1"/>
  <c r="U122" i="5" s="1"/>
  <c r="U123" i="5" s="1"/>
  <c r="U124" i="5" s="1"/>
  <c r="U125" i="5" s="1"/>
  <c r="Q6" i="5"/>
  <c r="R100" i="35"/>
  <c r="R95" i="35"/>
  <c r="Q121" i="5" s="1"/>
  <c r="Q122" i="5" s="1"/>
  <c r="AC6" i="5"/>
  <c r="AD95" i="35"/>
  <c r="AC121" i="5" s="1"/>
  <c r="AD6" i="5"/>
  <c r="AE100" i="35"/>
  <c r="AE95" i="35"/>
  <c r="AD121" i="5" s="1"/>
  <c r="AD122" i="5" s="1"/>
  <c r="AD123" i="5" s="1"/>
  <c r="AD124" i="5" s="1"/>
  <c r="AE6" i="5"/>
  <c r="AF95" i="35"/>
  <c r="AE121" i="5" s="1"/>
  <c r="AE122" i="5" s="1"/>
  <c r="AE123" i="5" s="1"/>
  <c r="AE124" i="5" s="1"/>
  <c r="G6" i="16"/>
  <c r="E316" i="5"/>
  <c r="G380" i="5"/>
  <c r="G393" i="5" s="1"/>
  <c r="G316" i="5"/>
  <c r="P380" i="5"/>
  <c r="P393" i="5" s="1"/>
  <c r="P316" i="5"/>
  <c r="AD45" i="35"/>
  <c r="G259" i="16" s="1"/>
  <c r="AD43" i="35"/>
  <c r="G321" i="5"/>
  <c r="X315" i="5"/>
  <c r="Y6" i="35"/>
  <c r="X10" i="5" s="1"/>
  <c r="U315" i="5"/>
  <c r="V6" i="35"/>
  <c r="U10" i="5" s="1"/>
  <c r="I315" i="5"/>
  <c r="I335" i="5" s="1"/>
  <c r="I391" i="5" s="1"/>
  <c r="F49" i="16" s="1"/>
  <c r="J6" i="35"/>
  <c r="I10" i="5" s="1"/>
  <c r="AH315" i="5"/>
  <c r="AH335" i="5" s="1"/>
  <c r="AH391" i="5" s="1"/>
  <c r="F333" i="16" s="1"/>
  <c r="AI6" i="35"/>
  <c r="AH10" i="5" s="1"/>
  <c r="S8" i="5"/>
  <c r="T100" i="35"/>
  <c r="AC8" i="5"/>
  <c r="AD100" i="35"/>
  <c r="AB8" i="5"/>
  <c r="AC100" i="35"/>
  <c r="N8" i="5"/>
  <c r="O100" i="35"/>
  <c r="X8" i="5"/>
  <c r="Y100" i="35"/>
  <c r="T8" i="5"/>
  <c r="U100" i="35"/>
  <c r="V8" i="5"/>
  <c r="W100" i="35"/>
  <c r="O8" i="5"/>
  <c r="P100" i="35"/>
  <c r="M8" i="5"/>
  <c r="N100" i="35"/>
  <c r="L8" i="5"/>
  <c r="M100" i="35"/>
  <c r="J8" i="5"/>
  <c r="K100" i="35"/>
  <c r="G8" i="5"/>
  <c r="Z8" i="5"/>
  <c r="AA100" i="35"/>
  <c r="H843" i="17"/>
  <c r="H874" i="17"/>
  <c r="H849" i="17"/>
  <c r="N330" i="5"/>
  <c r="O66" i="35"/>
  <c r="N329" i="5" s="1"/>
  <c r="Z330" i="5"/>
  <c r="Z335" i="5" s="1"/>
  <c r="Z391" i="5" s="1"/>
  <c r="Z392" i="5" s="1"/>
  <c r="AA66" i="35"/>
  <c r="Z329" i="5" s="1"/>
  <c r="Y356" i="5"/>
  <c r="Y335" i="5"/>
  <c r="Y391" i="5" s="1"/>
  <c r="F225" i="16" s="1"/>
  <c r="W330" i="5"/>
  <c r="X66" i="35"/>
  <c r="W329" i="5" s="1"/>
  <c r="W337" i="5" s="1"/>
  <c r="T330" i="5"/>
  <c r="U66" i="35"/>
  <c r="T329" i="5" s="1"/>
  <c r="T337" i="5" s="1"/>
  <c r="R330" i="5"/>
  <c r="S66" i="35"/>
  <c r="R329" i="5" s="1"/>
  <c r="R337" i="5" s="1"/>
  <c r="L330" i="5"/>
  <c r="L335" i="5" s="1"/>
  <c r="L391" i="5" s="1"/>
  <c r="M66" i="35"/>
  <c r="L329" i="5" s="1"/>
  <c r="J330" i="5"/>
  <c r="J335" i="5" s="1"/>
  <c r="J391" i="5" s="1"/>
  <c r="F65" i="16" s="1"/>
  <c r="K66" i="35"/>
  <c r="J329" i="5" s="1"/>
  <c r="H66" i="35"/>
  <c r="G329" i="5" s="1"/>
  <c r="G330" i="5"/>
  <c r="X330" i="5"/>
  <c r="Y66" i="35"/>
  <c r="X329" i="5" s="1"/>
  <c r="AD330" i="5"/>
  <c r="AD335" i="5" s="1"/>
  <c r="AD391" i="5" s="1"/>
  <c r="AE66" i="35"/>
  <c r="AD329" i="5" s="1"/>
  <c r="AF66" i="35"/>
  <c r="AE329" i="5" s="1"/>
  <c r="AF101" i="35"/>
  <c r="AB66" i="35"/>
  <c r="AA329" i="5" s="1"/>
  <c r="AB101" i="35"/>
  <c r="T66" i="35"/>
  <c r="S329" i="5" s="1"/>
  <c r="T101" i="35"/>
  <c r="Q66" i="35"/>
  <c r="P329" i="5" s="1"/>
  <c r="Q101" i="35"/>
  <c r="H101" i="35"/>
  <c r="G331" i="5"/>
  <c r="G345" i="5" s="1"/>
  <c r="AD332" i="5"/>
  <c r="AD346" i="5" s="1"/>
  <c r="AD364" i="5" s="1"/>
  <c r="AD370" i="5" s="1"/>
  <c r="AE101" i="35"/>
  <c r="AC358" i="5"/>
  <c r="AC370" i="5"/>
  <c r="Y332" i="5"/>
  <c r="Z101" i="35"/>
  <c r="E332" i="5"/>
  <c r="E358" i="5" s="1"/>
  <c r="F66" i="35"/>
  <c r="Q332" i="5"/>
  <c r="R101" i="35"/>
  <c r="U370" i="5"/>
  <c r="U340" i="5"/>
  <c r="T332" i="5"/>
  <c r="U101" i="35"/>
  <c r="O332" i="5"/>
  <c r="P101" i="35"/>
  <c r="K346" i="5"/>
  <c r="K364" i="5" s="1"/>
  <c r="K358" i="5"/>
  <c r="I332" i="5"/>
  <c r="J66" i="35"/>
  <c r="I329" i="5" s="1"/>
  <c r="J101" i="35"/>
  <c r="G370" i="5"/>
  <c r="G346" i="5"/>
  <c r="G364" i="5" s="1"/>
  <c r="E333" i="5"/>
  <c r="X359" i="5"/>
  <c r="X341" i="5"/>
  <c r="V333" i="5"/>
  <c r="W66" i="35"/>
  <c r="V329" i="5" s="1"/>
  <c r="W101" i="35"/>
  <c r="H359" i="5"/>
  <c r="H347" i="5"/>
  <c r="H365" i="5" s="1"/>
  <c r="Q347" i="5"/>
  <c r="Q365" i="5" s="1"/>
  <c r="Q371" i="5"/>
  <c r="Q341" i="5"/>
  <c r="Y101" i="35"/>
  <c r="AC66" i="35"/>
  <c r="AB329" i="5" s="1"/>
  <c r="AC101" i="35"/>
  <c r="F330" i="5"/>
  <c r="F335" i="5" s="1"/>
  <c r="F391" i="5" s="1"/>
  <c r="F405" i="5" s="1"/>
  <c r="G66" i="35"/>
  <c r="F329" i="5" s="1"/>
  <c r="AC325" i="5"/>
  <c r="AC345" i="5" s="1"/>
  <c r="AD102" i="35"/>
  <c r="AD103" i="35" s="1"/>
  <c r="AD104" i="35" s="1"/>
  <c r="Y325" i="5"/>
  <c r="Z95" i="35"/>
  <c r="Z102" i="35"/>
  <c r="Z103" i="35" s="1"/>
  <c r="Z104" i="35" s="1"/>
  <c r="F102" i="35"/>
  <c r="F103" i="35" s="1"/>
  <c r="F104" i="35" s="1"/>
  <c r="E325" i="5"/>
  <c r="Y95" i="35"/>
  <c r="X121" i="5" s="1"/>
  <c r="X122" i="5" s="1"/>
  <c r="Y102" i="35"/>
  <c r="Y103" i="35" s="1"/>
  <c r="Y104" i="35" s="1"/>
  <c r="X325" i="5"/>
  <c r="X345" i="5" s="1"/>
  <c r="Q325" i="5"/>
  <c r="R102" i="35"/>
  <c r="R103" i="35" s="1"/>
  <c r="R104" i="35" s="1"/>
  <c r="U325" i="5"/>
  <c r="U339" i="5" s="1"/>
  <c r="V102" i="35"/>
  <c r="V103" i="35" s="1"/>
  <c r="V104" i="35" s="1"/>
  <c r="U95" i="35"/>
  <c r="U102" i="35"/>
  <c r="U103" i="35" s="1"/>
  <c r="U104" i="35" s="1"/>
  <c r="T325" i="5"/>
  <c r="T345" i="5" s="1"/>
  <c r="M102" i="35"/>
  <c r="M103" i="35" s="1"/>
  <c r="M104" i="35" s="1"/>
  <c r="L325" i="5"/>
  <c r="H326" i="5"/>
  <c r="I102" i="35"/>
  <c r="I103" i="35" s="1"/>
  <c r="I104" i="35" s="1"/>
  <c r="M326" i="5"/>
  <c r="N95" i="35"/>
  <c r="M121" i="5" s="1"/>
  <c r="M122" i="5" s="1"/>
  <c r="M123" i="5" s="1"/>
  <c r="M124" i="5" s="1"/>
  <c r="M125" i="5" s="1"/>
  <c r="N102" i="35"/>
  <c r="N103" i="35" s="1"/>
  <c r="N104" i="35" s="1"/>
  <c r="O327" i="5"/>
  <c r="O347" i="5" s="1"/>
  <c r="P95" i="35"/>
  <c r="O121" i="5" s="1"/>
  <c r="O122" i="5" s="1"/>
  <c r="AH341" i="5"/>
  <c r="AF347" i="5"/>
  <c r="AF365" i="5" s="1"/>
  <c r="AF371" i="5" s="1"/>
  <c r="AG346" i="5"/>
  <c r="AG352" i="5" s="1"/>
  <c r="AG370" i="5"/>
  <c r="AH345" i="5"/>
  <c r="AH351" i="5" s="1"/>
  <c r="AF339" i="5"/>
  <c r="AF345" i="5"/>
  <c r="AF363" i="5" s="1"/>
  <c r="AF369" i="5" s="1"/>
  <c r="T400" i="5"/>
  <c r="T382" i="5"/>
  <c r="T407" i="5" s="1"/>
  <c r="I15" i="35"/>
  <c r="L369" i="5"/>
  <c r="G96" i="35"/>
  <c r="F373" i="5" s="1"/>
  <c r="F374" i="5" s="1"/>
  <c r="F375" i="5" s="1"/>
  <c r="R96" i="35"/>
  <c r="Q373" i="5" s="1"/>
  <c r="Q374" i="5" s="1"/>
  <c r="Q375" i="5" s="1"/>
  <c r="H95" i="35"/>
  <c r="G121" i="5" s="1"/>
  <c r="O345" i="5"/>
  <c r="R339" i="5"/>
  <c r="AC96" i="35"/>
  <c r="AB373" i="5" s="1"/>
  <c r="AB374" i="5" s="1"/>
  <c r="AB375" i="5" s="1"/>
  <c r="AD96" i="35"/>
  <c r="AC373" i="5" s="1"/>
  <c r="AC374" i="5" s="1"/>
  <c r="AF103" i="35"/>
  <c r="AF104" i="35" s="1"/>
  <c r="Q95" i="35"/>
  <c r="P121" i="5" s="1"/>
  <c r="P122" i="5" s="1"/>
  <c r="P123" i="5" s="1"/>
  <c r="P124" i="5" s="1"/>
  <c r="P323" i="5" s="1"/>
  <c r="M95" i="35"/>
  <c r="L121" i="5" s="1"/>
  <c r="J95" i="35"/>
  <c r="I121" i="5" s="1"/>
  <c r="I122" i="5" s="1"/>
  <c r="I123" i="5" s="1"/>
  <c r="I124" i="5" s="1"/>
  <c r="I323" i="5" s="1"/>
  <c r="Q339" i="5"/>
  <c r="Q357" i="5"/>
  <c r="V121" i="5"/>
  <c r="V122" i="5" s="1"/>
  <c r="V123" i="5" s="1"/>
  <c r="V124" i="5" s="1"/>
  <c r="V125" i="5" s="1"/>
  <c r="W96" i="35"/>
  <c r="V373" i="5" s="1"/>
  <c r="V374" i="5" s="1"/>
  <c r="V375" i="5" s="1"/>
  <c r="J369" i="5"/>
  <c r="J357" i="5"/>
  <c r="N369" i="5"/>
  <c r="N357" i="5"/>
  <c r="N339" i="5"/>
  <c r="AB369" i="5"/>
  <c r="AB357" i="5"/>
  <c r="I100" i="35"/>
  <c r="Y316" i="5"/>
  <c r="K43" i="35"/>
  <c r="AC115" i="5"/>
  <c r="AC74" i="5" s="1"/>
  <c r="AC108" i="5" s="1"/>
  <c r="T74" i="5"/>
  <c r="E115" i="5"/>
  <c r="J103" i="35"/>
  <c r="J104" i="35" s="1"/>
  <c r="Q103" i="35"/>
  <c r="Q104" i="35" s="1"/>
  <c r="AC104" i="35"/>
  <c r="F5" i="35"/>
  <c r="F55" i="35"/>
  <c r="K55" i="35"/>
  <c r="K6" i="35"/>
  <c r="J10" i="5" s="1"/>
  <c r="M6" i="35"/>
  <c r="L10" i="5" s="1"/>
  <c r="M55" i="35"/>
  <c r="Q6" i="35"/>
  <c r="Q5" i="35" s="1"/>
  <c r="Q55" i="35"/>
  <c r="U6" i="35"/>
  <c r="T10" i="5" s="1"/>
  <c r="U55" i="35"/>
  <c r="AD6" i="35"/>
  <c r="AC10" i="5" s="1"/>
  <c r="AD55" i="35"/>
  <c r="E191" i="17"/>
  <c r="I64" i="5"/>
  <c r="E375" i="17"/>
  <c r="M64" i="5"/>
  <c r="E1065" i="17"/>
  <c r="AB64" i="5"/>
  <c r="M15" i="35"/>
  <c r="Q15" i="35"/>
  <c r="U15" i="35"/>
  <c r="G186" i="5"/>
  <c r="D22" i="35"/>
  <c r="AC55" i="35"/>
  <c r="R15" i="35"/>
  <c r="M182" i="5"/>
  <c r="F95" i="35"/>
  <c r="L35" i="35"/>
  <c r="L48" i="35"/>
  <c r="H74" i="16" s="1"/>
  <c r="M35" i="35"/>
  <c r="M48" i="35"/>
  <c r="H85" i="16" s="1"/>
  <c r="Q35" i="35"/>
  <c r="Q48" i="35"/>
  <c r="H129" i="16" s="1"/>
  <c r="P35" i="35"/>
  <c r="P48" i="35"/>
  <c r="H118" i="16" s="1"/>
  <c r="I35" i="35"/>
  <c r="I48" i="35"/>
  <c r="H41" i="16" s="1"/>
  <c r="V35" i="35"/>
  <c r="V48" i="35"/>
  <c r="H184" i="16" s="1"/>
  <c r="X35" i="35"/>
  <c r="X48" i="35"/>
  <c r="H206" i="16" s="1"/>
  <c r="Z35" i="35"/>
  <c r="Z48" i="35"/>
  <c r="H228" i="16" s="1"/>
  <c r="AB35" i="35"/>
  <c r="AB48" i="35"/>
  <c r="H250" i="16" s="1"/>
  <c r="AF35" i="35"/>
  <c r="AF48" i="35"/>
  <c r="H294" i="16" s="1"/>
  <c r="AH35" i="35"/>
  <c r="AH48" i="35"/>
  <c r="H316" i="16" s="1"/>
  <c r="P383" i="5"/>
  <c r="P414" i="5" s="1"/>
  <c r="R45" i="35"/>
  <c r="G138" i="16" s="1"/>
  <c r="V45" i="35"/>
  <c r="G182" i="16" s="1"/>
  <c r="Q45" i="35"/>
  <c r="G127" i="16" s="1"/>
  <c r="U45" i="35"/>
  <c r="G171" i="16" s="1"/>
  <c r="Y45" i="35"/>
  <c r="G204" i="16" s="1"/>
  <c r="AC45" i="35"/>
  <c r="G248" i="16" s="1"/>
  <c r="K96" i="35"/>
  <c r="J373" i="5" s="1"/>
  <c r="J374" i="5" s="1"/>
  <c r="J375" i="5" s="1"/>
  <c r="Y398" i="5"/>
  <c r="Y412" i="5" s="1"/>
  <c r="Y419" i="5" s="1"/>
  <c r="Y426" i="5" s="1"/>
  <c r="Y427" i="5" s="1"/>
  <c r="J35" i="35"/>
  <c r="J48" i="35"/>
  <c r="H52" i="16" s="1"/>
  <c r="S35" i="35"/>
  <c r="S48" i="35"/>
  <c r="H151" i="16" s="1"/>
  <c r="N35" i="35"/>
  <c r="N48" i="35"/>
  <c r="H96" i="16" s="1"/>
  <c r="T35" i="35"/>
  <c r="T48" i="35"/>
  <c r="H162" i="16" s="1"/>
  <c r="W35" i="35"/>
  <c r="W48" i="35"/>
  <c r="H195" i="16" s="1"/>
  <c r="R35" i="35"/>
  <c r="R48" i="35"/>
  <c r="H140" i="16" s="1"/>
  <c r="Y35" i="35"/>
  <c r="Y48" i="35"/>
  <c r="H217" i="16" s="1"/>
  <c r="AA35" i="35"/>
  <c r="AA48" i="35"/>
  <c r="H239" i="16" s="1"/>
  <c r="AE35" i="35"/>
  <c r="AE48" i="35"/>
  <c r="H283" i="16" s="1"/>
  <c r="AC35" i="35"/>
  <c r="AC48" i="35"/>
  <c r="H261" i="16" s="1"/>
  <c r="H45" i="35"/>
  <c r="G28" i="16" s="1"/>
  <c r="K45" i="35"/>
  <c r="G61" i="16" s="1"/>
  <c r="W45" i="35"/>
  <c r="G193" i="16" s="1"/>
  <c r="AA45" i="35"/>
  <c r="G226" i="16" s="1"/>
  <c r="AE45" i="35"/>
  <c r="G270" i="16" s="1"/>
  <c r="G318" i="5"/>
  <c r="H43" i="35"/>
  <c r="AA43" i="35"/>
  <c r="Z318" i="5"/>
  <c r="AA383" i="5"/>
  <c r="AA414" i="5" s="1"/>
  <c r="AA413" i="5" s="1"/>
  <c r="AA318" i="5"/>
  <c r="F43" i="35"/>
  <c r="AB43" i="35"/>
  <c r="U182" i="5"/>
  <c r="R383" i="5"/>
  <c r="R414" i="5" s="1"/>
  <c r="AB182" i="5"/>
  <c r="N383" i="5"/>
  <c r="N414" i="5" s="1"/>
  <c r="N318" i="5"/>
  <c r="AD318" i="5"/>
  <c r="AE43" i="35"/>
  <c r="Y318" i="5"/>
  <c r="Y383" i="5"/>
  <c r="Y414" i="5" s="1"/>
  <c r="F17" i="35"/>
  <c r="X43" i="35"/>
  <c r="W383" i="5"/>
  <c r="W414" i="5" s="1"/>
  <c r="W318" i="5"/>
  <c r="Q383" i="5"/>
  <c r="Q318" i="5"/>
  <c r="U318" i="5"/>
  <c r="U383" i="5"/>
  <c r="U43" i="35"/>
  <c r="T383" i="5"/>
  <c r="T414" i="5" s="1"/>
  <c r="T318" i="5"/>
  <c r="V383" i="5"/>
  <c r="W43" i="35"/>
  <c r="V318" i="5"/>
  <c r="H383" i="5"/>
  <c r="H414" i="5" s="1"/>
  <c r="H413" i="5" s="1"/>
  <c r="H318" i="5"/>
  <c r="N43" i="35"/>
  <c r="M318" i="5"/>
  <c r="G182" i="5"/>
  <c r="H15" i="35"/>
  <c r="E113" i="17"/>
  <c r="AB15" i="35"/>
  <c r="E1033" i="17"/>
  <c r="AD15" i="35"/>
  <c r="E1125" i="17"/>
  <c r="G317" i="5"/>
  <c r="H35" i="35"/>
  <c r="J317" i="5"/>
  <c r="K35" i="35"/>
  <c r="E317" i="5"/>
  <c r="N317" i="5"/>
  <c r="O35" i="35"/>
  <c r="AI35" i="35"/>
  <c r="E1157" i="17"/>
  <c r="G15" i="35"/>
  <c r="E67" i="17"/>
  <c r="J15" i="35"/>
  <c r="E205" i="17"/>
  <c r="N15" i="35"/>
  <c r="E389" i="17"/>
  <c r="AE15" i="35"/>
  <c r="E1171" i="17"/>
  <c r="T317" i="5"/>
  <c r="U35" i="35"/>
  <c r="AC317" i="5"/>
  <c r="AD35" i="35"/>
  <c r="F317" i="5"/>
  <c r="G35" i="35"/>
  <c r="AG35" i="35"/>
  <c r="AD65" i="5"/>
  <c r="K181" i="5"/>
  <c r="L15" i="35"/>
  <c r="O65" i="5"/>
  <c r="P15" i="35"/>
  <c r="S65" i="5"/>
  <c r="T15" i="35"/>
  <c r="U181" i="5"/>
  <c r="V15" i="35"/>
  <c r="X65" i="5"/>
  <c r="Y15" i="35"/>
  <c r="Z181" i="5"/>
  <c r="Z178" i="5" s="1"/>
  <c r="AA15" i="35"/>
  <c r="AB181" i="5"/>
  <c r="AC15" i="35"/>
  <c r="AE65" i="5"/>
  <c r="AF15" i="35"/>
  <c r="K15" i="35"/>
  <c r="Y65" i="5"/>
  <c r="Z15" i="35"/>
  <c r="J69" i="5"/>
  <c r="J71" i="5" s="1"/>
  <c r="J67" i="5" s="1"/>
  <c r="J185" i="5" s="1"/>
  <c r="N68" i="5"/>
  <c r="AE317" i="5"/>
  <c r="AF43" i="35"/>
  <c r="AC43" i="35"/>
  <c r="AB317" i="5"/>
  <c r="AB382" i="5"/>
  <c r="AB407" i="5" s="1"/>
  <c r="Y317" i="5"/>
  <c r="Y382" i="5"/>
  <c r="Y407" i="5" s="1"/>
  <c r="Q317" i="5"/>
  <c r="Q382" i="5"/>
  <c r="Q407" i="5" s="1"/>
  <c r="H317" i="5"/>
  <c r="H382" i="5"/>
  <c r="H407" i="5" s="1"/>
  <c r="O317" i="5"/>
  <c r="P43" i="35"/>
  <c r="M181" i="5"/>
  <c r="P317" i="5"/>
  <c r="P382" i="5"/>
  <c r="P407" i="5" s="1"/>
  <c r="Q43" i="35"/>
  <c r="L317" i="5"/>
  <c r="L382" i="5"/>
  <c r="L407" i="5" s="1"/>
  <c r="L43" i="35"/>
  <c r="K317" i="5"/>
  <c r="K382" i="5"/>
  <c r="K407" i="5" s="1"/>
  <c r="AD341" i="5"/>
  <c r="AD347" i="5"/>
  <c r="AD365" i="5" s="1"/>
  <c r="AD371" i="5" s="1"/>
  <c r="E7" i="17"/>
  <c r="F23" i="35"/>
  <c r="Y43" i="35"/>
  <c r="I43" i="35"/>
  <c r="Z358" i="5"/>
  <c r="Z346" i="5"/>
  <c r="Z352" i="5" s="1"/>
  <c r="Z370" i="5"/>
  <c r="Z340" i="5"/>
  <c r="F255" i="16"/>
  <c r="N96" i="35"/>
  <c r="M373" i="5" s="1"/>
  <c r="M374" i="5" s="1"/>
  <c r="M375" i="5" s="1"/>
  <c r="V96" i="35"/>
  <c r="U373" i="5" s="1"/>
  <c r="U374" i="5" s="1"/>
  <c r="AE96" i="35"/>
  <c r="AD373" i="5" s="1"/>
  <c r="AD374" i="5" s="1"/>
  <c r="Y96" i="35"/>
  <c r="X373" i="5" s="1"/>
  <c r="X374" i="5" s="1"/>
  <c r="X375" i="5" s="1"/>
  <c r="V43" i="35"/>
  <c r="R43" i="35"/>
  <c r="G101" i="35"/>
  <c r="C87" i="14"/>
  <c r="C115" i="14"/>
  <c r="D114" i="14"/>
  <c r="AB112" i="14"/>
  <c r="I104" i="18"/>
  <c r="X110" i="14"/>
  <c r="I80" i="18"/>
  <c r="I64" i="18"/>
  <c r="AE104" i="14"/>
  <c r="AA104" i="14"/>
  <c r="W104" i="14"/>
  <c r="S104" i="14"/>
  <c r="O104" i="14"/>
  <c r="K104" i="14"/>
  <c r="C104" i="14" s="1"/>
  <c r="G104" i="14"/>
  <c r="AA102" i="14"/>
  <c r="S102" i="14"/>
  <c r="K102" i="14"/>
  <c r="AG70" i="5"/>
  <c r="AE98" i="14"/>
  <c r="G98" i="14"/>
  <c r="X96" i="14"/>
  <c r="P96" i="14"/>
  <c r="H96" i="14"/>
  <c r="AD92" i="14"/>
  <c r="Z92" i="14"/>
  <c r="V92" i="14"/>
  <c r="R92" i="14"/>
  <c r="N92" i="14"/>
  <c r="J92" i="14"/>
  <c r="F92" i="14"/>
  <c r="AA94" i="14"/>
  <c r="W94" i="14"/>
  <c r="S94" i="14"/>
  <c r="O94" i="14"/>
  <c r="K94" i="14"/>
  <c r="G94" i="14"/>
  <c r="AG88" i="14"/>
  <c r="AC88" i="14"/>
  <c r="U88" i="14"/>
  <c r="Q88" i="14"/>
  <c r="M88" i="14"/>
  <c r="E88" i="14"/>
  <c r="P88" i="14"/>
  <c r="AF108" i="14"/>
  <c r="AH70" i="5"/>
  <c r="AF70" i="5"/>
  <c r="AF71" i="5" s="1"/>
  <c r="AF67" i="5" s="1"/>
  <c r="G6" i="35"/>
  <c r="F10" i="5" s="1"/>
  <c r="G55" i="35"/>
  <c r="L6" i="35"/>
  <c r="K10" i="5" s="1"/>
  <c r="L55" i="35"/>
  <c r="P6" i="35"/>
  <c r="O10" i="5" s="1"/>
  <c r="P55" i="35"/>
  <c r="T6" i="35"/>
  <c r="S10" i="5" s="1"/>
  <c r="T55" i="35"/>
  <c r="AE55" i="35"/>
  <c r="L64" i="5"/>
  <c r="N64" i="5"/>
  <c r="AE64" i="5"/>
  <c r="K65" i="5"/>
  <c r="N181" i="5"/>
  <c r="N65" i="5"/>
  <c r="S182" i="5"/>
  <c r="S66" i="5"/>
  <c r="X182" i="5"/>
  <c r="X66" i="5"/>
  <c r="G184" i="5"/>
  <c r="G68" i="5"/>
  <c r="J186" i="5"/>
  <c r="J68" i="5"/>
  <c r="E380" i="5"/>
  <c r="L380" i="5"/>
  <c r="M43" i="35"/>
  <c r="N380" i="5"/>
  <c r="N393" i="5" s="1"/>
  <c r="O43" i="35"/>
  <c r="R380" i="5"/>
  <c r="S43" i="35"/>
  <c r="Y380" i="5"/>
  <c r="Y379" i="5" s="1"/>
  <c r="Z43" i="35"/>
  <c r="J43" i="35"/>
  <c r="I317" i="5"/>
  <c r="T43" i="35"/>
  <c r="S317" i="5"/>
  <c r="AG317" i="5"/>
  <c r="AH43" i="35"/>
  <c r="N315" i="5"/>
  <c r="O6" i="35"/>
  <c r="N10" i="5" s="1"/>
  <c r="Y315" i="5"/>
  <c r="Z6" i="35"/>
  <c r="Y10" i="5" s="1"/>
  <c r="G315" i="5"/>
  <c r="G335" i="5" s="1"/>
  <c r="G391" i="5" s="1"/>
  <c r="H6" i="35"/>
  <c r="G10" i="5" s="1"/>
  <c r="P181" i="5"/>
  <c r="T181" i="5"/>
  <c r="V181" i="5"/>
  <c r="AA181" i="5"/>
  <c r="AC181" i="5"/>
  <c r="AD181" i="5"/>
  <c r="AE181" i="5"/>
  <c r="J182" i="5"/>
  <c r="R182" i="5"/>
  <c r="AA182" i="5"/>
  <c r="Q335" i="5"/>
  <c r="Q391" i="5" s="1"/>
  <c r="R346" i="5"/>
  <c r="R364" i="5" s="1"/>
  <c r="R358" i="5"/>
  <c r="R370" i="5"/>
  <c r="R340" i="5"/>
  <c r="R359" i="5"/>
  <c r="R341" i="5"/>
  <c r="R347" i="5"/>
  <c r="R365" i="5" s="1"/>
  <c r="R371" i="5"/>
  <c r="AA400" i="5"/>
  <c r="AA382" i="5"/>
  <c r="AA407" i="5" s="1"/>
  <c r="K359" i="5"/>
  <c r="K347" i="5"/>
  <c r="K353" i="5" s="1"/>
  <c r="K371" i="5"/>
  <c r="K341" i="5"/>
  <c r="J65" i="5"/>
  <c r="T65" i="5"/>
  <c r="U65" i="5"/>
  <c r="Z65" i="5"/>
  <c r="AA65" i="5"/>
  <c r="AB65" i="5"/>
  <c r="AC65" i="5"/>
  <c r="R316" i="5"/>
  <c r="X316" i="5"/>
  <c r="AG335" i="5"/>
  <c r="AG391" i="5" s="1"/>
  <c r="AG392" i="5" s="1"/>
  <c r="Q96" i="35"/>
  <c r="P373" i="5" s="1"/>
  <c r="P374" i="5" s="1"/>
  <c r="T96" i="35"/>
  <c r="S373" i="5" s="1"/>
  <c r="S374" i="5" s="1"/>
  <c r="AB96" i="35"/>
  <c r="AA373" i="5" s="1"/>
  <c r="AA374" i="5" s="1"/>
  <c r="AA375" i="5" s="1"/>
  <c r="Z345" i="5"/>
  <c r="Z351" i="5" s="1"/>
  <c r="AD345" i="5"/>
  <c r="AD363" i="5" s="1"/>
  <c r="Y5" i="35"/>
  <c r="AH5" i="35"/>
  <c r="AG10" i="5"/>
  <c r="P386" i="5"/>
  <c r="P428" i="5" s="1"/>
  <c r="J383" i="5"/>
  <c r="J414" i="5" s="1"/>
  <c r="N1975" i="32"/>
  <c r="M1975" i="32"/>
  <c r="Q1103" i="32"/>
  <c r="AA1103" i="32"/>
  <c r="E2014" i="32"/>
  <c r="D132" i="5"/>
  <c r="R1975" i="32"/>
  <c r="M1995" i="32"/>
  <c r="L2025" i="32"/>
  <c r="L2022" i="32"/>
  <c r="H96" i="35"/>
  <c r="G373" i="5" s="1"/>
  <c r="G374" i="5" s="1"/>
  <c r="G375" i="5" s="1"/>
  <c r="AG5" i="35"/>
  <c r="L2012" i="32"/>
  <c r="S2011" i="32"/>
  <c r="P2011" i="32"/>
  <c r="P2003" i="32"/>
  <c r="V1987" i="32"/>
  <c r="L2002" i="32"/>
  <c r="P2001" i="32"/>
  <c r="O1777" i="32"/>
  <c r="L936" i="32"/>
  <c r="N936" i="32"/>
  <c r="L2026" i="32"/>
  <c r="P2010" i="32"/>
  <c r="Q2007" i="32"/>
  <c r="S2007" i="32"/>
  <c r="L2001" i="32"/>
  <c r="V1968" i="32"/>
  <c r="Z2001" i="32"/>
  <c r="P1917" i="32"/>
  <c r="Q1664" i="32"/>
  <c r="L1287" i="32"/>
  <c r="P1983" i="32"/>
  <c r="P1980" i="32"/>
  <c r="Z1973" i="32"/>
  <c r="Z1916" i="32"/>
  <c r="F1874" i="32"/>
  <c r="C1874" i="32"/>
  <c r="Z1874" i="32" s="1"/>
  <c r="D1847" i="32"/>
  <c r="Q1776" i="32"/>
  <c r="B1734" i="32"/>
  <c r="F1664" i="32"/>
  <c r="B1664" i="32"/>
  <c r="M1636" i="32"/>
  <c r="F1594" i="32"/>
  <c r="C1454" i="32"/>
  <c r="L84" i="5"/>
  <c r="L104" i="5" s="1"/>
  <c r="N1415" i="32"/>
  <c r="F1384" i="32"/>
  <c r="B1384" i="32"/>
  <c r="S1356" i="32"/>
  <c r="G1287" i="32"/>
  <c r="M1243" i="32"/>
  <c r="H1243" i="32"/>
  <c r="V1058" i="32"/>
  <c r="S1091" i="32"/>
  <c r="L1091" i="32"/>
  <c r="S1090" i="32"/>
  <c r="S1082" i="32"/>
  <c r="AA1073" i="32"/>
  <c r="S1072" i="32"/>
  <c r="S1070" i="32"/>
  <c r="L1070" i="32"/>
  <c r="O1070" i="32"/>
  <c r="Q1061" i="32"/>
  <c r="M1005" i="32"/>
  <c r="S81" i="5"/>
  <c r="D81" i="5" s="1"/>
  <c r="Z515" i="32"/>
  <c r="L515" i="32"/>
  <c r="D166" i="32"/>
  <c r="D112" i="14"/>
  <c r="C97" i="14"/>
  <c r="M96" i="14"/>
  <c r="I96" i="14"/>
  <c r="E96" i="14"/>
  <c r="Q92" i="14"/>
  <c r="I92" i="14"/>
  <c r="C92" i="14" s="1"/>
  <c r="J94" i="14"/>
  <c r="H90" i="14"/>
  <c r="O321" i="5"/>
  <c r="O385" i="5"/>
  <c r="O421" i="5" s="1"/>
  <c r="P1005" i="32"/>
  <c r="E376" i="32"/>
  <c r="D376" i="32"/>
  <c r="G166" i="32"/>
  <c r="AG116" i="14"/>
  <c r="H108" i="14"/>
  <c r="D108" i="14"/>
  <c r="S108" i="14"/>
  <c r="D110" i="14"/>
  <c r="C99" i="14"/>
  <c r="C95" i="14"/>
  <c r="C91" i="14"/>
  <c r="R94" i="14"/>
  <c r="AB82" i="14"/>
  <c r="J82" i="14"/>
  <c r="AB80" i="14"/>
  <c r="P179" i="5"/>
  <c r="P64" i="5"/>
  <c r="N182" i="5"/>
  <c r="N66" i="5"/>
  <c r="P182" i="5"/>
  <c r="P66" i="5"/>
  <c r="R66" i="5"/>
  <c r="AB66" i="5"/>
  <c r="K69" i="5"/>
  <c r="K71" i="5" s="1"/>
  <c r="K67" i="5" s="1"/>
  <c r="K185" i="5" s="1"/>
  <c r="K186" i="5"/>
  <c r="K68" i="5"/>
  <c r="P186" i="5"/>
  <c r="P68" i="5"/>
  <c r="R68" i="5"/>
  <c r="S186" i="5"/>
  <c r="S68" i="5"/>
  <c r="AD186" i="5"/>
  <c r="AD68" i="5"/>
  <c r="F380" i="5"/>
  <c r="F379" i="5" s="1"/>
  <c r="F316" i="5"/>
  <c r="H320" i="5"/>
  <c r="H386" i="5"/>
  <c r="H428" i="5" s="1"/>
  <c r="D58" i="44"/>
  <c r="J53" i="44"/>
  <c r="E53" i="44" s="1"/>
  <c r="J34" i="44"/>
  <c r="E34" i="44" s="1"/>
  <c r="J32" i="44"/>
  <c r="N30" i="44"/>
  <c r="E30" i="44" s="1"/>
  <c r="N28" i="44"/>
  <c r="K383" i="5"/>
  <c r="AA55" i="35"/>
  <c r="AA6" i="35"/>
  <c r="Z10" i="5" s="1"/>
  <c r="E181" i="5"/>
  <c r="E65" i="5"/>
  <c r="Q181" i="5"/>
  <c r="Q178" i="5" s="1"/>
  <c r="Q65" i="5"/>
  <c r="O182" i="5"/>
  <c r="O66" i="5"/>
  <c r="L186" i="5"/>
  <c r="L68" i="5"/>
  <c r="O186" i="5"/>
  <c r="O68" i="5"/>
  <c r="T186" i="5"/>
  <c r="T68" i="5"/>
  <c r="AC186" i="5"/>
  <c r="AC68" i="5"/>
  <c r="F69" i="5"/>
  <c r="F71" i="5" s="1"/>
  <c r="F67" i="5" s="1"/>
  <c r="F185" i="5" s="1"/>
  <c r="S380" i="5"/>
  <c r="S393" i="5" s="1"/>
  <c r="S316" i="5"/>
  <c r="H315" i="5"/>
  <c r="I6" i="35"/>
  <c r="H10" i="5" s="1"/>
  <c r="I382" i="5"/>
  <c r="I407" i="5" s="1"/>
  <c r="S382" i="5"/>
  <c r="S407" i="5" s="1"/>
  <c r="H55" i="35"/>
  <c r="AE6" i="35"/>
  <c r="F181" i="5"/>
  <c r="O181" i="5"/>
  <c r="S181" i="5"/>
  <c r="Y181" i="5"/>
  <c r="K182" i="5"/>
  <c r="L182" i="5"/>
  <c r="AH385" i="5"/>
  <c r="AH421" i="5" s="1"/>
  <c r="AH321" i="5"/>
  <c r="S340" i="5"/>
  <c r="AE76" i="5"/>
  <c r="AC76" i="5"/>
  <c r="Y76" i="5"/>
  <c r="W76" i="5"/>
  <c r="U76" i="5"/>
  <c r="Q76" i="5"/>
  <c r="O76" i="5"/>
  <c r="K76" i="5"/>
  <c r="I76" i="5"/>
  <c r="E76" i="5"/>
  <c r="U117" i="5"/>
  <c r="Q117" i="5"/>
  <c r="Q118" i="5" s="1"/>
  <c r="O117" i="5"/>
  <c r="E117" i="5"/>
  <c r="H81" i="18"/>
  <c r="H20" i="18"/>
  <c r="H68" i="18"/>
  <c r="C117" i="14"/>
  <c r="X5" i="35"/>
  <c r="AI5" i="35"/>
  <c r="U5" i="35"/>
  <c r="C114" i="14"/>
  <c r="AF5" i="35"/>
  <c r="AD5" i="35"/>
  <c r="AB5" i="35"/>
  <c r="Z5" i="35"/>
  <c r="V5" i="35"/>
  <c r="R5" i="35"/>
  <c r="P5" i="35"/>
  <c r="N5" i="35"/>
  <c r="J5" i="35"/>
  <c r="H5" i="35"/>
  <c r="W5" i="35"/>
  <c r="S5" i="35"/>
  <c r="O5" i="35"/>
  <c r="K5" i="35"/>
  <c r="AC116" i="14"/>
  <c r="I116" i="14"/>
  <c r="R118" i="14"/>
  <c r="C118" i="14" s="1"/>
  <c r="I41" i="18"/>
  <c r="H112" i="14"/>
  <c r="C112" i="14" s="1"/>
  <c r="W108" i="14"/>
  <c r="AB108" i="14"/>
  <c r="T108" i="14"/>
  <c r="L108" i="14"/>
  <c r="I112" i="18"/>
  <c r="I96" i="18"/>
  <c r="W98" i="14"/>
  <c r="AC92" i="14"/>
  <c r="U92" i="14"/>
  <c r="M92" i="14"/>
  <c r="E92" i="14"/>
  <c r="AD94" i="14"/>
  <c r="N94" i="14"/>
  <c r="AC5" i="35"/>
  <c r="E10" i="5"/>
  <c r="M5" i="35"/>
  <c r="C107" i="14"/>
  <c r="C113" i="14"/>
  <c r="C77" i="14"/>
  <c r="U116" i="14"/>
  <c r="M116" i="14"/>
  <c r="C116" i="14" s="1"/>
  <c r="I69" i="18"/>
  <c r="AE114" i="14"/>
  <c r="AA108" i="14"/>
  <c r="K108" i="14"/>
  <c r="C108" i="14" s="1"/>
  <c r="AG106" i="14"/>
  <c r="Y106" i="14"/>
  <c r="Q106" i="14"/>
  <c r="I106" i="14"/>
  <c r="Z102" i="14"/>
  <c r="C102" i="14" s="1"/>
  <c r="E70" i="5"/>
  <c r="AB96" i="14"/>
  <c r="T96" i="14"/>
  <c r="L96" i="14"/>
  <c r="D96" i="14"/>
  <c r="V94" i="14"/>
  <c r="F94" i="14"/>
  <c r="W90" i="14"/>
  <c r="S90" i="14"/>
  <c r="AA90" i="14"/>
  <c r="X88" i="14"/>
  <c r="AF84" i="14"/>
  <c r="AB84" i="14"/>
  <c r="P84" i="14"/>
  <c r="L84" i="14"/>
  <c r="AD86" i="14"/>
  <c r="R86" i="14"/>
  <c r="P86" i="14"/>
  <c r="J86" i="14"/>
  <c r="D86" i="14"/>
  <c r="AD82" i="14"/>
  <c r="S82" i="14"/>
  <c r="L82" i="14"/>
  <c r="C20" i="14"/>
  <c r="AE80" i="14"/>
  <c r="Z80" i="14"/>
  <c r="V80" i="14"/>
  <c r="P80" i="14"/>
  <c r="L80" i="14"/>
  <c r="F80" i="14"/>
  <c r="P65" i="5"/>
  <c r="V65" i="5"/>
  <c r="AE335" i="5"/>
  <c r="AE391" i="5" s="1"/>
  <c r="L340" i="5"/>
  <c r="G382" i="5"/>
  <c r="U382" i="5"/>
  <c r="U407" i="5" s="1"/>
  <c r="W382" i="5"/>
  <c r="W407" i="5" s="1"/>
  <c r="AC382" i="5"/>
  <c r="AC407" i="5" s="1"/>
  <c r="AE382" i="5"/>
  <c r="AE407" i="5" s="1"/>
  <c r="E184" i="5"/>
  <c r="D184" i="5" s="1"/>
  <c r="Z28" i="5"/>
  <c r="K90" i="14"/>
  <c r="Y88" i="14"/>
  <c r="H88" i="14"/>
  <c r="AC84" i="14"/>
  <c r="M84" i="14"/>
  <c r="H84" i="14"/>
  <c r="F84" i="14"/>
  <c r="S86" i="14"/>
  <c r="Z82" i="14"/>
  <c r="V82" i="14"/>
  <c r="P82" i="14"/>
  <c r="H82" i="14"/>
  <c r="AD80" i="14"/>
  <c r="F65" i="5"/>
  <c r="E66" i="5"/>
  <c r="M66" i="5"/>
  <c r="Q66" i="5"/>
  <c r="AA66" i="5"/>
  <c r="L69" i="5"/>
  <c r="L71" i="5" s="1"/>
  <c r="L67" i="5" s="1"/>
  <c r="L185" i="5" s="1"/>
  <c r="O69" i="5"/>
  <c r="O71" i="5" s="1"/>
  <c r="O67" i="5" s="1"/>
  <c r="O185" i="5" s="1"/>
  <c r="M68" i="5"/>
  <c r="Q68" i="5"/>
  <c r="U68" i="5"/>
  <c r="Q316" i="5"/>
  <c r="U316" i="5"/>
  <c r="V316" i="5"/>
  <c r="G383" i="5"/>
  <c r="L386" i="5"/>
  <c r="L428" i="5" s="1"/>
  <c r="E386" i="5"/>
  <c r="E428" i="5" s="1"/>
  <c r="AH320" i="5"/>
  <c r="G385" i="5"/>
  <c r="G421" i="5" s="1"/>
  <c r="AE385" i="5"/>
  <c r="AE421" i="5" s="1"/>
  <c r="AG321" i="5"/>
  <c r="Z383" i="5"/>
  <c r="Z414" i="5" s="1"/>
  <c r="AD383" i="5"/>
  <c r="AD414" i="5" s="1"/>
  <c r="AF383" i="5"/>
  <c r="AF379" i="5" s="1"/>
  <c r="L122" i="5"/>
  <c r="L123" i="5" s="1"/>
  <c r="L124" i="5" s="1"/>
  <c r="L323" i="5" s="1"/>
  <c r="AA89" i="5"/>
  <c r="AF353" i="5"/>
  <c r="AF359" i="5" s="1"/>
  <c r="H125" i="5"/>
  <c r="F38" i="16"/>
  <c r="K375" i="5"/>
  <c r="AB87" i="5"/>
  <c r="K393" i="5"/>
  <c r="K392" i="5" s="1"/>
  <c r="H420" i="5"/>
  <c r="AA420" i="5"/>
  <c r="H427" i="5"/>
  <c r="J421" i="5"/>
  <c r="E11" i="5"/>
  <c r="M117" i="5"/>
  <c r="M118" i="5" s="1"/>
  <c r="M127" i="5"/>
  <c r="AO13" i="7" s="1"/>
  <c r="X123" i="5"/>
  <c r="X124" i="5" s="1"/>
  <c r="X125" i="5" s="1"/>
  <c r="L85" i="5"/>
  <c r="Z87" i="5"/>
  <c r="N117" i="5"/>
  <c r="N127" i="5"/>
  <c r="AP13" i="7" s="1"/>
  <c r="AB114" i="5"/>
  <c r="AB115" i="5" s="1"/>
  <c r="AB94" i="5" s="1"/>
  <c r="AB110" i="5" s="1"/>
  <c r="W172" i="5"/>
  <c r="V86" i="5"/>
  <c r="Q123" i="5"/>
  <c r="Q124" i="5" s="1"/>
  <c r="Y86" i="5"/>
  <c r="W353" i="5"/>
  <c r="I233" i="16"/>
  <c r="Y87" i="5"/>
  <c r="AE339" i="5"/>
  <c r="L114" i="5"/>
  <c r="L115" i="5" s="1"/>
  <c r="AF364" i="5"/>
  <c r="Z88" i="5"/>
  <c r="Z89" i="5" s="1"/>
  <c r="M339" i="5"/>
  <c r="C74" i="18"/>
  <c r="F247" i="16"/>
  <c r="AC122" i="5"/>
  <c r="AC123" i="5" s="1"/>
  <c r="AC124" i="5" s="1"/>
  <c r="U88" i="5"/>
  <c r="U89" i="5" s="1"/>
  <c r="X88" i="5"/>
  <c r="Y85" i="5"/>
  <c r="M382" i="5"/>
  <c r="M407" i="5" s="1"/>
  <c r="AC383" i="5"/>
  <c r="S383" i="5"/>
  <c r="S414" i="5" s="1"/>
  <c r="AH383" i="5"/>
  <c r="AH379" i="5" s="1"/>
  <c r="F76" i="5"/>
  <c r="T71" i="5"/>
  <c r="T67" i="5" s="1"/>
  <c r="T185" i="5" s="1"/>
  <c r="F16" i="16"/>
  <c r="G48" i="3"/>
  <c r="I48" i="3" s="1"/>
  <c r="V48" i="3" s="1"/>
  <c r="G59" i="3"/>
  <c r="I59" i="3" s="1"/>
  <c r="G57" i="3"/>
  <c r="I57" i="3" s="1"/>
  <c r="G55" i="3"/>
  <c r="I55" i="3" s="1"/>
  <c r="AA71" i="5"/>
  <c r="AA67" i="5" s="1"/>
  <c r="I79" i="18"/>
  <c r="Q414" i="5"/>
  <c r="I19" i="18"/>
  <c r="F25" i="16"/>
  <c r="K339" i="5"/>
  <c r="E414" i="5"/>
  <c r="P353" i="5"/>
  <c r="S86" i="5"/>
  <c r="O123" i="5"/>
  <c r="O124" i="5" s="1"/>
  <c r="O125" i="5" s="1"/>
  <c r="G358" i="5"/>
  <c r="S88" i="5"/>
  <c r="S89" i="5" s="1"/>
  <c r="R168" i="5"/>
  <c r="AA357" i="5"/>
  <c r="L88" i="5"/>
  <c r="L89" i="5" s="1"/>
  <c r="AE116" i="5"/>
  <c r="AA352" i="5"/>
  <c r="X353" i="5"/>
  <c r="L116" i="5"/>
  <c r="R71" i="5"/>
  <c r="R67" i="5" s="1"/>
  <c r="AF414" i="5"/>
  <c r="I117" i="5"/>
  <c r="I127" i="5"/>
  <c r="AK13" i="7" s="1"/>
  <c r="K323" i="5"/>
  <c r="AC352" i="5"/>
  <c r="T357" i="5"/>
  <c r="Z357" i="5"/>
  <c r="AB339" i="5"/>
  <c r="V115" i="5"/>
  <c r="V94" i="5" s="1"/>
  <c r="V110" i="5" s="1"/>
  <c r="O382" i="5"/>
  <c r="O407" i="5" s="1"/>
  <c r="AG383" i="5"/>
  <c r="AC335" i="5"/>
  <c r="AC391" i="5" s="1"/>
  <c r="X340" i="5"/>
  <c r="AE11" i="5"/>
  <c r="AC11" i="5"/>
  <c r="AA11" i="5"/>
  <c r="Y11" i="5"/>
  <c r="U11" i="5"/>
  <c r="S11" i="5"/>
  <c r="Q11" i="5"/>
  <c r="O11" i="5"/>
  <c r="M11" i="5"/>
  <c r="K11" i="5"/>
  <c r="F43" i="16"/>
  <c r="H405" i="5"/>
  <c r="F46" i="16"/>
  <c r="Q114" i="5"/>
  <c r="Q115" i="5" s="1"/>
  <c r="Q74" i="5" s="1"/>
  <c r="Q108" i="5" s="1"/>
  <c r="AA87" i="5"/>
  <c r="Y71" i="5"/>
  <c r="Y67" i="5" s="1"/>
  <c r="F406" i="5"/>
  <c r="V352" i="5"/>
  <c r="AB353" i="5"/>
  <c r="AB359" i="5" s="1"/>
  <c r="F234" i="16"/>
  <c r="E88" i="5"/>
  <c r="E85" i="5"/>
  <c r="H339" i="5"/>
  <c r="AB71" i="5"/>
  <c r="AB67" i="5" s="1"/>
  <c r="H392" i="5"/>
  <c r="F47" i="16"/>
  <c r="F41" i="16"/>
  <c r="I21" i="18"/>
  <c r="AC393" i="5"/>
  <c r="Q87" i="5"/>
  <c r="AA114" i="5"/>
  <c r="AA94" i="5" s="1"/>
  <c r="AA110" i="5" s="1"/>
  <c r="G71" i="5"/>
  <c r="G67" i="5" s="1"/>
  <c r="AD71" i="5"/>
  <c r="AD67" i="5" s="1"/>
  <c r="AA122" i="5"/>
  <c r="AA123" i="5" s="1"/>
  <c r="AA124" i="5" s="1"/>
  <c r="AA323" i="5" s="1"/>
  <c r="Z369" i="5"/>
  <c r="P345" i="5"/>
  <c r="U353" i="5"/>
  <c r="U359" i="5" s="1"/>
  <c r="H345" i="5"/>
  <c r="X94" i="5"/>
  <c r="X110" i="5" s="1"/>
  <c r="H368" i="5"/>
  <c r="J365" i="5"/>
  <c r="J371" i="5" s="1"/>
  <c r="N352" i="5"/>
  <c r="T365" i="5"/>
  <c r="AC88" i="5"/>
  <c r="AC89" i="5" s="1"/>
  <c r="T86" i="5"/>
  <c r="G116" i="5"/>
  <c r="N88" i="5"/>
  <c r="N89" i="5" s="1"/>
  <c r="AD357" i="5"/>
  <c r="V339" i="5"/>
  <c r="N345" i="5"/>
  <c r="N351" i="5" s="1"/>
  <c r="F249" i="16"/>
  <c r="O89" i="5"/>
  <c r="T88" i="5"/>
  <c r="T89" i="5" s="1"/>
  <c r="AD74" i="5"/>
  <c r="AD147" i="5" s="1"/>
  <c r="F252" i="16"/>
  <c r="R345" i="5"/>
  <c r="R363" i="5" s="1"/>
  <c r="J345" i="5"/>
  <c r="J363" i="5" s="1"/>
  <c r="V357" i="5"/>
  <c r="P357" i="5"/>
  <c r="L339" i="5"/>
  <c r="C102" i="18"/>
  <c r="C66" i="18"/>
  <c r="C34" i="18"/>
  <c r="R357" i="5"/>
  <c r="AD339" i="5"/>
  <c r="J339" i="5"/>
  <c r="Y115" i="5"/>
  <c r="Y74" i="5" s="1"/>
  <c r="Y108" i="5" s="1"/>
  <c r="AB345" i="5"/>
  <c r="AB363" i="5" s="1"/>
  <c r="V414" i="5"/>
  <c r="X71" i="5"/>
  <c r="X67" i="5" s="1"/>
  <c r="P71" i="5"/>
  <c r="P67" i="5" s="1"/>
  <c r="P185" i="5" s="1"/>
  <c r="AC71" i="5"/>
  <c r="AC67" i="5" s="1"/>
  <c r="AC185" i="5" s="1"/>
  <c r="N71" i="5"/>
  <c r="N67" i="5" s="1"/>
  <c r="N185" i="5" s="1"/>
  <c r="AE351" i="5"/>
  <c r="AE357" i="5" s="1"/>
  <c r="AE363" i="5"/>
  <c r="AE369" i="5" s="1"/>
  <c r="T379" i="5"/>
  <c r="L87" i="5"/>
  <c r="U414" i="5"/>
  <c r="AB88" i="5"/>
  <c r="AB89" i="5" s="1"/>
  <c r="N122" i="5"/>
  <c r="N123" i="5" s="1"/>
  <c r="N124" i="5" s="1"/>
  <c r="N323" i="5" s="1"/>
  <c r="I72" i="18"/>
  <c r="J123" i="5"/>
  <c r="J124" i="5" s="1"/>
  <c r="J125" i="5" s="1"/>
  <c r="F245" i="16"/>
  <c r="F365" i="5"/>
  <c r="S353" i="5"/>
  <c r="S359" i="5" s="1"/>
  <c r="AC353" i="5"/>
  <c r="AC359" i="5" s="1"/>
  <c r="I230" i="16"/>
  <c r="S357" i="5"/>
  <c r="I353" i="5"/>
  <c r="I359" i="5" s="1"/>
  <c r="AH364" i="5"/>
  <c r="S352" i="5"/>
  <c r="S358" i="5" s="1"/>
  <c r="W346" i="5"/>
  <c r="W364" i="5" s="1"/>
  <c r="X11" i="5"/>
  <c r="V11" i="5"/>
  <c r="T11" i="5"/>
  <c r="R11" i="5"/>
  <c r="P11" i="5"/>
  <c r="N11" i="5"/>
  <c r="L11" i="5"/>
  <c r="M393" i="5"/>
  <c r="O86" i="5"/>
  <c r="R117" i="5"/>
  <c r="R127" i="5"/>
  <c r="AT13" i="7" s="1"/>
  <c r="V379" i="5"/>
  <c r="E71" i="5"/>
  <c r="E67" i="5" s="1"/>
  <c r="M71" i="5"/>
  <c r="M67" i="5" s="1"/>
  <c r="M63" i="5" s="1"/>
  <c r="S71" i="5"/>
  <c r="S67" i="5" s="1"/>
  <c r="S185" i="5" s="1"/>
  <c r="N365" i="5"/>
  <c r="N371" i="5" s="1"/>
  <c r="X364" i="5"/>
  <c r="X370" i="5" s="1"/>
  <c r="AA405" i="5"/>
  <c r="AA406" i="5" s="1"/>
  <c r="Q345" i="5"/>
  <c r="Q363" i="5" s="1"/>
  <c r="Q369" i="5"/>
  <c r="O116" i="5"/>
  <c r="X89" i="5"/>
  <c r="P117" i="5"/>
  <c r="P127" i="5"/>
  <c r="AR13" i="7" s="1"/>
  <c r="T30" i="5"/>
  <c r="L345" i="5"/>
  <c r="E86" i="5"/>
  <c r="M85" i="5"/>
  <c r="W178" i="5"/>
  <c r="W217" i="5" s="1"/>
  <c r="D84" i="5"/>
  <c r="AE379" i="5"/>
  <c r="AD117" i="5"/>
  <c r="AD127" i="5"/>
  <c r="AA85" i="5"/>
  <c r="U71" i="5"/>
  <c r="U67" i="5" s="1"/>
  <c r="U185" i="5" s="1"/>
  <c r="U178" i="5" s="1"/>
  <c r="X117" i="5"/>
  <c r="X127" i="5"/>
  <c r="D179" i="5"/>
  <c r="AA86" i="5"/>
  <c r="U352" i="5"/>
  <c r="AV13" i="7"/>
  <c r="Z353" i="5"/>
  <c r="Z359" i="5" s="1"/>
  <c r="AA353" i="5"/>
  <c r="AA359" i="5" s="1"/>
  <c r="I86" i="5"/>
  <c r="Q86" i="5"/>
  <c r="AD86" i="5"/>
  <c r="AC86" i="5"/>
  <c r="F339" i="5"/>
  <c r="AB86" i="5"/>
  <c r="K127" i="5"/>
  <c r="F117" i="16"/>
  <c r="F120" i="16"/>
  <c r="F118" i="16"/>
  <c r="F124" i="16"/>
  <c r="F115" i="16"/>
  <c r="O398" i="5"/>
  <c r="F123" i="16"/>
  <c r="O405" i="5"/>
  <c r="O351" i="5"/>
  <c r="O357" i="5" s="1"/>
  <c r="O363" i="5"/>
  <c r="AD353" i="5"/>
  <c r="AD359" i="5" s="1"/>
  <c r="I227" i="16"/>
  <c r="I234" i="16"/>
  <c r="I225" i="16"/>
  <c r="Z364" i="5"/>
  <c r="AG364" i="5"/>
  <c r="I339" i="5"/>
  <c r="I369" i="5"/>
  <c r="I345" i="5"/>
  <c r="S339" i="5"/>
  <c r="S369" i="5"/>
  <c r="U345" i="5"/>
  <c r="W357" i="5"/>
  <c r="W369" i="5"/>
  <c r="W345" i="5"/>
  <c r="Y369" i="5"/>
  <c r="Y345" i="5"/>
  <c r="Y339" i="5"/>
  <c r="AA339" i="5"/>
  <c r="AA345" i="5"/>
  <c r="AC357" i="5"/>
  <c r="AC339" i="5"/>
  <c r="K414" i="5"/>
  <c r="V117" i="5"/>
  <c r="V127" i="5"/>
  <c r="O392" i="5"/>
  <c r="AB123" i="5"/>
  <c r="AB124" i="5" s="1"/>
  <c r="AB323" i="5" s="1"/>
  <c r="Y405" i="5"/>
  <c r="F228" i="16"/>
  <c r="F233" i="16"/>
  <c r="E369" i="5"/>
  <c r="E339" i="5"/>
  <c r="N168" i="5"/>
  <c r="C42" i="18"/>
  <c r="E81" i="18"/>
  <c r="H399" i="5"/>
  <c r="P115" i="5"/>
  <c r="AD89" i="5"/>
  <c r="V88" i="5"/>
  <c r="V89" i="5" s="1"/>
  <c r="AE86" i="5"/>
  <c r="Z86" i="5"/>
  <c r="I74" i="5"/>
  <c r="I147" i="5" s="1"/>
  <c r="I116" i="5"/>
  <c r="U86" i="5"/>
  <c r="AE85" i="5"/>
  <c r="V87" i="5"/>
  <c r="AY6" i="7"/>
  <c r="AG382" i="5"/>
  <c r="I383" i="5"/>
  <c r="O383" i="5"/>
  <c r="M335" i="5"/>
  <c r="M391" i="5" s="1"/>
  <c r="F98" i="16" s="1"/>
  <c r="R76" i="5"/>
  <c r="AD76" i="5"/>
  <c r="AB76" i="5"/>
  <c r="AB118" i="5" s="1"/>
  <c r="Z76" i="5"/>
  <c r="X76" i="5"/>
  <c r="V76" i="5"/>
  <c r="T76" i="5"/>
  <c r="P76" i="5"/>
  <c r="N76" i="5"/>
  <c r="N118" i="5" s="1"/>
  <c r="L76" i="5"/>
  <c r="J76" i="5"/>
  <c r="H76" i="5"/>
  <c r="AH11" i="5"/>
  <c r="AF11" i="5"/>
  <c r="AD11" i="5"/>
  <c r="AB11" i="5"/>
  <c r="Z11" i="5"/>
  <c r="I11" i="5"/>
  <c r="G11" i="5"/>
  <c r="AC117" i="5"/>
  <c r="AC118" i="5" s="1"/>
  <c r="Y117" i="5"/>
  <c r="G53" i="3"/>
  <c r="I53" i="3" s="1"/>
  <c r="F54" i="16"/>
  <c r="I398" i="5"/>
  <c r="AG405" i="5"/>
  <c r="AG398" i="5"/>
  <c r="F315" i="16"/>
  <c r="F322" i="16"/>
  <c r="F71" i="16"/>
  <c r="K398" i="5"/>
  <c r="K412" i="5" s="1"/>
  <c r="K419" i="5" s="1"/>
  <c r="K426" i="5" s="1"/>
  <c r="K427" i="5" s="1"/>
  <c r="F74" i="16"/>
  <c r="F80" i="16"/>
  <c r="F79" i="16"/>
  <c r="F76" i="16"/>
  <c r="K405" i="5"/>
  <c r="F73" i="16"/>
  <c r="W117" i="5"/>
  <c r="W118" i="5" s="1"/>
  <c r="W127" i="5"/>
  <c r="L117" i="5"/>
  <c r="L127" i="5"/>
  <c r="J117" i="5"/>
  <c r="J127" i="5"/>
  <c r="H127" i="5"/>
  <c r="H117" i="5"/>
  <c r="AA76" i="5"/>
  <c r="S76" i="5"/>
  <c r="F11" i="5"/>
  <c r="G61" i="3"/>
  <c r="I61" i="3" s="1"/>
  <c r="U371" i="5"/>
  <c r="U74" i="5"/>
  <c r="U108" i="5" s="1"/>
  <c r="U94" i="5"/>
  <c r="U110" i="5" s="1"/>
  <c r="Z108" i="5"/>
  <c r="Z94" i="5"/>
  <c r="Z110" i="5" s="1"/>
  <c r="F311" i="16"/>
  <c r="F310" i="16"/>
  <c r="F304" i="16"/>
  <c r="F305" i="16"/>
  <c r="F307" i="16"/>
  <c r="AF392" i="5"/>
  <c r="AF398" i="5"/>
  <c r="F302" i="16"/>
  <c r="AF405" i="5"/>
  <c r="AF406" i="5" s="1"/>
  <c r="H1317" i="17"/>
  <c r="H1309" i="17"/>
  <c r="H1334" i="17"/>
  <c r="H1327" i="17"/>
  <c r="H1294" i="17"/>
  <c r="H1303" i="17"/>
  <c r="G117" i="5"/>
  <c r="G127" i="5"/>
  <c r="L74" i="5"/>
  <c r="L108" i="5" s="1"/>
  <c r="AA127" i="5"/>
  <c r="AA117" i="5"/>
  <c r="D133" i="5"/>
  <c r="D142" i="5"/>
  <c r="G76" i="5"/>
  <c r="H105" i="5"/>
  <c r="H207" i="5" s="1"/>
  <c r="E87" i="5"/>
  <c r="F161" i="16"/>
  <c r="F168" i="16"/>
  <c r="F159" i="16"/>
  <c r="S398" i="5"/>
  <c r="F164" i="16"/>
  <c r="F162" i="16"/>
  <c r="S405" i="5"/>
  <c r="F167" i="16"/>
  <c r="G122" i="5"/>
  <c r="G123" i="5" s="1"/>
  <c r="G124" i="5" s="1"/>
  <c r="G323" i="5" s="1"/>
  <c r="I183" i="16"/>
  <c r="I181" i="16"/>
  <c r="I186" i="16"/>
  <c r="H60" i="18"/>
  <c r="H178" i="5"/>
  <c r="F186" i="16"/>
  <c r="F181" i="16"/>
  <c r="F190" i="16"/>
  <c r="F189" i="16"/>
  <c r="U392" i="5"/>
  <c r="F183" i="16"/>
  <c r="U398" i="5"/>
  <c r="U405" i="5"/>
  <c r="F184" i="16"/>
  <c r="H73" i="18"/>
  <c r="H64" i="18"/>
  <c r="F119" i="18"/>
  <c r="F19" i="18"/>
  <c r="C100" i="14"/>
  <c r="C93" i="14"/>
  <c r="AE115" i="5"/>
  <c r="D136" i="5"/>
  <c r="AB386" i="5"/>
  <c r="AB428" i="5" s="1"/>
  <c r="Z386" i="5"/>
  <c r="Z428" i="5" s="1"/>
  <c r="X386" i="5"/>
  <c r="X428" i="5" s="1"/>
  <c r="W385" i="5"/>
  <c r="W421" i="5" s="1"/>
  <c r="AF321" i="5"/>
  <c r="T316" i="5"/>
  <c r="AG318" i="5"/>
  <c r="N115" i="5"/>
  <c r="R115" i="5"/>
  <c r="V335" i="5"/>
  <c r="V391" i="5" s="1"/>
  <c r="V392" i="5" s="1"/>
  <c r="F323" i="5"/>
  <c r="I63" i="5"/>
  <c r="W63" i="5"/>
  <c r="H63" i="5"/>
  <c r="AE125" i="5"/>
  <c r="Z123" i="5"/>
  <c r="Z124" i="5" s="1"/>
  <c r="F129" i="16"/>
  <c r="F126" i="16"/>
  <c r="F131" i="16"/>
  <c r="P398" i="5"/>
  <c r="F135" i="16"/>
  <c r="P392" i="5"/>
  <c r="F134" i="16"/>
  <c r="P405" i="5"/>
  <c r="F128" i="16"/>
  <c r="U323" i="5"/>
  <c r="G73" i="3"/>
  <c r="I73" i="3" s="1"/>
  <c r="J405" i="5"/>
  <c r="J406" i="5" s="1"/>
  <c r="J398" i="5"/>
  <c r="F60" i="16"/>
  <c r="W209" i="5"/>
  <c r="W216" i="5"/>
  <c r="AG209" i="5"/>
  <c r="AG216" i="5"/>
  <c r="G66" i="3"/>
  <c r="I66" i="3" s="1"/>
  <c r="G58" i="3"/>
  <c r="I58" i="3" s="1"/>
  <c r="AH216" i="5"/>
  <c r="AH209" i="5"/>
  <c r="H1355" i="17"/>
  <c r="H1349" i="17"/>
  <c r="H1373" i="17"/>
  <c r="G64" i="3"/>
  <c r="I64" i="3" s="1"/>
  <c r="G60" i="3"/>
  <c r="I60" i="3" s="1"/>
  <c r="G56" i="3"/>
  <c r="I56" i="3" s="1"/>
  <c r="G49" i="3"/>
  <c r="I49" i="3" s="1"/>
  <c r="G63" i="3"/>
  <c r="I63" i="3" s="1"/>
  <c r="K94" i="5"/>
  <c r="K110" i="5" s="1"/>
  <c r="X108" i="5"/>
  <c r="O148" i="5"/>
  <c r="AH147" i="5"/>
  <c r="AH149" i="5"/>
  <c r="AH163" i="5" s="1"/>
  <c r="AH151" i="5"/>
  <c r="AH165" i="5" s="1"/>
  <c r="AH148" i="5"/>
  <c r="AH162" i="5" s="1"/>
  <c r="AH150" i="5"/>
  <c r="AH164" i="5" s="1"/>
  <c r="K148" i="5"/>
  <c r="K150" i="5"/>
  <c r="K147" i="5"/>
  <c r="K151" i="5"/>
  <c r="K149" i="5"/>
  <c r="F345" i="5"/>
  <c r="F351" i="5" s="1"/>
  <c r="X149" i="5"/>
  <c r="X151" i="5"/>
  <c r="X150" i="5"/>
  <c r="X148" i="5"/>
  <c r="AG148" i="5"/>
  <c r="AG162" i="5" s="1"/>
  <c r="AG150" i="5"/>
  <c r="AG164" i="5" s="1"/>
  <c r="AG149" i="5"/>
  <c r="AG163" i="5" s="1"/>
  <c r="AG147" i="5"/>
  <c r="AG151" i="5"/>
  <c r="AG165" i="5" s="1"/>
  <c r="W148" i="5"/>
  <c r="W162" i="5" s="1"/>
  <c r="W150" i="5"/>
  <c r="W164" i="5" s="1"/>
  <c r="W147" i="5"/>
  <c r="W151" i="5"/>
  <c r="W165" i="5" s="1"/>
  <c r="W149" i="5"/>
  <c r="W163" i="5" s="1"/>
  <c r="H147" i="5"/>
  <c r="H149" i="5"/>
  <c r="H163" i="5" s="1"/>
  <c r="H151" i="5"/>
  <c r="H165" i="5" s="1"/>
  <c r="H150" i="5"/>
  <c r="H164" i="5" s="1"/>
  <c r="H148" i="5"/>
  <c r="H162" i="5" s="1"/>
  <c r="L963" i="32" l="1"/>
  <c r="Q963" i="32"/>
  <c r="R1454" i="32"/>
  <c r="N1454" i="32"/>
  <c r="M1454" i="32"/>
  <c r="R1983" i="32"/>
  <c r="N1983" i="32"/>
  <c r="V1990" i="32"/>
  <c r="N2005" i="32"/>
  <c r="L2005" i="32"/>
  <c r="G2014" i="32"/>
  <c r="R1103" i="32"/>
  <c r="AG169" i="5"/>
  <c r="Z363" i="5"/>
  <c r="W170" i="5"/>
  <c r="C98" i="14"/>
  <c r="D20" i="35"/>
  <c r="E23" i="35"/>
  <c r="AF100" i="35"/>
  <c r="R1075" i="32"/>
  <c r="S1075" i="32"/>
  <c r="AA1497" i="32"/>
  <c r="G1995" i="32"/>
  <c r="S2008" i="32"/>
  <c r="V1970" i="32"/>
  <c r="O2008" i="32"/>
  <c r="P2008" i="32"/>
  <c r="R2008" i="32"/>
  <c r="O2012" i="32"/>
  <c r="P2012" i="32"/>
  <c r="R2012" i="32"/>
  <c r="S2012" i="32"/>
  <c r="V1972" i="32"/>
  <c r="N963" i="32"/>
  <c r="M963" i="32"/>
  <c r="R963" i="32"/>
  <c r="L1777" i="32"/>
  <c r="O1075" i="32"/>
  <c r="Z963" i="32"/>
  <c r="L1033" i="32"/>
  <c r="Z1033" i="32"/>
  <c r="Q1033" i="32"/>
  <c r="N1033" i="32"/>
  <c r="AA613" i="32"/>
  <c r="O613" i="32"/>
  <c r="S1064" i="32"/>
  <c r="G1076" i="32"/>
  <c r="M1103" i="32"/>
  <c r="N1103" i="32"/>
  <c r="F150" i="5"/>
  <c r="F146" i="5" s="1"/>
  <c r="F230" i="5" s="1"/>
  <c r="S406" i="5"/>
  <c r="S118" i="5"/>
  <c r="T118" i="5"/>
  <c r="D75" i="5"/>
  <c r="H170" i="5"/>
  <c r="L5" i="35"/>
  <c r="C110" i="14"/>
  <c r="P1975" i="32"/>
  <c r="P1103" i="32"/>
  <c r="G5" i="35"/>
  <c r="Y413" i="5"/>
  <c r="H72" i="18"/>
  <c r="M48" i="4"/>
  <c r="N726" i="32"/>
  <c r="L726" i="32"/>
  <c r="Q1064" i="32"/>
  <c r="N1064" i="32"/>
  <c r="L1064" i="32"/>
  <c r="Q1777" i="32"/>
  <c r="Q2005" i="32"/>
  <c r="E1995" i="32"/>
  <c r="Q1999" i="32"/>
  <c r="S1999" i="32"/>
  <c r="P1999" i="32"/>
  <c r="V1995" i="32"/>
  <c r="L2010" i="32"/>
  <c r="Q2010" i="32"/>
  <c r="N2010" i="32"/>
  <c r="Z2010" i="32"/>
  <c r="F108" i="5"/>
  <c r="U118" i="5"/>
  <c r="L48" i="4"/>
  <c r="F148" i="5"/>
  <c r="O149" i="5"/>
  <c r="V351" i="5"/>
  <c r="AG170" i="5"/>
  <c r="L178" i="5"/>
  <c r="AE118" i="5"/>
  <c r="D381" i="5"/>
  <c r="F35" i="35"/>
  <c r="E335" i="5"/>
  <c r="E391" i="5" s="1"/>
  <c r="M1983" i="32"/>
  <c r="Q796" i="32"/>
  <c r="P796" i="32"/>
  <c r="AA796" i="32"/>
  <c r="O1216" i="32"/>
  <c r="P1216" i="32"/>
  <c r="M1314" i="32"/>
  <c r="R1314" i="32"/>
  <c r="N1314" i="32"/>
  <c r="D1986" i="32"/>
  <c r="R1980" i="32"/>
  <c r="N1980" i="32"/>
  <c r="M1980" i="32"/>
  <c r="P1075" i="32"/>
  <c r="R1064" i="32"/>
  <c r="O1995" i="32"/>
  <c r="E94" i="5"/>
  <c r="O1975" i="32"/>
  <c r="D400" i="5"/>
  <c r="C90" i="18"/>
  <c r="AC19" i="7"/>
  <c r="E60" i="35"/>
  <c r="E100" i="35" s="1"/>
  <c r="Q1917" i="32"/>
  <c r="S1917" i="32"/>
  <c r="Q1357" i="32"/>
  <c r="N1357" i="32"/>
  <c r="F151" i="5"/>
  <c r="F149" i="5"/>
  <c r="O147" i="5"/>
  <c r="F238" i="16"/>
  <c r="C54" i="18"/>
  <c r="S1975" i="32"/>
  <c r="S1103" i="32"/>
  <c r="P10" i="5"/>
  <c r="L352" i="5"/>
  <c r="L358" i="5" s="1"/>
  <c r="AF96" i="35"/>
  <c r="AE373" i="5" s="1"/>
  <c r="AE374" i="5" s="1"/>
  <c r="AE375" i="5" s="1"/>
  <c r="J48" i="4"/>
  <c r="R613" i="32"/>
  <c r="N613" i="32"/>
  <c r="M613" i="32"/>
  <c r="Q866" i="32"/>
  <c r="AA866" i="32"/>
  <c r="P866" i="32"/>
  <c r="S866" i="32"/>
  <c r="N543" i="32"/>
  <c r="M543" i="32"/>
  <c r="R543" i="32"/>
  <c r="Z2005" i="32"/>
  <c r="I1986" i="32"/>
  <c r="L1986" i="32" s="1"/>
  <c r="L1982" i="32"/>
  <c r="Z1777" i="32"/>
  <c r="B1995" i="32"/>
  <c r="S796" i="32"/>
  <c r="P236" i="32"/>
  <c r="AA1917" i="32"/>
  <c r="S1497" i="32"/>
  <c r="O151" i="5"/>
  <c r="O146" i="5" s="1"/>
  <c r="AB405" i="5"/>
  <c r="O150" i="5"/>
  <c r="AH365" i="5"/>
  <c r="AH371" i="5" s="1"/>
  <c r="H406" i="5"/>
  <c r="T5" i="35"/>
  <c r="E118" i="5"/>
  <c r="P96" i="35"/>
  <c r="O373" i="5" s="1"/>
  <c r="O374" i="5" s="1"/>
  <c r="O375" i="5" s="1"/>
  <c r="O543" i="32"/>
  <c r="AA543" i="32"/>
  <c r="S936" i="32"/>
  <c r="R936" i="32"/>
  <c r="AA1847" i="32"/>
  <c r="P1847" i="32"/>
  <c r="Q1847" i="32"/>
  <c r="O1357" i="32"/>
  <c r="AA1999" i="32"/>
  <c r="O1103" i="32"/>
  <c r="E43" i="35"/>
  <c r="AF180" i="5"/>
  <c r="AF181" i="5"/>
  <c r="F25" i="35"/>
  <c r="AH25" i="35"/>
  <c r="AH24" i="35"/>
  <c r="AF323" i="5"/>
  <c r="L866" i="32"/>
  <c r="M866" i="32"/>
  <c r="M656" i="32"/>
  <c r="R656" i="32"/>
  <c r="N656" i="32"/>
  <c r="AH96" i="35"/>
  <c r="AG373" i="5" s="1"/>
  <c r="AG374" i="5" s="1"/>
  <c r="AG375" i="5" s="1"/>
  <c r="I51" i="4"/>
  <c r="S1006" i="32"/>
  <c r="P1006" i="32"/>
  <c r="R1006" i="32"/>
  <c r="Q1287" i="32"/>
  <c r="N1287" i="32"/>
  <c r="Q1707" i="32"/>
  <c r="L1707" i="32"/>
  <c r="Z1707" i="32"/>
  <c r="M1524" i="32"/>
  <c r="N1524" i="32"/>
  <c r="R1524" i="32"/>
  <c r="D2014" i="32"/>
  <c r="P1986" i="32"/>
  <c r="Q1986" i="32"/>
  <c r="Z1287" i="32"/>
  <c r="AC379" i="5"/>
  <c r="E182" i="5"/>
  <c r="E17" i="35"/>
  <c r="E55" i="35"/>
  <c r="D21" i="35"/>
  <c r="AF183" i="5"/>
  <c r="AF182" i="5"/>
  <c r="AG15" i="35"/>
  <c r="E15" i="35" s="1"/>
  <c r="E6" i="35"/>
  <c r="AI24" i="35"/>
  <c r="AI25" i="35"/>
  <c r="D16" i="35"/>
  <c r="H79" i="18"/>
  <c r="AG96" i="35"/>
  <c r="AF373" i="5" s="1"/>
  <c r="AF374" i="5" s="1"/>
  <c r="AF375" i="5" s="1"/>
  <c r="I48" i="4"/>
  <c r="O1006" i="32"/>
  <c r="AA1006" i="32"/>
  <c r="AI96" i="35"/>
  <c r="AH373" i="5" s="1"/>
  <c r="AH374" i="5" s="1"/>
  <c r="AH375" i="5" s="1"/>
  <c r="AH121" i="5"/>
  <c r="AH122" i="5" s="1"/>
  <c r="AH125" i="5" s="1"/>
  <c r="AO11" i="3"/>
  <c r="L236" i="32"/>
  <c r="N236" i="32"/>
  <c r="Q236" i="32"/>
  <c r="M1146" i="32"/>
  <c r="N1146" i="32"/>
  <c r="Z1567" i="32"/>
  <c r="Q1567" i="32"/>
  <c r="N1567" i="32"/>
  <c r="L1567" i="32"/>
  <c r="B1987" i="32"/>
  <c r="AA1707" i="32"/>
  <c r="O1707" i="32"/>
  <c r="N1944" i="32"/>
  <c r="M1944" i="32"/>
  <c r="R1944" i="32"/>
  <c r="O1146" i="32"/>
  <c r="P1146" i="32"/>
  <c r="AA1567" i="32"/>
  <c r="O1567" i="32"/>
  <c r="N1874" i="32"/>
  <c r="L1874" i="32"/>
  <c r="Q1874" i="32"/>
  <c r="O1944" i="32"/>
  <c r="AA1944" i="32"/>
  <c r="AA1637" i="32"/>
  <c r="P1637" i="32"/>
  <c r="E1987" i="32"/>
  <c r="Q1637" i="32"/>
  <c r="S1637" i="32"/>
  <c r="O936" i="32"/>
  <c r="O1986" i="32"/>
  <c r="O118" i="5"/>
  <c r="E66" i="35"/>
  <c r="E180" i="5"/>
  <c r="D180" i="5" s="1"/>
  <c r="E12" i="35"/>
  <c r="F24" i="35"/>
  <c r="M1075" i="32"/>
  <c r="L1075" i="32"/>
  <c r="I1076" i="32"/>
  <c r="R26" i="32"/>
  <c r="P26" i="32"/>
  <c r="AG323" i="5"/>
  <c r="O26" i="32"/>
  <c r="F1077" i="32"/>
  <c r="AA26" i="32"/>
  <c r="N1707" i="32"/>
  <c r="R1707" i="32"/>
  <c r="O1427" i="32"/>
  <c r="AA1427" i="32"/>
  <c r="F1987" i="32"/>
  <c r="M1707" i="32"/>
  <c r="S1986" i="32"/>
  <c r="C88" i="14"/>
  <c r="D333" i="5"/>
  <c r="E13" i="35"/>
  <c r="F48" i="35"/>
  <c r="H8" i="16" s="1"/>
  <c r="E31" i="35"/>
  <c r="E382" i="5"/>
  <c r="E407" i="5" s="1"/>
  <c r="K2024" i="32"/>
  <c r="K2025" i="32"/>
  <c r="K2029" i="32"/>
  <c r="K2023" i="32"/>
  <c r="K2030" i="32"/>
  <c r="K2028" i="32"/>
  <c r="K2026" i="32"/>
  <c r="K2022" i="32"/>
  <c r="K2027" i="32"/>
  <c r="K2021" i="32"/>
  <c r="C78" i="18"/>
  <c r="W168" i="5"/>
  <c r="Q726" i="32"/>
  <c r="S726" i="32"/>
  <c r="AA726" i="32"/>
  <c r="P726" i="32"/>
  <c r="O1064" i="32"/>
  <c r="H1076" i="32"/>
  <c r="P1064" i="32"/>
  <c r="K48" i="4"/>
  <c r="S1243" i="32"/>
  <c r="R1243" i="32"/>
  <c r="Z1357" i="32"/>
  <c r="C1987" i="32"/>
  <c r="Z1987" i="32" s="1"/>
  <c r="P1173" i="32"/>
  <c r="O1173" i="32"/>
  <c r="O1497" i="32"/>
  <c r="P1497" i="32"/>
  <c r="AA63" i="5"/>
  <c r="AH225" i="5"/>
  <c r="AG225" i="5"/>
  <c r="W225" i="5"/>
  <c r="W233" i="5"/>
  <c r="AG224" i="5"/>
  <c r="H224" i="5"/>
  <c r="AF224" i="5"/>
  <c r="AH224" i="5"/>
  <c r="U109" i="5"/>
  <c r="E110" i="5"/>
  <c r="H109" i="5"/>
  <c r="H97" i="5"/>
  <c r="X107" i="5"/>
  <c r="Y150" i="5"/>
  <c r="W212" i="5"/>
  <c r="W189" i="5" s="1"/>
  <c r="W45" i="5" s="1"/>
  <c r="L118" i="5"/>
  <c r="D380" i="5"/>
  <c r="AE323" i="5"/>
  <c r="AE324" i="5" s="1"/>
  <c r="AB406" i="5"/>
  <c r="AC94" i="5"/>
  <c r="AC110" i="5" s="1"/>
  <c r="F316" i="16"/>
  <c r="F321" i="16"/>
  <c r="F318" i="16"/>
  <c r="F313" i="16"/>
  <c r="I405" i="5"/>
  <c r="F51" i="16"/>
  <c r="F57" i="16"/>
  <c r="Y118" i="5"/>
  <c r="Y406" i="5"/>
  <c r="O94" i="5"/>
  <c r="O110" i="5" s="1"/>
  <c r="AE365" i="5"/>
  <c r="AE371" i="5" s="1"/>
  <c r="S351" i="5"/>
  <c r="AG351" i="5"/>
  <c r="F241" i="16"/>
  <c r="G94" i="5"/>
  <c r="G110" i="5" s="1"/>
  <c r="V74" i="5"/>
  <c r="V108" i="5" s="1"/>
  <c r="X339" i="5"/>
  <c r="F68" i="16"/>
  <c r="T178" i="5"/>
  <c r="S392" i="5"/>
  <c r="E340" i="5"/>
  <c r="E379" i="5"/>
  <c r="AD375" i="5"/>
  <c r="D384" i="5"/>
  <c r="R379" i="5"/>
  <c r="K351" i="5"/>
  <c r="K357" i="5" s="1"/>
  <c r="F62" i="16"/>
  <c r="J392" i="5"/>
  <c r="F69" i="16"/>
  <c r="R125" i="5"/>
  <c r="I190" i="16"/>
  <c r="I189" i="16"/>
  <c r="I184" i="16"/>
  <c r="F58" i="16"/>
  <c r="F52" i="16"/>
  <c r="I392" i="5"/>
  <c r="Z118" i="5"/>
  <c r="AH324" i="5"/>
  <c r="AH338" i="5" s="1"/>
  <c r="F63" i="16"/>
  <c r="AA379" i="5"/>
  <c r="K352" i="5"/>
  <c r="F236" i="16"/>
  <c r="Z398" i="5"/>
  <c r="Z399" i="5" s="1"/>
  <c r="M365" i="5"/>
  <c r="M371" i="5" s="1"/>
  <c r="G352" i="5"/>
  <c r="F326" i="16"/>
  <c r="AF351" i="5"/>
  <c r="AF357" i="5" s="1"/>
  <c r="G353" i="5"/>
  <c r="AG365" i="5"/>
  <c r="AG371" i="5" s="1"/>
  <c r="F250" i="16"/>
  <c r="F118" i="5"/>
  <c r="F256" i="16"/>
  <c r="AA392" i="5"/>
  <c r="P364" i="5"/>
  <c r="K118" i="5"/>
  <c r="S375" i="5"/>
  <c r="E346" i="5"/>
  <c r="E364" i="5" s="1"/>
  <c r="M351" i="5"/>
  <c r="M357" i="5" s="1"/>
  <c r="F178" i="5"/>
  <c r="AC63" i="5"/>
  <c r="AC154" i="5" s="1"/>
  <c r="X146" i="5"/>
  <c r="Q148" i="5"/>
  <c r="AB125" i="5"/>
  <c r="J323" i="5"/>
  <c r="J337" i="5" s="1"/>
  <c r="Q351" i="5"/>
  <c r="H161" i="5"/>
  <c r="H146" i="5"/>
  <c r="AG161" i="5"/>
  <c r="AG160" i="5" s="1"/>
  <c r="AG146" i="5"/>
  <c r="AH161" i="5"/>
  <c r="AH160" i="5" s="1"/>
  <c r="AH146" i="5"/>
  <c r="W161" i="5"/>
  <c r="W160" i="5" s="1"/>
  <c r="W146" i="5"/>
  <c r="K146" i="5"/>
  <c r="Y148" i="5"/>
  <c r="V323" i="5"/>
  <c r="V324" i="5" s="1"/>
  <c r="K91" i="5"/>
  <c r="Z91" i="5"/>
  <c r="U91" i="5"/>
  <c r="X91" i="5"/>
  <c r="F91" i="5"/>
  <c r="AA91" i="5"/>
  <c r="V91" i="5"/>
  <c r="AB91" i="5"/>
  <c r="W235" i="5"/>
  <c r="N125" i="5"/>
  <c r="W257" i="5"/>
  <c r="W194" i="5" s="1"/>
  <c r="W18" i="5" s="1"/>
  <c r="W226" i="5"/>
  <c r="W208" i="5"/>
  <c r="H160" i="5"/>
  <c r="I77" i="5"/>
  <c r="M77" i="5"/>
  <c r="AH71" i="5"/>
  <c r="AH67" i="5" s="1"/>
  <c r="AH63" i="5" s="1"/>
  <c r="AH153" i="5" s="1"/>
  <c r="AG71" i="5"/>
  <c r="AG67" i="5" s="1"/>
  <c r="AG185" i="5" s="1"/>
  <c r="AG178" i="5" s="1"/>
  <c r="J74" i="5"/>
  <c r="J108" i="5" s="1"/>
  <c r="J94" i="5"/>
  <c r="J110" i="5" s="1"/>
  <c r="AE71" i="5"/>
  <c r="AE67" i="5" s="1"/>
  <c r="AF185" i="5"/>
  <c r="W197" i="5"/>
  <c r="W267" i="5" s="1"/>
  <c r="D320" i="5"/>
  <c r="D64" i="5"/>
  <c r="D321" i="5"/>
  <c r="L149" i="5"/>
  <c r="W352" i="5"/>
  <c r="W239" i="5"/>
  <c r="W191" i="5" s="1"/>
  <c r="W253" i="5"/>
  <c r="W230" i="5"/>
  <c r="W190" i="5" s="1"/>
  <c r="W221" i="5"/>
  <c r="W192" i="5" s="1"/>
  <c r="L125" i="5"/>
  <c r="E112" i="5"/>
  <c r="E91" i="5"/>
  <c r="E185" i="5"/>
  <c r="M405" i="5"/>
  <c r="M406" i="5" s="1"/>
  <c r="X63" i="5"/>
  <c r="X158" i="5" s="1"/>
  <c r="X165" i="5" s="1"/>
  <c r="X185" i="5"/>
  <c r="X178" i="5" s="1"/>
  <c r="AD63" i="5"/>
  <c r="AD154" i="5" s="1"/>
  <c r="AD185" i="5"/>
  <c r="AD178" i="5" s="1"/>
  <c r="AB185" i="5"/>
  <c r="AB178" i="5" s="1"/>
  <c r="E89" i="5"/>
  <c r="D89" i="5" s="1"/>
  <c r="D88" i="5"/>
  <c r="AA185" i="5"/>
  <c r="AA178" i="5" s="1"/>
  <c r="AC178" i="5"/>
  <c r="E370" i="5"/>
  <c r="J178" i="5"/>
  <c r="U375" i="5"/>
  <c r="D317" i="5"/>
  <c r="D318" i="5"/>
  <c r="V185" i="5"/>
  <c r="V178" i="5" s="1"/>
  <c r="D315" i="5"/>
  <c r="M185" i="5"/>
  <c r="M178" i="5" s="1"/>
  <c r="G185" i="5"/>
  <c r="G178" i="5" s="1"/>
  <c r="Y185" i="5"/>
  <c r="Y178" i="5" s="1"/>
  <c r="R63" i="5"/>
  <c r="R155" i="5" s="1"/>
  <c r="R185" i="5"/>
  <c r="R178" i="5" s="1"/>
  <c r="D66" i="5"/>
  <c r="D117" i="5"/>
  <c r="D76" i="5"/>
  <c r="D65" i="5"/>
  <c r="N178" i="5"/>
  <c r="D316" i="5"/>
  <c r="D6" i="5"/>
  <c r="D68" i="5"/>
  <c r="AA164" i="7"/>
  <c r="AA142" i="7"/>
  <c r="AA76" i="7"/>
  <c r="AA329" i="7"/>
  <c r="V111" i="5"/>
  <c r="V112" i="5"/>
  <c r="AB112" i="5"/>
  <c r="F111" i="5"/>
  <c r="F112" i="5"/>
  <c r="K112" i="5"/>
  <c r="Z112" i="5"/>
  <c r="U112" i="5"/>
  <c r="G112" i="5"/>
  <c r="X112" i="5"/>
  <c r="AA112" i="5"/>
  <c r="AA111" i="5"/>
  <c r="U111" i="5"/>
  <c r="AB111" i="5"/>
  <c r="X111" i="5"/>
  <c r="E105" i="5"/>
  <c r="E207" i="5" s="1"/>
  <c r="E111" i="5"/>
  <c r="K111" i="5"/>
  <c r="Z111" i="5"/>
  <c r="L379" i="5"/>
  <c r="D325" i="5"/>
  <c r="D332" i="5"/>
  <c r="D8" i="5"/>
  <c r="D181" i="5"/>
  <c r="D186" i="5"/>
  <c r="P63" i="5"/>
  <c r="P157" i="5" s="1"/>
  <c r="J63" i="5"/>
  <c r="J155" i="5" s="1"/>
  <c r="D182" i="5"/>
  <c r="Z63" i="5"/>
  <c r="Z154" i="5" s="1"/>
  <c r="AA109" i="7"/>
  <c r="AA10" i="7"/>
  <c r="AA98" i="7"/>
  <c r="AA120" i="7"/>
  <c r="AA307" i="7"/>
  <c r="AA296" i="7"/>
  <c r="AA21" i="7"/>
  <c r="AA197" i="7"/>
  <c r="AA318" i="7"/>
  <c r="AG10" i="7"/>
  <c r="AA230" i="7"/>
  <c r="AA43" i="7"/>
  <c r="AA263" i="7"/>
  <c r="AA285" i="7"/>
  <c r="AC18" i="7"/>
  <c r="AA186" i="7"/>
  <c r="AA208" i="7"/>
  <c r="AA153" i="7"/>
  <c r="AA32" i="7"/>
  <c r="AA87" i="7"/>
  <c r="AA65" i="7"/>
  <c r="AA54" i="7"/>
  <c r="AA241" i="7"/>
  <c r="AA131" i="7"/>
  <c r="AA175" i="7"/>
  <c r="AA252" i="7"/>
  <c r="AA274" i="7"/>
  <c r="C96" i="14"/>
  <c r="AA86" i="7"/>
  <c r="AA163" i="7"/>
  <c r="AA240" i="7"/>
  <c r="AA22" i="7"/>
  <c r="AG11" i="7"/>
  <c r="AA44" i="7"/>
  <c r="AA275" i="7"/>
  <c r="AA99" i="7"/>
  <c r="AA308" i="7"/>
  <c r="AA55" i="7"/>
  <c r="AA66" i="7"/>
  <c r="AA242" i="7"/>
  <c r="AA121" i="7"/>
  <c r="AA132" i="7"/>
  <c r="AA319" i="7"/>
  <c r="AA11" i="7"/>
  <c r="AA110" i="7"/>
  <c r="AA297" i="7"/>
  <c r="AA176" i="7"/>
  <c r="AA209" i="7"/>
  <c r="AA330" i="7"/>
  <c r="AA33" i="7"/>
  <c r="AA286" i="7"/>
  <c r="AA88" i="7"/>
  <c r="AA77" i="7"/>
  <c r="AA143" i="7"/>
  <c r="AA154" i="7"/>
  <c r="AA198" i="7"/>
  <c r="AA165" i="7"/>
  <c r="AA220" i="7"/>
  <c r="AA231" i="7"/>
  <c r="AA253" i="7"/>
  <c r="AA187" i="7"/>
  <c r="AA264" i="7"/>
  <c r="AA20" i="7"/>
  <c r="AA75" i="7"/>
  <c r="AA306" i="7"/>
  <c r="AA218" i="7"/>
  <c r="AG9" i="7"/>
  <c r="AA64" i="7"/>
  <c r="AA328" i="7"/>
  <c r="AA141" i="7"/>
  <c r="AA185" i="7"/>
  <c r="AA130" i="7"/>
  <c r="AA174" i="7"/>
  <c r="AA152" i="7"/>
  <c r="AA317" i="7"/>
  <c r="AA53" i="7"/>
  <c r="AA42" i="7"/>
  <c r="AA284" i="7"/>
  <c r="AA229" i="7"/>
  <c r="AA207" i="7"/>
  <c r="AA273" i="7"/>
  <c r="AA251" i="7"/>
  <c r="AA119" i="7"/>
  <c r="AA97" i="7"/>
  <c r="AA295" i="7"/>
  <c r="AA196" i="7"/>
  <c r="AA31" i="7"/>
  <c r="AA108" i="7"/>
  <c r="AA262" i="7"/>
  <c r="F107" i="5"/>
  <c r="T108" i="5"/>
  <c r="T151" i="5"/>
  <c r="G108" i="5"/>
  <c r="G147" i="5"/>
  <c r="G150" i="5"/>
  <c r="G149" i="5"/>
  <c r="G351" i="5"/>
  <c r="G363" i="5"/>
  <c r="AB398" i="5"/>
  <c r="AB412" i="5" s="1"/>
  <c r="AB419" i="5" s="1"/>
  <c r="AB426" i="5" s="1"/>
  <c r="AB427" i="5" s="1"/>
  <c r="N379" i="5"/>
  <c r="AD352" i="5"/>
  <c r="AD358" i="5" s="1"/>
  <c r="N63" i="5"/>
  <c r="N154" i="5" s="1"/>
  <c r="AA399" i="5"/>
  <c r="J364" i="5"/>
  <c r="O178" i="5"/>
  <c r="L843" i="17"/>
  <c r="O843" i="17" s="1"/>
  <c r="V7" i="46"/>
  <c r="H208" i="5"/>
  <c r="H244" i="5"/>
  <c r="H248" i="5"/>
  <c r="H193" i="5" s="1"/>
  <c r="AB74" i="5"/>
  <c r="AB147" i="5" s="1"/>
  <c r="F230" i="16"/>
  <c r="I125" i="5"/>
  <c r="S63" i="5"/>
  <c r="S153" i="5" s="1"/>
  <c r="H379" i="5"/>
  <c r="L94" i="5"/>
  <c r="L110" i="5" s="1"/>
  <c r="F24" i="16"/>
  <c r="F261" i="16"/>
  <c r="F398" i="5"/>
  <c r="E74" i="5"/>
  <c r="G369" i="5"/>
  <c r="AD351" i="5"/>
  <c r="AE364" i="5"/>
  <c r="AE370" i="5" s="1"/>
  <c r="P406" i="5"/>
  <c r="M379" i="5"/>
  <c r="I406" i="5"/>
  <c r="I118" i="5"/>
  <c r="Q63" i="5"/>
  <c r="Q154" i="5" s="1"/>
  <c r="O341" i="5"/>
  <c r="G63" i="5"/>
  <c r="G154" i="5" s="1"/>
  <c r="T94" i="5"/>
  <c r="T110" i="5" s="1"/>
  <c r="K406" i="5"/>
  <c r="AD340" i="5"/>
  <c r="E345" i="5"/>
  <c r="E351" i="5" s="1"/>
  <c r="F332" i="16"/>
  <c r="F364" i="5"/>
  <c r="F370" i="5" s="1"/>
  <c r="AD379" i="5"/>
  <c r="D69" i="5"/>
  <c r="G339" i="5"/>
  <c r="F227" i="16"/>
  <c r="Y63" i="5"/>
  <c r="Y155" i="5" s="1"/>
  <c r="P375" i="5"/>
  <c r="F329" i="16"/>
  <c r="O406" i="5"/>
  <c r="H353" i="5"/>
  <c r="F324" i="16"/>
  <c r="F263" i="16"/>
  <c r="N335" i="5"/>
  <c r="N391" i="5" s="1"/>
  <c r="U150" i="5"/>
  <c r="Q147" i="5"/>
  <c r="S323" i="5"/>
  <c r="S324" i="5" s="1"/>
  <c r="V63" i="5"/>
  <c r="V156" i="5" s="1"/>
  <c r="AA108" i="5"/>
  <c r="F327" i="16"/>
  <c r="AH392" i="5"/>
  <c r="Y399" i="5"/>
  <c r="U63" i="5"/>
  <c r="U155" i="5" s="1"/>
  <c r="W244" i="5"/>
  <c r="W248" i="5"/>
  <c r="W193" i="5" s="1"/>
  <c r="S379" i="5"/>
  <c r="R352" i="5"/>
  <c r="L353" i="5"/>
  <c r="F18" i="16"/>
  <c r="S178" i="5"/>
  <c r="P379" i="5"/>
  <c r="Q353" i="5"/>
  <c r="AA118" i="5"/>
  <c r="K379" i="5"/>
  <c r="AH363" i="5"/>
  <c r="T63" i="5"/>
  <c r="T153" i="5" s="1"/>
  <c r="Q149" i="5"/>
  <c r="U406" i="5"/>
  <c r="O63" i="5"/>
  <c r="O153" i="5" s="1"/>
  <c r="D70" i="5"/>
  <c r="K365" i="5"/>
  <c r="D330" i="5"/>
  <c r="O323" i="5"/>
  <c r="R353" i="5"/>
  <c r="F19" i="16"/>
  <c r="F21" i="16"/>
  <c r="AB364" i="5"/>
  <c r="Y420" i="5"/>
  <c r="K178" i="5"/>
  <c r="D327" i="5"/>
  <c r="G12" i="16"/>
  <c r="G11" i="16"/>
  <c r="G143" i="16"/>
  <c r="G144" i="16"/>
  <c r="G154" i="16"/>
  <c r="G155" i="16"/>
  <c r="X105" i="5"/>
  <c r="X207" i="5" s="1"/>
  <c r="V105" i="5"/>
  <c r="V207" i="5" s="1"/>
  <c r="F267" i="16"/>
  <c r="F266" i="16"/>
  <c r="F258" i="16"/>
  <c r="F260" i="16"/>
  <c r="H323" i="5"/>
  <c r="Y353" i="5"/>
  <c r="Y359" i="5" s="1"/>
  <c r="Y365" i="5"/>
  <c r="Y371" i="5" s="1"/>
  <c r="O365" i="5"/>
  <c r="O371" i="5" s="1"/>
  <c r="O353" i="5"/>
  <c r="O359" i="5" s="1"/>
  <c r="M340" i="5"/>
  <c r="M346" i="5"/>
  <c r="H346" i="5"/>
  <c r="D326" i="5"/>
  <c r="Y121" i="5"/>
  <c r="Y122" i="5" s="1"/>
  <c r="Y123" i="5" s="1"/>
  <c r="Y124" i="5" s="1"/>
  <c r="Z96" i="35"/>
  <c r="Y373" i="5" s="1"/>
  <c r="Y374" i="5" s="1"/>
  <c r="Y375" i="5" s="1"/>
  <c r="I370" i="5"/>
  <c r="I340" i="5"/>
  <c r="I346" i="5"/>
  <c r="I358" i="5"/>
  <c r="O340" i="5"/>
  <c r="O346" i="5"/>
  <c r="T370" i="5"/>
  <c r="T346" i="5"/>
  <c r="T358" i="5"/>
  <c r="T340" i="5"/>
  <c r="Q370" i="5"/>
  <c r="Q358" i="5"/>
  <c r="Q346" i="5"/>
  <c r="Q340" i="5"/>
  <c r="Y358" i="5"/>
  <c r="Y340" i="5"/>
  <c r="Y346" i="5"/>
  <c r="Y370" i="5"/>
  <c r="AH398" i="5"/>
  <c r="AH405" i="5"/>
  <c r="AH406" i="5" s="1"/>
  <c r="AC375" i="5"/>
  <c r="F96" i="35"/>
  <c r="E373" i="5" s="1"/>
  <c r="E374" i="5" s="1"/>
  <c r="E375" i="5" s="1"/>
  <c r="E121" i="5"/>
  <c r="M96" i="35"/>
  <c r="L373" i="5" s="1"/>
  <c r="L374" i="5" s="1"/>
  <c r="L375" i="5" s="1"/>
  <c r="J96" i="35"/>
  <c r="I373" i="5" s="1"/>
  <c r="I374" i="5" s="1"/>
  <c r="I375" i="5" s="1"/>
  <c r="U96" i="35"/>
  <c r="T373" i="5" s="1"/>
  <c r="T374" i="5" s="1"/>
  <c r="T375" i="5" s="1"/>
  <c r="T121" i="5"/>
  <c r="T122" i="5" s="1"/>
  <c r="T123" i="5" s="1"/>
  <c r="T124" i="5" s="1"/>
  <c r="V347" i="5"/>
  <c r="V341" i="5"/>
  <c r="E347" i="5"/>
  <c r="E341" i="5"/>
  <c r="E329" i="5"/>
  <c r="D329" i="5" s="1"/>
  <c r="G357" i="5"/>
  <c r="D331" i="5"/>
  <c r="R356" i="5"/>
  <c r="R335" i="5"/>
  <c r="R391" i="5" s="1"/>
  <c r="R338" i="5"/>
  <c r="R368" i="5"/>
  <c r="R389" i="5" s="1"/>
  <c r="T356" i="5"/>
  <c r="T338" i="5"/>
  <c r="T335" i="5"/>
  <c r="T391" i="5" s="1"/>
  <c r="T368" i="5"/>
  <c r="T389" i="5" s="1"/>
  <c r="W356" i="5"/>
  <c r="W335" i="5"/>
  <c r="W391" i="5" s="1"/>
  <c r="W338" i="5"/>
  <c r="W368" i="5"/>
  <c r="W389" i="5" s="1"/>
  <c r="Z405" i="5"/>
  <c r="Z406" i="5" s="1"/>
  <c r="F244" i="16"/>
  <c r="F239" i="16"/>
  <c r="X335" i="5"/>
  <c r="X391" i="5" s="1"/>
  <c r="I96" i="35"/>
  <c r="H373" i="5" s="1"/>
  <c r="H374" i="5" s="1"/>
  <c r="H375" i="5" s="1"/>
  <c r="E183" i="5"/>
  <c r="AB351" i="5"/>
  <c r="G125" i="5"/>
  <c r="E757" i="17"/>
  <c r="Q379" i="5"/>
  <c r="AF63" i="5"/>
  <c r="C82" i="14"/>
  <c r="F35" i="16"/>
  <c r="F30" i="16"/>
  <c r="G392" i="5"/>
  <c r="F36" i="16"/>
  <c r="F32" i="16"/>
  <c r="G398" i="5"/>
  <c r="G399" i="5" s="1"/>
  <c r="F29" i="16"/>
  <c r="G405" i="5"/>
  <c r="F27" i="16"/>
  <c r="F140" i="16"/>
  <c r="F137" i="16"/>
  <c r="F142" i="16"/>
  <c r="Q405" i="5"/>
  <c r="Q406" i="5" s="1"/>
  <c r="F139" i="16"/>
  <c r="F146" i="16"/>
  <c r="F145" i="16"/>
  <c r="Q398" i="5"/>
  <c r="Q392" i="5"/>
  <c r="L398" i="5"/>
  <c r="F91" i="16"/>
  <c r="F90" i="16"/>
  <c r="F87" i="16"/>
  <c r="F82" i="16"/>
  <c r="F85" i="16"/>
  <c r="F84" i="16"/>
  <c r="L405" i="5"/>
  <c r="L406" i="5" s="1"/>
  <c r="Y393" i="5"/>
  <c r="Y392" i="5" s="1"/>
  <c r="R393" i="5"/>
  <c r="L393" i="5"/>
  <c r="L392" i="5" s="1"/>
  <c r="E393" i="5"/>
  <c r="E392" i="5" s="1"/>
  <c r="D95" i="5"/>
  <c r="AE5" i="35"/>
  <c r="AD10" i="5"/>
  <c r="J379" i="5"/>
  <c r="K63" i="5"/>
  <c r="H216" i="5"/>
  <c r="AC392" i="5"/>
  <c r="U379" i="5"/>
  <c r="U404" i="5" s="1"/>
  <c r="C90" i="14"/>
  <c r="C94" i="14"/>
  <c r="C106" i="14"/>
  <c r="N57" i="44"/>
  <c r="E28" i="44"/>
  <c r="J57" i="44"/>
  <c r="E32" i="44"/>
  <c r="M376" i="32"/>
  <c r="R376" i="32"/>
  <c r="N376" i="32"/>
  <c r="S114" i="5"/>
  <c r="S115" i="5" s="1"/>
  <c r="S87" i="5"/>
  <c r="AA1384" i="32"/>
  <c r="O1384" i="32"/>
  <c r="F2014" i="32"/>
  <c r="O1594" i="32"/>
  <c r="AA1594" i="32"/>
  <c r="L1664" i="32"/>
  <c r="Z1664" i="32"/>
  <c r="N1664" i="32"/>
  <c r="N1734" i="32"/>
  <c r="L1734" i="32"/>
  <c r="Q1734" i="32"/>
  <c r="M1847" i="32"/>
  <c r="N1847" i="32"/>
  <c r="D1987" i="32"/>
  <c r="R1847" i="32"/>
  <c r="O1874" i="32"/>
  <c r="AA1874" i="32"/>
  <c r="Z1734" i="32"/>
  <c r="S85" i="5"/>
  <c r="C86" i="14"/>
  <c r="I5" i="35"/>
  <c r="AA5" i="35"/>
  <c r="F393" i="5"/>
  <c r="F392" i="5" s="1"/>
  <c r="P178" i="5"/>
  <c r="R166" i="32"/>
  <c r="P166" i="32"/>
  <c r="O166" i="32"/>
  <c r="S166" i="32"/>
  <c r="P376" i="32"/>
  <c r="Q376" i="32"/>
  <c r="S376" i="32"/>
  <c r="AA376" i="32"/>
  <c r="N166" i="32"/>
  <c r="M166" i="32"/>
  <c r="O1243" i="32"/>
  <c r="P1243" i="32"/>
  <c r="P1287" i="32"/>
  <c r="O1287" i="32"/>
  <c r="S1287" i="32"/>
  <c r="R1287" i="32"/>
  <c r="L1384" i="32"/>
  <c r="N1384" i="32"/>
  <c r="Z1384" i="32"/>
  <c r="B2014" i="32"/>
  <c r="Q2014" i="32" s="1"/>
  <c r="C2014" i="32"/>
  <c r="Z1454" i="32"/>
  <c r="AA1664" i="32"/>
  <c r="O1664" i="32"/>
  <c r="Q1384" i="32"/>
  <c r="P2014" i="32"/>
  <c r="S2014" i="32"/>
  <c r="L63" i="5"/>
  <c r="L154" i="5" s="1"/>
  <c r="G414" i="5"/>
  <c r="G407" i="5"/>
  <c r="G379" i="5"/>
  <c r="AE398" i="5"/>
  <c r="F294" i="16"/>
  <c r="AE405" i="5"/>
  <c r="AE406" i="5" s="1"/>
  <c r="F296" i="16"/>
  <c r="F300" i="16"/>
  <c r="F291" i="16"/>
  <c r="F293" i="16"/>
  <c r="F299" i="16"/>
  <c r="C84" i="14"/>
  <c r="C80" i="14"/>
  <c r="AE392" i="5"/>
  <c r="H235" i="5"/>
  <c r="K337" i="5"/>
  <c r="L150" i="5"/>
  <c r="G151" i="5"/>
  <c r="G148" i="5"/>
  <c r="H253" i="5"/>
  <c r="AA125" i="5"/>
  <c r="AB63" i="5"/>
  <c r="AB157" i="5" s="1"/>
  <c r="AD94" i="5"/>
  <c r="AD110" i="5" s="1"/>
  <c r="X323" i="5"/>
  <c r="H221" i="5"/>
  <c r="H192" i="5" s="1"/>
  <c r="D17" i="5"/>
  <c r="T418" i="5"/>
  <c r="T425" i="5"/>
  <c r="T404" i="5"/>
  <c r="T390" i="5"/>
  <c r="K420" i="5"/>
  <c r="AH414" i="5"/>
  <c r="AC414" i="5"/>
  <c r="Q125" i="5"/>
  <c r="Q323" i="5"/>
  <c r="AC323" i="5"/>
  <c r="AC125" i="5"/>
  <c r="AC149" i="5"/>
  <c r="H226" i="5"/>
  <c r="H212" i="5"/>
  <c r="H189" i="5" s="1"/>
  <c r="J118" i="5"/>
  <c r="G118" i="5"/>
  <c r="H118" i="5"/>
  <c r="V118" i="5"/>
  <c r="X118" i="5"/>
  <c r="P118" i="5"/>
  <c r="AD118" i="5"/>
  <c r="R118" i="5"/>
  <c r="I94" i="5"/>
  <c r="I110" i="5" s="1"/>
  <c r="P125" i="5"/>
  <c r="AA147" i="5"/>
  <c r="I148" i="5"/>
  <c r="Y158" i="5"/>
  <c r="AC151" i="5"/>
  <c r="AC148" i="5"/>
  <c r="L148" i="5"/>
  <c r="L151" i="5"/>
  <c r="L147" i="5"/>
  <c r="U151" i="5"/>
  <c r="Z148" i="5"/>
  <c r="Y147" i="5"/>
  <c r="V405" i="5"/>
  <c r="V406" i="5" s="1"/>
  <c r="N363" i="5"/>
  <c r="T397" i="5"/>
  <c r="J351" i="5"/>
  <c r="K324" i="5"/>
  <c r="AD108" i="5"/>
  <c r="AD149" i="5"/>
  <c r="AD148" i="5"/>
  <c r="AD150" i="5"/>
  <c r="AD151" i="5"/>
  <c r="AA105" i="5"/>
  <c r="AA207" i="5" s="1"/>
  <c r="H797" i="17"/>
  <c r="H788" i="17"/>
  <c r="H821" i="17"/>
  <c r="H811" i="17"/>
  <c r="T148" i="5"/>
  <c r="T147" i="5"/>
  <c r="Z150" i="5"/>
  <c r="Z149" i="5"/>
  <c r="Y151" i="5"/>
  <c r="Y149" i="5"/>
  <c r="V150" i="5"/>
  <c r="Q151" i="5"/>
  <c r="Q150" i="5"/>
  <c r="V398" i="5"/>
  <c r="V412" i="5" s="1"/>
  <c r="V419" i="5" s="1"/>
  <c r="K399" i="5"/>
  <c r="M323" i="5"/>
  <c r="M324" i="5" s="1"/>
  <c r="Y94" i="5"/>
  <c r="Y110" i="5" s="1"/>
  <c r="H15" i="17"/>
  <c r="Q94" i="5"/>
  <c r="Q110" i="5" s="1"/>
  <c r="G71" i="3"/>
  <c r="I71" i="3" s="1"/>
  <c r="G51" i="3"/>
  <c r="I51" i="3" s="1"/>
  <c r="G72" i="3"/>
  <c r="I72" i="3" s="1"/>
  <c r="AC398" i="5"/>
  <c r="F274" i="16"/>
  <c r="AC405" i="5"/>
  <c r="AC406" i="5" s="1"/>
  <c r="F278" i="16"/>
  <c r="F271" i="16"/>
  <c r="F269" i="16"/>
  <c r="F277" i="16"/>
  <c r="F272" i="16"/>
  <c r="AG414" i="5"/>
  <c r="P363" i="5"/>
  <c r="P351" i="5"/>
  <c r="H389" i="5"/>
  <c r="H351" i="5"/>
  <c r="H357" i="5" s="1"/>
  <c r="H363" i="5"/>
  <c r="F105" i="5"/>
  <c r="F207" i="5" s="1"/>
  <c r="R351" i="5"/>
  <c r="Z412" i="5"/>
  <c r="Z419" i="5" s="1"/>
  <c r="I151" i="5"/>
  <c r="I150" i="5"/>
  <c r="AC147" i="5"/>
  <c r="AC150" i="5"/>
  <c r="H209" i="5"/>
  <c r="K413" i="5"/>
  <c r="T363" i="5"/>
  <c r="T351" i="5"/>
  <c r="X351" i="5"/>
  <c r="X357" i="5" s="1"/>
  <c r="X363" i="5"/>
  <c r="L351" i="5"/>
  <c r="L363" i="5"/>
  <c r="BF13" i="7"/>
  <c r="AZ13" i="7"/>
  <c r="U107" i="5"/>
  <c r="AM13" i="7"/>
  <c r="G67" i="3"/>
  <c r="I67" i="3" s="1"/>
  <c r="F96" i="16"/>
  <c r="F93" i="16"/>
  <c r="M398" i="5"/>
  <c r="F95" i="16"/>
  <c r="F101" i="16"/>
  <c r="F102" i="16"/>
  <c r="I414" i="5"/>
  <c r="D383" i="5"/>
  <c r="I379" i="5"/>
  <c r="P74" i="5"/>
  <c r="P94" i="5"/>
  <c r="P110" i="5" s="1"/>
  <c r="AA351" i="5"/>
  <c r="AA363" i="5"/>
  <c r="U351" i="5"/>
  <c r="U357" i="5" s="1"/>
  <c r="U363" i="5"/>
  <c r="U369" i="5" s="1"/>
  <c r="I363" i="5"/>
  <c r="I351" i="5"/>
  <c r="O369" i="5"/>
  <c r="O414" i="5"/>
  <c r="O379" i="5"/>
  <c r="AG407" i="5"/>
  <c r="D382" i="5"/>
  <c r="AG379" i="5"/>
  <c r="AX13" i="7"/>
  <c r="AC363" i="5"/>
  <c r="AC351" i="5"/>
  <c r="Y363" i="5"/>
  <c r="Y351" i="5"/>
  <c r="W363" i="5"/>
  <c r="W351" i="5"/>
  <c r="I324" i="5"/>
  <c r="I337" i="5"/>
  <c r="O412" i="5"/>
  <c r="O419" i="5" s="1"/>
  <c r="O399" i="5"/>
  <c r="H257" i="5"/>
  <c r="H194" i="5" s="1"/>
  <c r="H239" i="5"/>
  <c r="H191" i="5" s="1"/>
  <c r="H53" i="5" s="1"/>
  <c r="H230" i="5"/>
  <c r="H217" i="5"/>
  <c r="M392" i="5"/>
  <c r="AJ13" i="7"/>
  <c r="G52" i="3"/>
  <c r="I52" i="3" s="1"/>
  <c r="G54" i="3"/>
  <c r="I54" i="3" s="1"/>
  <c r="I412" i="5"/>
  <c r="I419" i="5" s="1"/>
  <c r="I399" i="5"/>
  <c r="G50" i="3"/>
  <c r="I50" i="3" s="1"/>
  <c r="AL13" i="7"/>
  <c r="AN13" i="7"/>
  <c r="AY13" i="7"/>
  <c r="AG412" i="5"/>
  <c r="AG419" i="5" s="1"/>
  <c r="AG399" i="5"/>
  <c r="I149" i="5"/>
  <c r="T150" i="5"/>
  <c r="T149" i="5"/>
  <c r="U147" i="5"/>
  <c r="U149" i="5"/>
  <c r="U148" i="5"/>
  <c r="Z151" i="5"/>
  <c r="Z147" i="5"/>
  <c r="Z107" i="5"/>
  <c r="G65" i="3"/>
  <c r="I65" i="3" s="1"/>
  <c r="G69" i="3"/>
  <c r="I69" i="3" s="1"/>
  <c r="AB105" i="5"/>
  <c r="AB207" i="5" s="1"/>
  <c r="AI13" i="7"/>
  <c r="AF412" i="5"/>
  <c r="AF419" i="5" s="1"/>
  <c r="AF399" i="5"/>
  <c r="AD392" i="5"/>
  <c r="F280" i="16"/>
  <c r="AD405" i="5"/>
  <c r="AD406" i="5" s="1"/>
  <c r="F282" i="16"/>
  <c r="AD398" i="5"/>
  <c r="F289" i="16"/>
  <c r="F283" i="16"/>
  <c r="F288" i="16"/>
  <c r="F285" i="16"/>
  <c r="H144" i="17"/>
  <c r="H167" i="17"/>
  <c r="H159" i="17"/>
  <c r="H153" i="17"/>
  <c r="H184" i="17"/>
  <c r="H177" i="17"/>
  <c r="BC13" i="7"/>
  <c r="M94" i="5"/>
  <c r="M110" i="5" s="1"/>
  <c r="L107" i="5"/>
  <c r="AD156" i="5"/>
  <c r="AA156" i="5"/>
  <c r="AA158" i="5"/>
  <c r="AA157" i="5"/>
  <c r="AA153" i="5"/>
  <c r="AA155" i="5"/>
  <c r="AA154" i="5"/>
  <c r="Z105" i="5"/>
  <c r="Z207" i="5" s="1"/>
  <c r="U105" i="5"/>
  <c r="U207" i="5" s="1"/>
  <c r="R94" i="5"/>
  <c r="R110" i="5" s="1"/>
  <c r="R74" i="5"/>
  <c r="D385" i="5"/>
  <c r="W379" i="5"/>
  <c r="O155" i="5"/>
  <c r="O162" i="5" s="1"/>
  <c r="AC155" i="5"/>
  <c r="AC157" i="5"/>
  <c r="AC158" i="5"/>
  <c r="F194" i="16"/>
  <c r="F197" i="16"/>
  <c r="F192" i="16"/>
  <c r="F200" i="16"/>
  <c r="F201" i="16"/>
  <c r="F195" i="16"/>
  <c r="N74" i="5"/>
  <c r="N94" i="5"/>
  <c r="N110" i="5" s="1"/>
  <c r="W114" i="5"/>
  <c r="D115" i="5"/>
  <c r="D386" i="5"/>
  <c r="X379" i="5"/>
  <c r="AB379" i="5"/>
  <c r="AE74" i="5"/>
  <c r="AE148" i="5" s="1"/>
  <c r="AE94" i="5"/>
  <c r="AE110" i="5" s="1"/>
  <c r="C6" i="18"/>
  <c r="U412" i="5"/>
  <c r="U419" i="5" s="1"/>
  <c r="U399" i="5"/>
  <c r="S399" i="5"/>
  <c r="S412" i="5"/>
  <c r="S419" i="5" s="1"/>
  <c r="Z379" i="5"/>
  <c r="F357" i="5"/>
  <c r="G47" i="3"/>
  <c r="K105" i="5"/>
  <c r="K207" i="5" s="1"/>
  <c r="K107" i="5"/>
  <c r="AH236" i="5"/>
  <c r="AH227" i="5"/>
  <c r="AH234" i="5"/>
  <c r="AG218" i="5"/>
  <c r="G1294" i="17"/>
  <c r="G1317" i="17"/>
  <c r="G1334" i="17"/>
  <c r="G1327" i="17"/>
  <c r="G1309" i="17"/>
  <c r="G1303" i="17"/>
  <c r="W218" i="5"/>
  <c r="G849" i="17"/>
  <c r="G857" i="17"/>
  <c r="G834" i="17"/>
  <c r="G843" i="17"/>
  <c r="G874" i="17"/>
  <c r="G867" i="17"/>
  <c r="J399" i="5"/>
  <c r="J412" i="5"/>
  <c r="J419" i="5" s="1"/>
  <c r="J426" i="5" s="1"/>
  <c r="J427" i="5" s="1"/>
  <c r="AB324" i="5"/>
  <c r="AB337" i="5"/>
  <c r="P324" i="5"/>
  <c r="P337" i="5"/>
  <c r="U337" i="5"/>
  <c r="U324" i="5"/>
  <c r="S337" i="5"/>
  <c r="Z125" i="5"/>
  <c r="Z323" i="5"/>
  <c r="F63" i="5"/>
  <c r="H153" i="5"/>
  <c r="Q158" i="5"/>
  <c r="Z153" i="5"/>
  <c r="Z158" i="5"/>
  <c r="M156" i="5"/>
  <c r="M158" i="5"/>
  <c r="M153" i="5"/>
  <c r="M155" i="5"/>
  <c r="M157" i="5"/>
  <c r="M154" i="5"/>
  <c r="I153" i="5"/>
  <c r="I157" i="5"/>
  <c r="I158" i="5"/>
  <c r="I154" i="5"/>
  <c r="I155" i="5"/>
  <c r="I156" i="5"/>
  <c r="R324" i="5"/>
  <c r="AA324" i="5"/>
  <c r="AA337" i="5"/>
  <c r="N324" i="5"/>
  <c r="N337" i="5"/>
  <c r="X155" i="5"/>
  <c r="X162" i="5" s="1"/>
  <c r="R154" i="5"/>
  <c r="F363" i="5"/>
  <c r="AH218" i="5"/>
  <c r="G1349" i="17"/>
  <c r="G1363" i="17"/>
  <c r="G1373" i="17"/>
  <c r="G1340" i="17"/>
  <c r="G1355" i="17"/>
  <c r="G1380" i="17"/>
  <c r="AD125" i="5"/>
  <c r="AD323" i="5"/>
  <c r="W227" i="5"/>
  <c r="W236" i="5"/>
  <c r="W234" i="5"/>
  <c r="I108" i="5"/>
  <c r="P412" i="5"/>
  <c r="P419" i="5" s="1"/>
  <c r="P399" i="5"/>
  <c r="AE337" i="5"/>
  <c r="W153" i="5"/>
  <c r="P155" i="5"/>
  <c r="P158" i="5"/>
  <c r="P153" i="5"/>
  <c r="J324" i="5"/>
  <c r="G337" i="5"/>
  <c r="G324" i="5"/>
  <c r="L337" i="5"/>
  <c r="L324" i="5"/>
  <c r="F324" i="5"/>
  <c r="F338" i="5" s="1"/>
  <c r="F337" i="5"/>
  <c r="AF178" i="5" l="1"/>
  <c r="Q1995" i="32"/>
  <c r="G107" i="5"/>
  <c r="N1986" i="32"/>
  <c r="M1986" i="32"/>
  <c r="R1986" i="32"/>
  <c r="Z2014" i="32"/>
  <c r="W51" i="5"/>
  <c r="AA1995" i="32"/>
  <c r="R1076" i="32"/>
  <c r="G1987" i="32"/>
  <c r="S1076" i="32"/>
  <c r="AG236" i="5"/>
  <c r="V337" i="5"/>
  <c r="O91" i="5"/>
  <c r="E24" i="35"/>
  <c r="AG234" i="5"/>
  <c r="Z1995" i="32"/>
  <c r="N1995" i="32"/>
  <c r="L1995" i="32"/>
  <c r="F10" i="16"/>
  <c r="F7" i="16"/>
  <c r="F14" i="16"/>
  <c r="E398" i="5"/>
  <c r="E405" i="5"/>
  <c r="E406" i="5" s="1"/>
  <c r="F5" i="16"/>
  <c r="F8" i="16"/>
  <c r="F13" i="16"/>
  <c r="D10" i="5"/>
  <c r="G111" i="5"/>
  <c r="AG227" i="5"/>
  <c r="S156" i="5"/>
  <c r="P1995" i="32"/>
  <c r="S1995" i="32"/>
  <c r="V1967" i="32"/>
  <c r="R1995" i="32"/>
  <c r="AG337" i="5"/>
  <c r="AG324" i="5"/>
  <c r="M2014" i="32"/>
  <c r="R2014" i="32"/>
  <c r="H1987" i="32"/>
  <c r="O1987" i="32" s="1"/>
  <c r="P1076" i="32"/>
  <c r="O1076" i="32"/>
  <c r="AA1987" i="32"/>
  <c r="I1987" i="32"/>
  <c r="L1987" i="32" s="1"/>
  <c r="M1076" i="32"/>
  <c r="L1076" i="32"/>
  <c r="S1987" i="32"/>
  <c r="Q1987" i="32"/>
  <c r="AF337" i="5"/>
  <c r="AF324" i="5"/>
  <c r="H895" i="17"/>
  <c r="L834" i="17"/>
  <c r="O834" i="17" s="1"/>
  <c r="Q834" i="17" s="1"/>
  <c r="Q876" i="17" s="1"/>
  <c r="V9" i="46"/>
  <c r="W242" i="5"/>
  <c r="H218" i="5"/>
  <c r="H1041" i="17"/>
  <c r="H225" i="5"/>
  <c r="H803" i="17"/>
  <c r="G10" i="46"/>
  <c r="H39" i="17"/>
  <c r="L874" i="17"/>
  <c r="O874" i="17" s="1"/>
  <c r="L849" i="17"/>
  <c r="O849" i="17" s="1"/>
  <c r="AH233" i="5"/>
  <c r="AF233" i="5"/>
  <c r="H233" i="5"/>
  <c r="AG233" i="5"/>
  <c r="P154" i="5"/>
  <c r="P156" i="5"/>
  <c r="H880" i="17"/>
  <c r="AC107" i="5"/>
  <c r="AC209" i="5" s="1"/>
  <c r="R156" i="5"/>
  <c r="Z155" i="5"/>
  <c r="Z156" i="5"/>
  <c r="AH344" i="5"/>
  <c r="AH120" i="5" s="1"/>
  <c r="AH362" i="5" s="1"/>
  <c r="AH418" i="5" s="1"/>
  <c r="O105" i="5"/>
  <c r="O207" i="5" s="1"/>
  <c r="V147" i="5"/>
  <c r="L177" i="17"/>
  <c r="O177" i="17" s="1"/>
  <c r="P177" i="17" s="1"/>
  <c r="V148" i="5"/>
  <c r="V149" i="5"/>
  <c r="J148" i="5"/>
  <c r="O111" i="5"/>
  <c r="P109" i="5"/>
  <c r="I107" i="5"/>
  <c r="AD105" i="5"/>
  <c r="AD207" i="5" s="1"/>
  <c r="AF226" i="5"/>
  <c r="G91" i="5"/>
  <c r="AC105" i="5"/>
  <c r="AC207" i="5" s="1"/>
  <c r="X154" i="5"/>
  <c r="X161" i="5" s="1"/>
  <c r="S154" i="5"/>
  <c r="S155" i="5"/>
  <c r="AD158" i="5"/>
  <c r="O107" i="5"/>
  <c r="O209" i="5" s="1"/>
  <c r="V107" i="5"/>
  <c r="V209" i="5" s="1"/>
  <c r="G803" i="17" s="1"/>
  <c r="V151" i="5"/>
  <c r="H46" i="17"/>
  <c r="J151" i="5"/>
  <c r="H21" i="17"/>
  <c r="O112" i="5"/>
  <c r="AC91" i="5"/>
  <c r="W210" i="5"/>
  <c r="X157" i="5"/>
  <c r="X164" i="5" s="1"/>
  <c r="Q157" i="5"/>
  <c r="Q164" i="5" s="1"/>
  <c r="Q155" i="5"/>
  <c r="Q162" i="5" s="1"/>
  <c r="J153" i="5"/>
  <c r="G153" i="5"/>
  <c r="AD155" i="5"/>
  <c r="E216" i="5"/>
  <c r="H29" i="17"/>
  <c r="G105" i="5"/>
  <c r="G207" i="5" s="1"/>
  <c r="G209" i="5" s="1"/>
  <c r="G107" i="17" s="1"/>
  <c r="H6" i="17"/>
  <c r="K221" i="5"/>
  <c r="K192" i="5" s="1"/>
  <c r="E352" i="5"/>
  <c r="X248" i="5"/>
  <c r="X193" i="5" s="1"/>
  <c r="W14" i="5"/>
  <c r="H1058" i="17"/>
  <c r="V8" i="46"/>
  <c r="AC111" i="5"/>
  <c r="AC112" i="5"/>
  <c r="AC77" i="5"/>
  <c r="F257" i="5"/>
  <c r="F194" i="5" s="1"/>
  <c r="F202" i="5" s="1"/>
  <c r="X212" i="5"/>
  <c r="X189" i="5" s="1"/>
  <c r="X257" i="5"/>
  <c r="X194" i="5" s="1"/>
  <c r="H889" i="17"/>
  <c r="R157" i="5"/>
  <c r="Q153" i="5"/>
  <c r="Q156" i="5"/>
  <c r="Q163" i="5" s="1"/>
  <c r="J156" i="5"/>
  <c r="S158" i="5"/>
  <c r="S157" i="5"/>
  <c r="E363" i="5"/>
  <c r="D363" i="5" s="1"/>
  <c r="H55" i="5"/>
  <c r="X221" i="5"/>
  <c r="X192" i="5" s="1"/>
  <c r="V6" i="46"/>
  <c r="L857" i="17"/>
  <c r="O857" i="17" s="1"/>
  <c r="P857" i="17" s="1"/>
  <c r="V11" i="46"/>
  <c r="J149" i="5"/>
  <c r="AH185" i="5"/>
  <c r="AH178" i="5" s="1"/>
  <c r="AH248" i="5" s="1"/>
  <c r="AH193" i="5" s="1"/>
  <c r="AH201" i="5" s="1"/>
  <c r="W46" i="5"/>
  <c r="W52" i="5"/>
  <c r="H48" i="5"/>
  <c r="H201" i="5"/>
  <c r="H271" i="5" s="1"/>
  <c r="H54" i="5"/>
  <c r="H45" i="5"/>
  <c r="H51" i="5"/>
  <c r="X48" i="5"/>
  <c r="X201" i="5"/>
  <c r="X54" i="5"/>
  <c r="W199" i="5"/>
  <c r="W288" i="5" s="1"/>
  <c r="W53" i="5"/>
  <c r="AB413" i="5"/>
  <c r="X230" i="5"/>
  <c r="X190" i="5" s="1"/>
  <c r="X52" i="5" s="1"/>
  <c r="AB156" i="5"/>
  <c r="M337" i="5"/>
  <c r="V157" i="5"/>
  <c r="X156" i="5"/>
  <c r="X163" i="5" s="1"/>
  <c r="X153" i="5"/>
  <c r="G811" i="17"/>
  <c r="G159" i="17"/>
  <c r="J154" i="5"/>
  <c r="O154" i="5"/>
  <c r="O161" i="5" s="1"/>
  <c r="T105" i="5"/>
  <c r="T207" i="5" s="1"/>
  <c r="AD153" i="5"/>
  <c r="AD157" i="5"/>
  <c r="AD164" i="5" s="1"/>
  <c r="AB107" i="5"/>
  <c r="AB209" i="5" s="1"/>
  <c r="Y157" i="5"/>
  <c r="Y164" i="5" s="1"/>
  <c r="AF244" i="5"/>
  <c r="AB148" i="5"/>
  <c r="K230" i="5"/>
  <c r="K239" i="5"/>
  <c r="K191" i="5" s="1"/>
  <c r="W48" i="5"/>
  <c r="W201" i="5"/>
  <c r="W271" i="5" s="1"/>
  <c r="W54" i="5"/>
  <c r="AG63" i="5"/>
  <c r="AG153" i="5" s="1"/>
  <c r="X239" i="5"/>
  <c r="X191" i="5" s="1"/>
  <c r="X53" i="5" s="1"/>
  <c r="W200" i="5"/>
  <c r="W261" i="5" s="1"/>
  <c r="W171" i="5" s="1"/>
  <c r="W167" i="5" s="1"/>
  <c r="W55" i="5"/>
  <c r="F248" i="5"/>
  <c r="F193" i="5" s="1"/>
  <c r="F19" i="5" s="1"/>
  <c r="F221" i="5"/>
  <c r="F192" i="5" s="1"/>
  <c r="F239" i="5"/>
  <c r="F191" i="5" s="1"/>
  <c r="F199" i="5" s="1"/>
  <c r="R158" i="5"/>
  <c r="R153" i="5"/>
  <c r="V154" i="5"/>
  <c r="W219" i="5"/>
  <c r="W220" i="5" s="1"/>
  <c r="W296" i="5" s="1"/>
  <c r="J158" i="5"/>
  <c r="J157" i="5"/>
  <c r="AC156" i="5"/>
  <c r="AC153" i="5"/>
  <c r="T107" i="5"/>
  <c r="D71" i="5"/>
  <c r="AB149" i="5"/>
  <c r="G406" i="5"/>
  <c r="AB151" i="5"/>
  <c r="F212" i="5"/>
  <c r="F189" i="5" s="1"/>
  <c r="F14" i="5" s="1"/>
  <c r="J150" i="5"/>
  <c r="J147" i="5"/>
  <c r="J161" i="5" s="1"/>
  <c r="F200" i="5"/>
  <c r="F261" i="5" s="1"/>
  <c r="K200" i="5"/>
  <c r="K261" i="5" s="1"/>
  <c r="D137" i="18" s="1"/>
  <c r="H199" i="5"/>
  <c r="H288" i="5" s="1"/>
  <c r="H47" i="5"/>
  <c r="H200" i="5"/>
  <c r="H261" i="5" s="1"/>
  <c r="H49" i="5"/>
  <c r="X199" i="5"/>
  <c r="X47" i="5"/>
  <c r="W47" i="5"/>
  <c r="W49" i="5"/>
  <c r="Z146" i="5"/>
  <c r="Z221" i="5" s="1"/>
  <c r="Z192" i="5" s="1"/>
  <c r="I146" i="5"/>
  <c r="Y165" i="5"/>
  <c r="H171" i="5"/>
  <c r="L146" i="5"/>
  <c r="L230" i="5" s="1"/>
  <c r="L190" i="5" s="1"/>
  <c r="T146" i="5"/>
  <c r="T212" i="5" s="1"/>
  <c r="T189" i="5" s="1"/>
  <c r="T197" i="5" s="1"/>
  <c r="E107" i="5"/>
  <c r="E209" i="5" s="1"/>
  <c r="E147" i="5"/>
  <c r="G146" i="5"/>
  <c r="G248" i="5" s="1"/>
  <c r="G193" i="5" s="1"/>
  <c r="G19" i="5" s="1"/>
  <c r="Y146" i="5"/>
  <c r="Y212" i="5" s="1"/>
  <c r="Y189" i="5" s="1"/>
  <c r="Y51" i="5" s="1"/>
  <c r="U146" i="5"/>
  <c r="U248" i="5" s="1"/>
  <c r="U193" i="5" s="1"/>
  <c r="U19" i="5" s="1"/>
  <c r="AC146" i="5"/>
  <c r="AC221" i="5" s="1"/>
  <c r="AC192" i="5" s="1"/>
  <c r="AD146" i="5"/>
  <c r="AD239" i="5" s="1"/>
  <c r="Q146" i="5"/>
  <c r="Q230" i="5" s="1"/>
  <c r="W202" i="5"/>
  <c r="W275" i="5" s="1"/>
  <c r="AE91" i="5"/>
  <c r="R91" i="5"/>
  <c r="Q91" i="5"/>
  <c r="Y91" i="5"/>
  <c r="AD91" i="5"/>
  <c r="R392" i="5"/>
  <c r="Y230" i="5"/>
  <c r="Y190" i="5" s="1"/>
  <c r="AF235" i="5"/>
  <c r="D67" i="5"/>
  <c r="N91" i="5"/>
  <c r="M91" i="5"/>
  <c r="P91" i="5"/>
  <c r="I91" i="5"/>
  <c r="K190" i="5"/>
  <c r="K198" i="5" s="1"/>
  <c r="J91" i="5"/>
  <c r="O248" i="5"/>
  <c r="O193" i="5" s="1"/>
  <c r="O239" i="5"/>
  <c r="O191" i="5" s="1"/>
  <c r="O199" i="5" s="1"/>
  <c r="O212" i="5"/>
  <c r="O189" i="5" s="1"/>
  <c r="O14" i="5" s="1"/>
  <c r="W16" i="5"/>
  <c r="AE63" i="5"/>
  <c r="AE77" i="5" s="1"/>
  <c r="Z161" i="5"/>
  <c r="I161" i="5"/>
  <c r="AC161" i="5"/>
  <c r="I165" i="5"/>
  <c r="Q165" i="5"/>
  <c r="Y162" i="5"/>
  <c r="AD165" i="5"/>
  <c r="AD163" i="5"/>
  <c r="Z162" i="5"/>
  <c r="L161" i="5"/>
  <c r="AC165" i="5"/>
  <c r="I162" i="5"/>
  <c r="AC163" i="5"/>
  <c r="AB163" i="5"/>
  <c r="V163" i="5"/>
  <c r="J162" i="5"/>
  <c r="J165" i="5"/>
  <c r="Z165" i="5"/>
  <c r="U162" i="5"/>
  <c r="I163" i="5"/>
  <c r="AC164" i="5"/>
  <c r="I164" i="5"/>
  <c r="V161" i="5"/>
  <c r="V164" i="5"/>
  <c r="Z163" i="5"/>
  <c r="AD161" i="5"/>
  <c r="AD162" i="5"/>
  <c r="AC162" i="5"/>
  <c r="AA161" i="5"/>
  <c r="D134" i="18"/>
  <c r="Q161" i="5"/>
  <c r="G161" i="5"/>
  <c r="Q77" i="5"/>
  <c r="J77" i="5"/>
  <c r="AE185" i="5"/>
  <c r="AE178" i="5" s="1"/>
  <c r="AD77" i="5"/>
  <c r="X77" i="5"/>
  <c r="H18" i="5"/>
  <c r="H202" i="5"/>
  <c r="H275" i="5" s="1"/>
  <c r="H197" i="5"/>
  <c r="H267" i="5" s="1"/>
  <c r="W188" i="5"/>
  <c r="W198" i="5"/>
  <c r="W279" i="5" s="1"/>
  <c r="L112" i="5"/>
  <c r="L91" i="5"/>
  <c r="J112" i="5"/>
  <c r="W19" i="5"/>
  <c r="T112" i="5"/>
  <c r="T91" i="5"/>
  <c r="F197" i="5"/>
  <c r="Y239" i="5"/>
  <c r="Y191" i="5" s="1"/>
  <c r="F157" i="5"/>
  <c r="F164" i="5" s="1"/>
  <c r="F77" i="5"/>
  <c r="AB154" i="5"/>
  <c r="AB161" i="5" s="1"/>
  <c r="AB77" i="5"/>
  <c r="L155" i="5"/>
  <c r="L162" i="5" s="1"/>
  <c r="L77" i="5"/>
  <c r="K156" i="5"/>
  <c r="K163" i="5" s="1"/>
  <c r="K77" i="5"/>
  <c r="G157" i="5"/>
  <c r="G164" i="5" s="1"/>
  <c r="G77" i="5"/>
  <c r="N155" i="5"/>
  <c r="N77" i="5"/>
  <c r="P77" i="5"/>
  <c r="AA77" i="5"/>
  <c r="O156" i="5"/>
  <c r="O163" i="5" s="1"/>
  <c r="O77" i="5"/>
  <c r="T155" i="5"/>
  <c r="T162" i="5" s="1"/>
  <c r="T77" i="5"/>
  <c r="U157" i="5"/>
  <c r="U164" i="5" s="1"/>
  <c r="U77" i="5"/>
  <c r="V153" i="5"/>
  <c r="V77" i="5"/>
  <c r="Y153" i="5"/>
  <c r="Y77" i="5"/>
  <c r="Z157" i="5"/>
  <c r="Z164" i="5" s="1"/>
  <c r="Z77" i="5"/>
  <c r="AG244" i="5"/>
  <c r="AG212" i="5"/>
  <c r="AG253" i="5"/>
  <c r="AG248" i="5"/>
  <c r="AG193" i="5" s="1"/>
  <c r="AG201" i="5" s="1"/>
  <c r="AG217" i="5"/>
  <c r="AG221" i="5"/>
  <c r="AG192" i="5" s="1"/>
  <c r="AG200" i="5" s="1"/>
  <c r="AG261" i="5" s="1"/>
  <c r="AG230" i="5"/>
  <c r="AG190" i="5" s="1"/>
  <c r="AG198" i="5" s="1"/>
  <c r="AG277" i="5" s="1"/>
  <c r="AG239" i="5"/>
  <c r="AG191" i="5" s="1"/>
  <c r="AG257" i="5"/>
  <c r="AG194" i="5" s="1"/>
  <c r="AG208" i="5"/>
  <c r="AG226" i="5"/>
  <c r="AG235" i="5"/>
  <c r="AH244" i="5"/>
  <c r="R77" i="5"/>
  <c r="AF153" i="5"/>
  <c r="N111" i="5"/>
  <c r="N112" i="5"/>
  <c r="R111" i="5"/>
  <c r="R112" i="5"/>
  <c r="P111" i="5"/>
  <c r="P112" i="5"/>
  <c r="Q111" i="5"/>
  <c r="Q112" i="5"/>
  <c r="Y111" i="5"/>
  <c r="Y112" i="5"/>
  <c r="AD111" i="5"/>
  <c r="AD112" i="5"/>
  <c r="AE112" i="5"/>
  <c r="AE107" i="5"/>
  <c r="M111" i="5"/>
  <c r="M112" i="5"/>
  <c r="I111" i="5"/>
  <c r="I112" i="5"/>
  <c r="AE111" i="5"/>
  <c r="T111" i="5"/>
  <c r="L111" i="5"/>
  <c r="Y248" i="5"/>
  <c r="Y193" i="5" s="1"/>
  <c r="Y19" i="5" s="1"/>
  <c r="J111" i="5"/>
  <c r="H210" i="5"/>
  <c r="H211" i="5" s="1"/>
  <c r="O257" i="5"/>
  <c r="O194" i="5" s="1"/>
  <c r="AC239" i="5"/>
  <c r="AC191" i="5" s="1"/>
  <c r="AB399" i="5"/>
  <c r="T158" i="5"/>
  <c r="T165" i="5" s="1"/>
  <c r="T156" i="5"/>
  <c r="T163" i="5" s="1"/>
  <c r="L156" i="5"/>
  <c r="L163" i="5" s="1"/>
  <c r="L158" i="5"/>
  <c r="L165" i="5" s="1"/>
  <c r="H913" i="17"/>
  <c r="D345" i="5"/>
  <c r="O221" i="5"/>
  <c r="O192" i="5" s="1"/>
  <c r="V399" i="5"/>
  <c r="V155" i="5"/>
  <c r="V158" i="5"/>
  <c r="U156" i="5"/>
  <c r="U163" i="5" s="1"/>
  <c r="U153" i="5"/>
  <c r="X209" i="5"/>
  <c r="G913" i="17" s="1"/>
  <c r="V413" i="5"/>
  <c r="D114" i="5"/>
  <c r="G156" i="5"/>
  <c r="G163" i="5" s="1"/>
  <c r="L105" i="5"/>
  <c r="L207" i="5" s="1"/>
  <c r="Y154" i="5"/>
  <c r="Y161" i="5" s="1"/>
  <c r="Y156" i="5"/>
  <c r="Y163" i="5" s="1"/>
  <c r="H828" i="17"/>
  <c r="V216" i="5"/>
  <c r="O230" i="5"/>
  <c r="D346" i="5"/>
  <c r="L167" i="17"/>
  <c r="O167" i="17" s="1"/>
  <c r="G9" i="46"/>
  <c r="K248" i="5"/>
  <c r="K193" i="5" s="1"/>
  <c r="K19" i="5" s="1"/>
  <c r="F106" i="16"/>
  <c r="F104" i="16"/>
  <c r="N398" i="5"/>
  <c r="F112" i="16"/>
  <c r="F113" i="16"/>
  <c r="F107" i="16"/>
  <c r="F109" i="16"/>
  <c r="N405" i="5"/>
  <c r="N406" i="5" s="1"/>
  <c r="P874" i="17"/>
  <c r="Q874" i="17"/>
  <c r="L144" i="17"/>
  <c r="O144" i="17" s="1"/>
  <c r="G6" i="46"/>
  <c r="K257" i="5"/>
  <c r="K194" i="5" s="1"/>
  <c r="K49" i="5" s="1"/>
  <c r="N157" i="5"/>
  <c r="L170" i="16"/>
  <c r="S21" i="46"/>
  <c r="T157" i="5"/>
  <c r="T164" i="5" s="1"/>
  <c r="X216" i="5"/>
  <c r="K155" i="5"/>
  <c r="K162" i="5" s="1"/>
  <c r="G155" i="5"/>
  <c r="G162" i="5" s="1"/>
  <c r="O158" i="5"/>
  <c r="O165" i="5" s="1"/>
  <c r="L173" i="16"/>
  <c r="S23" i="46"/>
  <c r="K154" i="5"/>
  <c r="K161" i="5" s="1"/>
  <c r="L332" i="16"/>
  <c r="AG25" i="46"/>
  <c r="Q857" i="17"/>
  <c r="AB158" i="5"/>
  <c r="AB165" i="5" s="1"/>
  <c r="H1051" i="17"/>
  <c r="H903" i="17"/>
  <c r="U158" i="5"/>
  <c r="U165" i="5" s="1"/>
  <c r="H98" i="17"/>
  <c r="N156" i="5"/>
  <c r="AA107" i="5"/>
  <c r="AA209" i="5" s="1"/>
  <c r="AA150" i="5"/>
  <c r="AA164" i="5" s="1"/>
  <c r="L159" i="17"/>
  <c r="O159" i="17" s="1"/>
  <c r="G8" i="46"/>
  <c r="AB420" i="5"/>
  <c r="L184" i="16"/>
  <c r="O184" i="16" s="1"/>
  <c r="P184" i="16" s="1"/>
  <c r="T23" i="46"/>
  <c r="K212" i="5"/>
  <c r="K189" i="5" s="1"/>
  <c r="AB108" i="5"/>
  <c r="AB150" i="5"/>
  <c r="AB164" i="5" s="1"/>
  <c r="N392" i="5"/>
  <c r="L179" i="16"/>
  <c r="S26" i="46"/>
  <c r="N158" i="5"/>
  <c r="T154" i="5"/>
  <c r="T161" i="5" s="1"/>
  <c r="H1027" i="17"/>
  <c r="H920" i="17"/>
  <c r="U154" i="5"/>
  <c r="U161" i="5" s="1"/>
  <c r="G412" i="5"/>
  <c r="G419" i="5" s="1"/>
  <c r="G426" i="5" s="1"/>
  <c r="G427" i="5" s="1"/>
  <c r="G158" i="5"/>
  <c r="G165" i="5" s="1"/>
  <c r="N153" i="5"/>
  <c r="O157" i="5"/>
  <c r="O164" i="5" s="1"/>
  <c r="L153" i="17"/>
  <c r="O153" i="17" s="1"/>
  <c r="G7" i="46"/>
  <c r="AA151" i="5"/>
  <c r="AA165" i="5" s="1"/>
  <c r="AA162" i="5"/>
  <c r="L184" i="17"/>
  <c r="O184" i="17" s="1"/>
  <c r="G11" i="46"/>
  <c r="J105" i="5"/>
  <c r="J207" i="5" s="1"/>
  <c r="J107" i="5"/>
  <c r="E150" i="5"/>
  <c r="E149" i="5"/>
  <c r="E108" i="5"/>
  <c r="E148" i="5"/>
  <c r="E151" i="5"/>
  <c r="AC248" i="5"/>
  <c r="AC193" i="5" s="1"/>
  <c r="AC19" i="5" s="1"/>
  <c r="L172" i="16"/>
  <c r="S22" i="46"/>
  <c r="V10" i="46"/>
  <c r="L867" i="17"/>
  <c r="O867" i="17" s="1"/>
  <c r="Q849" i="17"/>
  <c r="P849" i="17"/>
  <c r="P843" i="17"/>
  <c r="Q843" i="17"/>
  <c r="K153" i="5"/>
  <c r="H138" i="17"/>
  <c r="L178" i="16"/>
  <c r="S25" i="46"/>
  <c r="AA216" i="5"/>
  <c r="AA149" i="5"/>
  <c r="AA163" i="5" s="1"/>
  <c r="O337" i="5"/>
  <c r="O324" i="5"/>
  <c r="F412" i="5"/>
  <c r="F399" i="5"/>
  <c r="Q248" i="5"/>
  <c r="Q193" i="5" s="1"/>
  <c r="Y107" i="5"/>
  <c r="I105" i="5"/>
  <c r="I207" i="5" s="1"/>
  <c r="H190" i="17" s="1"/>
  <c r="AD107" i="5"/>
  <c r="H337" i="5"/>
  <c r="H324" i="5"/>
  <c r="X398" i="5"/>
  <c r="F222" i="16"/>
  <c r="F216" i="16"/>
  <c r="X405" i="5"/>
  <c r="X406" i="5" s="1"/>
  <c r="F219" i="16"/>
  <c r="X392" i="5"/>
  <c r="F214" i="16"/>
  <c r="F217" i="16"/>
  <c r="F223" i="16"/>
  <c r="I203" i="16"/>
  <c r="W396" i="5"/>
  <c r="W403" i="5" s="1"/>
  <c r="W410" i="5" s="1"/>
  <c r="W417" i="5" s="1"/>
  <c r="W424" i="5" s="1"/>
  <c r="I205" i="16"/>
  <c r="I212" i="16"/>
  <c r="I206" i="16"/>
  <c r="I211" i="16"/>
  <c r="I208" i="16"/>
  <c r="W405" i="5"/>
  <c r="W406" i="5" s="1"/>
  <c r="F211" i="16"/>
  <c r="F203" i="16"/>
  <c r="W398" i="5"/>
  <c r="W392" i="5"/>
  <c r="F205" i="16"/>
  <c r="F212" i="16"/>
  <c r="F208" i="16"/>
  <c r="F206" i="16"/>
  <c r="I179" i="16"/>
  <c r="T396" i="5"/>
  <c r="T403" i="5" s="1"/>
  <c r="T410" i="5" s="1"/>
  <c r="T417" i="5" s="1"/>
  <c r="T424" i="5" s="1"/>
  <c r="I170" i="16"/>
  <c r="I173" i="16"/>
  <c r="I175" i="16"/>
  <c r="I178" i="16"/>
  <c r="I172" i="16"/>
  <c r="I156" i="16"/>
  <c r="R396" i="5"/>
  <c r="R403" i="5" s="1"/>
  <c r="R410" i="5" s="1"/>
  <c r="R417" i="5" s="1"/>
  <c r="R424" i="5" s="1"/>
  <c r="I148" i="16"/>
  <c r="I151" i="16"/>
  <c r="I153" i="16"/>
  <c r="I157" i="16"/>
  <c r="I150" i="16"/>
  <c r="F150" i="16"/>
  <c r="F151" i="16"/>
  <c r="F157" i="16"/>
  <c r="F156" i="16"/>
  <c r="F148" i="16"/>
  <c r="R405" i="5"/>
  <c r="R406" i="5" s="1"/>
  <c r="R398" i="5"/>
  <c r="F153" i="16"/>
  <c r="T125" i="5"/>
  <c r="T323" i="5"/>
  <c r="E122" i="5"/>
  <c r="E123" i="5" s="1"/>
  <c r="E124" i="5" s="1"/>
  <c r="D121" i="5"/>
  <c r="AH412" i="5"/>
  <c r="AH419" i="5" s="1"/>
  <c r="AH399" i="5"/>
  <c r="Y352" i="5"/>
  <c r="Y364" i="5"/>
  <c r="Q352" i="5"/>
  <c r="Q364" i="5"/>
  <c r="I352" i="5"/>
  <c r="I364" i="5"/>
  <c r="Y125" i="5"/>
  <c r="Y323" i="5"/>
  <c r="H364" i="5"/>
  <c r="H352" i="5"/>
  <c r="F175" i="16"/>
  <c r="F178" i="16"/>
  <c r="T405" i="5"/>
  <c r="T406" i="5" s="1"/>
  <c r="T398" i="5"/>
  <c r="T392" i="5"/>
  <c r="F179" i="16"/>
  <c r="F170" i="16"/>
  <c r="F172" i="16"/>
  <c r="F173" i="16"/>
  <c r="E365" i="5"/>
  <c r="D347" i="5"/>
  <c r="E353" i="5"/>
  <c r="V353" i="5"/>
  <c r="V359" i="5" s="1"/>
  <c r="V365" i="5"/>
  <c r="V371" i="5" s="1"/>
  <c r="T352" i="5"/>
  <c r="T364" i="5"/>
  <c r="O352" i="5"/>
  <c r="O358" i="5" s="1"/>
  <c r="O364" i="5"/>
  <c r="O370" i="5" s="1"/>
  <c r="M352" i="5"/>
  <c r="M358" i="5" s="1"/>
  <c r="M364" i="5"/>
  <c r="M370" i="5" s="1"/>
  <c r="E178" i="5"/>
  <c r="D183" i="5"/>
  <c r="H234" i="5"/>
  <c r="H227" i="5"/>
  <c r="Q412" i="5"/>
  <c r="Q399" i="5"/>
  <c r="AB155" i="5"/>
  <c r="AB153" i="5"/>
  <c r="H1033" i="17"/>
  <c r="H1018" i="17"/>
  <c r="L157" i="5"/>
  <c r="L164" i="5" s="1"/>
  <c r="L153" i="5"/>
  <c r="H236" i="5"/>
  <c r="Y257" i="5"/>
  <c r="Y194" i="5" s="1"/>
  <c r="G177" i="17"/>
  <c r="G184" i="17"/>
  <c r="L412" i="5"/>
  <c r="L399" i="5"/>
  <c r="K158" i="5"/>
  <c r="K165" i="5" s="1"/>
  <c r="K157" i="5"/>
  <c r="K164" i="5" s="1"/>
  <c r="D393" i="5"/>
  <c r="U390" i="5"/>
  <c r="AH404" i="5"/>
  <c r="AH390" i="5"/>
  <c r="AH361" i="5"/>
  <c r="AH368" i="5"/>
  <c r="AH389" i="5" s="1"/>
  <c r="AF362" i="5"/>
  <c r="AF217" i="5"/>
  <c r="L1281" i="17"/>
  <c r="O1281" i="17" s="1"/>
  <c r="AF208" i="5"/>
  <c r="AF253" i="5"/>
  <c r="AH425" i="5"/>
  <c r="AH411" i="5"/>
  <c r="AH397" i="5"/>
  <c r="Y105" i="5"/>
  <c r="Y207" i="5" s="1"/>
  <c r="H966" i="17" s="1"/>
  <c r="H219" i="5"/>
  <c r="H220" i="5" s="1"/>
  <c r="N2014" i="32"/>
  <c r="L2014" i="32"/>
  <c r="H32" i="18"/>
  <c r="M1987" i="32"/>
  <c r="R1987" i="32"/>
  <c r="N1987" i="32"/>
  <c r="J58" i="44"/>
  <c r="J92" i="44"/>
  <c r="K99" i="44" s="1"/>
  <c r="K87" i="35" s="1"/>
  <c r="N58" i="44"/>
  <c r="N92" i="44"/>
  <c r="N99" i="44" s="1"/>
  <c r="N87" i="35" s="1"/>
  <c r="U425" i="5"/>
  <c r="U397" i="5"/>
  <c r="U411" i="5"/>
  <c r="U418" i="5"/>
  <c r="AA2014" i="32"/>
  <c r="O2014" i="32"/>
  <c r="S74" i="5"/>
  <c r="S77" i="5" s="1"/>
  <c r="S94" i="5"/>
  <c r="S110" i="5" s="1"/>
  <c r="E57" i="44"/>
  <c r="E58" i="44" s="1"/>
  <c r="X19" i="5"/>
  <c r="H19" i="5"/>
  <c r="AE412" i="5"/>
  <c r="AE399" i="5"/>
  <c r="H16" i="5"/>
  <c r="W15" i="5"/>
  <c r="W243" i="5"/>
  <c r="AG243" i="5"/>
  <c r="F190" i="5"/>
  <c r="O190" i="5"/>
  <c r="AH243" i="5"/>
  <c r="H190" i="5"/>
  <c r="H52" i="5" s="1"/>
  <c r="H14" i="5"/>
  <c r="X337" i="5"/>
  <c r="X324" i="5"/>
  <c r="E63" i="5"/>
  <c r="W237" i="5"/>
  <c r="W238" i="5" s="1"/>
  <c r="W228" i="5"/>
  <c r="W229" i="5" s="1"/>
  <c r="U209" i="5"/>
  <c r="V218" i="5"/>
  <c r="H107" i="17"/>
  <c r="G144" i="17"/>
  <c r="G167" i="17"/>
  <c r="G153" i="17"/>
  <c r="AG426" i="5"/>
  <c r="AG427" i="5" s="1"/>
  <c r="AG420" i="5"/>
  <c r="I426" i="5"/>
  <c r="I427" i="5" s="1"/>
  <c r="I420" i="5"/>
  <c r="V426" i="5"/>
  <c r="V427" i="5" s="1"/>
  <c r="V420" i="5"/>
  <c r="J420" i="5"/>
  <c r="P426" i="5"/>
  <c r="P427" i="5" s="1"/>
  <c r="P420" i="5"/>
  <c r="S426" i="5"/>
  <c r="S427" i="5" s="1"/>
  <c r="S420" i="5"/>
  <c r="U426" i="5"/>
  <c r="U427" i="5" s="1"/>
  <c r="U420" i="5"/>
  <c r="AF426" i="5"/>
  <c r="AF427" i="5" s="1"/>
  <c r="AF420" i="5"/>
  <c r="O426" i="5"/>
  <c r="O427" i="5" s="1"/>
  <c r="O420" i="5"/>
  <c r="AG425" i="5"/>
  <c r="AG404" i="5"/>
  <c r="AG418" i="5"/>
  <c r="AF25" i="46" s="1"/>
  <c r="AG411" i="5"/>
  <c r="AG390" i="5"/>
  <c r="Z426" i="5"/>
  <c r="Z427" i="5" s="1"/>
  <c r="Z420" i="5"/>
  <c r="Z209" i="5"/>
  <c r="AC324" i="5"/>
  <c r="AC337" i="5"/>
  <c r="Q337" i="5"/>
  <c r="Q324" i="5"/>
  <c r="K344" i="5"/>
  <c r="K120" i="5" s="1"/>
  <c r="K244" i="5" s="1"/>
  <c r="K338" i="5"/>
  <c r="Q107" i="5"/>
  <c r="Q105" i="5"/>
  <c r="Q207" i="5" s="1"/>
  <c r="AC412" i="5"/>
  <c r="AC419" i="5" s="1"/>
  <c r="AC399" i="5"/>
  <c r="AC230" i="5"/>
  <c r="AC212" i="5"/>
  <c r="AC189" i="5" s="1"/>
  <c r="AC51" i="5" s="1"/>
  <c r="T257" i="5"/>
  <c r="T194" i="5" s="1"/>
  <c r="F216" i="5"/>
  <c r="H92" i="17"/>
  <c r="H52" i="17"/>
  <c r="H61" i="17"/>
  <c r="H85" i="17"/>
  <c r="H67" i="17"/>
  <c r="H75" i="17"/>
  <c r="F209" i="5"/>
  <c r="H369" i="5"/>
  <c r="I41" i="16"/>
  <c r="I47" i="16"/>
  <c r="I46" i="16"/>
  <c r="H396" i="5"/>
  <c r="H403" i="5" s="1"/>
  <c r="H410" i="5" s="1"/>
  <c r="H417" i="5" s="1"/>
  <c r="H424" i="5" s="1"/>
  <c r="I43" i="16"/>
  <c r="I40" i="16"/>
  <c r="I38" i="16"/>
  <c r="Z413" i="5"/>
  <c r="O216" i="5"/>
  <c r="H481" i="17"/>
  <c r="H489" i="17"/>
  <c r="H499" i="17"/>
  <c r="H466" i="17"/>
  <c r="H475" i="17"/>
  <c r="H506" i="17"/>
  <c r="X369" i="5"/>
  <c r="AH350" i="5"/>
  <c r="D351" i="5"/>
  <c r="D414" i="5"/>
  <c r="I344" i="5"/>
  <c r="I120" i="5" s="1"/>
  <c r="I244" i="5" s="1"/>
  <c r="I338" i="5"/>
  <c r="P107" i="5"/>
  <c r="P105" i="5"/>
  <c r="P207" i="5" s="1"/>
  <c r="M412" i="5"/>
  <c r="M419" i="5" s="1"/>
  <c r="M399" i="5"/>
  <c r="AG397" i="5"/>
  <c r="AG406" i="5"/>
  <c r="D407" i="5"/>
  <c r="P108" i="5"/>
  <c r="P149" i="5"/>
  <c r="P163" i="5" s="1"/>
  <c r="P150" i="5"/>
  <c r="P164" i="5" s="1"/>
  <c r="P151" i="5"/>
  <c r="P165" i="5" s="1"/>
  <c r="P147" i="5"/>
  <c r="P148" i="5"/>
  <c r="P162" i="5" s="1"/>
  <c r="Z257" i="5"/>
  <c r="Z194" i="5" s="1"/>
  <c r="O413" i="5"/>
  <c r="AG413" i="5"/>
  <c r="I413" i="5"/>
  <c r="Z216" i="5"/>
  <c r="H987" i="17"/>
  <c r="H1012" i="17"/>
  <c r="H1005" i="17"/>
  <c r="H972" i="17"/>
  <c r="H995" i="17"/>
  <c r="H981" i="17"/>
  <c r="AD216" i="5"/>
  <c r="H1179" i="17"/>
  <c r="H1156" i="17"/>
  <c r="H1165" i="17"/>
  <c r="M108" i="5"/>
  <c r="M150" i="5"/>
  <c r="M164" i="5" s="1"/>
  <c r="M151" i="5"/>
  <c r="M165" i="5" s="1"/>
  <c r="M149" i="5"/>
  <c r="M163" i="5" s="1"/>
  <c r="M148" i="5"/>
  <c r="M162" i="5" s="1"/>
  <c r="M147" i="5"/>
  <c r="AB216" i="5"/>
  <c r="H1104" i="17"/>
  <c r="H1064" i="17"/>
  <c r="H1097" i="17"/>
  <c r="H1087" i="17"/>
  <c r="H1079" i="17"/>
  <c r="H1073" i="17"/>
  <c r="U216" i="5"/>
  <c r="H751" i="17"/>
  <c r="H782" i="17"/>
  <c r="H742" i="17"/>
  <c r="H775" i="17"/>
  <c r="H765" i="17"/>
  <c r="H757" i="17"/>
  <c r="H344" i="17"/>
  <c r="M105" i="5"/>
  <c r="M207" i="5" s="1"/>
  <c r="M107" i="5"/>
  <c r="AD412" i="5"/>
  <c r="AD419" i="5" s="1"/>
  <c r="AD399" i="5"/>
  <c r="AF413" i="5"/>
  <c r="AE105" i="5"/>
  <c r="AE207" i="5" s="1"/>
  <c r="N105" i="5"/>
  <c r="N207" i="5" s="1"/>
  <c r="N107" i="5"/>
  <c r="R105" i="5"/>
  <c r="R207" i="5" s="1"/>
  <c r="R107" i="5"/>
  <c r="S413" i="5"/>
  <c r="U413" i="5"/>
  <c r="AE108" i="5"/>
  <c r="AE147" i="5"/>
  <c r="AE149" i="5"/>
  <c r="AE150" i="5"/>
  <c r="AE151" i="5"/>
  <c r="D428" i="5"/>
  <c r="N108" i="5"/>
  <c r="N147" i="5"/>
  <c r="N151" i="5"/>
  <c r="N150" i="5"/>
  <c r="N149" i="5"/>
  <c r="N148" i="5"/>
  <c r="D379" i="5"/>
  <c r="D421" i="5"/>
  <c r="R108" i="5"/>
  <c r="R151" i="5"/>
  <c r="R165" i="5" s="1"/>
  <c r="R149" i="5"/>
  <c r="R163" i="5" s="1"/>
  <c r="R148" i="5"/>
  <c r="R162" i="5" s="1"/>
  <c r="R147" i="5"/>
  <c r="R150" i="5"/>
  <c r="W211" i="5"/>
  <c r="G344" i="5"/>
  <c r="G120" i="5" s="1"/>
  <c r="G244" i="5" s="1"/>
  <c r="G338" i="5"/>
  <c r="P413" i="5"/>
  <c r="F369" i="5"/>
  <c r="Z324" i="5"/>
  <c r="Z337" i="5"/>
  <c r="U344" i="5"/>
  <c r="U120" i="5" s="1"/>
  <c r="U244" i="5" s="1"/>
  <c r="P344" i="5"/>
  <c r="P120" i="5" s="1"/>
  <c r="P244" i="5" s="1"/>
  <c r="P338" i="5"/>
  <c r="AB344" i="5"/>
  <c r="AB120" i="5" s="1"/>
  <c r="AB244" i="5" s="1"/>
  <c r="AB338" i="5"/>
  <c r="K209" i="5"/>
  <c r="F344" i="5"/>
  <c r="L338" i="5"/>
  <c r="L344" i="5"/>
  <c r="L120" i="5" s="1"/>
  <c r="L244" i="5" s="1"/>
  <c r="J344" i="5"/>
  <c r="J120" i="5" s="1"/>
  <c r="J338" i="5"/>
  <c r="AE338" i="5"/>
  <c r="AE344" i="5"/>
  <c r="AE120" i="5" s="1"/>
  <c r="AC216" i="5"/>
  <c r="H1143" i="17"/>
  <c r="H1125" i="17"/>
  <c r="H1150" i="17"/>
  <c r="H1119" i="17"/>
  <c r="H1110" i="17"/>
  <c r="H1133" i="17"/>
  <c r="M338" i="5"/>
  <c r="M344" i="5"/>
  <c r="M120" i="5" s="1"/>
  <c r="M244" i="5" s="1"/>
  <c r="AD324" i="5"/>
  <c r="AD337" i="5"/>
  <c r="N338" i="5"/>
  <c r="N344" i="5"/>
  <c r="N120" i="5" s="1"/>
  <c r="N244" i="5" s="1"/>
  <c r="AA344" i="5"/>
  <c r="AA120" i="5" s="1"/>
  <c r="AA244" i="5" s="1"/>
  <c r="AA338" i="5"/>
  <c r="R344" i="5"/>
  <c r="R120" i="5" s="1"/>
  <c r="R244" i="5" s="1"/>
  <c r="F158" i="5"/>
  <c r="F165" i="5" s="1"/>
  <c r="F155" i="5"/>
  <c r="F162" i="5" s="1"/>
  <c r="F153" i="5"/>
  <c r="F156" i="5"/>
  <c r="F163" i="5" s="1"/>
  <c r="F154" i="5"/>
  <c r="F161" i="5" s="1"/>
  <c r="V338" i="5"/>
  <c r="V344" i="5"/>
  <c r="V120" i="5" s="1"/>
  <c r="V244" i="5" s="1"/>
  <c r="S344" i="5"/>
  <c r="S120" i="5" s="1"/>
  <c r="S244" i="5" s="1"/>
  <c r="S338" i="5"/>
  <c r="J413" i="5"/>
  <c r="K216" i="5"/>
  <c r="H322" i="17"/>
  <c r="H315" i="17"/>
  <c r="H282" i="17"/>
  <c r="H305" i="17"/>
  <c r="H297" i="17"/>
  <c r="H291" i="17"/>
  <c r="I47" i="3"/>
  <c r="I85" i="3" s="1"/>
  <c r="G85" i="3"/>
  <c r="I350" i="5" l="1"/>
  <c r="P1987" i="32"/>
  <c r="H121" i="17"/>
  <c r="G797" i="17"/>
  <c r="G828" i="17"/>
  <c r="G216" i="5"/>
  <c r="G225" i="5" s="1"/>
  <c r="X160" i="5"/>
  <c r="G821" i="17"/>
  <c r="H131" i="17"/>
  <c r="P834" i="17"/>
  <c r="V162" i="5"/>
  <c r="E412" i="5"/>
  <c r="E399" i="5"/>
  <c r="AF338" i="5"/>
  <c r="AF344" i="5"/>
  <c r="AF350" i="5" s="1"/>
  <c r="AD212" i="5"/>
  <c r="AD189" i="5" s="1"/>
  <c r="AD14" i="5" s="1"/>
  <c r="AG344" i="5"/>
  <c r="AG338" i="5"/>
  <c r="I212" i="5"/>
  <c r="I189" i="5" s="1"/>
  <c r="V146" i="5"/>
  <c r="V239" i="5" s="1"/>
  <c r="V191" i="5" s="1"/>
  <c r="AG242" i="5"/>
  <c r="H242" i="5"/>
  <c r="AF242" i="5"/>
  <c r="AH242" i="5"/>
  <c r="K225" i="5"/>
  <c r="R10" i="46"/>
  <c r="Q10" i="46"/>
  <c r="Z10" i="46"/>
  <c r="K10" i="46"/>
  <c r="AA10" i="46"/>
  <c r="O10" i="46"/>
  <c r="AD225" i="5"/>
  <c r="AD227" i="5" s="1"/>
  <c r="F225" i="5"/>
  <c r="J10" i="46"/>
  <c r="G98" i="17"/>
  <c r="W252" i="5"/>
  <c r="H237" i="5"/>
  <c r="H228" i="5"/>
  <c r="H229" i="5" s="1"/>
  <c r="I209" i="5"/>
  <c r="X225" i="5"/>
  <c r="X227" i="5" s="1"/>
  <c r="V225" i="5"/>
  <c r="L216" i="5"/>
  <c r="G903" i="17"/>
  <c r="G21" i="17"/>
  <c r="T216" i="5"/>
  <c r="U10" i="46"/>
  <c r="M10" i="46"/>
  <c r="L10" i="46"/>
  <c r="AC225" i="5"/>
  <c r="T10" i="46"/>
  <c r="X218" i="5"/>
  <c r="W245" i="5"/>
  <c r="G218" i="5"/>
  <c r="F10" i="46"/>
  <c r="R164" i="5"/>
  <c r="AE146" i="5"/>
  <c r="AE212" i="5" s="1"/>
  <c r="AE189" i="5" s="1"/>
  <c r="H328" i="17"/>
  <c r="U225" i="5"/>
  <c r="AB225" i="5"/>
  <c r="AB227" i="5" s="1"/>
  <c r="H1189" i="17"/>
  <c r="H1196" i="17"/>
  <c r="H1171" i="17"/>
  <c r="Z225" i="5"/>
  <c r="H10" i="46"/>
  <c r="O225" i="5"/>
  <c r="Z218" i="5"/>
  <c r="U221" i="5"/>
  <c r="U192" i="5" s="1"/>
  <c r="AH245" i="5"/>
  <c r="AG245" i="5"/>
  <c r="H926" i="17"/>
  <c r="AD257" i="5"/>
  <c r="AD194" i="5" s="1"/>
  <c r="H243" i="5"/>
  <c r="AD209" i="5"/>
  <c r="AA225" i="5"/>
  <c r="AA227" i="5" s="1"/>
  <c r="V165" i="5"/>
  <c r="AH253" i="5"/>
  <c r="AE10" i="46"/>
  <c r="H113" i="17"/>
  <c r="E225" i="5"/>
  <c r="E227" i="5" s="1"/>
  <c r="G788" i="17"/>
  <c r="W251" i="5"/>
  <c r="Q177" i="17"/>
  <c r="J164" i="5"/>
  <c r="X49" i="5"/>
  <c r="G972" i="17"/>
  <c r="N163" i="5"/>
  <c r="H711" i="17"/>
  <c r="F16" i="5"/>
  <c r="G212" i="5"/>
  <c r="G189" i="5" s="1"/>
  <c r="G51" i="5" s="1"/>
  <c r="L239" i="5"/>
  <c r="L191" i="5" s="1"/>
  <c r="L53" i="5" s="1"/>
  <c r="O55" i="5"/>
  <c r="AH239" i="5"/>
  <c r="AH237" i="5" s="1"/>
  <c r="AH238" i="5" s="1"/>
  <c r="H205" i="17"/>
  <c r="H199" i="17"/>
  <c r="G880" i="17"/>
  <c r="G895" i="17"/>
  <c r="G131" i="17"/>
  <c r="H361" i="17"/>
  <c r="L209" i="5"/>
  <c r="AC257" i="5"/>
  <c r="AC194" i="5" s="1"/>
  <c r="AC49" i="5" s="1"/>
  <c r="Q212" i="5"/>
  <c r="Q189" i="5" s="1"/>
  <c r="Q51" i="5" s="1"/>
  <c r="O16" i="5"/>
  <c r="X210" i="5"/>
  <c r="X211" i="5" s="1"/>
  <c r="E218" i="5"/>
  <c r="G39" i="17"/>
  <c r="G15" i="17"/>
  <c r="G239" i="5"/>
  <c r="G191" i="5" s="1"/>
  <c r="G53" i="5" s="1"/>
  <c r="G257" i="5"/>
  <c r="G194" i="5" s="1"/>
  <c r="I221" i="5"/>
  <c r="I192" i="5" s="1"/>
  <c r="I200" i="5" s="1"/>
  <c r="I261" i="5" s="1"/>
  <c r="D135" i="18" s="1"/>
  <c r="AH226" i="5"/>
  <c r="AH230" i="5"/>
  <c r="AH190" i="5" s="1"/>
  <c r="AH198" i="5" s="1"/>
  <c r="AH212" i="5"/>
  <c r="AH189" i="5" s="1"/>
  <c r="AH197" i="5" s="1"/>
  <c r="Y221" i="5"/>
  <c r="Y192" i="5" s="1"/>
  <c r="Y16" i="5" s="1"/>
  <c r="X202" i="5"/>
  <c r="X275" i="5" s="1"/>
  <c r="F18" i="5"/>
  <c r="D149" i="18"/>
  <c r="I239" i="5"/>
  <c r="I191" i="5" s="1"/>
  <c r="I53" i="5" s="1"/>
  <c r="I248" i="5"/>
  <c r="I193" i="5" s="1"/>
  <c r="I48" i="5" s="1"/>
  <c r="J146" i="5"/>
  <c r="G29" i="17"/>
  <c r="G6" i="17"/>
  <c r="G46" i="17"/>
  <c r="H223" i="17"/>
  <c r="H230" i="17"/>
  <c r="H213" i="17"/>
  <c r="I216" i="5"/>
  <c r="AE244" i="5"/>
  <c r="G413" i="5"/>
  <c r="G920" i="17"/>
  <c r="G889" i="17"/>
  <c r="AG252" i="5"/>
  <c r="G138" i="17"/>
  <c r="G113" i="17"/>
  <c r="G121" i="17"/>
  <c r="N165" i="5"/>
  <c r="AA236" i="5"/>
  <c r="H368" i="17"/>
  <c r="H352" i="17"/>
  <c r="H338" i="17"/>
  <c r="H729" i="17"/>
  <c r="H705" i="17"/>
  <c r="Z230" i="5"/>
  <c r="Z190" i="5" s="1"/>
  <c r="Z52" i="5" s="1"/>
  <c r="T221" i="5"/>
  <c r="T192" i="5" s="1"/>
  <c r="T49" i="5" s="1"/>
  <c r="V236" i="5"/>
  <c r="V227" i="5"/>
  <c r="T14" i="5"/>
  <c r="W13" i="5"/>
  <c r="T230" i="5"/>
  <c r="T190" i="5" s="1"/>
  <c r="T52" i="5" s="1"/>
  <c r="V248" i="5"/>
  <c r="V193" i="5" s="1"/>
  <c r="V48" i="5" s="1"/>
  <c r="AH217" i="5"/>
  <c r="AH257" i="5"/>
  <c r="AH194" i="5" s="1"/>
  <c r="AH202" i="5" s="1"/>
  <c r="AH275" i="5" s="1"/>
  <c r="AH208" i="5"/>
  <c r="AH221" i="5"/>
  <c r="AH192" i="5" s="1"/>
  <c r="AH200" i="5" s="1"/>
  <c r="AH261" i="5" s="1"/>
  <c r="AH171" i="5" s="1"/>
  <c r="AH235" i="5"/>
  <c r="X18" i="5"/>
  <c r="V257" i="5"/>
  <c r="V194" i="5" s="1"/>
  <c r="J163" i="5"/>
  <c r="J160" i="5" s="1"/>
  <c r="X55" i="5"/>
  <c r="AH252" i="5"/>
  <c r="N162" i="5"/>
  <c r="N164" i="5"/>
  <c r="T209" i="5"/>
  <c r="H696" i="17"/>
  <c r="H719" i="17"/>
  <c r="H736" i="17"/>
  <c r="T239" i="5"/>
  <c r="T191" i="5" s="1"/>
  <c r="T53" i="5" s="1"/>
  <c r="U239" i="5"/>
  <c r="U191" i="5" s="1"/>
  <c r="U47" i="5" s="1"/>
  <c r="I230" i="5"/>
  <c r="I190" i="5" s="1"/>
  <c r="AG15" i="5"/>
  <c r="Y14" i="5"/>
  <c r="X16" i="5"/>
  <c r="AB162" i="5"/>
  <c r="AB160" i="5" s="1"/>
  <c r="AD230" i="5"/>
  <c r="L257" i="5"/>
  <c r="L194" i="5" s="1"/>
  <c r="AD248" i="5"/>
  <c r="AD193" i="5" s="1"/>
  <c r="AD54" i="5" s="1"/>
  <c r="L248" i="5"/>
  <c r="L193" i="5" s="1"/>
  <c r="L48" i="5" s="1"/>
  <c r="T248" i="5"/>
  <c r="T193" i="5" s="1"/>
  <c r="T201" i="5" s="1"/>
  <c r="I257" i="5"/>
  <c r="I194" i="5" s="1"/>
  <c r="X200" i="5"/>
  <c r="X261" i="5" s="1"/>
  <c r="D150" i="18" s="1"/>
  <c r="I54" i="5"/>
  <c r="O46" i="5"/>
  <c r="O52" i="5"/>
  <c r="Q48" i="5"/>
  <c r="Q201" i="5"/>
  <c r="Q54" i="5"/>
  <c r="O48" i="5"/>
  <c r="O201" i="5"/>
  <c r="O54" i="5"/>
  <c r="K45" i="5"/>
  <c r="K51" i="5"/>
  <c r="K48" i="5"/>
  <c r="K201" i="5"/>
  <c r="K54" i="5"/>
  <c r="U48" i="5"/>
  <c r="U201" i="5"/>
  <c r="U271" i="5" s="1"/>
  <c r="U54" i="5"/>
  <c r="AC16" i="5"/>
  <c r="AC53" i="5"/>
  <c r="Y47" i="5"/>
  <c r="Y53" i="5"/>
  <c r="O47" i="5"/>
  <c r="O53" i="5"/>
  <c r="F51" i="5"/>
  <c r="F45" i="5"/>
  <c r="F53" i="5"/>
  <c r="F47" i="5"/>
  <c r="F201" i="5"/>
  <c r="F268" i="5" s="1"/>
  <c r="H12" i="18" s="1"/>
  <c r="F54" i="5"/>
  <c r="F48" i="5"/>
  <c r="X45" i="5"/>
  <c r="X51" i="5"/>
  <c r="L46" i="5"/>
  <c r="L52" i="5"/>
  <c r="Y46" i="5"/>
  <c r="Y52" i="5"/>
  <c r="F52" i="5"/>
  <c r="F46" i="5"/>
  <c r="G47" i="5"/>
  <c r="AC48" i="5"/>
  <c r="AC201" i="5"/>
  <c r="AC54" i="5"/>
  <c r="G48" i="5"/>
  <c r="G201" i="5"/>
  <c r="G54" i="5"/>
  <c r="L47" i="5"/>
  <c r="Y48" i="5"/>
  <c r="Y201" i="5"/>
  <c r="Y54" i="5"/>
  <c r="O45" i="5"/>
  <c r="O51" i="5"/>
  <c r="AC55" i="5"/>
  <c r="F55" i="5"/>
  <c r="F49" i="5"/>
  <c r="K55" i="5"/>
  <c r="W305" i="5"/>
  <c r="J80" i="18" s="1"/>
  <c r="W302" i="5"/>
  <c r="J149" i="18" s="1"/>
  <c r="K47" i="5"/>
  <c r="K53" i="5"/>
  <c r="K46" i="5"/>
  <c r="K52" i="5"/>
  <c r="T55" i="5"/>
  <c r="T45" i="5"/>
  <c r="T51" i="5"/>
  <c r="T47" i="5"/>
  <c r="Z55" i="5"/>
  <c r="AA218" i="5"/>
  <c r="G1018" i="17"/>
  <c r="G987" i="17"/>
  <c r="H941" i="17"/>
  <c r="O19" i="5"/>
  <c r="Q197" i="5"/>
  <c r="T198" i="5"/>
  <c r="T276" i="5" s="1"/>
  <c r="T277" i="5" s="1"/>
  <c r="E69" i="18" s="1"/>
  <c r="T46" i="5"/>
  <c r="I49" i="5"/>
  <c r="D185" i="5"/>
  <c r="D178" i="5" s="1"/>
  <c r="O197" i="5"/>
  <c r="O263" i="5" s="1"/>
  <c r="O264" i="5" s="1"/>
  <c r="Y197" i="5"/>
  <c r="Y45" i="5"/>
  <c r="AC197" i="5"/>
  <c r="AC45" i="5"/>
  <c r="H198" i="5"/>
  <c r="H277" i="5" s="1"/>
  <c r="H46" i="5"/>
  <c r="H44" i="5" s="1"/>
  <c r="X198" i="5"/>
  <c r="X276" i="5" s="1"/>
  <c r="X277" i="5" s="1"/>
  <c r="X46" i="5"/>
  <c r="AD48" i="5"/>
  <c r="O200" i="5"/>
  <c r="O261" i="5" s="1"/>
  <c r="D141" i="18" s="1"/>
  <c r="O49" i="5"/>
  <c r="AC199" i="5"/>
  <c r="AC47" i="5"/>
  <c r="Y200" i="5"/>
  <c r="Y261" i="5" s="1"/>
  <c r="D151" i="18" s="1"/>
  <c r="AC200" i="5"/>
  <c r="AC261" i="5" s="1"/>
  <c r="Z200" i="5"/>
  <c r="Z261" i="5" s="1"/>
  <c r="D152" i="18" s="1"/>
  <c r="Z49" i="5"/>
  <c r="Z219" i="5"/>
  <c r="Z220" i="5" s="1"/>
  <c r="Z239" i="5"/>
  <c r="Z191" i="5" s="1"/>
  <c r="Z248" i="5"/>
  <c r="Z193" i="5" s="1"/>
  <c r="Z201" i="5" s="1"/>
  <c r="Z212" i="5"/>
  <c r="Z189" i="5" s="1"/>
  <c r="L212" i="5"/>
  <c r="L189" i="5" s="1"/>
  <c r="L221" i="5"/>
  <c r="L192" i="5" s="1"/>
  <c r="L55" i="5" s="1"/>
  <c r="AH277" i="5"/>
  <c r="AH278" i="5" s="1"/>
  <c r="AG171" i="5"/>
  <c r="K276" i="5"/>
  <c r="N161" i="5"/>
  <c r="N146" i="5"/>
  <c r="N248" i="5" s="1"/>
  <c r="N193" i="5" s="1"/>
  <c r="AE239" i="5"/>
  <c r="Q257" i="5"/>
  <c r="Q194" i="5" s="1"/>
  <c r="Q239" i="5"/>
  <c r="Q191" i="5" s="1"/>
  <c r="Q221" i="5"/>
  <c r="Q192" i="5" s="1"/>
  <c r="E146" i="5"/>
  <c r="E212" i="5" s="1"/>
  <c r="E189" i="5" s="1"/>
  <c r="R161" i="5"/>
  <c r="R160" i="5" s="1"/>
  <c r="R146" i="5"/>
  <c r="R248" i="5" s="1"/>
  <c r="M161" i="5"/>
  <c r="M160" i="5" s="1"/>
  <c r="M146" i="5"/>
  <c r="M212" i="5" s="1"/>
  <c r="M189" i="5" s="1"/>
  <c r="M51" i="5" s="1"/>
  <c r="P161" i="5"/>
  <c r="P160" i="5" s="1"/>
  <c r="P146" i="5"/>
  <c r="P239" i="5" s="1"/>
  <c r="P191" i="5" s="1"/>
  <c r="F283" i="5"/>
  <c r="F284" i="5" s="1"/>
  <c r="O283" i="5"/>
  <c r="AB146" i="5"/>
  <c r="AD221" i="5"/>
  <c r="AD192" i="5" s="1"/>
  <c r="AD191" i="5"/>
  <c r="AD53" i="5" s="1"/>
  <c r="U212" i="5"/>
  <c r="U189" i="5" s="1"/>
  <c r="U257" i="5"/>
  <c r="U194" i="5" s="1"/>
  <c r="U49" i="5" s="1"/>
  <c r="U230" i="5"/>
  <c r="U190" i="5" s="1"/>
  <c r="U198" i="5" s="1"/>
  <c r="G221" i="5"/>
  <c r="G192" i="5" s="1"/>
  <c r="G55" i="5" s="1"/>
  <c r="G230" i="5"/>
  <c r="G190" i="5" s="1"/>
  <c r="G198" i="5" s="1"/>
  <c r="AA146" i="5"/>
  <c r="AA212" i="5" s="1"/>
  <c r="W304" i="5"/>
  <c r="J79" i="18" s="1"/>
  <c r="AH15" i="5"/>
  <c r="W303" i="5"/>
  <c r="J78" i="18" s="1"/>
  <c r="W306" i="5"/>
  <c r="J81" i="18" s="1"/>
  <c r="G765" i="17"/>
  <c r="Y209" i="5"/>
  <c r="H949" i="17"/>
  <c r="H935" i="17"/>
  <c r="F160" i="5"/>
  <c r="U160" i="5"/>
  <c r="T160" i="5"/>
  <c r="Y160" i="5"/>
  <c r="AE157" i="5"/>
  <c r="AE164" i="5" s="1"/>
  <c r="AE154" i="5"/>
  <c r="AE161" i="5" s="1"/>
  <c r="AE153" i="5"/>
  <c r="AE158" i="5"/>
  <c r="AE165" i="5" s="1"/>
  <c r="AE155" i="5"/>
  <c r="AE162" i="5" s="1"/>
  <c r="AE156" i="5"/>
  <c r="AE163" i="5" s="1"/>
  <c r="O160" i="5"/>
  <c r="AD160" i="5"/>
  <c r="Q265" i="5"/>
  <c r="Q267" i="5" s="1"/>
  <c r="H279" i="5"/>
  <c r="K160" i="5"/>
  <c r="T265" i="5"/>
  <c r="C69" i="18" s="1"/>
  <c r="G160" i="5"/>
  <c r="L160" i="5"/>
  <c r="AC160" i="5"/>
  <c r="I160" i="5"/>
  <c r="Z160" i="5"/>
  <c r="AC265" i="5"/>
  <c r="AC266" i="5" s="1"/>
  <c r="D159" i="18"/>
  <c r="Y263" i="5"/>
  <c r="F263" i="5"/>
  <c r="F274" i="5"/>
  <c r="I11" i="18" s="1"/>
  <c r="X269" i="5"/>
  <c r="H85" i="18" s="1"/>
  <c r="Q160" i="5"/>
  <c r="AA160" i="5"/>
  <c r="V160" i="5"/>
  <c r="T199" i="5"/>
  <c r="T283" i="5" s="1"/>
  <c r="AC18" i="5"/>
  <c r="U200" i="5"/>
  <c r="U261" i="5" s="1"/>
  <c r="U171" i="5" s="1"/>
  <c r="O15" i="5"/>
  <c r="O198" i="5"/>
  <c r="F188" i="5"/>
  <c r="F198" i="5"/>
  <c r="L18" i="5"/>
  <c r="L202" i="5"/>
  <c r="L275" i="5" s="1"/>
  <c r="K16" i="5"/>
  <c r="K199" i="5"/>
  <c r="AG16" i="5"/>
  <c r="AG199" i="5"/>
  <c r="AG288" i="5" s="1"/>
  <c r="AG19" i="5"/>
  <c r="AG271" i="5"/>
  <c r="Y199" i="5"/>
  <c r="Z18" i="5"/>
  <c r="Z202" i="5"/>
  <c r="Z275" i="5" s="1"/>
  <c r="T18" i="5"/>
  <c r="T202" i="5"/>
  <c r="T275" i="5" s="1"/>
  <c r="U287" i="5"/>
  <c r="X197" i="5"/>
  <c r="L198" i="5"/>
  <c r="L277" i="5" s="1"/>
  <c r="Y198" i="5"/>
  <c r="S112" i="5"/>
  <c r="D112" i="5" s="1"/>
  <c r="S91" i="5"/>
  <c r="Y18" i="5"/>
  <c r="Y202" i="5"/>
  <c r="AD18" i="5"/>
  <c r="AD202" i="5"/>
  <c r="G199" i="5"/>
  <c r="G18" i="5"/>
  <c r="G202" i="5"/>
  <c r="K14" i="5"/>
  <c r="K197" i="5"/>
  <c r="K18" i="5"/>
  <c r="K202" i="5"/>
  <c r="O18" i="5"/>
  <c r="O202" i="5"/>
  <c r="O275" i="5" s="1"/>
  <c r="AH19" i="5"/>
  <c r="AG18" i="5"/>
  <c r="AG202" i="5"/>
  <c r="AG275" i="5" s="1"/>
  <c r="D63" i="5"/>
  <c r="E77" i="5"/>
  <c r="D77" i="5" s="1"/>
  <c r="H296" i="5"/>
  <c r="AG11" i="46"/>
  <c r="L1380" i="17"/>
  <c r="O1380" i="17" s="1"/>
  <c r="AG8" i="46"/>
  <c r="L1355" i="17"/>
  <c r="O1355" i="17" s="1"/>
  <c r="AH191" i="5"/>
  <c r="AG10" i="46"/>
  <c r="L1373" i="17"/>
  <c r="O1373" i="17" s="1"/>
  <c r="AH210" i="5"/>
  <c r="AH211" i="5" s="1"/>
  <c r="AH293" i="5" s="1"/>
  <c r="AF9" i="46"/>
  <c r="L1317" i="17"/>
  <c r="O1317" i="17" s="1"/>
  <c r="AF6" i="46"/>
  <c r="L1294" i="17"/>
  <c r="O1294" i="17" s="1"/>
  <c r="AG189" i="5"/>
  <c r="AG188" i="5" s="1"/>
  <c r="AG210" i="5"/>
  <c r="AG211" i="5" s="1"/>
  <c r="AG293" i="5" s="1"/>
  <c r="AH228" i="5"/>
  <c r="AH229" i="5" s="1"/>
  <c r="AG228" i="5"/>
  <c r="AG229" i="5" s="1"/>
  <c r="AH219" i="5"/>
  <c r="AH220" i="5" s="1"/>
  <c r="W295" i="5"/>
  <c r="L1349" i="17"/>
  <c r="O1349" i="17" s="1"/>
  <c r="AG7" i="46"/>
  <c r="AG6" i="46"/>
  <c r="L1340" i="17"/>
  <c r="O1340" i="17" s="1"/>
  <c r="L1363" i="17"/>
  <c r="O1363" i="17" s="1"/>
  <c r="AG9" i="46"/>
  <c r="AF8" i="46"/>
  <c r="L1309" i="17"/>
  <c r="O1309" i="17" s="1"/>
  <c r="AF7" i="46"/>
  <c r="L1303" i="17"/>
  <c r="O1303" i="17" s="1"/>
  <c r="AF11" i="46"/>
  <c r="L1334" i="17"/>
  <c r="O1334" i="17" s="1"/>
  <c r="AF10" i="46"/>
  <c r="L1327" i="17"/>
  <c r="O1327" i="17" s="1"/>
  <c r="AG219" i="5"/>
  <c r="AG220" i="5" s="1"/>
  <c r="AG237" i="5"/>
  <c r="AG238" i="5" s="1"/>
  <c r="G1051" i="17"/>
  <c r="S111" i="5"/>
  <c r="D111" i="5" s="1"/>
  <c r="O179" i="16"/>
  <c r="P179" i="16" s="1"/>
  <c r="AH366" i="5"/>
  <c r="O178" i="16"/>
  <c r="P178" i="16" s="1"/>
  <c r="D392" i="5"/>
  <c r="H245" i="5"/>
  <c r="H252" i="5"/>
  <c r="AD19" i="5"/>
  <c r="L189" i="16"/>
  <c r="O189" i="16" s="1"/>
  <c r="P189" i="16" s="1"/>
  <c r="T25" i="46"/>
  <c r="L318" i="16"/>
  <c r="AF24" i="46"/>
  <c r="P144" i="17"/>
  <c r="Q144" i="17"/>
  <c r="Q186" i="17" s="1"/>
  <c r="L183" i="16"/>
  <c r="O183" i="16" s="1"/>
  <c r="P183" i="16" s="1"/>
  <c r="T22" i="46"/>
  <c r="L1288" i="17"/>
  <c r="O1288" i="17" s="1"/>
  <c r="AE11" i="46"/>
  <c r="O170" i="16"/>
  <c r="P170" i="16" s="1"/>
  <c r="Y15" i="5"/>
  <c r="L190" i="16"/>
  <c r="O190" i="16" s="1"/>
  <c r="P190" i="16" s="1"/>
  <c r="T26" i="46"/>
  <c r="L1271" i="17"/>
  <c r="O1271" i="17" s="1"/>
  <c r="AE9" i="46"/>
  <c r="O186" i="17"/>
  <c r="P153" i="17"/>
  <c r="Q153" i="17"/>
  <c r="Q159" i="17"/>
  <c r="P159" i="17"/>
  <c r="G1033" i="17"/>
  <c r="L315" i="16"/>
  <c r="AF22" i="46"/>
  <c r="AH356" i="5"/>
  <c r="AH349" i="5"/>
  <c r="Y216" i="5"/>
  <c r="L322" i="16"/>
  <c r="AF26" i="46"/>
  <c r="L19" i="5"/>
  <c r="L1263" i="17"/>
  <c r="O1263" i="17" s="1"/>
  <c r="AE8" i="46"/>
  <c r="L327" i="16"/>
  <c r="AG23" i="46"/>
  <c r="L181" i="16"/>
  <c r="O181" i="16" s="1"/>
  <c r="P181" i="16" s="1"/>
  <c r="T21" i="46"/>
  <c r="AH413" i="5"/>
  <c r="O172" i="16"/>
  <c r="P172" i="16" s="1"/>
  <c r="P184" i="17"/>
  <c r="Q184" i="17"/>
  <c r="J208" i="5"/>
  <c r="J244" i="5"/>
  <c r="Q867" i="17"/>
  <c r="P867" i="17"/>
  <c r="P876" i="17" s="1"/>
  <c r="AF356" i="5"/>
  <c r="AF349" i="5"/>
  <c r="L321" i="16"/>
  <c r="AB350" i="5"/>
  <c r="AB349" i="5" s="1"/>
  <c r="I349" i="5"/>
  <c r="G420" i="5"/>
  <c r="L1248" i="17"/>
  <c r="O1248" i="17" s="1"/>
  <c r="AE6" i="46"/>
  <c r="H238" i="5"/>
  <c r="O338" i="5"/>
  <c r="O344" i="5"/>
  <c r="O173" i="16"/>
  <c r="P173" i="16" s="1"/>
  <c r="L313" i="16"/>
  <c r="AF21" i="46"/>
  <c r="F419" i="5"/>
  <c r="F413" i="5"/>
  <c r="G775" i="17"/>
  <c r="L333" i="16"/>
  <c r="AG26" i="46"/>
  <c r="L324" i="16"/>
  <c r="AG21" i="46"/>
  <c r="H959" i="17"/>
  <c r="K350" i="5"/>
  <c r="K349" i="5" s="1"/>
  <c r="O876" i="17"/>
  <c r="J209" i="5"/>
  <c r="L329" i="16"/>
  <c r="AG24" i="46"/>
  <c r="L186" i="16"/>
  <c r="O186" i="16" s="1"/>
  <c r="P186" i="16" s="1"/>
  <c r="T24" i="46"/>
  <c r="N412" i="5"/>
  <c r="N399" i="5"/>
  <c r="D406" i="5"/>
  <c r="K188" i="5"/>
  <c r="L316" i="16"/>
  <c r="AF23" i="46"/>
  <c r="L326" i="16"/>
  <c r="AG22" i="46"/>
  <c r="L1257" i="17"/>
  <c r="O1257" i="17" s="1"/>
  <c r="AE7" i="46"/>
  <c r="H245" i="17"/>
  <c r="H236" i="17"/>
  <c r="H259" i="17"/>
  <c r="H269" i="17"/>
  <c r="H276" i="17"/>
  <c r="J216" i="5"/>
  <c r="H251" i="17"/>
  <c r="Q167" i="17"/>
  <c r="P167" i="17"/>
  <c r="H344" i="5"/>
  <c r="H120" i="5" s="1"/>
  <c r="H362" i="5" s="1"/>
  <c r="E359" i="5"/>
  <c r="D353" i="5"/>
  <c r="E371" i="5"/>
  <c r="D365" i="5"/>
  <c r="T399" i="5"/>
  <c r="T412" i="5"/>
  <c r="D364" i="5"/>
  <c r="AH426" i="5"/>
  <c r="AH427" i="5" s="1"/>
  <c r="AH420" i="5"/>
  <c r="E125" i="5"/>
  <c r="E323" i="5"/>
  <c r="R412" i="5"/>
  <c r="R399" i="5"/>
  <c r="W399" i="5"/>
  <c r="W412" i="5"/>
  <c r="D352" i="5"/>
  <c r="Y337" i="5"/>
  <c r="Y324" i="5"/>
  <c r="Y344" i="5" s="1"/>
  <c r="Y120" i="5" s="1"/>
  <c r="Y362" i="5" s="1"/>
  <c r="T324" i="5"/>
  <c r="T344" i="5" s="1"/>
  <c r="T120" i="5" s="1"/>
  <c r="X399" i="5"/>
  <c r="X412" i="5"/>
  <c r="E230" i="5"/>
  <c r="G751" i="17"/>
  <c r="G1005" i="17"/>
  <c r="U366" i="5"/>
  <c r="Y188" i="5"/>
  <c r="Y96" i="5" s="1"/>
  <c r="L419" i="5"/>
  <c r="L413" i="5"/>
  <c r="Q419" i="5"/>
  <c r="Q413" i="5"/>
  <c r="F350" i="5"/>
  <c r="F349" i="5" s="1"/>
  <c r="F120" i="5"/>
  <c r="F244" i="5" s="1"/>
  <c r="I327" i="16"/>
  <c r="I324" i="16"/>
  <c r="I329" i="16"/>
  <c r="I326" i="16"/>
  <c r="I333" i="16"/>
  <c r="AH396" i="5"/>
  <c r="AH403" i="5" s="1"/>
  <c r="AH410" i="5" s="1"/>
  <c r="AH417" i="5" s="1"/>
  <c r="AH424" i="5" s="1"/>
  <c r="I332" i="16"/>
  <c r="O332" i="16" s="1"/>
  <c r="P332" i="16" s="1"/>
  <c r="AF361" i="5"/>
  <c r="AF368" i="5"/>
  <c r="AF389" i="5" s="1"/>
  <c r="AF418" i="5"/>
  <c r="AF390" i="5"/>
  <c r="AE21" i="46" s="1"/>
  <c r="AF404" i="5"/>
  <c r="AF397" i="5"/>
  <c r="AF411" i="5"/>
  <c r="AF425" i="5"/>
  <c r="I16" i="5"/>
  <c r="S108" i="5"/>
  <c r="S148" i="5"/>
  <c r="S162" i="5" s="1"/>
  <c r="S151" i="5"/>
  <c r="S165" i="5" s="1"/>
  <c r="S150" i="5"/>
  <c r="S164" i="5" s="1"/>
  <c r="S147" i="5"/>
  <c r="S149" i="5"/>
  <c r="S163" i="5" s="1"/>
  <c r="S107" i="5"/>
  <c r="S105" i="5"/>
  <c r="S207" i="5" s="1"/>
  <c r="AC14" i="5"/>
  <c r="Q14" i="5"/>
  <c r="I19" i="5"/>
  <c r="Q19" i="5"/>
  <c r="H15" i="5"/>
  <c r="H13" i="5" s="1"/>
  <c r="L15" i="5"/>
  <c r="X15" i="5"/>
  <c r="K15" i="5"/>
  <c r="F15" i="5"/>
  <c r="AE419" i="5"/>
  <c r="AE413" i="5"/>
  <c r="O188" i="5"/>
  <c r="O96" i="5" s="1"/>
  <c r="T15" i="5"/>
  <c r="H188" i="5"/>
  <c r="H294" i="5"/>
  <c r="I356" i="5"/>
  <c r="AC190" i="5"/>
  <c r="AC52" i="5" s="1"/>
  <c r="Q190" i="5"/>
  <c r="Q52" i="5" s="1"/>
  <c r="W294" i="5"/>
  <c r="T188" i="5"/>
  <c r="T96" i="5" s="1"/>
  <c r="U16" i="5"/>
  <c r="O13" i="5"/>
  <c r="X188" i="5"/>
  <c r="X96" i="5" s="1"/>
  <c r="X14" i="5"/>
  <c r="X344" i="5"/>
  <c r="X120" i="5" s="1"/>
  <c r="X244" i="5" s="1"/>
  <c r="X338" i="5"/>
  <c r="G757" i="17"/>
  <c r="G742" i="17"/>
  <c r="G782" i="17"/>
  <c r="U218" i="5"/>
  <c r="G995" i="17"/>
  <c r="G1012" i="17"/>
  <c r="G981" i="17"/>
  <c r="E156" i="5"/>
  <c r="E153" i="5"/>
  <c r="D153" i="5" s="1"/>
  <c r="E157" i="5"/>
  <c r="E164" i="5" s="1"/>
  <c r="E158" i="5"/>
  <c r="E154" i="5"/>
  <c r="E161" i="5" s="1"/>
  <c r="E155" i="5"/>
  <c r="D155" i="5" s="1"/>
  <c r="W246" i="5"/>
  <c r="W247" i="5" s="1"/>
  <c r="AH246" i="5"/>
  <c r="AH247" i="5" s="1"/>
  <c r="G350" i="5"/>
  <c r="G349" i="5" s="1"/>
  <c r="G1058" i="17"/>
  <c r="G1041" i="17"/>
  <c r="G1027" i="17"/>
  <c r="I210" i="5"/>
  <c r="I211" i="5" s="1"/>
  <c r="AD426" i="5"/>
  <c r="AD427" i="5" s="1"/>
  <c r="AD420" i="5"/>
  <c r="M426" i="5"/>
  <c r="M427" i="5" s="1"/>
  <c r="M420" i="5"/>
  <c r="AC426" i="5"/>
  <c r="AC427" i="5" s="1"/>
  <c r="AC420" i="5"/>
  <c r="AG366" i="5"/>
  <c r="AA350" i="5"/>
  <c r="AA349" i="5" s="1"/>
  <c r="AC344" i="5"/>
  <c r="AC120" i="5" s="1"/>
  <c r="AC244" i="5" s="1"/>
  <c r="AC338" i="5"/>
  <c r="Q344" i="5"/>
  <c r="Q120" i="5" s="1"/>
  <c r="Q244" i="5" s="1"/>
  <c r="Q338" i="5"/>
  <c r="K217" i="5"/>
  <c r="K235" i="5"/>
  <c r="L315" i="17"/>
  <c r="K208" i="5"/>
  <c r="K226" i="5"/>
  <c r="K253" i="5"/>
  <c r="K126" i="5"/>
  <c r="K106" i="5" s="1"/>
  <c r="K206" i="5" s="1"/>
  <c r="K362" i="5"/>
  <c r="Q216" i="5"/>
  <c r="H591" i="17"/>
  <c r="H581" i="17"/>
  <c r="H573" i="17"/>
  <c r="H567" i="17"/>
  <c r="H598" i="17"/>
  <c r="H558" i="17"/>
  <c r="Q209" i="5"/>
  <c r="AC413" i="5"/>
  <c r="AC210" i="5"/>
  <c r="AC211" i="5" s="1"/>
  <c r="F236" i="5"/>
  <c r="G85" i="17"/>
  <c r="G52" i="17"/>
  <c r="G75" i="17"/>
  <c r="F210" i="5"/>
  <c r="F211" i="5" s="1"/>
  <c r="F218" i="5"/>
  <c r="G61" i="17"/>
  <c r="G67" i="17"/>
  <c r="G92" i="17"/>
  <c r="O236" i="5"/>
  <c r="O227" i="5"/>
  <c r="O210" i="5"/>
  <c r="O211" i="5" s="1"/>
  <c r="O218" i="5"/>
  <c r="G481" i="17"/>
  <c r="G475" i="17"/>
  <c r="G506" i="17"/>
  <c r="G489" i="17"/>
  <c r="G466" i="17"/>
  <c r="G499" i="17"/>
  <c r="G935" i="17"/>
  <c r="V47" i="3"/>
  <c r="P216" i="5"/>
  <c r="H552" i="17"/>
  <c r="H512" i="17"/>
  <c r="H527" i="17"/>
  <c r="H521" i="17"/>
  <c r="H545" i="17"/>
  <c r="H535" i="17"/>
  <c r="U350" i="5"/>
  <c r="U349" i="5" s="1"/>
  <c r="P221" i="5"/>
  <c r="P192" i="5" s="1"/>
  <c r="M413" i="5"/>
  <c r="P209" i="5"/>
  <c r="I126" i="5"/>
  <c r="I106" i="5" s="1"/>
  <c r="I206" i="5" s="1"/>
  <c r="I217" i="5"/>
  <c r="I235" i="5"/>
  <c r="L223" i="17"/>
  <c r="I362" i="5"/>
  <c r="I208" i="5"/>
  <c r="I226" i="5"/>
  <c r="I253" i="5"/>
  <c r="D83" i="5"/>
  <c r="W122" i="5"/>
  <c r="M209" i="5"/>
  <c r="G1156" i="17"/>
  <c r="G1196" i="17"/>
  <c r="G1171" i="17"/>
  <c r="AD218" i="5"/>
  <c r="G1179" i="17"/>
  <c r="G1189" i="17"/>
  <c r="G1165" i="17"/>
  <c r="G719" i="17"/>
  <c r="G729" i="17"/>
  <c r="L218" i="5"/>
  <c r="G361" i="17"/>
  <c r="Z234" i="5"/>
  <c r="Z236" i="5"/>
  <c r="Z227" i="5"/>
  <c r="P350" i="5"/>
  <c r="P349" i="5" s="1"/>
  <c r="AD236" i="5"/>
  <c r="AD413" i="5"/>
  <c r="M216" i="5"/>
  <c r="H383" i="17"/>
  <c r="H407" i="17"/>
  <c r="H414" i="17"/>
  <c r="H374" i="17"/>
  <c r="H397" i="17"/>
  <c r="H389" i="17"/>
  <c r="U227" i="5"/>
  <c r="AB218" i="5"/>
  <c r="G1079" i="17"/>
  <c r="G1073" i="17"/>
  <c r="G1104" i="17"/>
  <c r="G1064" i="17"/>
  <c r="G1087" i="17"/>
  <c r="G1097" i="17"/>
  <c r="R212" i="5"/>
  <c r="R189" i="5" s="1"/>
  <c r="R193" i="5"/>
  <c r="R209" i="5"/>
  <c r="N216" i="5"/>
  <c r="H453" i="17"/>
  <c r="H420" i="17"/>
  <c r="H444" i="17"/>
  <c r="H435" i="17"/>
  <c r="H460" i="17"/>
  <c r="H429" i="17"/>
  <c r="AE209" i="5"/>
  <c r="V350" i="5"/>
  <c r="V349" i="5" s="1"/>
  <c r="R350" i="5"/>
  <c r="R349" i="5" s="1"/>
  <c r="R216" i="5"/>
  <c r="H613" i="17"/>
  <c r="H637" i="17"/>
  <c r="H619" i="17"/>
  <c r="H627" i="17"/>
  <c r="H644" i="17"/>
  <c r="H604" i="17"/>
  <c r="N209" i="5"/>
  <c r="AE216" i="5"/>
  <c r="H1202" i="17"/>
  <c r="H1242" i="17"/>
  <c r="H1225" i="17"/>
  <c r="H1211" i="17"/>
  <c r="H1217" i="17"/>
  <c r="H1235" i="17"/>
  <c r="V126" i="5"/>
  <c r="V106" i="5" s="1"/>
  <c r="V206" i="5" s="1"/>
  <c r="V362" i="5"/>
  <c r="V226" i="5"/>
  <c r="V235" i="5"/>
  <c r="V217" i="5"/>
  <c r="L821" i="17"/>
  <c r="V253" i="5"/>
  <c r="V208" i="5"/>
  <c r="Y226" i="5"/>
  <c r="R126" i="5"/>
  <c r="R106" i="5" s="1"/>
  <c r="R206" i="5" s="1"/>
  <c r="R362" i="5"/>
  <c r="R208" i="5"/>
  <c r="R226" i="5"/>
  <c r="R235" i="5"/>
  <c r="R217" i="5"/>
  <c r="L637" i="17"/>
  <c r="R253" i="5"/>
  <c r="N126" i="5"/>
  <c r="N106" i="5" s="1"/>
  <c r="N206" i="5" s="1"/>
  <c r="N362" i="5"/>
  <c r="N208" i="5"/>
  <c r="N226" i="5"/>
  <c r="N235" i="5"/>
  <c r="N217" i="5"/>
  <c r="L453" i="17"/>
  <c r="N253" i="5"/>
  <c r="AD344" i="5"/>
  <c r="AD120" i="5" s="1"/>
  <c r="AD244" i="5" s="1"/>
  <c r="AD338" i="5"/>
  <c r="I218" i="5"/>
  <c r="G190" i="17"/>
  <c r="G213" i="17"/>
  <c r="G205" i="17"/>
  <c r="G199" i="17"/>
  <c r="G223" i="17"/>
  <c r="G230" i="17"/>
  <c r="P126" i="5"/>
  <c r="P106" i="5" s="1"/>
  <c r="P206" i="5" s="1"/>
  <c r="P362" i="5"/>
  <c r="P253" i="5"/>
  <c r="P217" i="5"/>
  <c r="P208" i="5"/>
  <c r="P226" i="5"/>
  <c r="P235" i="5"/>
  <c r="L545" i="17"/>
  <c r="U126" i="5"/>
  <c r="U106" i="5" s="1"/>
  <c r="U206" i="5" s="1"/>
  <c r="U362" i="5"/>
  <c r="U361" i="5" s="1"/>
  <c r="U208" i="5"/>
  <c r="U226" i="5"/>
  <c r="U235" i="5"/>
  <c r="L775" i="17"/>
  <c r="U217" i="5"/>
  <c r="U253" i="5"/>
  <c r="AC218" i="5"/>
  <c r="G1119" i="17"/>
  <c r="G1125" i="17"/>
  <c r="G1110" i="17"/>
  <c r="G1150" i="17"/>
  <c r="G1143" i="17"/>
  <c r="G1133" i="17"/>
  <c r="G126" i="5"/>
  <c r="G106" i="5" s="1"/>
  <c r="G206" i="5" s="1"/>
  <c r="G362" i="5"/>
  <c r="G217" i="5"/>
  <c r="G226" i="5"/>
  <c r="G235" i="5"/>
  <c r="G208" i="5"/>
  <c r="G253" i="5"/>
  <c r="L131" i="17"/>
  <c r="W293" i="5"/>
  <c r="S350" i="5"/>
  <c r="S349" i="5" s="1"/>
  <c r="N350" i="5"/>
  <c r="N349" i="5" s="1"/>
  <c r="M350" i="5"/>
  <c r="M349" i="5" s="1"/>
  <c r="AE350" i="5"/>
  <c r="AE349" i="5" s="1"/>
  <c r="J350" i="5"/>
  <c r="J349" i="5" s="1"/>
  <c r="L350" i="5"/>
  <c r="L349" i="5" s="1"/>
  <c r="K227" i="5"/>
  <c r="AC236" i="5"/>
  <c r="S126" i="5"/>
  <c r="S106" i="5" s="1"/>
  <c r="S206" i="5" s="1"/>
  <c r="S362" i="5"/>
  <c r="S217" i="5"/>
  <c r="S253" i="5"/>
  <c r="S208" i="5"/>
  <c r="S226" i="5"/>
  <c r="S235" i="5"/>
  <c r="L683" i="17"/>
  <c r="D132" i="18"/>
  <c r="AA126" i="5"/>
  <c r="AA106" i="5" s="1"/>
  <c r="AA206" i="5" s="1"/>
  <c r="AA362" i="5"/>
  <c r="AA217" i="5"/>
  <c r="AA208" i="5"/>
  <c r="AA226" i="5"/>
  <c r="AA235" i="5"/>
  <c r="AA253" i="5"/>
  <c r="L1051" i="17"/>
  <c r="M126" i="5"/>
  <c r="M106" i="5" s="1"/>
  <c r="M206" i="5" s="1"/>
  <c r="M362" i="5"/>
  <c r="M217" i="5"/>
  <c r="M226" i="5"/>
  <c r="M235" i="5"/>
  <c r="M208" i="5"/>
  <c r="M253" i="5"/>
  <c r="L407" i="17"/>
  <c r="AE126" i="5"/>
  <c r="AE106" i="5" s="1"/>
  <c r="AE206" i="5" s="1"/>
  <c r="AE362" i="5"/>
  <c r="AE208" i="5"/>
  <c r="AE226" i="5"/>
  <c r="AE235" i="5"/>
  <c r="AE253" i="5"/>
  <c r="AE217" i="5"/>
  <c r="J126" i="5"/>
  <c r="J106" i="5" s="1"/>
  <c r="J206" i="5" s="1"/>
  <c r="J362" i="5"/>
  <c r="J226" i="5"/>
  <c r="J235" i="5"/>
  <c r="J217" i="5"/>
  <c r="J253" i="5"/>
  <c r="L362" i="5"/>
  <c r="L126" i="5"/>
  <c r="L106" i="5" s="1"/>
  <c r="L206" i="5" s="1"/>
  <c r="L208" i="5"/>
  <c r="L226" i="5"/>
  <c r="L235" i="5"/>
  <c r="L253" i="5"/>
  <c r="L217" i="5"/>
  <c r="L361" i="17"/>
  <c r="H293" i="5"/>
  <c r="K218" i="5"/>
  <c r="G322" i="17"/>
  <c r="G291" i="17"/>
  <c r="G297" i="17"/>
  <c r="G315" i="17"/>
  <c r="G305" i="17"/>
  <c r="G282" i="17"/>
  <c r="K210" i="5"/>
  <c r="AB362" i="5"/>
  <c r="AB126" i="5"/>
  <c r="AB106" i="5" s="1"/>
  <c r="AB206" i="5" s="1"/>
  <c r="AB217" i="5"/>
  <c r="L1097" i="17"/>
  <c r="AB208" i="5"/>
  <c r="AB226" i="5"/>
  <c r="AB235" i="5"/>
  <c r="AB253" i="5"/>
  <c r="Z344" i="5"/>
  <c r="Z120" i="5" s="1"/>
  <c r="Z244" i="5" s="1"/>
  <c r="Z338" i="5"/>
  <c r="K236" i="5"/>
  <c r="AC227" i="5"/>
  <c r="X228" i="5" l="1"/>
  <c r="X229" i="5" s="1"/>
  <c r="G236" i="5"/>
  <c r="G227" i="5"/>
  <c r="N239" i="5"/>
  <c r="N191" i="5" s="1"/>
  <c r="N53" i="5" s="1"/>
  <c r="U234" i="5"/>
  <c r="G344" i="17"/>
  <c r="G711" i="17"/>
  <c r="AH18" i="5"/>
  <c r="G210" i="5"/>
  <c r="G211" i="5" s="1"/>
  <c r="V221" i="5"/>
  <c r="G352" i="17"/>
  <c r="G705" i="17"/>
  <c r="F227" i="5"/>
  <c r="AG246" i="5"/>
  <c r="AG247" i="5" s="1"/>
  <c r="AG297" i="5" s="1"/>
  <c r="T16" i="5"/>
  <c r="AD210" i="5"/>
  <c r="AD211" i="5" s="1"/>
  <c r="V212" i="5"/>
  <c r="G338" i="17"/>
  <c r="T218" i="5"/>
  <c r="T219" i="5" s="1"/>
  <c r="T220" i="5" s="1"/>
  <c r="F234" i="5"/>
  <c r="AD197" i="5"/>
  <c r="G45" i="5"/>
  <c r="E419" i="5"/>
  <c r="E413" i="5"/>
  <c r="G328" i="17"/>
  <c r="T210" i="5"/>
  <c r="T211" i="5" s="1"/>
  <c r="K13" i="5"/>
  <c r="G197" i="5"/>
  <c r="G263" i="5" s="1"/>
  <c r="G264" i="5" s="1"/>
  <c r="G168" i="5" s="1"/>
  <c r="AD51" i="5"/>
  <c r="N212" i="5"/>
  <c r="N189" i="5" s="1"/>
  <c r="G696" i="17"/>
  <c r="AB236" i="5"/>
  <c r="T200" i="5"/>
  <c r="T261" i="5" s="1"/>
  <c r="D146" i="18" s="1"/>
  <c r="AD45" i="5"/>
  <c r="X219" i="5"/>
  <c r="X220" i="5" s="1"/>
  <c r="E236" i="5"/>
  <c r="L1235" i="17"/>
  <c r="U236" i="5"/>
  <c r="G368" i="17"/>
  <c r="G736" i="17"/>
  <c r="T19" i="5"/>
  <c r="V230" i="5"/>
  <c r="AD190" i="5"/>
  <c r="AD46" i="5" s="1"/>
  <c r="Y264" i="5"/>
  <c r="AG120" i="5"/>
  <c r="AG362" i="5" s="1"/>
  <c r="AG350" i="5"/>
  <c r="I201" i="5"/>
  <c r="I47" i="5"/>
  <c r="I51" i="5"/>
  <c r="I45" i="5"/>
  <c r="I14" i="5"/>
  <c r="I197" i="5"/>
  <c r="V199" i="5"/>
  <c r="V283" i="5" s="1"/>
  <c r="V47" i="5"/>
  <c r="V53" i="5"/>
  <c r="AC219" i="5"/>
  <c r="AC220" i="5" s="1"/>
  <c r="AC10" i="46"/>
  <c r="AE225" i="5"/>
  <c r="R225" i="5"/>
  <c r="N225" i="5"/>
  <c r="N236" i="5" s="1"/>
  <c r="L219" i="5"/>
  <c r="L220" i="5" s="1"/>
  <c r="P225" i="5"/>
  <c r="O219" i="5"/>
  <c r="O220" i="5" s="1"/>
  <c r="Q225" i="5"/>
  <c r="P10" i="46"/>
  <c r="AB10" i="46"/>
  <c r="U219" i="5"/>
  <c r="U220" i="5" s="1"/>
  <c r="E10" i="46"/>
  <c r="J225" i="5"/>
  <c r="K96" i="5"/>
  <c r="K109" i="5" s="1"/>
  <c r="I6" i="46"/>
  <c r="Y225" i="5"/>
  <c r="Y227" i="5" s="1"/>
  <c r="H254" i="5"/>
  <c r="F96" i="5"/>
  <c r="F109" i="5" s="1"/>
  <c r="G959" i="17"/>
  <c r="AH254" i="5"/>
  <c r="AG254" i="5"/>
  <c r="I225" i="5"/>
  <c r="E234" i="5"/>
  <c r="AA234" i="5"/>
  <c r="O234" i="5"/>
  <c r="L225" i="5"/>
  <c r="V234" i="5"/>
  <c r="X234" i="5"/>
  <c r="X236" i="5"/>
  <c r="G234" i="5"/>
  <c r="W254" i="5"/>
  <c r="AD234" i="5"/>
  <c r="K234" i="5"/>
  <c r="AH251" i="5"/>
  <c r="AF251" i="5"/>
  <c r="H251" i="5"/>
  <c r="AG251" i="5"/>
  <c r="Y10" i="46"/>
  <c r="K219" i="5"/>
  <c r="K220" i="5" s="1"/>
  <c r="M225" i="5"/>
  <c r="F219" i="5"/>
  <c r="F220" i="5" s="1"/>
  <c r="F296" i="5" s="1"/>
  <c r="W10" i="46"/>
  <c r="I10" i="46"/>
  <c r="H246" i="5"/>
  <c r="H247" i="5" s="1"/>
  <c r="V237" i="5"/>
  <c r="V238" i="5" s="1"/>
  <c r="AD10" i="46"/>
  <c r="J239" i="5"/>
  <c r="J191" i="5" s="1"/>
  <c r="J212" i="5"/>
  <c r="J189" i="5" s="1"/>
  <c r="AB234" i="5"/>
  <c r="AC234" i="5"/>
  <c r="T225" i="5"/>
  <c r="AC15" i="5"/>
  <c r="T54" i="5"/>
  <c r="V201" i="5"/>
  <c r="V268" i="5" s="1"/>
  <c r="H76" i="18" s="1"/>
  <c r="J230" i="5"/>
  <c r="J190" i="5" s="1"/>
  <c r="J52" i="5" s="1"/>
  <c r="X97" i="5"/>
  <c r="X109" i="5"/>
  <c r="T97" i="5"/>
  <c r="T109" i="5"/>
  <c r="O109" i="5"/>
  <c r="O293" i="5" s="1"/>
  <c r="U53" i="5"/>
  <c r="Y97" i="5"/>
  <c r="Y109" i="5"/>
  <c r="X293" i="5"/>
  <c r="AD201" i="5"/>
  <c r="AD268" i="5" s="1"/>
  <c r="H108" i="18" s="1"/>
  <c r="T48" i="5"/>
  <c r="G14" i="5"/>
  <c r="D157" i="5"/>
  <c r="I219" i="5"/>
  <c r="I220" i="5" s="1"/>
  <c r="N230" i="5"/>
  <c r="N190" i="5" s="1"/>
  <c r="N52" i="5" s="1"/>
  <c r="R257" i="5"/>
  <c r="R194" i="5" s="1"/>
  <c r="R49" i="5" s="1"/>
  <c r="M221" i="5"/>
  <c r="M192" i="5" s="1"/>
  <c r="M200" i="5" s="1"/>
  <c r="M261" i="5" s="1"/>
  <c r="D139" i="18" s="1"/>
  <c r="F13" i="5"/>
  <c r="E257" i="5"/>
  <c r="E194" i="5" s="1"/>
  <c r="E248" i="5"/>
  <c r="E193" i="5" s="1"/>
  <c r="E201" i="5" s="1"/>
  <c r="E268" i="5" s="1"/>
  <c r="G15" i="5"/>
  <c r="G237" i="5"/>
  <c r="G238" i="5" s="1"/>
  <c r="L199" i="5"/>
  <c r="AC202" i="5"/>
  <c r="AC274" i="5" s="1"/>
  <c r="I103" i="18" s="1"/>
  <c r="D160" i="18"/>
  <c r="N160" i="5"/>
  <c r="Y49" i="5"/>
  <c r="I199" i="5"/>
  <c r="I283" i="5" s="1"/>
  <c r="I284" i="5" s="1"/>
  <c r="Q45" i="5"/>
  <c r="V19" i="5"/>
  <c r="Y55" i="5"/>
  <c r="V54" i="5"/>
  <c r="J221" i="5"/>
  <c r="J192" i="5" s="1"/>
  <c r="J200" i="5" s="1"/>
  <c r="J261" i="5" s="1"/>
  <c r="D136" i="18" s="1"/>
  <c r="J199" i="5"/>
  <c r="J283" i="5" s="1"/>
  <c r="J47" i="5"/>
  <c r="L201" i="5"/>
  <c r="J257" i="5"/>
  <c r="J194" i="5" s="1"/>
  <c r="J248" i="5"/>
  <c r="J193" i="5" s="1"/>
  <c r="L236" i="17"/>
  <c r="Y217" i="5"/>
  <c r="X7" i="46" s="1"/>
  <c r="N257" i="5"/>
  <c r="N194" i="5" s="1"/>
  <c r="N221" i="5"/>
  <c r="N192" i="5" s="1"/>
  <c r="Y350" i="5"/>
  <c r="Y349" i="5" s="1"/>
  <c r="R239" i="5"/>
  <c r="R191" i="5" s="1"/>
  <c r="R53" i="5" s="1"/>
  <c r="R230" i="5"/>
  <c r="R190" i="5" s="1"/>
  <c r="R221" i="5"/>
  <c r="R192" i="5" s="1"/>
  <c r="L210" i="5"/>
  <c r="L211" i="5" s="1"/>
  <c r="M257" i="5"/>
  <c r="M194" i="5" s="1"/>
  <c r="M55" i="5" s="1"/>
  <c r="AD219" i="5"/>
  <c r="AD220" i="5" s="1"/>
  <c r="P230" i="5"/>
  <c r="G941" i="17"/>
  <c r="D158" i="5"/>
  <c r="E239" i="5"/>
  <c r="E191" i="5" s="1"/>
  <c r="E47" i="5" s="1"/>
  <c r="U15" i="5"/>
  <c r="E221" i="5"/>
  <c r="E192" i="5" s="1"/>
  <c r="E55" i="5" s="1"/>
  <c r="G228" i="5"/>
  <c r="G229" i="5" s="1"/>
  <c r="Y13" i="5"/>
  <c r="L54" i="5"/>
  <c r="V189" i="5"/>
  <c r="V210" i="5"/>
  <c r="V211" i="5" s="1"/>
  <c r="V18" i="5"/>
  <c r="V202" i="5"/>
  <c r="V275" i="5" s="1"/>
  <c r="J53" i="5"/>
  <c r="P212" i="5"/>
  <c r="P189" i="5" s="1"/>
  <c r="P51" i="5" s="1"/>
  <c r="I202" i="5"/>
  <c r="I272" i="5" s="1"/>
  <c r="I25" i="18" s="1"/>
  <c r="I18" i="5"/>
  <c r="I55" i="5"/>
  <c r="P248" i="5"/>
  <c r="P193" i="5" s="1"/>
  <c r="P201" i="5" s="1"/>
  <c r="P257" i="5"/>
  <c r="P194" i="5" s="1"/>
  <c r="P55" i="5" s="1"/>
  <c r="N48" i="5"/>
  <c r="N201" i="5"/>
  <c r="N54" i="5"/>
  <c r="R48" i="5"/>
  <c r="R201" i="5"/>
  <c r="R54" i="5"/>
  <c r="R45" i="5"/>
  <c r="R51" i="5"/>
  <c r="Q49" i="5"/>
  <c r="Q55" i="5"/>
  <c r="E162" i="5"/>
  <c r="U55" i="5"/>
  <c r="Y253" i="5"/>
  <c r="F356" i="5"/>
  <c r="N45" i="5"/>
  <c r="N51" i="5"/>
  <c r="AE221" i="5"/>
  <c r="AE192" i="5" s="1"/>
  <c r="AE200" i="5" s="1"/>
  <c r="AE261" i="5" s="1"/>
  <c r="D157" i="18" s="1"/>
  <c r="Y218" i="5"/>
  <c r="G949" i="17"/>
  <c r="AC13" i="5"/>
  <c r="I46" i="5"/>
  <c r="I52" i="5"/>
  <c r="G188" i="5"/>
  <c r="G46" i="5"/>
  <c r="G52" i="5"/>
  <c r="U46" i="5"/>
  <c r="U52" i="5"/>
  <c r="U45" i="5"/>
  <c r="U51" i="5"/>
  <c r="AD49" i="5"/>
  <c r="AD55" i="5"/>
  <c r="P47" i="5"/>
  <c r="P53" i="5"/>
  <c r="E51" i="5"/>
  <c r="E45" i="5"/>
  <c r="Q47" i="5"/>
  <c r="Q53" i="5"/>
  <c r="L45" i="5"/>
  <c r="L51" i="5"/>
  <c r="F44" i="5"/>
  <c r="M78" i="18"/>
  <c r="M79" i="18"/>
  <c r="M80" i="18"/>
  <c r="Z48" i="5"/>
  <c r="Z54" i="5"/>
  <c r="Z45" i="5"/>
  <c r="Z51" i="5"/>
  <c r="Z47" i="5"/>
  <c r="Z53" i="5"/>
  <c r="R47" i="5"/>
  <c r="R200" i="5"/>
  <c r="R261" i="5" s="1"/>
  <c r="M197" i="5"/>
  <c r="M263" i="5" s="1"/>
  <c r="M264" i="5" s="1"/>
  <c r="M45" i="5"/>
  <c r="Q198" i="5"/>
  <c r="Q276" i="5" s="1"/>
  <c r="Q46" i="5"/>
  <c r="AC198" i="5"/>
  <c r="AC46" i="5"/>
  <c r="N200" i="5"/>
  <c r="N261" i="5" s="1"/>
  <c r="P200" i="5"/>
  <c r="P261" i="5" s="1"/>
  <c r="D142" i="18" s="1"/>
  <c r="Z198" i="5"/>
  <c r="Z277" i="5" s="1"/>
  <c r="Z46" i="5"/>
  <c r="G200" i="5"/>
  <c r="G261" i="5" s="1"/>
  <c r="D133" i="18" s="1"/>
  <c r="G49" i="5"/>
  <c r="AD47" i="5"/>
  <c r="AE191" i="5"/>
  <c r="AE199" i="5" s="1"/>
  <c r="L200" i="5"/>
  <c r="L261" i="5" s="1"/>
  <c r="L171" i="5" s="1"/>
  <c r="L49" i="5"/>
  <c r="AC171" i="5"/>
  <c r="D155" i="18"/>
  <c r="AE248" i="5"/>
  <c r="AE193" i="5" s="1"/>
  <c r="Z199" i="5"/>
  <c r="Z16" i="5"/>
  <c r="Z210" i="5"/>
  <c r="Z211" i="5" s="1"/>
  <c r="Z19" i="5"/>
  <c r="L16" i="5"/>
  <c r="E125" i="18"/>
  <c r="Z197" i="5"/>
  <c r="Z263" i="5" s="1"/>
  <c r="Z267" i="5" s="1"/>
  <c r="Z14" i="5"/>
  <c r="E85" i="18"/>
  <c r="X278" i="5"/>
  <c r="AC350" i="5"/>
  <c r="AC349" i="5" s="1"/>
  <c r="Y276" i="5"/>
  <c r="Y277" i="5" s="1"/>
  <c r="U277" i="5"/>
  <c r="U278" i="5" s="1"/>
  <c r="F276" i="5"/>
  <c r="F277" i="5" s="1"/>
  <c r="G277" i="5"/>
  <c r="G278" i="5" s="1"/>
  <c r="O276" i="5"/>
  <c r="O171" i="5" s="1"/>
  <c r="L197" i="5"/>
  <c r="L265" i="5" s="1"/>
  <c r="L267" i="5" s="1"/>
  <c r="L14" i="5"/>
  <c r="AE257" i="5"/>
  <c r="AE194" i="5" s="1"/>
  <c r="AE202" i="5" s="1"/>
  <c r="L269" i="17"/>
  <c r="AE230" i="5"/>
  <c r="G966" i="17"/>
  <c r="G926" i="17"/>
  <c r="Y210" i="5"/>
  <c r="Y211" i="5" s="1"/>
  <c r="D154" i="5"/>
  <c r="D156" i="5"/>
  <c r="U188" i="5"/>
  <c r="U97" i="5" s="1"/>
  <c r="AC277" i="5"/>
  <c r="AC278" i="5" s="1"/>
  <c r="G16" i="5"/>
  <c r="G13" i="5" s="1"/>
  <c r="L188" i="5"/>
  <c r="K277" i="5"/>
  <c r="E33" i="18" s="1"/>
  <c r="K171" i="5"/>
  <c r="F132" i="18"/>
  <c r="F135" i="18"/>
  <c r="U288" i="5"/>
  <c r="T284" i="5"/>
  <c r="F146" i="18" s="1"/>
  <c r="F285" i="5"/>
  <c r="F287" i="5" s="1"/>
  <c r="F288" i="5" s="1"/>
  <c r="V285" i="5"/>
  <c r="V287" i="5" s="1"/>
  <c r="V288" i="5" s="1"/>
  <c r="O285" i="5"/>
  <c r="O287" i="5" s="1"/>
  <c r="O288" i="5" s="1"/>
  <c r="E197" i="5"/>
  <c r="L283" i="5"/>
  <c r="L285" i="5" s="1"/>
  <c r="G283" i="5"/>
  <c r="G284" i="5" s="1"/>
  <c r="K283" i="5"/>
  <c r="K285" i="5" s="1"/>
  <c r="AA230" i="5"/>
  <c r="AA257" i="5"/>
  <c r="AA248" i="5"/>
  <c r="AA221" i="5"/>
  <c r="AA239" i="5"/>
  <c r="U18" i="5"/>
  <c r="U202" i="5"/>
  <c r="U275" i="5" s="1"/>
  <c r="AD199" i="5"/>
  <c r="AD16" i="5"/>
  <c r="AB257" i="5"/>
  <c r="AB194" i="5" s="1"/>
  <c r="AB239" i="5"/>
  <c r="AB191" i="5" s="1"/>
  <c r="AB212" i="5"/>
  <c r="AB230" i="5"/>
  <c r="AB190" i="5" s="1"/>
  <c r="AB221" i="5"/>
  <c r="AB192" i="5" s="1"/>
  <c r="AB248" i="5"/>
  <c r="AB193" i="5" s="1"/>
  <c r="M230" i="5"/>
  <c r="M190" i="5" s="1"/>
  <c r="M15" i="5" s="1"/>
  <c r="M248" i="5"/>
  <c r="M193" i="5" s="1"/>
  <c r="M201" i="5" s="1"/>
  <c r="M239" i="5"/>
  <c r="M191" i="5" s="1"/>
  <c r="M16" i="5" s="1"/>
  <c r="Q200" i="5"/>
  <c r="Q261" i="5" s="1"/>
  <c r="D143" i="18" s="1"/>
  <c r="Q18" i="5"/>
  <c r="Q202" i="5"/>
  <c r="Q272" i="5" s="1"/>
  <c r="I57" i="18" s="1"/>
  <c r="S161" i="5"/>
  <c r="S160" i="5" s="1"/>
  <c r="S146" i="5"/>
  <c r="S248" i="5" s="1"/>
  <c r="S193" i="5" s="1"/>
  <c r="U197" i="5"/>
  <c r="U264" i="5" s="1"/>
  <c r="U14" i="5"/>
  <c r="AD200" i="5"/>
  <c r="AD261" i="5" s="1"/>
  <c r="D156" i="18" s="1"/>
  <c r="Q199" i="5"/>
  <c r="Q16" i="5"/>
  <c r="U210" i="5"/>
  <c r="U211" i="5" s="1"/>
  <c r="U293" i="5" s="1"/>
  <c r="G219" i="5"/>
  <c r="G220" i="5" s="1"/>
  <c r="X283" i="5"/>
  <c r="L79" i="18"/>
  <c r="W307" i="5"/>
  <c r="L81" i="18"/>
  <c r="L78" i="18"/>
  <c r="M149" i="18"/>
  <c r="L149" i="18"/>
  <c r="M81" i="18"/>
  <c r="L80" i="18"/>
  <c r="F47" i="18"/>
  <c r="F23" i="18"/>
  <c r="F11" i="18"/>
  <c r="F75" i="18"/>
  <c r="Y265" i="5"/>
  <c r="C89" i="18" s="1"/>
  <c r="AE160" i="5"/>
  <c r="F275" i="5"/>
  <c r="T267" i="5"/>
  <c r="AC267" i="5"/>
  <c r="C104" i="18"/>
  <c r="D140" i="18"/>
  <c r="AH268" i="5"/>
  <c r="Y268" i="5"/>
  <c r="H88" i="18" s="1"/>
  <c r="AD263" i="5"/>
  <c r="AD264" i="5" s="1"/>
  <c r="K272" i="5"/>
  <c r="I33" i="18" s="1"/>
  <c r="G268" i="5"/>
  <c r="G269" i="5" s="1"/>
  <c r="H17" i="18" s="1"/>
  <c r="K263" i="5"/>
  <c r="O268" i="5"/>
  <c r="H48" i="18" s="1"/>
  <c r="G272" i="5"/>
  <c r="I17" i="18" s="1"/>
  <c r="AD272" i="5"/>
  <c r="I109" i="18" s="1"/>
  <c r="Y272" i="5"/>
  <c r="I89" i="18" s="1"/>
  <c r="E37" i="18"/>
  <c r="X264" i="5"/>
  <c r="X265" i="5" s="1"/>
  <c r="F73" i="18"/>
  <c r="Z268" i="5"/>
  <c r="T269" i="5"/>
  <c r="K269" i="5"/>
  <c r="H33" i="18" s="1"/>
  <c r="L268" i="5"/>
  <c r="AC268" i="5"/>
  <c r="H104" i="18" s="1"/>
  <c r="E17" i="18"/>
  <c r="Q268" i="5"/>
  <c r="Q269" i="5" s="1"/>
  <c r="D147" i="18"/>
  <c r="I268" i="5"/>
  <c r="H24" i="18" s="1"/>
  <c r="O168" i="5"/>
  <c r="C46" i="18"/>
  <c r="C47" i="18"/>
  <c r="F269" i="5"/>
  <c r="H13" i="18" s="1"/>
  <c r="E121" i="18"/>
  <c r="AG172" i="5"/>
  <c r="E146" i="18"/>
  <c r="E21" i="18"/>
  <c r="H172" i="5"/>
  <c r="H167" i="5" s="1"/>
  <c r="H302" i="5" s="1"/>
  <c r="C57" i="18"/>
  <c r="D144" i="18"/>
  <c r="AH263" i="5"/>
  <c r="AH264" i="5" s="1"/>
  <c r="X271" i="5"/>
  <c r="O265" i="5"/>
  <c r="C11" i="18"/>
  <c r="F264" i="5"/>
  <c r="Y168" i="5"/>
  <c r="C87" i="18"/>
  <c r="E123" i="18"/>
  <c r="AD269" i="5"/>
  <c r="E163" i="5"/>
  <c r="E165" i="5"/>
  <c r="C105" i="18"/>
  <c r="AG279" i="5"/>
  <c r="D399" i="5"/>
  <c r="N18" i="5"/>
  <c r="AE18" i="5"/>
  <c r="Q15" i="5"/>
  <c r="AG14" i="5"/>
  <c r="AG13" i="5" s="1"/>
  <c r="AG197" i="5"/>
  <c r="AH16" i="5"/>
  <c r="AH199" i="5"/>
  <c r="N197" i="5"/>
  <c r="R271" i="5"/>
  <c r="R18" i="5"/>
  <c r="R197" i="5"/>
  <c r="M199" i="5"/>
  <c r="P199" i="5"/>
  <c r="P202" i="5"/>
  <c r="P275" i="5" s="1"/>
  <c r="I15" i="5"/>
  <c r="I13" i="5" s="1"/>
  <c r="I198" i="5"/>
  <c r="E18" i="5"/>
  <c r="E202" i="5"/>
  <c r="K296" i="5"/>
  <c r="H297" i="5"/>
  <c r="W297" i="5"/>
  <c r="W196" i="5"/>
  <c r="W290" i="5" s="1"/>
  <c r="U296" i="5"/>
  <c r="AG296" i="5"/>
  <c r="P1309" i="17"/>
  <c r="Q1309" i="17"/>
  <c r="P1340" i="17"/>
  <c r="Q1340" i="17"/>
  <c r="Q1382" i="17" s="1"/>
  <c r="O1382" i="17"/>
  <c r="AH294" i="5"/>
  <c r="AH188" i="5"/>
  <c r="AH14" i="5"/>
  <c r="AH297" i="5"/>
  <c r="H295" i="5"/>
  <c r="AG295" i="5"/>
  <c r="P1327" i="17"/>
  <c r="Q1327" i="17"/>
  <c r="Q1334" i="17"/>
  <c r="P1334" i="17"/>
  <c r="P1303" i="17"/>
  <c r="Q1303" i="17"/>
  <c r="P1363" i="17"/>
  <c r="Q1363" i="17"/>
  <c r="Q1349" i="17"/>
  <c r="P1349" i="17"/>
  <c r="AH296" i="5"/>
  <c r="AG294" i="5"/>
  <c r="P1294" i="17"/>
  <c r="O1336" i="17"/>
  <c r="Q1294" i="17"/>
  <c r="Q1336" i="17" s="1"/>
  <c r="P1317" i="17"/>
  <c r="Q1317" i="17"/>
  <c r="P1373" i="17"/>
  <c r="Q1373" i="17"/>
  <c r="AH295" i="5"/>
  <c r="Q1355" i="17"/>
  <c r="P1355" i="17"/>
  <c r="P1380" i="17"/>
  <c r="Q1380" i="17"/>
  <c r="H196" i="5"/>
  <c r="X196" i="5"/>
  <c r="X92" i="5" s="1"/>
  <c r="O329" i="16"/>
  <c r="P329" i="16" s="1"/>
  <c r="J236" i="5"/>
  <c r="L397" i="17"/>
  <c r="L9" i="46"/>
  <c r="L305" i="17"/>
  <c r="J9" i="46"/>
  <c r="L304" i="16"/>
  <c r="AE22" i="46"/>
  <c r="T126" i="5"/>
  <c r="T106" i="5" s="1"/>
  <c r="T206" i="5" s="1"/>
  <c r="I736" i="17" s="1"/>
  <c r="T244" i="5"/>
  <c r="O333" i="16"/>
  <c r="P333" i="16" s="1"/>
  <c r="O1290" i="17"/>
  <c r="L1064" i="17"/>
  <c r="AA6" i="46"/>
  <c r="L368" i="17"/>
  <c r="K11" i="46"/>
  <c r="L1217" i="17"/>
  <c r="AD8" i="46"/>
  <c r="L389" i="17"/>
  <c r="L8" i="46"/>
  <c r="L1041" i="17"/>
  <c r="Z9" i="46"/>
  <c r="L690" i="17"/>
  <c r="R11" i="46"/>
  <c r="L757" i="17"/>
  <c r="T8" i="46"/>
  <c r="L521" i="17"/>
  <c r="O7" i="46"/>
  <c r="L429" i="17"/>
  <c r="M7" i="46"/>
  <c r="T226" i="5"/>
  <c r="L788" i="17"/>
  <c r="U6" i="46"/>
  <c r="L213" i="17"/>
  <c r="H9" i="46"/>
  <c r="L291" i="17"/>
  <c r="J7" i="46"/>
  <c r="L305" i="16"/>
  <c r="AE23" i="46"/>
  <c r="Y126" i="5"/>
  <c r="Y106" i="5" s="1"/>
  <c r="Y206" i="5" s="1"/>
  <c r="Y244" i="5"/>
  <c r="L352" i="17"/>
  <c r="K9" i="46"/>
  <c r="L276" i="17"/>
  <c r="I11" i="46"/>
  <c r="L1202" i="17"/>
  <c r="AD6" i="46"/>
  <c r="L383" i="17"/>
  <c r="L7" i="46"/>
  <c r="L1033" i="17"/>
  <c r="Z8" i="46"/>
  <c r="L659" i="17"/>
  <c r="R7" i="46"/>
  <c r="L742" i="17"/>
  <c r="T6" i="46"/>
  <c r="L552" i="17"/>
  <c r="O11" i="46"/>
  <c r="L444" i="17"/>
  <c r="M9" i="46"/>
  <c r="T362" i="5"/>
  <c r="T411" i="5" s="1"/>
  <c r="S24" i="46" s="1"/>
  <c r="L828" i="17"/>
  <c r="U11" i="46"/>
  <c r="L199" i="17"/>
  <c r="H7" i="46"/>
  <c r="O326" i="16"/>
  <c r="P326" i="16" s="1"/>
  <c r="J227" i="5"/>
  <c r="O120" i="5"/>
  <c r="O350" i="5"/>
  <c r="O327" i="16"/>
  <c r="P327" i="16" s="1"/>
  <c r="L1225" i="17"/>
  <c r="AD9" i="46"/>
  <c r="L107" i="17"/>
  <c r="F7" i="46"/>
  <c r="L512" i="17"/>
  <c r="O6" i="46"/>
  <c r="L1073" i="17"/>
  <c r="AA7" i="46"/>
  <c r="L310" i="16"/>
  <c r="AE25" i="46"/>
  <c r="L138" i="17"/>
  <c r="F11" i="46"/>
  <c r="Y236" i="5"/>
  <c r="L322" i="17"/>
  <c r="J11" i="46"/>
  <c r="L259" i="17"/>
  <c r="I9" i="46"/>
  <c r="L1211" i="17"/>
  <c r="AD7" i="46"/>
  <c r="L98" i="17"/>
  <c r="F6" i="46"/>
  <c r="L782" i="17"/>
  <c r="T11" i="46"/>
  <c r="L613" i="17"/>
  <c r="Q7" i="46"/>
  <c r="L941" i="17"/>
  <c r="X8" i="46"/>
  <c r="L811" i="17"/>
  <c r="U9" i="46"/>
  <c r="L205" i="17"/>
  <c r="H8" i="46"/>
  <c r="L297" i="17"/>
  <c r="J8" i="46"/>
  <c r="K356" i="5"/>
  <c r="L338" i="17"/>
  <c r="K7" i="46"/>
  <c r="L650" i="17"/>
  <c r="R6" i="46"/>
  <c r="L344" i="17"/>
  <c r="K8" i="46"/>
  <c r="L644" i="17"/>
  <c r="Q11" i="46"/>
  <c r="N419" i="5"/>
  <c r="N413" i="5"/>
  <c r="L328" i="17"/>
  <c r="K6" i="46"/>
  <c r="L1027" i="17"/>
  <c r="Z7" i="46"/>
  <c r="L420" i="17"/>
  <c r="M6" i="46"/>
  <c r="L797" i="17"/>
  <c r="U7" i="46"/>
  <c r="T350" i="5"/>
  <c r="T349" i="5" s="1"/>
  <c r="L1104" i="17"/>
  <c r="AA11" i="46"/>
  <c r="L251" i="17"/>
  <c r="I8" i="46"/>
  <c r="L414" i="17"/>
  <c r="L11" i="46"/>
  <c r="L673" i="17"/>
  <c r="R9" i="46"/>
  <c r="L121" i="17"/>
  <c r="F9" i="46"/>
  <c r="L751" i="17"/>
  <c r="T7" i="46"/>
  <c r="L535" i="17"/>
  <c r="O9" i="46"/>
  <c r="L627" i="17"/>
  <c r="Q9" i="46"/>
  <c r="L803" i="17"/>
  <c r="U8" i="46"/>
  <c r="L190" i="17"/>
  <c r="H6" i="46"/>
  <c r="L282" i="17"/>
  <c r="J6" i="46"/>
  <c r="AB356" i="5"/>
  <c r="L311" i="16"/>
  <c r="AE26" i="46"/>
  <c r="O324" i="16"/>
  <c r="P324" i="16" s="1"/>
  <c r="L1079" i="17"/>
  <c r="AA8" i="46"/>
  <c r="L1058" i="17"/>
  <c r="Z11" i="46"/>
  <c r="L765" i="17"/>
  <c r="T9" i="46"/>
  <c r="L604" i="17"/>
  <c r="Q6" i="46"/>
  <c r="L1018" i="17"/>
  <c r="Z6" i="46"/>
  <c r="L435" i="17"/>
  <c r="M8" i="46"/>
  <c r="L935" i="17"/>
  <c r="J218" i="5"/>
  <c r="J210" i="5"/>
  <c r="J211" i="5" s="1"/>
  <c r="G269" i="17"/>
  <c r="G251" i="17"/>
  <c r="G236" i="17"/>
  <c r="G245" i="17"/>
  <c r="G259" i="17"/>
  <c r="G276" i="17"/>
  <c r="F426" i="5"/>
  <c r="F427" i="5" s="1"/>
  <c r="F420" i="5"/>
  <c r="L245" i="17"/>
  <c r="I7" i="46"/>
  <c r="L230" i="17"/>
  <c r="H11" i="46"/>
  <c r="L1087" i="17"/>
  <c r="AA9" i="46"/>
  <c r="L1242" i="17"/>
  <c r="AD11" i="46"/>
  <c r="L374" i="17"/>
  <c r="L6" i="46"/>
  <c r="L665" i="17"/>
  <c r="R8" i="46"/>
  <c r="L113" i="17"/>
  <c r="F8" i="46"/>
  <c r="L527" i="17"/>
  <c r="O8" i="46"/>
  <c r="L460" i="17"/>
  <c r="M11" i="46"/>
  <c r="T217" i="5"/>
  <c r="L619" i="17"/>
  <c r="Q8" i="46"/>
  <c r="X350" i="5"/>
  <c r="X349" i="5" s="1"/>
  <c r="L307" i="16"/>
  <c r="AE24" i="46"/>
  <c r="P186" i="17"/>
  <c r="T253" i="5"/>
  <c r="T235" i="5"/>
  <c r="T208" i="5"/>
  <c r="Y235" i="5"/>
  <c r="Y208" i="5"/>
  <c r="T13" i="5"/>
  <c r="H350" i="5"/>
  <c r="H349" i="5" s="1"/>
  <c r="H397" i="5"/>
  <c r="H425" i="5"/>
  <c r="H404" i="5"/>
  <c r="H418" i="5"/>
  <c r="H411" i="5"/>
  <c r="H390" i="5"/>
  <c r="G21" i="46" s="1"/>
  <c r="H361" i="5"/>
  <c r="X419" i="5"/>
  <c r="X413" i="5"/>
  <c r="R419" i="5"/>
  <c r="R413" i="5"/>
  <c r="T419" i="5"/>
  <c r="T413" i="5"/>
  <c r="W419" i="5"/>
  <c r="W413" i="5"/>
  <c r="E337" i="5"/>
  <c r="E324" i="5"/>
  <c r="E190" i="5"/>
  <c r="E228" i="5"/>
  <c r="E229" i="5" s="1"/>
  <c r="E16" i="5"/>
  <c r="E210" i="5"/>
  <c r="E211" i="5" s="1"/>
  <c r="X13" i="5"/>
  <c r="Q426" i="5"/>
  <c r="Q427" i="5" s="1"/>
  <c r="Q420" i="5"/>
  <c r="L426" i="5"/>
  <c r="L427" i="5" s="1"/>
  <c r="L420" i="5"/>
  <c r="AF366" i="5"/>
  <c r="L302" i="16"/>
  <c r="I310" i="16"/>
  <c r="I307" i="16"/>
  <c r="I302" i="16"/>
  <c r="I304" i="16"/>
  <c r="I305" i="16"/>
  <c r="AF396" i="5"/>
  <c r="AF403" i="5" s="1"/>
  <c r="AF410" i="5" s="1"/>
  <c r="AF417" i="5" s="1"/>
  <c r="AF424" i="5" s="1"/>
  <c r="I311" i="16"/>
  <c r="S209" i="5"/>
  <c r="H683" i="17"/>
  <c r="H673" i="17"/>
  <c r="H659" i="17"/>
  <c r="S216" i="5"/>
  <c r="H665" i="17"/>
  <c r="H650" i="17"/>
  <c r="H690" i="17"/>
  <c r="S221" i="5"/>
  <c r="S192" i="5" s="1"/>
  <c r="S239" i="5"/>
  <c r="S191" i="5" s="1"/>
  <c r="S53" i="5" s="1"/>
  <c r="N19" i="5"/>
  <c r="R16" i="5"/>
  <c r="M14" i="5"/>
  <c r="P19" i="5"/>
  <c r="Z15" i="5"/>
  <c r="Q188" i="5"/>
  <c r="Q96" i="5" s="1"/>
  <c r="AE426" i="5"/>
  <c r="AE427" i="5" s="1"/>
  <c r="AE420" i="5"/>
  <c r="AE19" i="5"/>
  <c r="R19" i="5"/>
  <c r="I188" i="5"/>
  <c r="AC188" i="5"/>
  <c r="AC96" i="5" s="1"/>
  <c r="L356" i="5"/>
  <c r="J356" i="5"/>
  <c r="AE356" i="5"/>
  <c r="S356" i="5"/>
  <c r="X294" i="5"/>
  <c r="V356" i="5"/>
  <c r="P356" i="5"/>
  <c r="AA356" i="5"/>
  <c r="G356" i="5"/>
  <c r="Z188" i="5"/>
  <c r="Z96" i="5" s="1"/>
  <c r="M356" i="5"/>
  <c r="N356" i="5"/>
  <c r="AE190" i="5"/>
  <c r="Z243" i="5"/>
  <c r="P190" i="5"/>
  <c r="P52" i="5" s="1"/>
  <c r="R14" i="5"/>
  <c r="N14" i="5"/>
  <c r="P16" i="5"/>
  <c r="F293" i="5"/>
  <c r="X362" i="5"/>
  <c r="L913" i="17"/>
  <c r="X226" i="5"/>
  <c r="X235" i="5"/>
  <c r="X208" i="5"/>
  <c r="X126" i="5"/>
  <c r="X106" i="5" s="1"/>
  <c r="X206" i="5" s="1"/>
  <c r="X253" i="5"/>
  <c r="X217" i="5"/>
  <c r="K237" i="5"/>
  <c r="AC237" i="5"/>
  <c r="K228" i="5"/>
  <c r="K229" i="5" s="1"/>
  <c r="U237" i="5"/>
  <c r="AD237" i="5"/>
  <c r="AD238" i="5" s="1"/>
  <c r="Z237" i="5"/>
  <c r="Z238" i="5" s="1"/>
  <c r="O228" i="5"/>
  <c r="O229" i="5" s="1"/>
  <c r="O237" i="5"/>
  <c r="O238" i="5" s="1"/>
  <c r="F237" i="5"/>
  <c r="AC228" i="5"/>
  <c r="AC229" i="5" s="1"/>
  <c r="U228" i="5"/>
  <c r="U229" i="5" s="1"/>
  <c r="Z228" i="5"/>
  <c r="Z229" i="5" s="1"/>
  <c r="AD228" i="5"/>
  <c r="AD229" i="5" s="1"/>
  <c r="F228" i="5"/>
  <c r="F229" i="5" s="1"/>
  <c r="N418" i="5"/>
  <c r="M25" i="46" s="1"/>
  <c r="N411" i="5"/>
  <c r="M24" i="46" s="1"/>
  <c r="N390" i="5"/>
  <c r="M21" i="46" s="1"/>
  <c r="N425" i="5"/>
  <c r="M26" i="46" s="1"/>
  <c r="N404" i="5"/>
  <c r="M23" i="46" s="1"/>
  <c r="R418" i="5"/>
  <c r="R411" i="5"/>
  <c r="R390" i="5"/>
  <c r="Q21" i="46" s="1"/>
  <c r="R425" i="5"/>
  <c r="R404" i="5"/>
  <c r="Y404" i="5"/>
  <c r="Y411" i="5"/>
  <c r="Y425" i="5"/>
  <c r="Y418" i="5"/>
  <c r="Y390" i="5"/>
  <c r="X21" i="46" s="1"/>
  <c r="V418" i="5"/>
  <c r="U25" i="46" s="1"/>
  <c r="V390" i="5"/>
  <c r="U21" i="46" s="1"/>
  <c r="V404" i="5"/>
  <c r="U23" i="46" s="1"/>
  <c r="V411" i="5"/>
  <c r="U24" i="46" s="1"/>
  <c r="V425" i="5"/>
  <c r="U26" i="46" s="1"/>
  <c r="K411" i="5"/>
  <c r="J24" i="46" s="1"/>
  <c r="K390" i="5"/>
  <c r="J21" i="46" s="1"/>
  <c r="K425" i="5"/>
  <c r="J26" i="46" s="1"/>
  <c r="K404" i="5"/>
  <c r="J23" i="46" s="1"/>
  <c r="K418" i="5"/>
  <c r="J25" i="46" s="1"/>
  <c r="AB418" i="5"/>
  <c r="AA25" i="46" s="1"/>
  <c r="AB390" i="5"/>
  <c r="AA21" i="46" s="1"/>
  <c r="AB404" i="5"/>
  <c r="AA23" i="46" s="1"/>
  <c r="AB411" i="5"/>
  <c r="AA24" i="46" s="1"/>
  <c r="AB425" i="5"/>
  <c r="AA26" i="46" s="1"/>
  <c r="L425" i="5"/>
  <c r="K26" i="46" s="1"/>
  <c r="L404" i="5"/>
  <c r="K23" i="46" s="1"/>
  <c r="L418" i="5"/>
  <c r="K25" i="46" s="1"/>
  <c r="L411" i="5"/>
  <c r="K24" i="46" s="1"/>
  <c r="L390" i="5"/>
  <c r="K21" i="46" s="1"/>
  <c r="J404" i="5"/>
  <c r="I23" i="46" s="1"/>
  <c r="J411" i="5"/>
  <c r="I24" i="46" s="1"/>
  <c r="J418" i="5"/>
  <c r="I25" i="46" s="1"/>
  <c r="J390" i="5"/>
  <c r="I21" i="46" s="1"/>
  <c r="J425" i="5"/>
  <c r="I26" i="46" s="1"/>
  <c r="AE404" i="5"/>
  <c r="AD23" i="46" s="1"/>
  <c r="AE411" i="5"/>
  <c r="AD24" i="46" s="1"/>
  <c r="AE425" i="5"/>
  <c r="AD26" i="46" s="1"/>
  <c r="AE418" i="5"/>
  <c r="AD25" i="46" s="1"/>
  <c r="AE390" i="5"/>
  <c r="AD21" i="46" s="1"/>
  <c r="M425" i="5"/>
  <c r="L26" i="46" s="1"/>
  <c r="M404" i="5"/>
  <c r="L23" i="46" s="1"/>
  <c r="M418" i="5"/>
  <c r="L25" i="46" s="1"/>
  <c r="M411" i="5"/>
  <c r="L24" i="46" s="1"/>
  <c r="M390" i="5"/>
  <c r="L21" i="46" s="1"/>
  <c r="AA404" i="5"/>
  <c r="Z23" i="46" s="1"/>
  <c r="AA411" i="5"/>
  <c r="Z24" i="46" s="1"/>
  <c r="AA425" i="5"/>
  <c r="Z26" i="46" s="1"/>
  <c r="AA418" i="5"/>
  <c r="Z25" i="46" s="1"/>
  <c r="AA390" i="5"/>
  <c r="Z21" i="46" s="1"/>
  <c r="S425" i="5"/>
  <c r="R26" i="46" s="1"/>
  <c r="S404" i="5"/>
  <c r="R23" i="46" s="1"/>
  <c r="S418" i="5"/>
  <c r="R25" i="46" s="1"/>
  <c r="S411" i="5"/>
  <c r="R24" i="46" s="1"/>
  <c r="S390" i="5"/>
  <c r="R21" i="46" s="1"/>
  <c r="G425" i="5"/>
  <c r="F26" i="46" s="1"/>
  <c r="G390" i="5"/>
  <c r="F21" i="46" s="1"/>
  <c r="G418" i="5"/>
  <c r="F25" i="46" s="1"/>
  <c r="G404" i="5"/>
  <c r="F23" i="46" s="1"/>
  <c r="G411" i="5"/>
  <c r="F24" i="46" s="1"/>
  <c r="P425" i="5"/>
  <c r="O26" i="46" s="1"/>
  <c r="P404" i="5"/>
  <c r="O23" i="46" s="1"/>
  <c r="P418" i="5"/>
  <c r="O25" i="46" s="1"/>
  <c r="P411" i="5"/>
  <c r="O24" i="46" s="1"/>
  <c r="P390" i="5"/>
  <c r="O21" i="46" s="1"/>
  <c r="I411" i="5"/>
  <c r="H24" i="46" s="1"/>
  <c r="I390" i="5"/>
  <c r="H21" i="46" s="1"/>
  <c r="I425" i="5"/>
  <c r="H26" i="46" s="1"/>
  <c r="I404" i="5"/>
  <c r="H23" i="46" s="1"/>
  <c r="I418" i="5"/>
  <c r="H25" i="46" s="1"/>
  <c r="Z350" i="5"/>
  <c r="Z349" i="5" s="1"/>
  <c r="AC126" i="5"/>
  <c r="AC106" i="5" s="1"/>
  <c r="AC206" i="5" s="1"/>
  <c r="AC217" i="5"/>
  <c r="L1143" i="17"/>
  <c r="AC362" i="5"/>
  <c r="AC235" i="5"/>
  <c r="AC226" i="5"/>
  <c r="AC253" i="5"/>
  <c r="AC208" i="5"/>
  <c r="Q350" i="5"/>
  <c r="Q349" i="5" s="1"/>
  <c r="Q208" i="5"/>
  <c r="Q253" i="5"/>
  <c r="Q217" i="5"/>
  <c r="L591" i="17"/>
  <c r="Q126" i="5"/>
  <c r="Q106" i="5" s="1"/>
  <c r="Q206" i="5" s="1"/>
  <c r="Q226" i="5"/>
  <c r="Q362" i="5"/>
  <c r="Q235" i="5"/>
  <c r="I322" i="17"/>
  <c r="I305" i="17"/>
  <c r="I315" i="17"/>
  <c r="O315" i="17" s="1"/>
  <c r="K215" i="5"/>
  <c r="I297" i="17"/>
  <c r="I291" i="17"/>
  <c r="I282" i="17"/>
  <c r="K397" i="5"/>
  <c r="K361" i="5"/>
  <c r="K368" i="5"/>
  <c r="Q218" i="5"/>
  <c r="G581" i="17"/>
  <c r="G598" i="17"/>
  <c r="G567" i="17"/>
  <c r="G591" i="17"/>
  <c r="G558" i="17"/>
  <c r="G573" i="17"/>
  <c r="Q210" i="5"/>
  <c r="Q211" i="5" s="1"/>
  <c r="Q227" i="5"/>
  <c r="Q234" i="5"/>
  <c r="Q236" i="5"/>
  <c r="P236" i="5"/>
  <c r="N227" i="5"/>
  <c r="P227" i="5"/>
  <c r="G527" i="17"/>
  <c r="G512" i="17"/>
  <c r="G552" i="17"/>
  <c r="P218" i="5"/>
  <c r="G535" i="17"/>
  <c r="G545" i="17"/>
  <c r="G521" i="17"/>
  <c r="I361" i="5"/>
  <c r="I368" i="5"/>
  <c r="I397" i="5"/>
  <c r="I215" i="5"/>
  <c r="I205" i="17"/>
  <c r="I199" i="17"/>
  <c r="I230" i="17"/>
  <c r="I213" i="17"/>
  <c r="I223" i="17"/>
  <c r="O223" i="17" s="1"/>
  <c r="I190" i="17"/>
  <c r="W124" i="5"/>
  <c r="D122" i="5"/>
  <c r="M210" i="5"/>
  <c r="M211" i="5" s="1"/>
  <c r="M218" i="5"/>
  <c r="G414" i="17"/>
  <c r="G374" i="17"/>
  <c r="G397" i="17"/>
  <c r="G383" i="17"/>
  <c r="G407" i="17"/>
  <c r="G389" i="17"/>
  <c r="R210" i="5"/>
  <c r="R211" i="5" s="1"/>
  <c r="M227" i="5"/>
  <c r="M236" i="5"/>
  <c r="AE218" i="5"/>
  <c r="G1225" i="17"/>
  <c r="G1211" i="17"/>
  <c r="G1202" i="17"/>
  <c r="G1235" i="17"/>
  <c r="G1242" i="17"/>
  <c r="G1217" i="17"/>
  <c r="G627" i="17"/>
  <c r="G619" i="17"/>
  <c r="R218" i="5"/>
  <c r="G604" i="17"/>
  <c r="G637" i="17"/>
  <c r="G644" i="17"/>
  <c r="G613" i="17"/>
  <c r="N210" i="5"/>
  <c r="AE227" i="5"/>
  <c r="N218" i="5"/>
  <c r="G435" i="17"/>
  <c r="G460" i="17"/>
  <c r="G420" i="17"/>
  <c r="G453" i="17"/>
  <c r="G429" i="17"/>
  <c r="G444" i="17"/>
  <c r="AE236" i="5"/>
  <c r="R227" i="5"/>
  <c r="R236" i="5"/>
  <c r="Z126" i="5"/>
  <c r="Z106" i="5" s="1"/>
  <c r="Z206" i="5" s="1"/>
  <c r="Z362" i="5"/>
  <c r="Z208" i="5"/>
  <c r="L1005" i="17"/>
  <c r="Z226" i="5"/>
  <c r="Z235" i="5"/>
  <c r="Z217" i="5"/>
  <c r="Z253" i="5"/>
  <c r="AB368" i="5"/>
  <c r="AB361" i="5"/>
  <c r="AB397" i="5"/>
  <c r="K211" i="5"/>
  <c r="L215" i="5"/>
  <c r="I328" i="17"/>
  <c r="I368" i="17"/>
  <c r="I344" i="17"/>
  <c r="I338" i="17"/>
  <c r="I361" i="17"/>
  <c r="O361" i="17" s="1"/>
  <c r="I352" i="17"/>
  <c r="J215" i="5"/>
  <c r="I251" i="17"/>
  <c r="I269" i="17"/>
  <c r="I276" i="17"/>
  <c r="I259" i="17"/>
  <c r="I236" i="17"/>
  <c r="I245" i="17"/>
  <c r="AE368" i="5"/>
  <c r="AE397" i="5"/>
  <c r="AE361" i="5"/>
  <c r="M215" i="5"/>
  <c r="I397" i="17"/>
  <c r="I407" i="17"/>
  <c r="O407" i="17" s="1"/>
  <c r="I414" i="17"/>
  <c r="I374" i="17"/>
  <c r="I383" i="17"/>
  <c r="I389" i="17"/>
  <c r="AA215" i="5"/>
  <c r="I1033" i="17"/>
  <c r="I1051" i="17"/>
  <c r="O1051" i="17" s="1"/>
  <c r="I1018" i="17"/>
  <c r="I1027" i="17"/>
  <c r="I1041" i="17"/>
  <c r="I1058" i="17"/>
  <c r="S215" i="5"/>
  <c r="I650" i="17"/>
  <c r="I665" i="17"/>
  <c r="I659" i="17"/>
  <c r="I673" i="17"/>
  <c r="I690" i="17"/>
  <c r="I683" i="17"/>
  <c r="O683" i="17" s="1"/>
  <c r="G215" i="5"/>
  <c r="I138" i="17"/>
  <c r="I98" i="17"/>
  <c r="I113" i="17"/>
  <c r="I121" i="17"/>
  <c r="I107" i="17"/>
  <c r="I131" i="17"/>
  <c r="O131" i="17" s="1"/>
  <c r="U215" i="5"/>
  <c r="I757" i="17"/>
  <c r="I782" i="17"/>
  <c r="I751" i="17"/>
  <c r="I765" i="17"/>
  <c r="I775" i="17"/>
  <c r="O775" i="17" s="1"/>
  <c r="I742" i="17"/>
  <c r="P215" i="5"/>
  <c r="I545" i="17"/>
  <c r="O545" i="17" s="1"/>
  <c r="I512" i="17"/>
  <c r="I552" i="17"/>
  <c r="I521" i="17"/>
  <c r="I535" i="17"/>
  <c r="I527" i="17"/>
  <c r="N215" i="5"/>
  <c r="I453" i="17"/>
  <c r="O453" i="17" s="1"/>
  <c r="I420" i="17"/>
  <c r="I429" i="17"/>
  <c r="I435" i="17"/>
  <c r="I460" i="17"/>
  <c r="I444" i="17"/>
  <c r="R215" i="5"/>
  <c r="I627" i="17"/>
  <c r="I613" i="17"/>
  <c r="I604" i="17"/>
  <c r="I637" i="17"/>
  <c r="O637" i="17" s="1"/>
  <c r="I644" i="17"/>
  <c r="I619" i="17"/>
  <c r="I935" i="17"/>
  <c r="V215" i="5"/>
  <c r="I821" i="17"/>
  <c r="O821" i="17" s="1"/>
  <c r="I797" i="17"/>
  <c r="I788" i="17"/>
  <c r="I803" i="17"/>
  <c r="I828" i="17"/>
  <c r="I811" i="17"/>
  <c r="AD350" i="5"/>
  <c r="AD349" i="5" s="1"/>
  <c r="AB215" i="5"/>
  <c r="I1079" i="17"/>
  <c r="I1087" i="17"/>
  <c r="I1104" i="17"/>
  <c r="I1064" i="17"/>
  <c r="I1097" i="17"/>
  <c r="O1097" i="17" s="1"/>
  <c r="I1073" i="17"/>
  <c r="F126" i="5"/>
  <c r="F106" i="5" s="1"/>
  <c r="F206" i="5" s="1"/>
  <c r="F362" i="5"/>
  <c r="F226" i="5"/>
  <c r="F235" i="5"/>
  <c r="F208" i="5"/>
  <c r="L85" i="17"/>
  <c r="F253" i="5"/>
  <c r="F217" i="5"/>
  <c r="L368" i="5"/>
  <c r="L397" i="5"/>
  <c r="L361" i="5"/>
  <c r="J361" i="5"/>
  <c r="J368" i="5"/>
  <c r="J397" i="5"/>
  <c r="AE215" i="5"/>
  <c r="I1235" i="17"/>
  <c r="O1235" i="17" s="1"/>
  <c r="I1202" i="17"/>
  <c r="I1225" i="17"/>
  <c r="I1211" i="17"/>
  <c r="I1242" i="17"/>
  <c r="I1217" i="17"/>
  <c r="M361" i="5"/>
  <c r="M397" i="5"/>
  <c r="M368" i="5"/>
  <c r="AA361" i="5"/>
  <c r="AA397" i="5"/>
  <c r="AA368" i="5"/>
  <c r="S368" i="5"/>
  <c r="S361" i="5"/>
  <c r="S397" i="5"/>
  <c r="G368" i="5"/>
  <c r="G397" i="5"/>
  <c r="G361" i="5"/>
  <c r="P368" i="5"/>
  <c r="P361" i="5"/>
  <c r="P397" i="5"/>
  <c r="AD362" i="5"/>
  <c r="AD126" i="5"/>
  <c r="AD106" i="5" s="1"/>
  <c r="AD206" i="5" s="1"/>
  <c r="AD208" i="5"/>
  <c r="L1189" i="17"/>
  <c r="AD226" i="5"/>
  <c r="AD235" i="5"/>
  <c r="AD217" i="5"/>
  <c r="AD253" i="5"/>
  <c r="N361" i="5"/>
  <c r="N368" i="5"/>
  <c r="N397" i="5"/>
  <c r="R397" i="5"/>
  <c r="R361" i="5"/>
  <c r="Y397" i="5"/>
  <c r="Y361" i="5"/>
  <c r="V368" i="5"/>
  <c r="V397" i="5"/>
  <c r="V361" i="5"/>
  <c r="N16" i="5" l="1"/>
  <c r="C14" i="18"/>
  <c r="J15" i="5"/>
  <c r="N47" i="5"/>
  <c r="X296" i="5"/>
  <c r="P210" i="5"/>
  <c r="P211" i="5" s="1"/>
  <c r="P293" i="5" s="1"/>
  <c r="U238" i="5"/>
  <c r="U295" i="5" s="1"/>
  <c r="E219" i="5"/>
  <c r="E220" i="5" s="1"/>
  <c r="R202" i="5"/>
  <c r="R275" i="5" s="1"/>
  <c r="J198" i="5"/>
  <c r="E200" i="5"/>
  <c r="N199" i="5"/>
  <c r="N283" i="5" s="1"/>
  <c r="AC238" i="5"/>
  <c r="Y293" i="5"/>
  <c r="R55" i="5"/>
  <c r="F238" i="5"/>
  <c r="F295" i="5" s="1"/>
  <c r="K238" i="5"/>
  <c r="M18" i="5"/>
  <c r="AD188" i="5"/>
  <c r="P45" i="5"/>
  <c r="AD52" i="5"/>
  <c r="V192" i="5"/>
  <c r="V219" i="5"/>
  <c r="V220" i="5" s="1"/>
  <c r="U243" i="5"/>
  <c r="U245" i="5" s="1"/>
  <c r="P197" i="5"/>
  <c r="P267" i="5" s="1"/>
  <c r="G265" i="5"/>
  <c r="G267" i="5" s="1"/>
  <c r="Q275" i="5"/>
  <c r="M202" i="5"/>
  <c r="M275" i="5" s="1"/>
  <c r="F243" i="5"/>
  <c r="F252" i="5" s="1"/>
  <c r="P14" i="5"/>
  <c r="C15" i="18"/>
  <c r="U13" i="5"/>
  <c r="J46" i="5"/>
  <c r="R199" i="5"/>
  <c r="R283" i="5" s="1"/>
  <c r="E426" i="5"/>
  <c r="E427" i="5" s="1"/>
  <c r="E420" i="5"/>
  <c r="AG356" i="5"/>
  <c r="AG349" i="5"/>
  <c r="AD198" i="5"/>
  <c r="AD196" i="5" s="1"/>
  <c r="AD92" i="5" s="1"/>
  <c r="AD15" i="5"/>
  <c r="F97" i="5"/>
  <c r="K97" i="5"/>
  <c r="AG368" i="5"/>
  <c r="AG389" i="5" s="1"/>
  <c r="AG361" i="5"/>
  <c r="V190" i="5"/>
  <c r="V228" i="5"/>
  <c r="V229" i="5" s="1"/>
  <c r="AD13" i="5"/>
  <c r="I263" i="5"/>
  <c r="C23" i="18" s="1"/>
  <c r="AE224" i="5"/>
  <c r="V224" i="5"/>
  <c r="R224" i="5"/>
  <c r="N224" i="5"/>
  <c r="U224" i="5"/>
  <c r="AA224" i="5"/>
  <c r="L224" i="5"/>
  <c r="R219" i="5"/>
  <c r="K224" i="5"/>
  <c r="S225" i="5"/>
  <c r="Y228" i="5"/>
  <c r="Y229" i="5" s="1"/>
  <c r="Y294" i="5" s="1"/>
  <c r="X10" i="46"/>
  <c r="J237" i="5"/>
  <c r="L96" i="5"/>
  <c r="L109" i="5" s="1"/>
  <c r="G97" i="5"/>
  <c r="G96" i="5"/>
  <c r="G109" i="5" s="1"/>
  <c r="L293" i="5"/>
  <c r="T234" i="5"/>
  <c r="T236" i="5"/>
  <c r="T227" i="5"/>
  <c r="AC243" i="5"/>
  <c r="AB243" i="5"/>
  <c r="M234" i="5"/>
  <c r="K243" i="5"/>
  <c r="AD243" i="5"/>
  <c r="W255" i="5"/>
  <c r="W256" i="5" s="1"/>
  <c r="W298" i="5" s="1"/>
  <c r="W299" i="5" s="1"/>
  <c r="G243" i="5"/>
  <c r="E243" i="5"/>
  <c r="AB224" i="5"/>
  <c r="P224" i="5"/>
  <c r="G224" i="5"/>
  <c r="S224" i="5"/>
  <c r="M224" i="5"/>
  <c r="J224" i="5"/>
  <c r="N219" i="5"/>
  <c r="N220" i="5" s="1"/>
  <c r="I224" i="5"/>
  <c r="P219" i="5"/>
  <c r="P220" i="5" s="1"/>
  <c r="P228" i="5"/>
  <c r="P229" i="5" s="1"/>
  <c r="Q219" i="5"/>
  <c r="Q220" i="5" s="1"/>
  <c r="Z252" i="5"/>
  <c r="I96" i="5"/>
  <c r="I109" i="5" s="1"/>
  <c r="J219" i="5"/>
  <c r="J220" i="5" s="1"/>
  <c r="Y237" i="5"/>
  <c r="J228" i="5"/>
  <c r="J229" i="5" s="1"/>
  <c r="Y215" i="5"/>
  <c r="T215" i="5"/>
  <c r="Y219" i="5"/>
  <c r="Y220" i="5" s="1"/>
  <c r="Y296" i="5" s="1"/>
  <c r="X11" i="46"/>
  <c r="G294" i="5"/>
  <c r="G295" i="5"/>
  <c r="J188" i="5"/>
  <c r="J96" i="5" s="1"/>
  <c r="J109" i="5" s="1"/>
  <c r="X237" i="5"/>
  <c r="X238" i="5" s="1"/>
  <c r="X243" i="5"/>
  <c r="V243" i="5"/>
  <c r="L234" i="5"/>
  <c r="L227" i="5"/>
  <c r="L236" i="5"/>
  <c r="O243" i="5"/>
  <c r="AA243" i="5"/>
  <c r="I234" i="5"/>
  <c r="I227" i="5"/>
  <c r="I236" i="5"/>
  <c r="AG255" i="5"/>
  <c r="AG256" i="5" s="1"/>
  <c r="AG298" i="5" s="1"/>
  <c r="AG299" i="5" s="1"/>
  <c r="AH255" i="5"/>
  <c r="AH256" i="5" s="1"/>
  <c r="AH298" i="5" s="1"/>
  <c r="AH299" i="5" s="1"/>
  <c r="H255" i="5"/>
  <c r="H256" i="5" s="1"/>
  <c r="H298" i="5" s="1"/>
  <c r="Y234" i="5"/>
  <c r="J234" i="5"/>
  <c r="P234" i="5"/>
  <c r="N234" i="5"/>
  <c r="R234" i="5"/>
  <c r="AE234" i="5"/>
  <c r="E49" i="5"/>
  <c r="E54" i="5"/>
  <c r="T293" i="5"/>
  <c r="N228" i="5"/>
  <c r="N229" i="5" s="1"/>
  <c r="Q97" i="5"/>
  <c r="Q109" i="5"/>
  <c r="T296" i="5"/>
  <c r="O296" i="5"/>
  <c r="AE219" i="5"/>
  <c r="Q293" i="5"/>
  <c r="AE16" i="5"/>
  <c r="Z97" i="5"/>
  <c r="Z109" i="5"/>
  <c r="AC97" i="5"/>
  <c r="AC109" i="5"/>
  <c r="L966" i="17"/>
  <c r="X295" i="5"/>
  <c r="I285" i="5"/>
  <c r="F24" i="18" s="1"/>
  <c r="AD97" i="5"/>
  <c r="AD109" i="5"/>
  <c r="AD295" i="5" s="1"/>
  <c r="E199" i="5"/>
  <c r="E53" i="5"/>
  <c r="P54" i="5"/>
  <c r="J16" i="5"/>
  <c r="O97" i="5"/>
  <c r="T361" i="5"/>
  <c r="K278" i="5"/>
  <c r="E31" i="18" s="1"/>
  <c r="P48" i="5"/>
  <c r="N55" i="5"/>
  <c r="M49" i="5"/>
  <c r="I926" i="17"/>
  <c r="I705" i="17"/>
  <c r="O236" i="17"/>
  <c r="Q236" i="17" s="1"/>
  <c r="M219" i="5"/>
  <c r="M220" i="5" s="1"/>
  <c r="AB237" i="5"/>
  <c r="AB238" i="5" s="1"/>
  <c r="AC356" i="5"/>
  <c r="E19" i="5"/>
  <c r="G196" i="5"/>
  <c r="G92" i="5" s="1"/>
  <c r="P18" i="5"/>
  <c r="E237" i="5"/>
  <c r="E238" i="5" s="1"/>
  <c r="N202" i="5"/>
  <c r="C91" i="18"/>
  <c r="C37" i="18"/>
  <c r="E105" i="18"/>
  <c r="I274" i="5"/>
  <c r="I275" i="5" s="1"/>
  <c r="P49" i="5"/>
  <c r="N49" i="5"/>
  <c r="E48" i="5"/>
  <c r="H299" i="5"/>
  <c r="L13" i="5"/>
  <c r="J14" i="5"/>
  <c r="J51" i="5"/>
  <c r="J45" i="5"/>
  <c r="J197" i="5"/>
  <c r="J263" i="5" s="1"/>
  <c r="J284" i="5"/>
  <c r="F27" i="18"/>
  <c r="J202" i="5"/>
  <c r="J275" i="5" s="1"/>
  <c r="J18" i="5"/>
  <c r="J49" i="5"/>
  <c r="J201" i="5"/>
  <c r="J269" i="5" s="1"/>
  <c r="H29" i="18" s="1"/>
  <c r="J19" i="5"/>
  <c r="J48" i="5"/>
  <c r="J54" i="5"/>
  <c r="J55" i="5"/>
  <c r="V51" i="5"/>
  <c r="V14" i="5"/>
  <c r="V197" i="5"/>
  <c r="V188" i="5"/>
  <c r="V96" i="5" s="1"/>
  <c r="V45" i="5"/>
  <c r="AE55" i="5"/>
  <c r="R46" i="5"/>
  <c r="R52" i="5"/>
  <c r="E52" i="5"/>
  <c r="E46" i="5"/>
  <c r="S201" i="5"/>
  <c r="S271" i="5" s="1"/>
  <c r="S54" i="5"/>
  <c r="AB48" i="5"/>
  <c r="AB201" i="5"/>
  <c r="AB268" i="5" s="1"/>
  <c r="AB54" i="5"/>
  <c r="AB46" i="5"/>
  <c r="AB52" i="5"/>
  <c r="AB47" i="5"/>
  <c r="AB53" i="5"/>
  <c r="AE45" i="5"/>
  <c r="AE51" i="5"/>
  <c r="AE201" i="5"/>
  <c r="AE269" i="5" s="1"/>
  <c r="AE54" i="5"/>
  <c r="I949" i="17"/>
  <c r="I696" i="17"/>
  <c r="O269" i="17"/>
  <c r="P269" i="17" s="1"/>
  <c r="AE210" i="5"/>
  <c r="AE211" i="5" s="1"/>
  <c r="AB228" i="5"/>
  <c r="AB229" i="5" s="1"/>
  <c r="M188" i="5"/>
  <c r="AE46" i="5"/>
  <c r="AE52" i="5"/>
  <c r="Z13" i="5"/>
  <c r="AE14" i="5"/>
  <c r="S230" i="5"/>
  <c r="S190" i="5" s="1"/>
  <c r="S52" i="5" s="1"/>
  <c r="AE197" i="5"/>
  <c r="AE263" i="5" s="1"/>
  <c r="AE264" i="5" s="1"/>
  <c r="AB49" i="5"/>
  <c r="AB55" i="5"/>
  <c r="AE49" i="5"/>
  <c r="D138" i="18"/>
  <c r="AE47" i="5"/>
  <c r="AE53" i="5"/>
  <c r="Z278" i="5"/>
  <c r="E91" i="18" s="1"/>
  <c r="E93" i="18"/>
  <c r="M48" i="5"/>
  <c r="M54" i="5"/>
  <c r="M47" i="5"/>
  <c r="M53" i="5"/>
  <c r="M46" i="5"/>
  <c r="M52" i="5"/>
  <c r="X356" i="5"/>
  <c r="C86" i="18"/>
  <c r="F271" i="5"/>
  <c r="E261" i="5"/>
  <c r="D131" i="18" s="1"/>
  <c r="Q277" i="5"/>
  <c r="Q278" i="5" s="1"/>
  <c r="E263" i="5"/>
  <c r="C7" i="18" s="1"/>
  <c r="N198" i="5"/>
  <c r="N276" i="5" s="1"/>
  <c r="N277" i="5" s="1"/>
  <c r="N46" i="5"/>
  <c r="S199" i="5"/>
  <c r="S283" i="5" s="1"/>
  <c r="S47" i="5"/>
  <c r="S200" i="5"/>
  <c r="S261" i="5" s="1"/>
  <c r="S48" i="5"/>
  <c r="AE48" i="5"/>
  <c r="P198" i="5"/>
  <c r="P276" i="5" s="1"/>
  <c r="P171" i="5" s="1"/>
  <c r="P46" i="5"/>
  <c r="E198" i="5"/>
  <c r="E276" i="5" s="1"/>
  <c r="E277" i="5" s="1"/>
  <c r="E278" i="5" s="1"/>
  <c r="Y278" i="5"/>
  <c r="E87" i="18" s="1"/>
  <c r="E89" i="18"/>
  <c r="O277" i="5"/>
  <c r="F278" i="5"/>
  <c r="E13" i="18"/>
  <c r="I276" i="5"/>
  <c r="I171" i="5" s="1"/>
  <c r="F171" i="5"/>
  <c r="H92" i="5"/>
  <c r="H290" i="5"/>
  <c r="J276" i="5"/>
  <c r="J171" i="5" s="1"/>
  <c r="AE272" i="5"/>
  <c r="AE275" i="5" s="1"/>
  <c r="G171" i="5"/>
  <c r="F133" i="18"/>
  <c r="F48" i="18"/>
  <c r="F12" i="18"/>
  <c r="T285" i="5"/>
  <c r="T287" i="5" s="1"/>
  <c r="T288" i="5" s="1"/>
  <c r="T171" i="5"/>
  <c r="G285" i="5"/>
  <c r="G287" i="5" s="1"/>
  <c r="G288" i="5" s="1"/>
  <c r="X284" i="5"/>
  <c r="F150" i="18" s="1"/>
  <c r="R285" i="5"/>
  <c r="R287" i="5" s="1"/>
  <c r="R288" i="5" s="1"/>
  <c r="N284" i="5"/>
  <c r="K287" i="5"/>
  <c r="K288" i="5" s="1"/>
  <c r="P283" i="5"/>
  <c r="AB200" i="5"/>
  <c r="AB261" i="5" s="1"/>
  <c r="AB189" i="5"/>
  <c r="AB210" i="5"/>
  <c r="AB211" i="5" s="1"/>
  <c r="AB202" i="5"/>
  <c r="AB275" i="5" s="1"/>
  <c r="AB18" i="5"/>
  <c r="AA191" i="5"/>
  <c r="AA237" i="5"/>
  <c r="AA238" i="5" s="1"/>
  <c r="AA193" i="5"/>
  <c r="AA201" i="5" s="1"/>
  <c r="AA194" i="5"/>
  <c r="M19" i="5"/>
  <c r="S257" i="5"/>
  <c r="S194" i="5" s="1"/>
  <c r="S18" i="5" s="1"/>
  <c r="S212" i="5"/>
  <c r="S189" i="5" s="1"/>
  <c r="S51" i="5" s="1"/>
  <c r="M283" i="5"/>
  <c r="Q13" i="5"/>
  <c r="Q283" i="5"/>
  <c r="U267" i="5"/>
  <c r="C70" i="18"/>
  <c r="U168" i="5"/>
  <c r="AB219" i="5"/>
  <c r="AB220" i="5" s="1"/>
  <c r="M198" i="5"/>
  <c r="AB19" i="5"/>
  <c r="AB198" i="5"/>
  <c r="AB15" i="5"/>
  <c r="AB199" i="5"/>
  <c r="AB16" i="5"/>
  <c r="AA192" i="5"/>
  <c r="AA219" i="5"/>
  <c r="AA220" i="5" s="1"/>
  <c r="AA189" i="5"/>
  <c r="AA210" i="5"/>
  <c r="AA211" i="5" s="1"/>
  <c r="AA190" i="5"/>
  <c r="AA228" i="5"/>
  <c r="AA229" i="5" s="1"/>
  <c r="L287" i="5"/>
  <c r="L288" i="5" s="1"/>
  <c r="F76" i="18"/>
  <c r="F83" i="18"/>
  <c r="Y283" i="5"/>
  <c r="AH13" i="5"/>
  <c r="K273" i="5"/>
  <c r="K274" i="5" s="1"/>
  <c r="I31" i="18" s="1"/>
  <c r="F59" i="18"/>
  <c r="F43" i="18"/>
  <c r="F31" i="18"/>
  <c r="F15" i="18"/>
  <c r="F35" i="18"/>
  <c r="I959" i="17"/>
  <c r="I941" i="17"/>
  <c r="O941" i="17" s="1"/>
  <c r="P941" i="17" s="1"/>
  <c r="I966" i="17"/>
  <c r="O966" i="17" s="1"/>
  <c r="I729" i="17"/>
  <c r="I711" i="17"/>
  <c r="I719" i="17"/>
  <c r="AH267" i="5"/>
  <c r="E103" i="18"/>
  <c r="Y266" i="5"/>
  <c r="C88" i="18" s="1"/>
  <c r="T279" i="5"/>
  <c r="E15" i="18"/>
  <c r="Y269" i="5"/>
  <c r="H89" i="18" s="1"/>
  <c r="I269" i="5"/>
  <c r="H25" i="18" s="1"/>
  <c r="AC269" i="5"/>
  <c r="H105" i="18" s="1"/>
  <c r="L279" i="5"/>
  <c r="U279" i="5"/>
  <c r="Y273" i="5"/>
  <c r="I88" i="18" s="1"/>
  <c r="AD274" i="5"/>
  <c r="I107" i="18" s="1"/>
  <c r="O269" i="5"/>
  <c r="H49" i="18" s="1"/>
  <c r="AD265" i="5"/>
  <c r="AD266" i="5" s="1"/>
  <c r="C108" i="18" s="1"/>
  <c r="E160" i="5"/>
  <c r="F32" i="18"/>
  <c r="C10" i="18"/>
  <c r="F168" i="5"/>
  <c r="F265" i="5"/>
  <c r="C49" i="18"/>
  <c r="C122" i="18"/>
  <c r="AH168" i="5"/>
  <c r="E137" i="18"/>
  <c r="F67" i="18"/>
  <c r="T169" i="5"/>
  <c r="H57" i="18"/>
  <c r="H36" i="18"/>
  <c r="L269" i="5"/>
  <c r="H69" i="18"/>
  <c r="V269" i="5"/>
  <c r="H92" i="18"/>
  <c r="Z269" i="5"/>
  <c r="C85" i="18"/>
  <c r="E71" i="18"/>
  <c r="U169" i="5"/>
  <c r="C31" i="18"/>
  <c r="H16" i="18"/>
  <c r="AD168" i="5"/>
  <c r="C106" i="18"/>
  <c r="H124" i="18"/>
  <c r="AH269" i="5"/>
  <c r="H8" i="18"/>
  <c r="C38" i="18"/>
  <c r="M168" i="5"/>
  <c r="C39" i="18"/>
  <c r="D145" i="18"/>
  <c r="P1336" i="17"/>
  <c r="W92" i="5"/>
  <c r="E272" i="5"/>
  <c r="R265" i="5"/>
  <c r="R267" i="5" s="1"/>
  <c r="N263" i="5"/>
  <c r="AG264" i="5"/>
  <c r="P269" i="5"/>
  <c r="P271" i="5" s="1"/>
  <c r="M268" i="5"/>
  <c r="M269" i="5" s="1"/>
  <c r="H41" i="18" s="1"/>
  <c r="N268" i="5"/>
  <c r="H44" i="18" s="1"/>
  <c r="N272" i="5"/>
  <c r="I45" i="18" s="1"/>
  <c r="C17" i="18"/>
  <c r="H109" i="18"/>
  <c r="AD271" i="5"/>
  <c r="AH279" i="5"/>
  <c r="O266" i="5"/>
  <c r="O267" i="5" s="1"/>
  <c r="C123" i="18"/>
  <c r="H306" i="5"/>
  <c r="J21" i="18" s="1"/>
  <c r="H303" i="5"/>
  <c r="J18" i="18" s="1"/>
  <c r="H304" i="5"/>
  <c r="J19" i="18" s="1"/>
  <c r="H305" i="5"/>
  <c r="J20" i="18" s="1"/>
  <c r="E83" i="18"/>
  <c r="X169" i="5"/>
  <c r="E150" i="18"/>
  <c r="AC275" i="5"/>
  <c r="Q271" i="5"/>
  <c r="H56" i="18"/>
  <c r="E132" i="18"/>
  <c r="K271" i="5"/>
  <c r="T271" i="5"/>
  <c r="X267" i="5"/>
  <c r="C82" i="18"/>
  <c r="X168" i="5"/>
  <c r="E73" i="18"/>
  <c r="U172" i="5"/>
  <c r="G273" i="5"/>
  <c r="K265" i="5"/>
  <c r="G270" i="5"/>
  <c r="G271" i="5" s="1"/>
  <c r="F36" i="18"/>
  <c r="C27" i="18"/>
  <c r="C107" i="18"/>
  <c r="E269" i="5"/>
  <c r="M265" i="5"/>
  <c r="M267" i="5" s="1"/>
  <c r="AE188" i="5"/>
  <c r="AE96" i="5" s="1"/>
  <c r="AE198" i="5"/>
  <c r="R188" i="5"/>
  <c r="R96" i="5" s="1"/>
  <c r="R198" i="5"/>
  <c r="P296" i="5"/>
  <c r="AC295" i="5"/>
  <c r="P1382" i="17"/>
  <c r="Q296" i="5"/>
  <c r="T196" i="5"/>
  <c r="T92" i="5" s="1"/>
  <c r="I196" i="5"/>
  <c r="I92" i="5" s="1"/>
  <c r="O295" i="5"/>
  <c r="O196" i="5"/>
  <c r="O92" i="5" s="1"/>
  <c r="K295" i="5"/>
  <c r="K196" i="5"/>
  <c r="K92" i="5" s="1"/>
  <c r="AC196" i="5"/>
  <c r="AC92" i="5" s="1"/>
  <c r="Y196" i="5"/>
  <c r="Y92" i="5" s="1"/>
  <c r="AH196" i="5"/>
  <c r="AG196" i="5"/>
  <c r="O302" i="16"/>
  <c r="P302" i="16" s="1"/>
  <c r="O1087" i="17"/>
  <c r="P1087" i="17" s="1"/>
  <c r="O245" i="17"/>
  <c r="P245" i="17" s="1"/>
  <c r="O1018" i="17"/>
  <c r="Q1018" i="17" s="1"/>
  <c r="O1079" i="17"/>
  <c r="Q1079" i="17" s="1"/>
  <c r="O282" i="17"/>
  <c r="Q282" i="17" s="1"/>
  <c r="O328" i="17"/>
  <c r="P328" i="17" s="1"/>
  <c r="O98" i="17"/>
  <c r="P98" i="17" s="1"/>
  <c r="O1073" i="17"/>
  <c r="Q1073" i="17" s="1"/>
  <c r="O757" i="17"/>
  <c r="P757" i="17" s="1"/>
  <c r="O460" i="17"/>
  <c r="Q460" i="17" s="1"/>
  <c r="O665" i="17"/>
  <c r="P665" i="17" s="1"/>
  <c r="O414" i="17"/>
  <c r="Q414" i="17" s="1"/>
  <c r="O251" i="17"/>
  <c r="Q251" i="17" s="1"/>
  <c r="O1211" i="17"/>
  <c r="P1211" i="17" s="1"/>
  <c r="O322" i="17"/>
  <c r="Q322" i="17" s="1"/>
  <c r="O742" i="17"/>
  <c r="Q742" i="17" s="1"/>
  <c r="O213" i="17"/>
  <c r="Q213" i="17" s="1"/>
  <c r="O389" i="17"/>
  <c r="P389" i="17" s="1"/>
  <c r="O304" i="16"/>
  <c r="P304" i="16" s="1"/>
  <c r="O305" i="17"/>
  <c r="Q305" i="17" s="1"/>
  <c r="Q775" i="17"/>
  <c r="P775" i="17"/>
  <c r="Q223" i="17"/>
  <c r="P223" i="17"/>
  <c r="Q1235" i="17"/>
  <c r="P1235" i="17"/>
  <c r="Q821" i="17"/>
  <c r="P821" i="17"/>
  <c r="Q1097" i="17"/>
  <c r="P1097" i="17"/>
  <c r="Q637" i="17"/>
  <c r="P637" i="17"/>
  <c r="Q407" i="17"/>
  <c r="P407" i="17"/>
  <c r="Q453" i="17"/>
  <c r="P453" i="17"/>
  <c r="Q361" i="17"/>
  <c r="P361" i="17"/>
  <c r="Q131" i="17"/>
  <c r="P131" i="17"/>
  <c r="L249" i="16"/>
  <c r="Z22" i="46"/>
  <c r="L161" i="16"/>
  <c r="R22" i="46"/>
  <c r="L1133" i="17"/>
  <c r="AB9" i="46"/>
  <c r="L903" i="17"/>
  <c r="W9" i="46"/>
  <c r="Q1051" i="17"/>
  <c r="P1051" i="17"/>
  <c r="O344" i="17"/>
  <c r="P683" i="17"/>
  <c r="O1202" i="17"/>
  <c r="L1171" i="17"/>
  <c r="AC8" i="46"/>
  <c r="L61" i="17"/>
  <c r="E7" i="46"/>
  <c r="L995" i="17"/>
  <c r="Y9" i="46"/>
  <c r="L567" i="17"/>
  <c r="P7" i="46"/>
  <c r="L157" i="16"/>
  <c r="O157" i="16" s="1"/>
  <c r="P157" i="16" s="1"/>
  <c r="Q26" i="46"/>
  <c r="L895" i="17"/>
  <c r="W8" i="46"/>
  <c r="L46" i="16"/>
  <c r="O46" i="16" s="1"/>
  <c r="P46" i="16" s="1"/>
  <c r="G25" i="46"/>
  <c r="O307" i="16"/>
  <c r="P307" i="16" s="1"/>
  <c r="O297" i="17"/>
  <c r="O512" i="17"/>
  <c r="O349" i="5"/>
  <c r="O356" i="5"/>
  <c r="O828" i="17"/>
  <c r="O788" i="17"/>
  <c r="O1217" i="17"/>
  <c r="L95" i="16"/>
  <c r="L22" i="46"/>
  <c r="L92" i="17"/>
  <c r="E11" i="46"/>
  <c r="L987" i="17"/>
  <c r="Y8" i="46"/>
  <c r="L598" i="17"/>
  <c r="P11" i="46"/>
  <c r="L41" i="16"/>
  <c r="O41" i="16" s="1"/>
  <c r="P41" i="16" s="1"/>
  <c r="G23" i="46"/>
  <c r="L926" i="17"/>
  <c r="X6" i="46"/>
  <c r="O527" i="17"/>
  <c r="O374" i="17"/>
  <c r="O604" i="17"/>
  <c r="O190" i="17"/>
  <c r="O751" i="17"/>
  <c r="N420" i="5"/>
  <c r="N426" i="5"/>
  <c r="N427" i="5" s="1"/>
  <c r="O613" i="17"/>
  <c r="O138" i="17"/>
  <c r="O244" i="5"/>
  <c r="O208" i="5"/>
  <c r="O362" i="5"/>
  <c r="O217" i="5"/>
  <c r="O235" i="5"/>
  <c r="O226" i="5"/>
  <c r="O253" i="5"/>
  <c r="O126" i="5"/>
  <c r="O106" i="5" s="1"/>
  <c r="O206" i="5" s="1"/>
  <c r="O659" i="17"/>
  <c r="O276" i="17"/>
  <c r="L711" i="17"/>
  <c r="S8" i="46"/>
  <c r="L228" i="16"/>
  <c r="O228" i="16" s="1"/>
  <c r="P228" i="16" s="1"/>
  <c r="X23" i="46"/>
  <c r="L880" i="17"/>
  <c r="W6" i="46"/>
  <c r="L1179" i="17"/>
  <c r="AC9" i="46"/>
  <c r="L293" i="16"/>
  <c r="AD22" i="46"/>
  <c r="O535" i="17"/>
  <c r="L62" i="16"/>
  <c r="I22" i="46"/>
  <c r="L1119" i="17"/>
  <c r="AB7" i="46"/>
  <c r="L29" i="16"/>
  <c r="F22" i="46"/>
  <c r="L52" i="17"/>
  <c r="E6" i="46"/>
  <c r="L260" i="16"/>
  <c r="AA22" i="46"/>
  <c r="L972" i="17"/>
  <c r="Y6" i="46"/>
  <c r="Z245" i="5"/>
  <c r="F245" i="5"/>
  <c r="L73" i="16"/>
  <c r="J22" i="46"/>
  <c r="L581" i="17"/>
  <c r="P9" i="46"/>
  <c r="L233" i="16"/>
  <c r="O233" i="16" s="1"/>
  <c r="P233" i="16" s="1"/>
  <c r="X25" i="46"/>
  <c r="L156" i="16"/>
  <c r="O156" i="16" s="1"/>
  <c r="P156" i="16" s="1"/>
  <c r="Q25" i="46"/>
  <c r="L889" i="17"/>
  <c r="W7" i="46"/>
  <c r="L40" i="16"/>
  <c r="O40" i="16" s="1"/>
  <c r="P40" i="16" s="1"/>
  <c r="G22" i="46"/>
  <c r="L959" i="17"/>
  <c r="O1242" i="17"/>
  <c r="O230" i="17"/>
  <c r="O935" i="17"/>
  <c r="O765" i="17"/>
  <c r="O311" i="16"/>
  <c r="P311" i="16" s="1"/>
  <c r="O803" i="17"/>
  <c r="O121" i="17"/>
  <c r="O420" i="17"/>
  <c r="O205" i="17"/>
  <c r="O310" i="16"/>
  <c r="P310" i="16" s="1"/>
  <c r="O444" i="17"/>
  <c r="O1033" i="17"/>
  <c r="O352" i="17"/>
  <c r="O429" i="17"/>
  <c r="S10" i="46"/>
  <c r="L729" i="17"/>
  <c r="O397" i="17"/>
  <c r="L1165" i="17"/>
  <c r="AC7" i="46"/>
  <c r="L84" i="16"/>
  <c r="K22" i="46"/>
  <c r="L736" i="17"/>
  <c r="O736" i="17" s="1"/>
  <c r="S11" i="46"/>
  <c r="L194" i="16"/>
  <c r="U22" i="46"/>
  <c r="L227" i="16"/>
  <c r="O227" i="16" s="1"/>
  <c r="P227" i="16" s="1"/>
  <c r="X22" i="46"/>
  <c r="L949" i="17"/>
  <c r="X9" i="46"/>
  <c r="O650" i="17"/>
  <c r="O690" i="17"/>
  <c r="L75" i="17"/>
  <c r="E9" i="46"/>
  <c r="L51" i="16"/>
  <c r="H22" i="46"/>
  <c r="L1110" i="17"/>
  <c r="AB6" i="46"/>
  <c r="L234" i="16"/>
  <c r="O234" i="16" s="1"/>
  <c r="P234" i="16" s="1"/>
  <c r="X26" i="46"/>
  <c r="L920" i="17"/>
  <c r="W11" i="46"/>
  <c r="L696" i="17"/>
  <c r="S6" i="46"/>
  <c r="O619" i="17"/>
  <c r="O113" i="17"/>
  <c r="O1104" i="17"/>
  <c r="O644" i="17"/>
  <c r="O338" i="17"/>
  <c r="O782" i="17"/>
  <c r="O259" i="17"/>
  <c r="O1225" i="17"/>
  <c r="O291" i="17"/>
  <c r="O1041" i="17"/>
  <c r="O1064" i="17"/>
  <c r="L1012" i="17"/>
  <c r="Y11" i="46"/>
  <c r="L1125" i="17"/>
  <c r="AB8" i="46"/>
  <c r="L128" i="16"/>
  <c r="O22" i="46"/>
  <c r="L981" i="17"/>
  <c r="Y7" i="46"/>
  <c r="L151" i="16"/>
  <c r="O151" i="16" s="1"/>
  <c r="P151" i="16" s="1"/>
  <c r="Q23" i="46"/>
  <c r="L43" i="16"/>
  <c r="O43" i="16" s="1"/>
  <c r="P43" i="16" s="1"/>
  <c r="G24" i="46"/>
  <c r="O797" i="17"/>
  <c r="L1156" i="17"/>
  <c r="AC6" i="46"/>
  <c r="L558" i="17"/>
  <c r="P6" i="46"/>
  <c r="L153" i="16"/>
  <c r="O153" i="16" s="1"/>
  <c r="P153" i="16" s="1"/>
  <c r="Q24" i="46"/>
  <c r="L47" i="16"/>
  <c r="O47" i="16" s="1"/>
  <c r="P47" i="16" s="1"/>
  <c r="G26" i="46"/>
  <c r="Q315" i="17"/>
  <c r="P315" i="17"/>
  <c r="Q545" i="17"/>
  <c r="P545" i="17"/>
  <c r="O107" i="17"/>
  <c r="O305" i="16"/>
  <c r="P305" i="16" s="1"/>
  <c r="O368" i="17"/>
  <c r="L150" i="16"/>
  <c r="O150" i="16" s="1"/>
  <c r="P150" i="16" s="1"/>
  <c r="Q22" i="46"/>
  <c r="L106" i="16"/>
  <c r="M22" i="46"/>
  <c r="L1196" i="17"/>
  <c r="AC11" i="46"/>
  <c r="L67" i="17"/>
  <c r="E8" i="46"/>
  <c r="L573" i="17"/>
  <c r="P8" i="46"/>
  <c r="L1150" i="17"/>
  <c r="AB11" i="46"/>
  <c r="L230" i="16"/>
  <c r="O230" i="16" s="1"/>
  <c r="P230" i="16" s="1"/>
  <c r="X24" i="46"/>
  <c r="L719" i="17"/>
  <c r="O719" i="17" s="1"/>
  <c r="S9" i="46"/>
  <c r="L705" i="17"/>
  <c r="S7" i="46"/>
  <c r="O435" i="17"/>
  <c r="O1058" i="17"/>
  <c r="O627" i="17"/>
  <c r="O673" i="17"/>
  <c r="O1027" i="17"/>
  <c r="O811" i="17"/>
  <c r="O199" i="17"/>
  <c r="O552" i="17"/>
  <c r="O383" i="17"/>
  <c r="O521" i="17"/>
  <c r="L38" i="16"/>
  <c r="O38" i="16" s="1"/>
  <c r="P38" i="16" s="1"/>
  <c r="H366" i="5"/>
  <c r="E338" i="5"/>
  <c r="E344" i="5"/>
  <c r="D413" i="5"/>
  <c r="W426" i="5"/>
  <c r="W427" i="5" s="1"/>
  <c r="W420" i="5"/>
  <c r="T426" i="5"/>
  <c r="T427" i="5" s="1"/>
  <c r="T420" i="5"/>
  <c r="R426" i="5"/>
  <c r="R427" i="5" s="1"/>
  <c r="R420" i="5"/>
  <c r="X426" i="5"/>
  <c r="X427" i="5" s="1"/>
  <c r="X420" i="5"/>
  <c r="E188" i="5"/>
  <c r="E96" i="5" s="1"/>
  <c r="E14" i="5"/>
  <c r="E15" i="5"/>
  <c r="S16" i="5"/>
  <c r="S234" i="5"/>
  <c r="S236" i="5"/>
  <c r="S227" i="5"/>
  <c r="S218" i="5"/>
  <c r="G673" i="17"/>
  <c r="G683" i="17"/>
  <c r="Q683" i="17" s="1"/>
  <c r="G690" i="17"/>
  <c r="G650" i="17"/>
  <c r="G665" i="17"/>
  <c r="G659" i="17"/>
  <c r="S19" i="5"/>
  <c r="S210" i="5"/>
  <c r="S211" i="5" s="1"/>
  <c r="AE15" i="5"/>
  <c r="N15" i="5"/>
  <c r="N13" i="5" s="1"/>
  <c r="R15" i="5"/>
  <c r="R13" i="5" s="1"/>
  <c r="P15" i="5"/>
  <c r="P188" i="5"/>
  <c r="P97" i="5" s="1"/>
  <c r="N188" i="5"/>
  <c r="P294" i="5"/>
  <c r="Q243" i="5"/>
  <c r="Q356" i="5"/>
  <c r="U294" i="5"/>
  <c r="O294" i="5"/>
  <c r="O44" i="5"/>
  <c r="AD356" i="5"/>
  <c r="G44" i="5"/>
  <c r="Z356" i="5"/>
  <c r="Z294" i="5"/>
  <c r="L44" i="5"/>
  <c r="T44" i="5"/>
  <c r="K294" i="5"/>
  <c r="K44" i="5"/>
  <c r="Y44" i="5"/>
  <c r="M13" i="5"/>
  <c r="F294" i="5"/>
  <c r="X215" i="5"/>
  <c r="I889" i="17"/>
  <c r="I920" i="17"/>
  <c r="I895" i="17"/>
  <c r="I880" i="17"/>
  <c r="I903" i="17"/>
  <c r="I913" i="17"/>
  <c r="O913" i="17" s="1"/>
  <c r="X368" i="5"/>
  <c r="X389" i="5" s="1"/>
  <c r="X411" i="5"/>
  <c r="X425" i="5"/>
  <c r="X397" i="5"/>
  <c r="X418" i="5"/>
  <c r="X390" i="5"/>
  <c r="W21" i="46" s="1"/>
  <c r="X404" i="5"/>
  <c r="X361" i="5"/>
  <c r="R228" i="5"/>
  <c r="R229" i="5" s="1"/>
  <c r="AE237" i="5"/>
  <c r="AE238" i="5" s="1"/>
  <c r="M237" i="5"/>
  <c r="M238" i="5" s="1"/>
  <c r="N237" i="5"/>
  <c r="N238" i="5" s="1"/>
  <c r="R237" i="5"/>
  <c r="R238" i="5" s="1"/>
  <c r="AE228" i="5"/>
  <c r="AE229" i="5" s="1"/>
  <c r="M228" i="5"/>
  <c r="M229" i="5" s="1"/>
  <c r="P237" i="5"/>
  <c r="P238" i="5" s="1"/>
  <c r="Q237" i="5"/>
  <c r="Q238" i="5" s="1"/>
  <c r="Q228" i="5"/>
  <c r="Q229" i="5" s="1"/>
  <c r="AD418" i="5"/>
  <c r="AC25" i="46" s="1"/>
  <c r="AD390" i="5"/>
  <c r="AC21" i="46" s="1"/>
  <c r="AD404" i="5"/>
  <c r="AC23" i="46" s="1"/>
  <c r="AD411" i="5"/>
  <c r="AC24" i="46" s="1"/>
  <c r="AD425" i="5"/>
  <c r="AC26" i="46" s="1"/>
  <c r="Z411" i="5"/>
  <c r="Y24" i="46" s="1"/>
  <c r="Z425" i="5"/>
  <c r="Y26" i="46" s="1"/>
  <c r="Z418" i="5"/>
  <c r="Y25" i="46" s="1"/>
  <c r="Z390" i="5"/>
  <c r="Y21" i="46" s="1"/>
  <c r="Z404" i="5"/>
  <c r="Y23" i="46" s="1"/>
  <c r="Q425" i="5"/>
  <c r="P26" i="46" s="1"/>
  <c r="Q418" i="5"/>
  <c r="P25" i="46" s="1"/>
  <c r="Q404" i="5"/>
  <c r="P23" i="46" s="1"/>
  <c r="Q411" i="5"/>
  <c r="P24" i="46" s="1"/>
  <c r="Q390" i="5"/>
  <c r="P21" i="46" s="1"/>
  <c r="AC404" i="5"/>
  <c r="AB23" i="46" s="1"/>
  <c r="AC411" i="5"/>
  <c r="AB24" i="46" s="1"/>
  <c r="AC425" i="5"/>
  <c r="AB26" i="46" s="1"/>
  <c r="AC418" i="5"/>
  <c r="AB25" i="46" s="1"/>
  <c r="AC390" i="5"/>
  <c r="AB21" i="46" s="1"/>
  <c r="Y366" i="5"/>
  <c r="L225" i="16"/>
  <c r="O225" i="16" s="1"/>
  <c r="P225" i="16" s="1"/>
  <c r="L175" i="16"/>
  <c r="O175" i="16" s="1"/>
  <c r="P175" i="16" s="1"/>
  <c r="T366" i="5"/>
  <c r="AA366" i="5"/>
  <c r="AE366" i="5"/>
  <c r="J366" i="5"/>
  <c r="L366" i="5"/>
  <c r="AB366" i="5"/>
  <c r="V366" i="5"/>
  <c r="N366" i="5"/>
  <c r="F418" i="5"/>
  <c r="E25" i="46" s="1"/>
  <c r="F425" i="5"/>
  <c r="E26" i="46" s="1"/>
  <c r="F404" i="5"/>
  <c r="E23" i="46" s="1"/>
  <c r="F397" i="5"/>
  <c r="F390" i="5"/>
  <c r="E21" i="46" s="1"/>
  <c r="F411" i="5"/>
  <c r="E24" i="46" s="1"/>
  <c r="R366" i="5"/>
  <c r="L148" i="16"/>
  <c r="O148" i="16" s="1"/>
  <c r="P148" i="16" s="1"/>
  <c r="I366" i="5"/>
  <c r="P366" i="5"/>
  <c r="G366" i="5"/>
  <c r="S366" i="5"/>
  <c r="M366" i="5"/>
  <c r="K366" i="5"/>
  <c r="AC215" i="5"/>
  <c r="I1150" i="17"/>
  <c r="I1110" i="17"/>
  <c r="I1119" i="17"/>
  <c r="I1125" i="17"/>
  <c r="I1143" i="17"/>
  <c r="O1143" i="17" s="1"/>
  <c r="I1133" i="17"/>
  <c r="Q397" i="5"/>
  <c r="Q361" i="5"/>
  <c r="Q368" i="5"/>
  <c r="Q215" i="5"/>
  <c r="I581" i="17"/>
  <c r="I558" i="17"/>
  <c r="I573" i="17"/>
  <c r="I591" i="17"/>
  <c r="O591" i="17" s="1"/>
  <c r="I567" i="17"/>
  <c r="I598" i="17"/>
  <c r="AC368" i="5"/>
  <c r="AC397" i="5"/>
  <c r="AC361" i="5"/>
  <c r="L79" i="16"/>
  <c r="K389" i="5"/>
  <c r="L74" i="16"/>
  <c r="L76" i="16"/>
  <c r="L80" i="16"/>
  <c r="L71" i="16"/>
  <c r="L54" i="16"/>
  <c r="I389" i="5"/>
  <c r="L52" i="16"/>
  <c r="L49" i="16"/>
  <c r="L57" i="16"/>
  <c r="L58" i="16"/>
  <c r="W323" i="5"/>
  <c r="W125" i="5"/>
  <c r="D124" i="5"/>
  <c r="AE220" i="5"/>
  <c r="N211" i="5"/>
  <c r="R220" i="5"/>
  <c r="AD215" i="5"/>
  <c r="I1179" i="17"/>
  <c r="I1189" i="17"/>
  <c r="O1189" i="17" s="1"/>
  <c r="I1196" i="17"/>
  <c r="I1171" i="17"/>
  <c r="I1165" i="17"/>
  <c r="I1156" i="17"/>
  <c r="L36" i="16"/>
  <c r="L30" i="16"/>
  <c r="L35" i="16"/>
  <c r="L27" i="16"/>
  <c r="L32" i="16"/>
  <c r="G389" i="5"/>
  <c r="S389" i="5"/>
  <c r="L162" i="16"/>
  <c r="L168" i="16"/>
  <c r="L164" i="16"/>
  <c r="L167" i="16"/>
  <c r="L159" i="16"/>
  <c r="AA389" i="5"/>
  <c r="L247" i="16"/>
  <c r="L252" i="16"/>
  <c r="L256" i="16"/>
  <c r="L250" i="16"/>
  <c r="L255" i="16"/>
  <c r="J389" i="5"/>
  <c r="L68" i="16"/>
  <c r="L69" i="16"/>
  <c r="L60" i="16"/>
  <c r="L65" i="16"/>
  <c r="L63" i="16"/>
  <c r="L90" i="16"/>
  <c r="L85" i="16"/>
  <c r="L87" i="16"/>
  <c r="L91" i="16"/>
  <c r="L82" i="16"/>
  <c r="L389" i="5"/>
  <c r="F215" i="5"/>
  <c r="I75" i="17"/>
  <c r="I67" i="17"/>
  <c r="I61" i="17"/>
  <c r="I52" i="17"/>
  <c r="I85" i="17"/>
  <c r="O85" i="17" s="1"/>
  <c r="I92" i="17"/>
  <c r="L291" i="16"/>
  <c r="L299" i="16"/>
  <c r="L296" i="16"/>
  <c r="L300" i="16"/>
  <c r="L294" i="16"/>
  <c r="AE389" i="5"/>
  <c r="L258" i="16"/>
  <c r="L263" i="16"/>
  <c r="L266" i="16"/>
  <c r="L261" i="16"/>
  <c r="L267" i="16"/>
  <c r="AB389" i="5"/>
  <c r="Z215" i="5"/>
  <c r="I1012" i="17"/>
  <c r="I987" i="17"/>
  <c r="I972" i="17"/>
  <c r="I1005" i="17"/>
  <c r="O1005" i="17" s="1"/>
  <c r="I995" i="17"/>
  <c r="I981" i="17"/>
  <c r="V389" i="5"/>
  <c r="L192" i="16"/>
  <c r="L201" i="16"/>
  <c r="L197" i="16"/>
  <c r="L200" i="16"/>
  <c r="L195" i="16"/>
  <c r="N389" i="5"/>
  <c r="L113" i="16"/>
  <c r="L112" i="16"/>
  <c r="L104" i="16"/>
  <c r="L107" i="16"/>
  <c r="L109" i="16"/>
  <c r="AD368" i="5"/>
  <c r="AD397" i="5"/>
  <c r="AD361" i="5"/>
  <c r="P389" i="5"/>
  <c r="L126" i="16"/>
  <c r="L134" i="16"/>
  <c r="L129" i="16"/>
  <c r="L131" i="16"/>
  <c r="L135" i="16"/>
  <c r="L98" i="16"/>
  <c r="L102" i="16"/>
  <c r="L101" i="16"/>
  <c r="L93" i="16"/>
  <c r="L96" i="16"/>
  <c r="M389" i="5"/>
  <c r="F361" i="5"/>
  <c r="F368" i="5"/>
  <c r="K293" i="5"/>
  <c r="Z361" i="5"/>
  <c r="Z368" i="5"/>
  <c r="Z397" i="5"/>
  <c r="AE13" i="5" l="1"/>
  <c r="J271" i="5"/>
  <c r="V200" i="5"/>
  <c r="V261" i="5" s="1"/>
  <c r="V49" i="5"/>
  <c r="V55" i="5"/>
  <c r="V16" i="5"/>
  <c r="U252" i="5"/>
  <c r="I287" i="5"/>
  <c r="I288" i="5" s="1"/>
  <c r="L97" i="5"/>
  <c r="E196" i="5"/>
  <c r="E57" i="18"/>
  <c r="V46" i="5"/>
  <c r="V44" i="5" s="1"/>
  <c r="V52" i="5"/>
  <c r="V15" i="5"/>
  <c r="V198" i="5"/>
  <c r="V13" i="5"/>
  <c r="I313" i="16"/>
  <c r="O313" i="16" s="1"/>
  <c r="P313" i="16" s="1"/>
  <c r="I322" i="16"/>
  <c r="O322" i="16" s="1"/>
  <c r="P322" i="16" s="1"/>
  <c r="I318" i="16"/>
  <c r="O318" i="16" s="1"/>
  <c r="P318" i="16" s="1"/>
  <c r="AG396" i="5"/>
  <c r="AG403" i="5" s="1"/>
  <c r="AG410" i="5" s="1"/>
  <c r="AG417" i="5" s="1"/>
  <c r="AG424" i="5" s="1"/>
  <c r="I316" i="16"/>
  <c r="O316" i="16" s="1"/>
  <c r="P316" i="16" s="1"/>
  <c r="I315" i="16"/>
  <c r="O315" i="16" s="1"/>
  <c r="P315" i="16" s="1"/>
  <c r="I321" i="16"/>
  <c r="O321" i="16" s="1"/>
  <c r="P321" i="16" s="1"/>
  <c r="AD276" i="5"/>
  <c r="I264" i="5"/>
  <c r="I97" i="5"/>
  <c r="F224" i="5"/>
  <c r="X224" i="5"/>
  <c r="Q245" i="5"/>
  <c r="S243" i="5"/>
  <c r="E109" i="5"/>
  <c r="E97" i="5"/>
  <c r="Z246" i="5"/>
  <c r="Z247" i="5" s="1"/>
  <c r="U246" i="5"/>
  <c r="U247" i="5" s="1"/>
  <c r="U297" i="5" s="1"/>
  <c r="E295" i="5"/>
  <c r="AE243" i="5"/>
  <c r="R243" i="5"/>
  <c r="N243" i="5"/>
  <c r="P243" i="5"/>
  <c r="J243" i="5"/>
  <c r="Y243" i="5"/>
  <c r="I228" i="5"/>
  <c r="I229" i="5" s="1"/>
  <c r="I294" i="5" s="1"/>
  <c r="I243" i="5"/>
  <c r="L228" i="5"/>
  <c r="L229" i="5" s="1"/>
  <c r="L294" i="5" s="1"/>
  <c r="L243" i="5"/>
  <c r="V252" i="5"/>
  <c r="V245" i="5"/>
  <c r="X252" i="5"/>
  <c r="X245" i="5"/>
  <c r="I293" i="5"/>
  <c r="I296" i="5"/>
  <c r="E245" i="5"/>
  <c r="E252" i="5"/>
  <c r="AD252" i="5"/>
  <c r="AD245" i="5"/>
  <c r="K252" i="5"/>
  <c r="K245" i="5"/>
  <c r="AB252" i="5"/>
  <c r="AB245" i="5"/>
  <c r="AC252" i="5"/>
  <c r="AC245" i="5"/>
  <c r="T228" i="5"/>
  <c r="T229" i="5" s="1"/>
  <c r="T294" i="5" s="1"/>
  <c r="G293" i="5"/>
  <c r="G296" i="5"/>
  <c r="L296" i="5"/>
  <c r="K233" i="5"/>
  <c r="Z224" i="5"/>
  <c r="AD224" i="5"/>
  <c r="Q224" i="5"/>
  <c r="AC224" i="5"/>
  <c r="N96" i="5"/>
  <c r="N109" i="5" s="1"/>
  <c r="S219" i="5"/>
  <c r="S220" i="5" s="1"/>
  <c r="S237" i="5"/>
  <c r="S238" i="5" s="1"/>
  <c r="F246" i="5"/>
  <c r="F247" i="5" s="1"/>
  <c r="M96" i="5"/>
  <c r="M109" i="5" s="1"/>
  <c r="E283" i="5"/>
  <c r="F7" i="18" s="1"/>
  <c r="I237" i="5"/>
  <c r="I238" i="5" s="1"/>
  <c r="I295" i="5" s="1"/>
  <c r="AA252" i="5"/>
  <c r="AA245" i="5"/>
  <c r="O252" i="5"/>
  <c r="O245" i="5"/>
  <c r="L237" i="5"/>
  <c r="L238" i="5" s="1"/>
  <c r="L295" i="5" s="1"/>
  <c r="T224" i="5"/>
  <c r="Y224" i="5"/>
  <c r="Y238" i="5"/>
  <c r="Y295" i="5" s="1"/>
  <c r="U254" i="5"/>
  <c r="F254" i="5"/>
  <c r="Z254" i="5"/>
  <c r="I233" i="5"/>
  <c r="J233" i="5"/>
  <c r="M233" i="5"/>
  <c r="S233" i="5"/>
  <c r="G233" i="5"/>
  <c r="P233" i="5"/>
  <c r="AB233" i="5"/>
  <c r="G252" i="5"/>
  <c r="G245" i="5"/>
  <c r="M243" i="5"/>
  <c r="T237" i="5"/>
  <c r="T238" i="5" s="1"/>
  <c r="T295" i="5" s="1"/>
  <c r="T243" i="5"/>
  <c r="J238" i="5"/>
  <c r="L233" i="5"/>
  <c r="AA233" i="5"/>
  <c r="U233" i="5"/>
  <c r="N233" i="5"/>
  <c r="R233" i="5"/>
  <c r="V233" i="5"/>
  <c r="AE233" i="5"/>
  <c r="O1244" i="17"/>
  <c r="O926" i="17"/>
  <c r="P305" i="17"/>
  <c r="Q665" i="17"/>
  <c r="O949" i="17"/>
  <c r="P949" i="17" s="1"/>
  <c r="Q269" i="17"/>
  <c r="P1073" i="17"/>
  <c r="P236" i="17"/>
  <c r="P44" i="5"/>
  <c r="R97" i="5"/>
  <c r="R109" i="5"/>
  <c r="AE97" i="5"/>
  <c r="AE109" i="5"/>
  <c r="AE293" i="5" s="1"/>
  <c r="V97" i="5"/>
  <c r="V109" i="5"/>
  <c r="AD293" i="5"/>
  <c r="AC296" i="5"/>
  <c r="AC293" i="5"/>
  <c r="Z293" i="5"/>
  <c r="Z296" i="5"/>
  <c r="AD296" i="5"/>
  <c r="Q252" i="5"/>
  <c r="AD294" i="5"/>
  <c r="AC294" i="5"/>
  <c r="O705" i="17"/>
  <c r="Q705" i="17" s="1"/>
  <c r="Q389" i="17"/>
  <c r="Z295" i="5"/>
  <c r="J97" i="5"/>
  <c r="E44" i="5"/>
  <c r="P13" i="5"/>
  <c r="S228" i="5"/>
  <c r="S229" i="5" s="1"/>
  <c r="J264" i="5"/>
  <c r="C26" i="18" s="1"/>
  <c r="J44" i="5"/>
  <c r="H100" i="18"/>
  <c r="AB269" i="5"/>
  <c r="AB270" i="5" s="1"/>
  <c r="P460" i="17"/>
  <c r="O959" i="17"/>
  <c r="Q959" i="17" s="1"/>
  <c r="S202" i="5"/>
  <c r="I23" i="18"/>
  <c r="N44" i="5"/>
  <c r="J13" i="5"/>
  <c r="J285" i="5"/>
  <c r="F136" i="18"/>
  <c r="V265" i="5"/>
  <c r="V196" i="5"/>
  <c r="V92" i="5" s="1"/>
  <c r="S46" i="5"/>
  <c r="S15" i="5"/>
  <c r="O696" i="17"/>
  <c r="Q696" i="17" s="1"/>
  <c r="Q1211" i="17"/>
  <c r="Q1087" i="17"/>
  <c r="P742" i="17"/>
  <c r="Q98" i="17"/>
  <c r="O711" i="17"/>
  <c r="Q711" i="17" s="1"/>
  <c r="C109" i="18"/>
  <c r="S198" i="5"/>
  <c r="S276" i="5" s="1"/>
  <c r="S171" i="5" s="1"/>
  <c r="AB45" i="5"/>
  <c r="AB44" i="5" s="1"/>
  <c r="AB51" i="5"/>
  <c r="S55" i="5"/>
  <c r="AA46" i="5"/>
  <c r="AA52" i="5"/>
  <c r="AA45" i="5"/>
  <c r="AA51" i="5"/>
  <c r="AA49" i="5"/>
  <c r="AA55" i="5"/>
  <c r="AA48" i="5"/>
  <c r="AA54" i="5"/>
  <c r="AA47" i="5"/>
  <c r="AA53" i="5"/>
  <c r="E55" i="18"/>
  <c r="Q169" i="5"/>
  <c r="I277" i="5"/>
  <c r="I278" i="5" s="1"/>
  <c r="E266" i="5"/>
  <c r="P251" i="17"/>
  <c r="P282" i="17"/>
  <c r="AD275" i="5"/>
  <c r="S49" i="5"/>
  <c r="S197" i="5"/>
  <c r="S263" i="5" s="1"/>
  <c r="S264" i="5" s="1"/>
  <c r="S45" i="5"/>
  <c r="D427" i="5"/>
  <c r="H113" i="18"/>
  <c r="AE271" i="5"/>
  <c r="N278" i="5"/>
  <c r="E43" i="18" s="1"/>
  <c r="E45" i="18"/>
  <c r="O278" i="5"/>
  <c r="O290" i="5" s="1"/>
  <c r="E49" i="18"/>
  <c r="P1079" i="17"/>
  <c r="P322" i="17"/>
  <c r="P213" i="17"/>
  <c r="Q328" i="17"/>
  <c r="O271" i="5"/>
  <c r="E25" i="18"/>
  <c r="I32" i="18"/>
  <c r="R276" i="5"/>
  <c r="R171" i="5" s="1"/>
  <c r="AE276" i="5"/>
  <c r="AE277" i="5" s="1"/>
  <c r="AG267" i="5"/>
  <c r="AG290" i="5"/>
  <c r="N171" i="5"/>
  <c r="F140" i="18"/>
  <c r="G290" i="5"/>
  <c r="Q245" i="17"/>
  <c r="O729" i="17"/>
  <c r="Q729" i="17" s="1"/>
  <c r="Q941" i="17"/>
  <c r="P414" i="17"/>
  <c r="Y270" i="5"/>
  <c r="Y271" i="5" s="1"/>
  <c r="Y274" i="5"/>
  <c r="I87" i="18" s="1"/>
  <c r="I113" i="18"/>
  <c r="AB276" i="5"/>
  <c r="E154" i="18" s="1"/>
  <c r="M276" i="5"/>
  <c r="M171" i="5" s="1"/>
  <c r="J277" i="5"/>
  <c r="P277" i="5"/>
  <c r="F16" i="18"/>
  <c r="X285" i="5"/>
  <c r="X287" i="5" s="1"/>
  <c r="X290" i="5" s="1"/>
  <c r="X171" i="5"/>
  <c r="T290" i="5"/>
  <c r="K290" i="5"/>
  <c r="F87" i="18"/>
  <c r="P285" i="5"/>
  <c r="P287" i="5" s="1"/>
  <c r="S285" i="5"/>
  <c r="S287" i="5" s="1"/>
  <c r="S288" i="5" s="1"/>
  <c r="N285" i="5"/>
  <c r="F44" i="18" s="1"/>
  <c r="AA198" i="5"/>
  <c r="AA15" i="5"/>
  <c r="AA197" i="5"/>
  <c r="AA14" i="5"/>
  <c r="AA188" i="5"/>
  <c r="AA96" i="5" s="1"/>
  <c r="AA200" i="5"/>
  <c r="AA261" i="5" s="1"/>
  <c r="M287" i="5"/>
  <c r="M288" i="5" s="1"/>
  <c r="Q284" i="5"/>
  <c r="F55" i="18"/>
  <c r="AA18" i="5"/>
  <c r="AA202" i="5"/>
  <c r="AA19" i="5"/>
  <c r="AA199" i="5"/>
  <c r="AA16" i="5"/>
  <c r="AB197" i="5"/>
  <c r="AB14" i="5"/>
  <c r="AB13" i="5" s="1"/>
  <c r="AB188" i="5"/>
  <c r="AB96" i="5" s="1"/>
  <c r="D154" i="18"/>
  <c r="O278" i="17"/>
  <c r="Y284" i="5"/>
  <c r="F151" i="18" s="1"/>
  <c r="Z283" i="5"/>
  <c r="G279" i="5"/>
  <c r="O172" i="5"/>
  <c r="F61" i="18"/>
  <c r="F51" i="18"/>
  <c r="F63" i="18"/>
  <c r="K170" i="5"/>
  <c r="F13" i="18"/>
  <c r="F39" i="18"/>
  <c r="P1018" i="17"/>
  <c r="AC279" i="5"/>
  <c r="Q757" i="17"/>
  <c r="Y267" i="5"/>
  <c r="I271" i="5"/>
  <c r="AD267" i="5"/>
  <c r="U167" i="5"/>
  <c r="AC270" i="5"/>
  <c r="AC271" i="5" s="1"/>
  <c r="F37" i="18"/>
  <c r="F49" i="18"/>
  <c r="F77" i="18"/>
  <c r="F69" i="18"/>
  <c r="T172" i="5"/>
  <c r="S272" i="5"/>
  <c r="S275" i="5" s="1"/>
  <c r="K275" i="5"/>
  <c r="H15" i="18"/>
  <c r="G169" i="5"/>
  <c r="C33" i="18"/>
  <c r="K267" i="5"/>
  <c r="I16" i="18"/>
  <c r="G275" i="5"/>
  <c r="F279" i="5"/>
  <c r="X279" i="5"/>
  <c r="L20" i="18"/>
  <c r="M20" i="18"/>
  <c r="M18" i="18"/>
  <c r="L18" i="18"/>
  <c r="J134" i="18"/>
  <c r="H307" i="5"/>
  <c r="R170" i="5"/>
  <c r="F60" i="18"/>
  <c r="Z279" i="5"/>
  <c r="F25" i="18"/>
  <c r="C110" i="18"/>
  <c r="AE168" i="5"/>
  <c r="C111" i="18"/>
  <c r="H40" i="18"/>
  <c r="H53" i="18"/>
  <c r="C118" i="18"/>
  <c r="AG168" i="5"/>
  <c r="AG167" i="5" s="1"/>
  <c r="AG302" i="5" s="1"/>
  <c r="N265" i="5"/>
  <c r="C61" i="18"/>
  <c r="F40" i="18"/>
  <c r="E273" i="5"/>
  <c r="E274" i="5" s="1"/>
  <c r="H101" i="18"/>
  <c r="G170" i="5"/>
  <c r="K169" i="5"/>
  <c r="H93" i="18"/>
  <c r="Z270" i="5"/>
  <c r="H77" i="18"/>
  <c r="V270" i="5"/>
  <c r="L170" i="5"/>
  <c r="E11" i="18"/>
  <c r="F169" i="5"/>
  <c r="K279" i="5"/>
  <c r="E9" i="18"/>
  <c r="C41" i="18"/>
  <c r="E270" i="5"/>
  <c r="H9" i="18"/>
  <c r="E151" i="18"/>
  <c r="E47" i="18"/>
  <c r="E141" i="18"/>
  <c r="O169" i="5"/>
  <c r="F68" i="18"/>
  <c r="T170" i="5"/>
  <c r="M19" i="18"/>
  <c r="L19" i="18"/>
  <c r="L21" i="18"/>
  <c r="M21" i="18"/>
  <c r="E143" i="18"/>
  <c r="Q279" i="5"/>
  <c r="C48" i="18"/>
  <c r="O170" i="5"/>
  <c r="N273" i="5"/>
  <c r="I44" i="18" s="1"/>
  <c r="N269" i="5"/>
  <c r="AE265" i="5"/>
  <c r="M270" i="5"/>
  <c r="C43" i="18"/>
  <c r="I9" i="18"/>
  <c r="E142" i="18"/>
  <c r="H125" i="18"/>
  <c r="AH270" i="5"/>
  <c r="H37" i="18"/>
  <c r="L270" i="5"/>
  <c r="C13" i="18"/>
  <c r="F266" i="5"/>
  <c r="F172" i="5"/>
  <c r="E92" i="5"/>
  <c r="Q295" i="5"/>
  <c r="P295" i="5"/>
  <c r="R295" i="5"/>
  <c r="M295" i="5"/>
  <c r="AE295" i="5"/>
  <c r="AE196" i="5"/>
  <c r="AE92" i="5" s="1"/>
  <c r="N295" i="5"/>
  <c r="R196" i="5"/>
  <c r="R92" i="5" s="1"/>
  <c r="Z297" i="5"/>
  <c r="Z196" i="5"/>
  <c r="Z92" i="5" s="1"/>
  <c r="J196" i="5"/>
  <c r="J92" i="5" s="1"/>
  <c r="L196" i="5"/>
  <c r="L92" i="5" s="1"/>
  <c r="P196" i="5"/>
  <c r="P92" i="5" s="1"/>
  <c r="N196" i="5"/>
  <c r="N92" i="5" s="1"/>
  <c r="F297" i="5"/>
  <c r="F196" i="5"/>
  <c r="F92" i="5" s="1"/>
  <c r="M196" i="5"/>
  <c r="M92" i="5" s="1"/>
  <c r="O1156" i="17"/>
  <c r="P1156" i="17" s="1"/>
  <c r="O75" i="17"/>
  <c r="Q75" i="17" s="1"/>
  <c r="O1165" i="17"/>
  <c r="Q1165" i="17" s="1"/>
  <c r="O784" i="17"/>
  <c r="O889" i="17"/>
  <c r="P889" i="17" s="1"/>
  <c r="O581" i="17"/>
  <c r="Q581" i="17" s="1"/>
  <c r="O52" i="17"/>
  <c r="P52" i="17" s="1"/>
  <c r="O1119" i="17"/>
  <c r="Q1119" i="17" s="1"/>
  <c r="O92" i="17"/>
  <c r="P92" i="17" s="1"/>
  <c r="O995" i="17"/>
  <c r="Q995" i="17" s="1"/>
  <c r="O1171" i="17"/>
  <c r="Q1171" i="17" s="1"/>
  <c r="O573" i="17"/>
  <c r="Q573" i="17" s="1"/>
  <c r="O1125" i="17"/>
  <c r="Q1125" i="17" s="1"/>
  <c r="O1179" i="17"/>
  <c r="P1179" i="17" s="1"/>
  <c r="O880" i="17"/>
  <c r="P880" i="17" s="1"/>
  <c r="O895" i="17"/>
  <c r="P895" i="17" s="1"/>
  <c r="O903" i="17"/>
  <c r="P903" i="17" s="1"/>
  <c r="Q85" i="17"/>
  <c r="P85" i="17"/>
  <c r="Q1189" i="17"/>
  <c r="P1189" i="17"/>
  <c r="Q591" i="17"/>
  <c r="P591" i="17"/>
  <c r="Q1005" i="17"/>
  <c r="P1005" i="17"/>
  <c r="Q199" i="17"/>
  <c r="P199" i="17"/>
  <c r="Q1033" i="17"/>
  <c r="P1033" i="17"/>
  <c r="Q276" i="17"/>
  <c r="P276" i="17"/>
  <c r="P1202" i="17"/>
  <c r="Q1202" i="17"/>
  <c r="L223" i="16"/>
  <c r="W26" i="46"/>
  <c r="Q811" i="17"/>
  <c r="P811" i="17"/>
  <c r="P935" i="17"/>
  <c r="Q935" i="17"/>
  <c r="O646" i="17"/>
  <c r="Q604" i="17"/>
  <c r="P604" i="17"/>
  <c r="P1027" i="17"/>
  <c r="Q1027" i="17"/>
  <c r="Q719" i="17"/>
  <c r="P719" i="17"/>
  <c r="P368" i="17"/>
  <c r="Q368" i="17"/>
  <c r="P797" i="17"/>
  <c r="Q797" i="17"/>
  <c r="Q782" i="17"/>
  <c r="P782" i="17"/>
  <c r="P230" i="17"/>
  <c r="Q230" i="17"/>
  <c r="I475" i="17"/>
  <c r="I499" i="17"/>
  <c r="I466" i="17"/>
  <c r="I506" i="17"/>
  <c r="O215" i="5"/>
  <c r="I481" i="17"/>
  <c r="I489" i="17"/>
  <c r="Q138" i="17"/>
  <c r="P138" i="17"/>
  <c r="P374" i="17"/>
  <c r="Q374" i="17"/>
  <c r="O1060" i="17"/>
  <c r="O1133" i="17"/>
  <c r="L238" i="16"/>
  <c r="Y22" i="46"/>
  <c r="L18" i="16"/>
  <c r="E22" i="46"/>
  <c r="P673" i="17"/>
  <c r="Q673" i="17"/>
  <c r="O67" i="17"/>
  <c r="O370" i="17"/>
  <c r="P338" i="17"/>
  <c r="Q338" i="17"/>
  <c r="O920" i="17"/>
  <c r="P397" i="17"/>
  <c r="Q397" i="17"/>
  <c r="P205" i="17"/>
  <c r="Q205" i="17"/>
  <c r="P1242" i="17"/>
  <c r="Q1242" i="17"/>
  <c r="L506" i="17"/>
  <c r="N11" i="46"/>
  <c r="Q613" i="17"/>
  <c r="P613" i="17"/>
  <c r="Q527" i="17"/>
  <c r="P527" i="17"/>
  <c r="O598" i="17"/>
  <c r="P512" i="17"/>
  <c r="O554" i="17"/>
  <c r="Q512" i="17"/>
  <c r="O61" i="17"/>
  <c r="L282" i="16"/>
  <c r="AC22" i="46"/>
  <c r="P627" i="17"/>
  <c r="Q627" i="17"/>
  <c r="P107" i="17"/>
  <c r="Q107" i="17"/>
  <c r="O981" i="17"/>
  <c r="O1012" i="17"/>
  <c r="P644" i="17"/>
  <c r="Q644" i="17"/>
  <c r="Q690" i="17"/>
  <c r="P690" i="17"/>
  <c r="Q420" i="17"/>
  <c r="P420" i="17"/>
  <c r="O462" i="17"/>
  <c r="O972" i="17"/>
  <c r="P535" i="17"/>
  <c r="Q535" i="17"/>
  <c r="L481" i="17"/>
  <c r="N8" i="46"/>
  <c r="Q297" i="17"/>
  <c r="P297" i="17"/>
  <c r="Q1225" i="17"/>
  <c r="P1225" i="17"/>
  <c r="O232" i="17"/>
  <c r="P190" i="17"/>
  <c r="Q190" i="17"/>
  <c r="Q913" i="17"/>
  <c r="P913" i="17"/>
  <c r="P828" i="17"/>
  <c r="Q828" i="17"/>
  <c r="Q444" i="17"/>
  <c r="P444" i="17"/>
  <c r="Q659" i="17"/>
  <c r="P659" i="17"/>
  <c r="Q1143" i="17"/>
  <c r="P1143" i="17"/>
  <c r="L271" i="16"/>
  <c r="AB22" i="46"/>
  <c r="P1064" i="17"/>
  <c r="Q1064" i="17"/>
  <c r="O1106" i="17"/>
  <c r="P1104" i="17"/>
  <c r="Q1104" i="17"/>
  <c r="Q121" i="17"/>
  <c r="P121" i="17"/>
  <c r="O987" i="17"/>
  <c r="Q344" i="17"/>
  <c r="P344" i="17"/>
  <c r="O416" i="17"/>
  <c r="Q383" i="17"/>
  <c r="P383" i="17"/>
  <c r="Q435" i="17"/>
  <c r="P435" i="17"/>
  <c r="O558" i="17"/>
  <c r="Q1041" i="17"/>
  <c r="P1041" i="17"/>
  <c r="Q113" i="17"/>
  <c r="P113" i="17"/>
  <c r="P736" i="17"/>
  <c r="Q736" i="17"/>
  <c r="P429" i="17"/>
  <c r="Q429" i="17"/>
  <c r="Q803" i="17"/>
  <c r="P803" i="17"/>
  <c r="L475" i="17"/>
  <c r="N7" i="46"/>
  <c r="Q966" i="17"/>
  <c r="P966" i="17"/>
  <c r="P1217" i="17"/>
  <c r="Q1217" i="17"/>
  <c r="O567" i="17"/>
  <c r="L139" i="16"/>
  <c r="P22" i="46"/>
  <c r="L216" i="16"/>
  <c r="W22" i="46"/>
  <c r="P765" i="17"/>
  <c r="Q765" i="17"/>
  <c r="L466" i="17"/>
  <c r="N6" i="46"/>
  <c r="Q259" i="17"/>
  <c r="P259" i="17"/>
  <c r="Q949" i="17"/>
  <c r="N10" i="46"/>
  <c r="L499" i="17"/>
  <c r="L219" i="16"/>
  <c r="W24" i="46"/>
  <c r="L217" i="16"/>
  <c r="W23" i="46"/>
  <c r="P521" i="17"/>
  <c r="Q521" i="17"/>
  <c r="P1058" i="17"/>
  <c r="Q1058" i="17"/>
  <c r="O1196" i="17"/>
  <c r="O140" i="17"/>
  <c r="L489" i="17"/>
  <c r="N9" i="46"/>
  <c r="P926" i="17"/>
  <c r="Q926" i="17"/>
  <c r="L222" i="16"/>
  <c r="W25" i="46"/>
  <c r="Q552" i="17"/>
  <c r="P552" i="17"/>
  <c r="O1150" i="17"/>
  <c r="Q291" i="17"/>
  <c r="P291" i="17"/>
  <c r="Q619" i="17"/>
  <c r="P619" i="17"/>
  <c r="O1110" i="17"/>
  <c r="O692" i="17"/>
  <c r="Q650" i="17"/>
  <c r="P650" i="17"/>
  <c r="P352" i="17"/>
  <c r="Q352" i="17"/>
  <c r="O324" i="17"/>
  <c r="P711" i="17"/>
  <c r="O397" i="5"/>
  <c r="O418" i="5"/>
  <c r="O390" i="5"/>
  <c r="O404" i="5"/>
  <c r="O368" i="5"/>
  <c r="O389" i="5" s="1"/>
  <c r="O411" i="5"/>
  <c r="O425" i="5"/>
  <c r="O361" i="5"/>
  <c r="P751" i="17"/>
  <c r="Q751" i="17"/>
  <c r="Q788" i="17"/>
  <c r="P788" i="17"/>
  <c r="O830" i="17"/>
  <c r="E120" i="5"/>
  <c r="E244" i="5" s="1"/>
  <c r="E350" i="5"/>
  <c r="D420" i="5"/>
  <c r="E13" i="5"/>
  <c r="S44" i="5"/>
  <c r="S14" i="5"/>
  <c r="S252" i="5"/>
  <c r="S245" i="5"/>
  <c r="S188" i="5"/>
  <c r="S96" i="5" s="1"/>
  <c r="Z44" i="5"/>
  <c r="Q294" i="5"/>
  <c r="Q44" i="5"/>
  <c r="M294" i="5"/>
  <c r="M44" i="5"/>
  <c r="R294" i="5"/>
  <c r="R44" i="5"/>
  <c r="X44" i="5"/>
  <c r="AE294" i="5"/>
  <c r="AE44" i="5"/>
  <c r="AD44" i="5"/>
  <c r="AC44" i="5"/>
  <c r="I44" i="5"/>
  <c r="U44" i="5"/>
  <c r="L214" i="16"/>
  <c r="X366" i="5"/>
  <c r="I222" i="16"/>
  <c r="X396" i="5"/>
  <c r="X403" i="5" s="1"/>
  <c r="X410" i="5" s="1"/>
  <c r="X417" i="5" s="1"/>
  <c r="X424" i="5" s="1"/>
  <c r="I214" i="16"/>
  <c r="I217" i="16"/>
  <c r="I223" i="16"/>
  <c r="I216" i="16"/>
  <c r="I219" i="16"/>
  <c r="F366" i="5"/>
  <c r="AC366" i="5"/>
  <c r="AD366" i="5"/>
  <c r="Q366" i="5"/>
  <c r="Z366" i="5"/>
  <c r="L269" i="16"/>
  <c r="L278" i="16"/>
  <c r="AC389" i="5"/>
  <c r="L274" i="16"/>
  <c r="L277" i="16"/>
  <c r="L272" i="16"/>
  <c r="L146" i="16"/>
  <c r="L140" i="16"/>
  <c r="L142" i="16"/>
  <c r="Q389" i="5"/>
  <c r="L137" i="16"/>
  <c r="L145" i="16"/>
  <c r="I79" i="16"/>
  <c r="O79" i="16" s="1"/>
  <c r="P79" i="16" s="1"/>
  <c r="I74" i="16"/>
  <c r="O74" i="16" s="1"/>
  <c r="P74" i="16" s="1"/>
  <c r="I80" i="16"/>
  <c r="O80" i="16" s="1"/>
  <c r="P80" i="16" s="1"/>
  <c r="I76" i="16"/>
  <c r="O76" i="16" s="1"/>
  <c r="P76" i="16" s="1"/>
  <c r="K396" i="5"/>
  <c r="K403" i="5" s="1"/>
  <c r="K410" i="5" s="1"/>
  <c r="K417" i="5" s="1"/>
  <c r="K424" i="5" s="1"/>
  <c r="I73" i="16"/>
  <c r="O73" i="16" s="1"/>
  <c r="P73" i="16" s="1"/>
  <c r="I71" i="16"/>
  <c r="O71" i="16" s="1"/>
  <c r="P71" i="16" s="1"/>
  <c r="I49" i="16"/>
  <c r="O49" i="16" s="1"/>
  <c r="P49" i="16" s="1"/>
  <c r="I51" i="16"/>
  <c r="O51" i="16" s="1"/>
  <c r="P51" i="16" s="1"/>
  <c r="I52" i="16"/>
  <c r="O52" i="16" s="1"/>
  <c r="P52" i="16" s="1"/>
  <c r="I57" i="16"/>
  <c r="O57" i="16" s="1"/>
  <c r="P57" i="16" s="1"/>
  <c r="I58" i="16"/>
  <c r="O58" i="16" s="1"/>
  <c r="P58" i="16" s="1"/>
  <c r="I396" i="5"/>
  <c r="I403" i="5" s="1"/>
  <c r="I410" i="5" s="1"/>
  <c r="I417" i="5" s="1"/>
  <c r="I424" i="5" s="1"/>
  <c r="I54" i="16"/>
  <c r="O54" i="16" s="1"/>
  <c r="P54" i="16" s="1"/>
  <c r="W324" i="5"/>
  <c r="D323" i="5"/>
  <c r="R296" i="5"/>
  <c r="N293" i="5"/>
  <c r="AE296" i="5"/>
  <c r="Z389" i="5"/>
  <c r="L239" i="16"/>
  <c r="L245" i="16"/>
  <c r="L244" i="16"/>
  <c r="L241" i="16"/>
  <c r="L236" i="16"/>
  <c r="I96" i="16"/>
  <c r="O96" i="16" s="1"/>
  <c r="P96" i="16" s="1"/>
  <c r="I95" i="16"/>
  <c r="O95" i="16" s="1"/>
  <c r="P95" i="16" s="1"/>
  <c r="I98" i="16"/>
  <c r="O98" i="16" s="1"/>
  <c r="P98" i="16" s="1"/>
  <c r="I102" i="16"/>
  <c r="O102" i="16" s="1"/>
  <c r="P102" i="16" s="1"/>
  <c r="M396" i="5"/>
  <c r="M403" i="5" s="1"/>
  <c r="M410" i="5" s="1"/>
  <c r="M417" i="5" s="1"/>
  <c r="M424" i="5" s="1"/>
  <c r="I93" i="16"/>
  <c r="O93" i="16" s="1"/>
  <c r="P93" i="16" s="1"/>
  <c r="I101" i="16"/>
  <c r="O101" i="16" s="1"/>
  <c r="P101" i="16" s="1"/>
  <c r="I62" i="16"/>
  <c r="O62" i="16" s="1"/>
  <c r="P62" i="16" s="1"/>
  <c r="J396" i="5"/>
  <c r="J403" i="5" s="1"/>
  <c r="J410" i="5" s="1"/>
  <c r="J417" i="5" s="1"/>
  <c r="J424" i="5" s="1"/>
  <c r="I63" i="16"/>
  <c r="O63" i="16" s="1"/>
  <c r="P63" i="16" s="1"/>
  <c r="I68" i="16"/>
  <c r="O68" i="16" s="1"/>
  <c r="P68" i="16" s="1"/>
  <c r="I60" i="16"/>
  <c r="O60" i="16" s="1"/>
  <c r="P60" i="16" s="1"/>
  <c r="I65" i="16"/>
  <c r="O65" i="16" s="1"/>
  <c r="P65" i="16" s="1"/>
  <c r="I69" i="16"/>
  <c r="O69" i="16" s="1"/>
  <c r="P69" i="16" s="1"/>
  <c r="I252" i="16"/>
  <c r="O252" i="16" s="1"/>
  <c r="P252" i="16" s="1"/>
  <c r="I250" i="16"/>
  <c r="O250" i="16" s="1"/>
  <c r="P250" i="16" s="1"/>
  <c r="I255" i="16"/>
  <c r="O255" i="16" s="1"/>
  <c r="P255" i="16" s="1"/>
  <c r="AA396" i="5"/>
  <c r="AA403" i="5" s="1"/>
  <c r="AA410" i="5" s="1"/>
  <c r="AA417" i="5" s="1"/>
  <c r="AA424" i="5" s="1"/>
  <c r="I249" i="16"/>
  <c r="O249" i="16" s="1"/>
  <c r="P249" i="16" s="1"/>
  <c r="I256" i="16"/>
  <c r="O256" i="16" s="1"/>
  <c r="P256" i="16" s="1"/>
  <c r="I247" i="16"/>
  <c r="O247" i="16" s="1"/>
  <c r="P247" i="16" s="1"/>
  <c r="I161" i="16"/>
  <c r="O161" i="16" s="1"/>
  <c r="P161" i="16" s="1"/>
  <c r="I162" i="16"/>
  <c r="O162" i="16" s="1"/>
  <c r="P162" i="16" s="1"/>
  <c r="I159" i="16"/>
  <c r="O159" i="16" s="1"/>
  <c r="P159" i="16" s="1"/>
  <c r="I164" i="16"/>
  <c r="O164" i="16" s="1"/>
  <c r="P164" i="16" s="1"/>
  <c r="I168" i="16"/>
  <c r="O168" i="16" s="1"/>
  <c r="P168" i="16" s="1"/>
  <c r="I167" i="16"/>
  <c r="O167" i="16" s="1"/>
  <c r="P167" i="16" s="1"/>
  <c r="S396" i="5"/>
  <c r="S403" i="5" s="1"/>
  <c r="S410" i="5" s="1"/>
  <c r="S417" i="5" s="1"/>
  <c r="S424" i="5" s="1"/>
  <c r="I35" i="16"/>
  <c r="O35" i="16" s="1"/>
  <c r="P35" i="16" s="1"/>
  <c r="G396" i="5"/>
  <c r="G403" i="5" s="1"/>
  <c r="G410" i="5" s="1"/>
  <c r="G417" i="5" s="1"/>
  <c r="G424" i="5" s="1"/>
  <c r="I27" i="16"/>
  <c r="O27" i="16" s="1"/>
  <c r="P27" i="16" s="1"/>
  <c r="I36" i="16"/>
  <c r="O36" i="16" s="1"/>
  <c r="P36" i="16" s="1"/>
  <c r="I30" i="16"/>
  <c r="O30" i="16" s="1"/>
  <c r="P30" i="16" s="1"/>
  <c r="I29" i="16"/>
  <c r="O29" i="16" s="1"/>
  <c r="P29" i="16" s="1"/>
  <c r="I32" i="16"/>
  <c r="O32" i="16" s="1"/>
  <c r="P32" i="16" s="1"/>
  <c r="L21" i="16"/>
  <c r="L16" i="16"/>
  <c r="L25" i="16"/>
  <c r="L24" i="16"/>
  <c r="L19" i="16"/>
  <c r="F389" i="5"/>
  <c r="I134" i="16"/>
  <c r="O134" i="16" s="1"/>
  <c r="P134" i="16" s="1"/>
  <c r="I126" i="16"/>
  <c r="O126" i="16" s="1"/>
  <c r="P126" i="16" s="1"/>
  <c r="P396" i="5"/>
  <c r="P403" i="5" s="1"/>
  <c r="P410" i="5" s="1"/>
  <c r="P417" i="5" s="1"/>
  <c r="P424" i="5" s="1"/>
  <c r="I128" i="16"/>
  <c r="O128" i="16" s="1"/>
  <c r="P128" i="16" s="1"/>
  <c r="I129" i="16"/>
  <c r="O129" i="16" s="1"/>
  <c r="P129" i="16" s="1"/>
  <c r="I135" i="16"/>
  <c r="O135" i="16" s="1"/>
  <c r="P135" i="16" s="1"/>
  <c r="I131" i="16"/>
  <c r="O131" i="16" s="1"/>
  <c r="P131" i="16" s="1"/>
  <c r="L288" i="16"/>
  <c r="L285" i="16"/>
  <c r="L289" i="16"/>
  <c r="L280" i="16"/>
  <c r="L283" i="16"/>
  <c r="AD389" i="5"/>
  <c r="I112" i="16"/>
  <c r="O112" i="16" s="1"/>
  <c r="P112" i="16" s="1"/>
  <c r="I106" i="16"/>
  <c r="O106" i="16" s="1"/>
  <c r="P106" i="16" s="1"/>
  <c r="I113" i="16"/>
  <c r="O113" i="16" s="1"/>
  <c r="P113" i="16" s="1"/>
  <c r="N396" i="5"/>
  <c r="N403" i="5" s="1"/>
  <c r="N410" i="5" s="1"/>
  <c r="N417" i="5" s="1"/>
  <c r="N424" i="5" s="1"/>
  <c r="I104" i="16"/>
  <c r="O104" i="16" s="1"/>
  <c r="P104" i="16" s="1"/>
  <c r="I107" i="16"/>
  <c r="O107" i="16" s="1"/>
  <c r="P107" i="16" s="1"/>
  <c r="I109" i="16"/>
  <c r="O109" i="16" s="1"/>
  <c r="P109" i="16" s="1"/>
  <c r="V396" i="5"/>
  <c r="V403" i="5" s="1"/>
  <c r="V410" i="5" s="1"/>
  <c r="V417" i="5" s="1"/>
  <c r="V424" i="5" s="1"/>
  <c r="I200" i="16"/>
  <c r="O200" i="16" s="1"/>
  <c r="P200" i="16" s="1"/>
  <c r="I195" i="16"/>
  <c r="O195" i="16" s="1"/>
  <c r="P195" i="16" s="1"/>
  <c r="I194" i="16"/>
  <c r="O194" i="16" s="1"/>
  <c r="P194" i="16" s="1"/>
  <c r="I192" i="16"/>
  <c r="O192" i="16" s="1"/>
  <c r="P192" i="16" s="1"/>
  <c r="I201" i="16"/>
  <c r="O201" i="16" s="1"/>
  <c r="P201" i="16" s="1"/>
  <c r="I197" i="16"/>
  <c r="O197" i="16" s="1"/>
  <c r="P197" i="16" s="1"/>
  <c r="I258" i="16"/>
  <c r="O258" i="16" s="1"/>
  <c r="P258" i="16" s="1"/>
  <c r="AB396" i="5"/>
  <c r="AB403" i="5" s="1"/>
  <c r="AB410" i="5" s="1"/>
  <c r="AB417" i="5" s="1"/>
  <c r="AB424" i="5" s="1"/>
  <c r="I263" i="16"/>
  <c r="O263" i="16" s="1"/>
  <c r="P263" i="16" s="1"/>
  <c r="I260" i="16"/>
  <c r="O260" i="16" s="1"/>
  <c r="P260" i="16" s="1"/>
  <c r="I266" i="16"/>
  <c r="O266" i="16" s="1"/>
  <c r="P266" i="16" s="1"/>
  <c r="I261" i="16"/>
  <c r="O261" i="16" s="1"/>
  <c r="P261" i="16" s="1"/>
  <c r="I267" i="16"/>
  <c r="O267" i="16" s="1"/>
  <c r="P267" i="16" s="1"/>
  <c r="AE396" i="5"/>
  <c r="AE403" i="5" s="1"/>
  <c r="AE410" i="5" s="1"/>
  <c r="AE417" i="5" s="1"/>
  <c r="AE424" i="5" s="1"/>
  <c r="I291" i="16"/>
  <c r="O291" i="16" s="1"/>
  <c r="P291" i="16" s="1"/>
  <c r="I300" i="16"/>
  <c r="O300" i="16" s="1"/>
  <c r="P300" i="16" s="1"/>
  <c r="I296" i="16"/>
  <c r="O296" i="16" s="1"/>
  <c r="P296" i="16" s="1"/>
  <c r="I299" i="16"/>
  <c r="O299" i="16" s="1"/>
  <c r="P299" i="16" s="1"/>
  <c r="I294" i="16"/>
  <c r="O294" i="16" s="1"/>
  <c r="P294" i="16" s="1"/>
  <c r="I293" i="16"/>
  <c r="O293" i="16" s="1"/>
  <c r="P293" i="16" s="1"/>
  <c r="I91" i="16"/>
  <c r="O91" i="16" s="1"/>
  <c r="P91" i="16" s="1"/>
  <c r="I84" i="16"/>
  <c r="O84" i="16" s="1"/>
  <c r="P84" i="16" s="1"/>
  <c r="I85" i="16"/>
  <c r="O85" i="16" s="1"/>
  <c r="P85" i="16" s="1"/>
  <c r="L396" i="5"/>
  <c r="L403" i="5" s="1"/>
  <c r="L410" i="5" s="1"/>
  <c r="L417" i="5" s="1"/>
  <c r="L424" i="5" s="1"/>
  <c r="I90" i="16"/>
  <c r="O90" i="16" s="1"/>
  <c r="P90" i="16" s="1"/>
  <c r="I82" i="16"/>
  <c r="O82" i="16" s="1"/>
  <c r="P82" i="16" s="1"/>
  <c r="I87" i="16"/>
  <c r="O87" i="16" s="1"/>
  <c r="P87" i="16" s="1"/>
  <c r="P705" i="17" l="1"/>
  <c r="D148" i="18"/>
  <c r="V171" i="5"/>
  <c r="J265" i="5"/>
  <c r="Y275" i="5"/>
  <c r="Q246" i="5"/>
  <c r="Q247" i="5" s="1"/>
  <c r="J168" i="5"/>
  <c r="AD278" i="5"/>
  <c r="E107" i="18" s="1"/>
  <c r="H87" i="18"/>
  <c r="AD277" i="5"/>
  <c r="E156" i="18"/>
  <c r="V277" i="5"/>
  <c r="E77" i="18" s="1"/>
  <c r="V279" i="5"/>
  <c r="C22" i="18"/>
  <c r="I168" i="5"/>
  <c r="I265" i="5"/>
  <c r="P170" i="5"/>
  <c r="M97" i="5"/>
  <c r="N97" i="5"/>
  <c r="S246" i="5"/>
  <c r="S247" i="5" s="1"/>
  <c r="O224" i="5"/>
  <c r="Q254" i="5"/>
  <c r="AE242" i="5"/>
  <c r="V242" i="5"/>
  <c r="R242" i="5"/>
  <c r="N242" i="5"/>
  <c r="U242" i="5"/>
  <c r="AA242" i="5"/>
  <c r="L242" i="5"/>
  <c r="T252" i="5"/>
  <c r="T245" i="5"/>
  <c r="M252" i="5"/>
  <c r="M245" i="5"/>
  <c r="G246" i="5"/>
  <c r="G247" i="5" s="1"/>
  <c r="G297" i="5" s="1"/>
  <c r="G254" i="5"/>
  <c r="AB242" i="5"/>
  <c r="P242" i="5"/>
  <c r="G242" i="5"/>
  <c r="S242" i="5"/>
  <c r="M242" i="5"/>
  <c r="J242" i="5"/>
  <c r="I242" i="5"/>
  <c r="Z255" i="5"/>
  <c r="Z256" i="5" s="1"/>
  <c r="Z298" i="5" s="1"/>
  <c r="F255" i="5"/>
  <c r="F256" i="5" s="1"/>
  <c r="F298" i="5" s="1"/>
  <c r="U255" i="5"/>
  <c r="U256" i="5" s="1"/>
  <c r="U298" i="5" s="1"/>
  <c r="U299" i="5" s="1"/>
  <c r="O246" i="5"/>
  <c r="O247" i="5" s="1"/>
  <c r="O297" i="5" s="1"/>
  <c r="O254" i="5"/>
  <c r="E284" i="5"/>
  <c r="M293" i="5"/>
  <c r="N294" i="5"/>
  <c r="N296" i="5"/>
  <c r="AC246" i="5"/>
  <c r="AC247" i="5" s="1"/>
  <c r="AC297" i="5" s="1"/>
  <c r="AC254" i="5"/>
  <c r="K246" i="5"/>
  <c r="K247" i="5" s="1"/>
  <c r="K297" i="5" s="1"/>
  <c r="K254" i="5"/>
  <c r="E254" i="5"/>
  <c r="E246" i="5"/>
  <c r="E247" i="5" s="1"/>
  <c r="X246" i="5"/>
  <c r="X247" i="5" s="1"/>
  <c r="X297" i="5" s="1"/>
  <c r="X254" i="5"/>
  <c r="V254" i="5"/>
  <c r="L252" i="5"/>
  <c r="L245" i="5"/>
  <c r="I252" i="5"/>
  <c r="I245" i="5"/>
  <c r="P252" i="5"/>
  <c r="P245" i="5"/>
  <c r="N252" i="5"/>
  <c r="N245" i="5"/>
  <c r="R252" i="5"/>
  <c r="R245" i="5"/>
  <c r="AE252" i="5"/>
  <c r="AE245" i="5"/>
  <c r="M296" i="5"/>
  <c r="S254" i="5"/>
  <c r="D10" i="46"/>
  <c r="Y233" i="5"/>
  <c r="T233" i="5"/>
  <c r="AA246" i="5"/>
  <c r="AA247" i="5" s="1"/>
  <c r="AA254" i="5"/>
  <c r="AC233" i="5"/>
  <c r="Q233" i="5"/>
  <c r="AD233" i="5"/>
  <c r="Z233" i="5"/>
  <c r="K242" i="5"/>
  <c r="AB246" i="5"/>
  <c r="AB247" i="5" s="1"/>
  <c r="AB254" i="5"/>
  <c r="AD246" i="5"/>
  <c r="AD247" i="5" s="1"/>
  <c r="AD297" i="5" s="1"/>
  <c r="AD254" i="5"/>
  <c r="V246" i="5"/>
  <c r="V247" i="5" s="1"/>
  <c r="Y252" i="5"/>
  <c r="Y245" i="5"/>
  <c r="J245" i="5"/>
  <c r="J252" i="5"/>
  <c r="E297" i="5"/>
  <c r="E293" i="5"/>
  <c r="E296" i="5"/>
  <c r="E294" i="5"/>
  <c r="X233" i="5"/>
  <c r="F233" i="5"/>
  <c r="O489" i="17"/>
  <c r="P489" i="17" s="1"/>
  <c r="O968" i="17"/>
  <c r="P959" i="17"/>
  <c r="Q92" i="17"/>
  <c r="P1171" i="17"/>
  <c r="P729" i="17"/>
  <c r="Q880" i="17"/>
  <c r="F299" i="5"/>
  <c r="Z299" i="5"/>
  <c r="S97" i="5"/>
  <c r="S109" i="5"/>
  <c r="S295" i="5" s="1"/>
  <c r="AA97" i="5"/>
  <c r="AA109" i="5"/>
  <c r="AB97" i="5"/>
  <c r="AB109" i="5"/>
  <c r="J293" i="5"/>
  <c r="J296" i="5"/>
  <c r="J294" i="5"/>
  <c r="J295" i="5"/>
  <c r="V296" i="5"/>
  <c r="V295" i="5"/>
  <c r="V294" i="5"/>
  <c r="V297" i="5"/>
  <c r="V293" i="5"/>
  <c r="R293" i="5"/>
  <c r="P696" i="17"/>
  <c r="Q903" i="17"/>
  <c r="Q1156" i="17"/>
  <c r="Q889" i="17"/>
  <c r="S277" i="5"/>
  <c r="S278" i="5" s="1"/>
  <c r="O475" i="17"/>
  <c r="Q475" i="17" s="1"/>
  <c r="J287" i="5"/>
  <c r="F28" i="18"/>
  <c r="V266" i="5"/>
  <c r="V290" i="5" s="1"/>
  <c r="C77" i="18"/>
  <c r="P278" i="17"/>
  <c r="P573" i="17"/>
  <c r="O466" i="17"/>
  <c r="Q466" i="17" s="1"/>
  <c r="P1119" i="17"/>
  <c r="P75" i="17"/>
  <c r="Q895" i="17"/>
  <c r="P995" i="17"/>
  <c r="O738" i="17"/>
  <c r="I172" i="5"/>
  <c r="P1125" i="17"/>
  <c r="U305" i="5"/>
  <c r="J72" i="18" s="1"/>
  <c r="U302" i="5"/>
  <c r="J147" i="18" s="1"/>
  <c r="C8" i="18"/>
  <c r="E267" i="5"/>
  <c r="AB277" i="5"/>
  <c r="E101" i="18" s="1"/>
  <c r="P1165" i="17"/>
  <c r="Q52" i="17"/>
  <c r="AE278" i="5"/>
  <c r="E113" i="18"/>
  <c r="Q1179" i="17"/>
  <c r="P581" i="17"/>
  <c r="F290" i="5"/>
  <c r="L290" i="5"/>
  <c r="Y169" i="5"/>
  <c r="P1060" i="17"/>
  <c r="P278" i="5"/>
  <c r="P290" i="5" s="1"/>
  <c r="E53" i="18"/>
  <c r="E29" i="18"/>
  <c r="J278" i="5"/>
  <c r="M277" i="5"/>
  <c r="M278" i="5" s="1"/>
  <c r="E39" i="18" s="1"/>
  <c r="AB278" i="5"/>
  <c r="R277" i="5"/>
  <c r="R172" i="5" s="1"/>
  <c r="E271" i="5"/>
  <c r="E169" i="5"/>
  <c r="AA276" i="5"/>
  <c r="AA277" i="5" s="1"/>
  <c r="AA278" i="5" s="1"/>
  <c r="E95" i="18" s="1"/>
  <c r="E65" i="18"/>
  <c r="AB171" i="5"/>
  <c r="F64" i="18"/>
  <c r="Q171" i="5"/>
  <c r="F143" i="18"/>
  <c r="Y285" i="5"/>
  <c r="Y287" i="5" s="1"/>
  <c r="Y290" i="5" s="1"/>
  <c r="Y171" i="5"/>
  <c r="N287" i="5"/>
  <c r="N288" i="5" s="1"/>
  <c r="P288" i="5"/>
  <c r="Z284" i="5"/>
  <c r="F152" i="18" s="1"/>
  <c r="AA272" i="5"/>
  <c r="AA274" i="5" s="1"/>
  <c r="I95" i="18" s="1"/>
  <c r="D153" i="18"/>
  <c r="AA13" i="5"/>
  <c r="P830" i="17"/>
  <c r="Q784" i="17"/>
  <c r="Q692" i="17"/>
  <c r="Q324" i="17"/>
  <c r="O506" i="17"/>
  <c r="P506" i="17" s="1"/>
  <c r="AB263" i="5"/>
  <c r="AB196" i="5"/>
  <c r="AB92" i="5" s="1"/>
  <c r="AA268" i="5"/>
  <c r="E139" i="18"/>
  <c r="AA44" i="5"/>
  <c r="AA263" i="5"/>
  <c r="AA196" i="5"/>
  <c r="AA92" i="5" s="1"/>
  <c r="Q285" i="5"/>
  <c r="F84" i="18"/>
  <c r="X170" i="5"/>
  <c r="F91" i="18"/>
  <c r="X288" i="5"/>
  <c r="F85" i="18"/>
  <c r="X172" i="5"/>
  <c r="AA283" i="5"/>
  <c r="F52" i="18"/>
  <c r="U304" i="5"/>
  <c r="J71" i="18" s="1"/>
  <c r="F17" i="18"/>
  <c r="K172" i="5"/>
  <c r="K167" i="5" s="1"/>
  <c r="S172" i="5"/>
  <c r="Y279" i="5"/>
  <c r="P784" i="17"/>
  <c r="Q278" i="17"/>
  <c r="Q462" i="17"/>
  <c r="P140" i="17"/>
  <c r="Q416" i="17"/>
  <c r="O922" i="17"/>
  <c r="H103" i="18"/>
  <c r="S170" i="5"/>
  <c r="S267" i="5"/>
  <c r="E145" i="18"/>
  <c r="O167" i="5"/>
  <c r="L172" i="5"/>
  <c r="G172" i="5"/>
  <c r="G167" i="5" s="1"/>
  <c r="F33" i="18"/>
  <c r="E279" i="5"/>
  <c r="E131" i="18"/>
  <c r="C12" i="18"/>
  <c r="F170" i="5"/>
  <c r="F167" i="5" s="1"/>
  <c r="F267" i="5"/>
  <c r="H123" i="18"/>
  <c r="AH271" i="5"/>
  <c r="C113" i="18"/>
  <c r="AE266" i="5"/>
  <c r="AE267" i="5" s="1"/>
  <c r="C63" i="18"/>
  <c r="E140" i="18"/>
  <c r="E7" i="18"/>
  <c r="V169" i="5"/>
  <c r="H75" i="18"/>
  <c r="V271" i="5"/>
  <c r="H91" i="18"/>
  <c r="Z169" i="5"/>
  <c r="Z271" i="5"/>
  <c r="H99" i="18"/>
  <c r="AB271" i="5"/>
  <c r="E23" i="18"/>
  <c r="I169" i="5"/>
  <c r="C45" i="18"/>
  <c r="C29" i="18"/>
  <c r="J172" i="5"/>
  <c r="J266" i="5"/>
  <c r="J290" i="5" s="1"/>
  <c r="O279" i="5"/>
  <c r="H35" i="18"/>
  <c r="L169" i="5"/>
  <c r="L271" i="5"/>
  <c r="I7" i="18"/>
  <c r="H39" i="18"/>
  <c r="M271" i="5"/>
  <c r="H45" i="18"/>
  <c r="N270" i="5"/>
  <c r="N271" i="5" s="1"/>
  <c r="H7" i="18"/>
  <c r="S168" i="5"/>
  <c r="C62" i="18"/>
  <c r="N279" i="5"/>
  <c r="I8" i="18"/>
  <c r="AG305" i="5"/>
  <c r="J120" i="18" s="1"/>
  <c r="AG304" i="5"/>
  <c r="J119" i="18" s="1"/>
  <c r="AG303" i="5"/>
  <c r="J118" i="18" s="1"/>
  <c r="AG306" i="5"/>
  <c r="J121" i="18" s="1"/>
  <c r="E27" i="18"/>
  <c r="E136" i="18"/>
  <c r="J169" i="5"/>
  <c r="M170" i="5"/>
  <c r="N274" i="5"/>
  <c r="I43" i="18" s="1"/>
  <c r="M134" i="18"/>
  <c r="L134" i="18"/>
  <c r="I65" i="18"/>
  <c r="E275" i="5"/>
  <c r="N266" i="5"/>
  <c r="N267" i="5" s="1"/>
  <c r="T167" i="5"/>
  <c r="S297" i="5"/>
  <c r="S196" i="5"/>
  <c r="S92" i="5" s="1"/>
  <c r="U196" i="5"/>
  <c r="Q297" i="5"/>
  <c r="Q196" i="5"/>
  <c r="P1106" i="17"/>
  <c r="O222" i="16"/>
  <c r="P222" i="16" s="1"/>
  <c r="P554" i="17"/>
  <c r="O217" i="16"/>
  <c r="P217" i="16" s="1"/>
  <c r="Q140" i="17"/>
  <c r="P646" i="17"/>
  <c r="O214" i="16"/>
  <c r="P214" i="16" s="1"/>
  <c r="P370" i="17"/>
  <c r="O223" i="16"/>
  <c r="P223" i="16" s="1"/>
  <c r="P1244" i="17"/>
  <c r="Q1244" i="17"/>
  <c r="I115" i="16"/>
  <c r="I124" i="16"/>
  <c r="I120" i="16"/>
  <c r="I123" i="16"/>
  <c r="O396" i="5"/>
  <c r="O403" i="5" s="1"/>
  <c r="O410" i="5" s="1"/>
  <c r="O417" i="5" s="1"/>
  <c r="O424" i="5" s="1"/>
  <c r="I117" i="16"/>
  <c r="I118" i="16"/>
  <c r="Q738" i="17"/>
  <c r="N23" i="46"/>
  <c r="L118" i="16"/>
  <c r="P324" i="17"/>
  <c r="Q1196" i="17"/>
  <c r="P1196" i="17"/>
  <c r="O499" i="17"/>
  <c r="P558" i="17"/>
  <c r="Q558" i="17"/>
  <c r="O600" i="17"/>
  <c r="O1198" i="17"/>
  <c r="Q232" i="17"/>
  <c r="Q1060" i="17"/>
  <c r="Q646" i="17"/>
  <c r="N21" i="46"/>
  <c r="O366" i="5"/>
  <c r="L115" i="16"/>
  <c r="O216" i="16"/>
  <c r="P216" i="16" s="1"/>
  <c r="Q567" i="17"/>
  <c r="P567" i="17"/>
  <c r="P462" i="17"/>
  <c r="P232" i="17"/>
  <c r="P1012" i="17"/>
  <c r="Q1012" i="17"/>
  <c r="P920" i="17"/>
  <c r="P922" i="17" s="1"/>
  <c r="Q920" i="17"/>
  <c r="Q1133" i="17"/>
  <c r="P1133" i="17"/>
  <c r="N25" i="46"/>
  <c r="L123" i="16"/>
  <c r="P692" i="17"/>
  <c r="Q1106" i="17"/>
  <c r="O481" i="17"/>
  <c r="O1014" i="17"/>
  <c r="P981" i="17"/>
  <c r="Q981" i="17"/>
  <c r="Q61" i="17"/>
  <c r="P61" i="17"/>
  <c r="Q370" i="17"/>
  <c r="Q830" i="17"/>
  <c r="E356" i="5"/>
  <c r="E349" i="5"/>
  <c r="L117" i="16"/>
  <c r="N22" i="46"/>
  <c r="P1150" i="17"/>
  <c r="Q1150" i="17"/>
  <c r="Q554" i="17"/>
  <c r="P738" i="17"/>
  <c r="P968" i="17"/>
  <c r="P416" i="17"/>
  <c r="Q987" i="17"/>
  <c r="P987" i="17"/>
  <c r="N26" i="46"/>
  <c r="L124" i="16"/>
  <c r="O124" i="16" s="1"/>
  <c r="P124" i="16" s="1"/>
  <c r="P1110" i="17"/>
  <c r="Q1110" i="17"/>
  <c r="O1152" i="17"/>
  <c r="O219" i="16"/>
  <c r="P219" i="16" s="1"/>
  <c r="Q972" i="17"/>
  <c r="P972" i="17"/>
  <c r="P67" i="17"/>
  <c r="Q67" i="17"/>
  <c r="O94" i="17"/>
  <c r="Q968" i="17"/>
  <c r="N24" i="46"/>
  <c r="L120" i="16"/>
  <c r="Q489" i="17"/>
  <c r="P598" i="17"/>
  <c r="Q598" i="17"/>
  <c r="E362" i="5"/>
  <c r="E235" i="5"/>
  <c r="E208" i="5"/>
  <c r="E217" i="5"/>
  <c r="E226" i="5"/>
  <c r="E126" i="5"/>
  <c r="E106" i="5" s="1"/>
  <c r="E206" i="5" s="1"/>
  <c r="E253" i="5"/>
  <c r="S13" i="5"/>
  <c r="I274" i="16"/>
  <c r="O274" i="16" s="1"/>
  <c r="P274" i="16" s="1"/>
  <c r="I271" i="16"/>
  <c r="O271" i="16" s="1"/>
  <c r="P271" i="16" s="1"/>
  <c r="I272" i="16"/>
  <c r="O272" i="16" s="1"/>
  <c r="P272" i="16" s="1"/>
  <c r="I277" i="16"/>
  <c r="O277" i="16" s="1"/>
  <c r="P277" i="16" s="1"/>
  <c r="I269" i="16"/>
  <c r="O269" i="16" s="1"/>
  <c r="P269" i="16" s="1"/>
  <c r="I278" i="16"/>
  <c r="O278" i="16" s="1"/>
  <c r="P278" i="16" s="1"/>
  <c r="AC396" i="5"/>
  <c r="AC403" i="5" s="1"/>
  <c r="AC410" i="5" s="1"/>
  <c r="AC417" i="5" s="1"/>
  <c r="AC424" i="5" s="1"/>
  <c r="I145" i="16"/>
  <c r="O145" i="16" s="1"/>
  <c r="P145" i="16" s="1"/>
  <c r="I140" i="16"/>
  <c r="O140" i="16" s="1"/>
  <c r="P140" i="16" s="1"/>
  <c r="Q396" i="5"/>
  <c r="Q403" i="5" s="1"/>
  <c r="Q410" i="5" s="1"/>
  <c r="Q417" i="5" s="1"/>
  <c r="Q424" i="5" s="1"/>
  <c r="I139" i="16"/>
  <c r="O139" i="16" s="1"/>
  <c r="P139" i="16" s="1"/>
  <c r="I146" i="16"/>
  <c r="O146" i="16" s="1"/>
  <c r="P146" i="16" s="1"/>
  <c r="I137" i="16"/>
  <c r="O137" i="16" s="1"/>
  <c r="P137" i="16" s="1"/>
  <c r="I142" i="16"/>
  <c r="O142" i="16" s="1"/>
  <c r="P142" i="16" s="1"/>
  <c r="W344" i="5"/>
  <c r="W350" i="5" s="1"/>
  <c r="W349" i="5" s="1"/>
  <c r="D324" i="5"/>
  <c r="I285" i="16"/>
  <c r="O285" i="16" s="1"/>
  <c r="P285" i="16" s="1"/>
  <c r="I289" i="16"/>
  <c r="O289" i="16" s="1"/>
  <c r="P289" i="16" s="1"/>
  <c r="AD396" i="5"/>
  <c r="AD403" i="5" s="1"/>
  <c r="AD410" i="5" s="1"/>
  <c r="AD417" i="5" s="1"/>
  <c r="AD424" i="5" s="1"/>
  <c r="I288" i="16"/>
  <c r="O288" i="16" s="1"/>
  <c r="P288" i="16" s="1"/>
  <c r="I282" i="16"/>
  <c r="O282" i="16" s="1"/>
  <c r="P282" i="16" s="1"/>
  <c r="I283" i="16"/>
  <c r="O283" i="16" s="1"/>
  <c r="P283" i="16" s="1"/>
  <c r="I280" i="16"/>
  <c r="O280" i="16" s="1"/>
  <c r="P280" i="16" s="1"/>
  <c r="I25" i="16"/>
  <c r="O25" i="16" s="1"/>
  <c r="P25" i="16" s="1"/>
  <c r="I24" i="16"/>
  <c r="O24" i="16" s="1"/>
  <c r="P24" i="16" s="1"/>
  <c r="F396" i="5"/>
  <c r="F403" i="5" s="1"/>
  <c r="F410" i="5" s="1"/>
  <c r="F417" i="5" s="1"/>
  <c r="F424" i="5" s="1"/>
  <c r="I19" i="16"/>
  <c r="O19" i="16" s="1"/>
  <c r="P19" i="16" s="1"/>
  <c r="I21" i="16"/>
  <c r="O21" i="16" s="1"/>
  <c r="P21" i="16" s="1"/>
  <c r="I18" i="16"/>
  <c r="O18" i="16" s="1"/>
  <c r="P18" i="16" s="1"/>
  <c r="I16" i="16"/>
  <c r="O16" i="16" s="1"/>
  <c r="P16" i="16" s="1"/>
  <c r="I239" i="16"/>
  <c r="O239" i="16" s="1"/>
  <c r="P239" i="16" s="1"/>
  <c r="Z396" i="5"/>
  <c r="Z403" i="5" s="1"/>
  <c r="Z410" i="5" s="1"/>
  <c r="Z417" i="5" s="1"/>
  <c r="Z424" i="5" s="1"/>
  <c r="I245" i="16"/>
  <c r="O245" i="16" s="1"/>
  <c r="P245" i="16" s="1"/>
  <c r="I236" i="16"/>
  <c r="O236" i="16" s="1"/>
  <c r="P236" i="16" s="1"/>
  <c r="I241" i="16"/>
  <c r="O241" i="16" s="1"/>
  <c r="P241" i="16" s="1"/>
  <c r="I238" i="16"/>
  <c r="O238" i="16" s="1"/>
  <c r="P238" i="16" s="1"/>
  <c r="I244" i="16"/>
  <c r="O244" i="16" s="1"/>
  <c r="P244" i="16" s="1"/>
  <c r="E63" i="18" l="1"/>
  <c r="S169" i="5"/>
  <c r="P475" i="17"/>
  <c r="V172" i="5"/>
  <c r="E109" i="18"/>
  <c r="AD279" i="5"/>
  <c r="M290" i="5"/>
  <c r="C25" i="18"/>
  <c r="I266" i="5"/>
  <c r="D11" i="46"/>
  <c r="D8" i="46"/>
  <c r="D6" i="46"/>
  <c r="Y246" i="5"/>
  <c r="Y247" i="5" s="1"/>
  <c r="Y297" i="5" s="1"/>
  <c r="AD255" i="5"/>
  <c r="AD256" i="5" s="1"/>
  <c r="AD298" i="5" s="1"/>
  <c r="AD299" i="5" s="1"/>
  <c r="AB255" i="5"/>
  <c r="AB256" i="5" s="1"/>
  <c r="AB298" i="5" s="1"/>
  <c r="K251" i="5"/>
  <c r="AA255" i="5"/>
  <c r="AA256" i="5" s="1"/>
  <c r="R246" i="5"/>
  <c r="R247" i="5" s="1"/>
  <c r="R297" i="5" s="1"/>
  <c r="R254" i="5"/>
  <c r="P246" i="5"/>
  <c r="P247" i="5" s="1"/>
  <c r="P297" i="5" s="1"/>
  <c r="P254" i="5"/>
  <c r="L246" i="5"/>
  <c r="L247" i="5" s="1"/>
  <c r="L297" i="5" s="1"/>
  <c r="L254" i="5"/>
  <c r="V255" i="5"/>
  <c r="V256" i="5" s="1"/>
  <c r="V298" i="5" s="1"/>
  <c r="X255" i="5"/>
  <c r="X256" i="5" s="1"/>
  <c r="X298" i="5" s="1"/>
  <c r="X299" i="5" s="1"/>
  <c r="E255" i="5"/>
  <c r="E256" i="5" s="1"/>
  <c r="E298" i="5" s="1"/>
  <c r="E299" i="5" s="1"/>
  <c r="K255" i="5"/>
  <c r="K256" i="5" s="1"/>
  <c r="K298" i="5" s="1"/>
  <c r="K299" i="5"/>
  <c r="K302" i="5" s="1"/>
  <c r="J137" i="18" s="1"/>
  <c r="AC255" i="5"/>
  <c r="AC256" i="5" s="1"/>
  <c r="AC298" i="5" s="1"/>
  <c r="AC299" i="5" s="1"/>
  <c r="E171" i="5"/>
  <c r="F131" i="18"/>
  <c r="E285" i="5"/>
  <c r="O255" i="5"/>
  <c r="O256" i="5" s="1"/>
  <c r="O298" i="5" s="1"/>
  <c r="O299" i="5"/>
  <c r="O306" i="5" s="1"/>
  <c r="J49" i="18" s="1"/>
  <c r="G255" i="5"/>
  <c r="G256" i="5" s="1"/>
  <c r="G298" i="5" s="1"/>
  <c r="G299" i="5" s="1"/>
  <c r="G302" i="5" s="1"/>
  <c r="T246" i="5"/>
  <c r="T247" i="5" s="1"/>
  <c r="T297" i="5" s="1"/>
  <c r="T254" i="5"/>
  <c r="Q255" i="5"/>
  <c r="Q256" i="5" s="1"/>
  <c r="Q298" i="5" s="1"/>
  <c r="Q299" i="5" s="1"/>
  <c r="D7" i="46"/>
  <c r="D9" i="46"/>
  <c r="U303" i="5"/>
  <c r="J70" i="18" s="1"/>
  <c r="U306" i="5"/>
  <c r="J73" i="18" s="1"/>
  <c r="F242" i="5"/>
  <c r="X242" i="5"/>
  <c r="J254" i="5"/>
  <c r="J246" i="5"/>
  <c r="J247" i="5" s="1"/>
  <c r="J297" i="5" s="1"/>
  <c r="Y254" i="5"/>
  <c r="Z242" i="5"/>
  <c r="AD242" i="5"/>
  <c r="Q242" i="5"/>
  <c r="AC242" i="5"/>
  <c r="T242" i="5"/>
  <c r="Y242" i="5"/>
  <c r="S255" i="5"/>
  <c r="S256" i="5" s="1"/>
  <c r="S298" i="5" s="1"/>
  <c r="AE246" i="5"/>
  <c r="AE247" i="5" s="1"/>
  <c r="AE297" i="5" s="1"/>
  <c r="AE254" i="5"/>
  <c r="N246" i="5"/>
  <c r="N247" i="5" s="1"/>
  <c r="N297" i="5" s="1"/>
  <c r="N254" i="5"/>
  <c r="I246" i="5"/>
  <c r="I247" i="5" s="1"/>
  <c r="I297" i="5" s="1"/>
  <c r="I254" i="5"/>
  <c r="I251" i="5"/>
  <c r="J251" i="5"/>
  <c r="M251" i="5"/>
  <c r="S251" i="5"/>
  <c r="G251" i="5"/>
  <c r="P251" i="5"/>
  <c r="AB251" i="5"/>
  <c r="M246" i="5"/>
  <c r="M247" i="5" s="1"/>
  <c r="M297" i="5" s="1"/>
  <c r="M254" i="5"/>
  <c r="L251" i="5"/>
  <c r="AA251" i="5"/>
  <c r="U251" i="5"/>
  <c r="N251" i="5"/>
  <c r="R251" i="5"/>
  <c r="V251" i="5"/>
  <c r="AE251" i="5"/>
  <c r="O233" i="5"/>
  <c r="P466" i="17"/>
  <c r="Q506" i="17"/>
  <c r="P1198" i="17"/>
  <c r="V299" i="5"/>
  <c r="AB297" i="5"/>
  <c r="AB293" i="5"/>
  <c r="AB294" i="5"/>
  <c r="AB295" i="5"/>
  <c r="AB296" i="5"/>
  <c r="AA297" i="5"/>
  <c r="AA294" i="5"/>
  <c r="AA296" i="5"/>
  <c r="AA298" i="5"/>
  <c r="AA295" i="5"/>
  <c r="AA293" i="5"/>
  <c r="S293" i="5"/>
  <c r="S296" i="5"/>
  <c r="S294" i="5"/>
  <c r="O508" i="17"/>
  <c r="P169" i="5"/>
  <c r="M169" i="5"/>
  <c r="J288" i="5"/>
  <c r="F29" i="18"/>
  <c r="C76" i="18"/>
  <c r="V170" i="5"/>
  <c r="V167" i="5" s="1"/>
  <c r="V267" i="5"/>
  <c r="Q922" i="17"/>
  <c r="D349" i="5"/>
  <c r="O120" i="16"/>
  <c r="P120" i="16" s="1"/>
  <c r="Q1198" i="17"/>
  <c r="E51" i="18"/>
  <c r="P279" i="5"/>
  <c r="M147" i="18"/>
  <c r="F303" i="5"/>
  <c r="J10" i="18" s="1"/>
  <c r="F302" i="5"/>
  <c r="J132" i="18" s="1"/>
  <c r="M70" i="18"/>
  <c r="M71" i="18"/>
  <c r="M72" i="18"/>
  <c r="O123" i="16"/>
  <c r="P123" i="16" s="1"/>
  <c r="E41" i="18"/>
  <c r="U290" i="5"/>
  <c r="S290" i="5"/>
  <c r="E99" i="18"/>
  <c r="AB279" i="5"/>
  <c r="R278" i="5"/>
  <c r="R290" i="5" s="1"/>
  <c r="E61" i="18"/>
  <c r="Z285" i="5"/>
  <c r="Z170" i="5" s="1"/>
  <c r="Z171" i="5"/>
  <c r="N172" i="5"/>
  <c r="F45" i="18"/>
  <c r="N290" i="5"/>
  <c r="E153" i="18"/>
  <c r="E97" i="18"/>
  <c r="AA279" i="5"/>
  <c r="M279" i="5"/>
  <c r="F56" i="18"/>
  <c r="Q170" i="5"/>
  <c r="AA264" i="5"/>
  <c r="C95" i="18"/>
  <c r="Q287" i="5"/>
  <c r="Q290" i="5" s="1"/>
  <c r="AA269" i="5"/>
  <c r="H96" i="18"/>
  <c r="AB264" i="5"/>
  <c r="C99" i="18"/>
  <c r="D263" i="5"/>
  <c r="I97" i="18"/>
  <c r="AA275" i="5"/>
  <c r="AA284" i="5"/>
  <c r="F153" i="18" s="1"/>
  <c r="X167" i="5"/>
  <c r="F95" i="18"/>
  <c r="Y170" i="5"/>
  <c r="F88" i="18"/>
  <c r="F89" i="18"/>
  <c r="Y172" i="5"/>
  <c r="AB283" i="5"/>
  <c r="Y288" i="5"/>
  <c r="L72" i="18"/>
  <c r="L167" i="5"/>
  <c r="F53" i="18"/>
  <c r="F65" i="18"/>
  <c r="O115" i="16"/>
  <c r="P115" i="16" s="1"/>
  <c r="F305" i="5"/>
  <c r="J12" i="18" s="1"/>
  <c r="O117" i="16"/>
  <c r="P117" i="16" s="1"/>
  <c r="P172" i="5"/>
  <c r="P167" i="5" s="1"/>
  <c r="S279" i="5"/>
  <c r="E111" i="18"/>
  <c r="M73" i="18"/>
  <c r="K306" i="5"/>
  <c r="J33" i="18" s="1"/>
  <c r="F304" i="5"/>
  <c r="J11" i="18" s="1"/>
  <c r="F306" i="5"/>
  <c r="J13" i="18" s="1"/>
  <c r="F41" i="18"/>
  <c r="M172" i="5"/>
  <c r="M167" i="5" s="1"/>
  <c r="J279" i="5"/>
  <c r="L118" i="18"/>
  <c r="M118" i="18"/>
  <c r="M120" i="18"/>
  <c r="L120" i="18"/>
  <c r="G306" i="5"/>
  <c r="J17" i="18" s="1"/>
  <c r="G303" i="5"/>
  <c r="J14" i="18" s="1"/>
  <c r="G304" i="5"/>
  <c r="J15" i="18" s="1"/>
  <c r="G305" i="5"/>
  <c r="J16" i="18" s="1"/>
  <c r="Q92" i="5"/>
  <c r="U92" i="5"/>
  <c r="C44" i="18"/>
  <c r="N170" i="5"/>
  <c r="R169" i="5"/>
  <c r="R167" i="5" s="1"/>
  <c r="M121" i="18"/>
  <c r="L121" i="18"/>
  <c r="M119" i="18"/>
  <c r="L119" i="18"/>
  <c r="J159" i="18"/>
  <c r="AG307" i="5"/>
  <c r="S167" i="5"/>
  <c r="H43" i="18"/>
  <c r="N169" i="5"/>
  <c r="E144" i="18"/>
  <c r="E157" i="18"/>
  <c r="AE279" i="5"/>
  <c r="J170" i="5"/>
  <c r="J167" i="5" s="1"/>
  <c r="C28" i="18"/>
  <c r="J267" i="5"/>
  <c r="N275" i="5"/>
  <c r="E135" i="18"/>
  <c r="I279" i="5"/>
  <c r="C112" i="18"/>
  <c r="P94" i="17"/>
  <c r="Q94" i="17"/>
  <c r="O118" i="16"/>
  <c r="P118" i="16" s="1"/>
  <c r="Q1152" i="17"/>
  <c r="P1014" i="17"/>
  <c r="Q1014" i="17"/>
  <c r="P1152" i="17"/>
  <c r="P600" i="17"/>
  <c r="Q600" i="17"/>
  <c r="P481" i="17"/>
  <c r="Q481" i="17"/>
  <c r="Q499" i="17"/>
  <c r="P499" i="17"/>
  <c r="U307" i="5"/>
  <c r="L70" i="18"/>
  <c r="D253" i="5"/>
  <c r="C11" i="46" s="1"/>
  <c r="L46" i="17"/>
  <c r="D244" i="5"/>
  <c r="C10" i="46" s="1"/>
  <c r="L39" i="17"/>
  <c r="D217" i="5"/>
  <c r="C7" i="46" s="1"/>
  <c r="L15" i="17"/>
  <c r="D235" i="5"/>
  <c r="C9" i="46" s="1"/>
  <c r="L29" i="17"/>
  <c r="E215" i="5"/>
  <c r="I46" i="17"/>
  <c r="I29" i="17"/>
  <c r="I15" i="17"/>
  <c r="I6" i="17"/>
  <c r="I21" i="17"/>
  <c r="I39" i="17"/>
  <c r="D226" i="5"/>
  <c r="C8" i="46" s="1"/>
  <c r="L21" i="17"/>
  <c r="D208" i="5"/>
  <c r="C6" i="46" s="1"/>
  <c r="L6" i="17"/>
  <c r="E368" i="5"/>
  <c r="E389" i="5" s="1"/>
  <c r="E425" i="5"/>
  <c r="E404" i="5"/>
  <c r="E397" i="5"/>
  <c r="E390" i="5"/>
  <c r="D21" i="46" s="1"/>
  <c r="E418" i="5"/>
  <c r="E411" i="5"/>
  <c r="E361" i="5"/>
  <c r="L147" i="18"/>
  <c r="L71" i="18"/>
  <c r="L73" i="18"/>
  <c r="D350" i="5"/>
  <c r="W44" i="5"/>
  <c r="W120" i="5"/>
  <c r="D344" i="5"/>
  <c r="E1079" i="17"/>
  <c r="O304" i="5" l="1"/>
  <c r="J47" i="18" s="1"/>
  <c r="Z287" i="5"/>
  <c r="Z290" i="5" s="1"/>
  <c r="K303" i="5"/>
  <c r="J30" i="18" s="1"/>
  <c r="K304" i="5"/>
  <c r="J31" i="18" s="1"/>
  <c r="K305" i="5"/>
  <c r="J32" i="18" s="1"/>
  <c r="L33" i="18" s="1"/>
  <c r="F92" i="18"/>
  <c r="O302" i="5"/>
  <c r="J141" i="18" s="1"/>
  <c r="O303" i="5"/>
  <c r="J46" i="18" s="1"/>
  <c r="O305" i="5"/>
  <c r="J48" i="18" s="1"/>
  <c r="I267" i="5"/>
  <c r="I170" i="5"/>
  <c r="I167" i="5" s="1"/>
  <c r="I290" i="5"/>
  <c r="C24" i="18"/>
  <c r="E224" i="5"/>
  <c r="X302" i="5"/>
  <c r="O242" i="5"/>
  <c r="M255" i="5"/>
  <c r="M256" i="5" s="1"/>
  <c r="M298" i="5" s="1"/>
  <c r="M299" i="5" s="1"/>
  <c r="I255" i="5"/>
  <c r="I256" i="5" s="1"/>
  <c r="I298" i="5" s="1"/>
  <c r="N255" i="5"/>
  <c r="N256" i="5" s="1"/>
  <c r="N298" i="5" s="1"/>
  <c r="N299" i="5" s="1"/>
  <c r="AE255" i="5"/>
  <c r="AE256" i="5" s="1"/>
  <c r="AE298" i="5" s="1"/>
  <c r="AE299" i="5" s="1"/>
  <c r="Y255" i="5"/>
  <c r="Y256" i="5" s="1"/>
  <c r="Y298" i="5" s="1"/>
  <c r="J255" i="5"/>
  <c r="J256" i="5" s="1"/>
  <c r="J298" i="5" s="1"/>
  <c r="J299" i="5" s="1"/>
  <c r="J302" i="5" s="1"/>
  <c r="T255" i="5"/>
  <c r="T256" i="5" s="1"/>
  <c r="T298" i="5" s="1"/>
  <c r="T299" i="5" s="1"/>
  <c r="E287" i="5"/>
  <c r="E290" i="5" s="1"/>
  <c r="F8" i="18"/>
  <c r="E170" i="5"/>
  <c r="L255" i="5"/>
  <c r="L256" i="5" s="1"/>
  <c r="L298" i="5" s="1"/>
  <c r="L299" i="5" s="1"/>
  <c r="P255" i="5"/>
  <c r="P256" i="5" s="1"/>
  <c r="P298" i="5" s="1"/>
  <c r="P299" i="5" s="1"/>
  <c r="R255" i="5"/>
  <c r="R256" i="5" s="1"/>
  <c r="R298" i="5" s="1"/>
  <c r="R299" i="5" s="1"/>
  <c r="R306" i="5" s="1"/>
  <c r="J61" i="18" s="1"/>
  <c r="S299" i="5"/>
  <c r="AA299" i="5"/>
  <c r="I299" i="5"/>
  <c r="Y251" i="5"/>
  <c r="T251" i="5"/>
  <c r="AC251" i="5"/>
  <c r="Q251" i="5"/>
  <c r="AD251" i="5"/>
  <c r="Z251" i="5"/>
  <c r="X251" i="5"/>
  <c r="F251" i="5"/>
  <c r="Y299" i="5"/>
  <c r="AB299" i="5"/>
  <c r="E59" i="18"/>
  <c r="V302" i="5"/>
  <c r="V303" i="5"/>
  <c r="J74" i="18" s="1"/>
  <c r="L75" i="18" s="1"/>
  <c r="V306" i="5"/>
  <c r="J77" i="18" s="1"/>
  <c r="L77" i="18" s="1"/>
  <c r="V305" i="5"/>
  <c r="J76" i="18" s="1"/>
  <c r="V304" i="5"/>
  <c r="J75" i="18" s="1"/>
  <c r="M46" i="18"/>
  <c r="R302" i="5"/>
  <c r="J144" i="18" s="1"/>
  <c r="M11" i="18"/>
  <c r="M137" i="18"/>
  <c r="M132" i="18"/>
  <c r="M48" i="18"/>
  <c r="M49" i="18"/>
  <c r="S303" i="5"/>
  <c r="J62" i="18" s="1"/>
  <c r="S302" i="5"/>
  <c r="J145" i="18" s="1"/>
  <c r="M13" i="18"/>
  <c r="M33" i="18"/>
  <c r="M12" i="18"/>
  <c r="M141" i="18"/>
  <c r="M47" i="18"/>
  <c r="M30" i="18"/>
  <c r="M10" i="18"/>
  <c r="AA285" i="5"/>
  <c r="AA170" i="5" s="1"/>
  <c r="AA171" i="5"/>
  <c r="N167" i="5"/>
  <c r="AB285" i="5"/>
  <c r="AB287" i="5" s="1"/>
  <c r="C98" i="18"/>
  <c r="AB168" i="5"/>
  <c r="H97" i="18"/>
  <c r="AA270" i="5"/>
  <c r="AB266" i="5"/>
  <c r="AB267" i="5" s="1"/>
  <c r="Q288" i="5"/>
  <c r="F57" i="18"/>
  <c r="Q172" i="5"/>
  <c r="Q167" i="5" s="1"/>
  <c r="Q302" i="5" s="1"/>
  <c r="AA168" i="5"/>
  <c r="C94" i="18"/>
  <c r="D264" i="5"/>
  <c r="AA265" i="5"/>
  <c r="AA267" i="5" s="1"/>
  <c r="F307" i="5"/>
  <c r="R305" i="5"/>
  <c r="J60" i="18" s="1"/>
  <c r="X306" i="5"/>
  <c r="J85" i="18" s="1"/>
  <c r="X304" i="5"/>
  <c r="J83" i="18" s="1"/>
  <c r="X303" i="5"/>
  <c r="J82" i="18" s="1"/>
  <c r="X305" i="5"/>
  <c r="J84" i="18" s="1"/>
  <c r="Y167" i="5"/>
  <c r="Y302" i="5" s="1"/>
  <c r="F99" i="18"/>
  <c r="AB169" i="5"/>
  <c r="AC283" i="5"/>
  <c r="Z288" i="5"/>
  <c r="F93" i="18"/>
  <c r="Z172" i="5"/>
  <c r="Z167" i="5" s="1"/>
  <c r="Z302" i="5" s="1"/>
  <c r="S305" i="5"/>
  <c r="J64" i="18" s="1"/>
  <c r="L10" i="18"/>
  <c r="L13" i="18"/>
  <c r="L132" i="18"/>
  <c r="S306" i="5"/>
  <c r="J65" i="18" s="1"/>
  <c r="L49" i="18"/>
  <c r="L12" i="18"/>
  <c r="L11" i="18"/>
  <c r="S304" i="5"/>
  <c r="J63" i="18" s="1"/>
  <c r="L47" i="18"/>
  <c r="L46" i="18"/>
  <c r="R303" i="5"/>
  <c r="J58" i="18" s="1"/>
  <c r="O307" i="5"/>
  <c r="L48" i="18"/>
  <c r="L141" i="18"/>
  <c r="M31" i="18"/>
  <c r="L32" i="18"/>
  <c r="R304" i="5"/>
  <c r="J59" i="18" s="1"/>
  <c r="J133" i="18"/>
  <c r="G307" i="5"/>
  <c r="L15" i="18"/>
  <c r="M15" i="18"/>
  <c r="M17" i="18"/>
  <c r="L17" i="18"/>
  <c r="J148" i="18"/>
  <c r="M76" i="18"/>
  <c r="Q508" i="17"/>
  <c r="L159" i="18"/>
  <c r="M159" i="18"/>
  <c r="M16" i="18"/>
  <c r="L16" i="18"/>
  <c r="L14" i="18"/>
  <c r="M14" i="18"/>
  <c r="R279" i="5"/>
  <c r="M75" i="18"/>
  <c r="P508" i="17"/>
  <c r="O29" i="17"/>
  <c r="P29" i="17" s="1"/>
  <c r="O15" i="17"/>
  <c r="Q15" i="17" s="1"/>
  <c r="L14" i="16"/>
  <c r="D26" i="46"/>
  <c r="O39" i="17"/>
  <c r="O6" i="17"/>
  <c r="L8" i="16"/>
  <c r="D23" i="46"/>
  <c r="L10" i="16"/>
  <c r="D24" i="46"/>
  <c r="O46" i="17"/>
  <c r="L7" i="16"/>
  <c r="D22" i="46"/>
  <c r="L13" i="16"/>
  <c r="D25" i="46"/>
  <c r="O21" i="17"/>
  <c r="E366" i="5"/>
  <c r="L5" i="16"/>
  <c r="I14" i="16"/>
  <c r="I8" i="16"/>
  <c r="E396" i="5"/>
  <c r="E403" i="5" s="1"/>
  <c r="E410" i="5" s="1"/>
  <c r="E417" i="5" s="1"/>
  <c r="E424" i="5" s="1"/>
  <c r="I5" i="16"/>
  <c r="I13" i="16"/>
  <c r="I7" i="16"/>
  <c r="I10" i="16"/>
  <c r="W362" i="5"/>
  <c r="D120" i="5"/>
  <c r="M62" i="18"/>
  <c r="P302" i="5" l="1"/>
  <c r="P306" i="5"/>
  <c r="J53" i="18" s="1"/>
  <c r="P303" i="5"/>
  <c r="J50" i="18" s="1"/>
  <c r="P304" i="5"/>
  <c r="J51" i="18" s="1"/>
  <c r="P305" i="5"/>
  <c r="J52" i="18" s="1"/>
  <c r="L53" i="18" s="1"/>
  <c r="M77" i="18"/>
  <c r="L30" i="18"/>
  <c r="L74" i="18"/>
  <c r="J304" i="5"/>
  <c r="J27" i="18" s="1"/>
  <c r="L31" i="18"/>
  <c r="J305" i="5"/>
  <c r="J28" i="18" s="1"/>
  <c r="K307" i="5"/>
  <c r="M32" i="18"/>
  <c r="J306" i="5"/>
  <c r="J29" i="18" s="1"/>
  <c r="M29" i="18" s="1"/>
  <c r="J303" i="5"/>
  <c r="J26" i="18" s="1"/>
  <c r="L137" i="18"/>
  <c r="L303" i="5"/>
  <c r="J34" i="18" s="1"/>
  <c r="M34" i="18" s="1"/>
  <c r="L306" i="5"/>
  <c r="J37" i="18" s="1"/>
  <c r="L37" i="18" s="1"/>
  <c r="L305" i="5"/>
  <c r="J36" i="18" s="1"/>
  <c r="M36" i="18" s="1"/>
  <c r="L302" i="5"/>
  <c r="J138" i="18" s="1"/>
  <c r="L304" i="5"/>
  <c r="J35" i="18" s="1"/>
  <c r="M35" i="18" s="1"/>
  <c r="M302" i="5"/>
  <c r="J139" i="18" s="1"/>
  <c r="M306" i="5"/>
  <c r="J41" i="18" s="1"/>
  <c r="M304" i="5"/>
  <c r="J39" i="18" s="1"/>
  <c r="M303" i="5"/>
  <c r="J38" i="18" s="1"/>
  <c r="M38" i="18" s="1"/>
  <c r="M305" i="5"/>
  <c r="J40" i="18" s="1"/>
  <c r="N303" i="5"/>
  <c r="J42" i="18" s="1"/>
  <c r="I302" i="5"/>
  <c r="I304" i="5"/>
  <c r="J23" i="18" s="1"/>
  <c r="I303" i="5"/>
  <c r="J22" i="18" s="1"/>
  <c r="I306" i="5"/>
  <c r="J25" i="18" s="1"/>
  <c r="I305" i="5"/>
  <c r="J24" i="18" s="1"/>
  <c r="E172" i="5"/>
  <c r="F9" i="18"/>
  <c r="E288" i="5"/>
  <c r="N306" i="5"/>
  <c r="J45" i="18" s="1"/>
  <c r="E167" i="5"/>
  <c r="T305" i="5"/>
  <c r="J68" i="18" s="1"/>
  <c r="T303" i="5"/>
  <c r="J66" i="18" s="1"/>
  <c r="T302" i="5"/>
  <c r="T306" i="5"/>
  <c r="J69" i="18" s="1"/>
  <c r="T304" i="5"/>
  <c r="J67" i="18" s="1"/>
  <c r="O251" i="5"/>
  <c r="E233" i="5"/>
  <c r="M74" i="18"/>
  <c r="L76" i="18"/>
  <c r="V307" i="5"/>
  <c r="N305" i="5"/>
  <c r="J44" i="18" s="1"/>
  <c r="F96" i="18"/>
  <c r="M45" i="18"/>
  <c r="M58" i="18"/>
  <c r="M65" i="18"/>
  <c r="M64" i="18"/>
  <c r="M44" i="18"/>
  <c r="M42" i="18"/>
  <c r="M53" i="18"/>
  <c r="M63" i="18"/>
  <c r="N304" i="5"/>
  <c r="J43" i="18" s="1"/>
  <c r="L42" i="18" s="1"/>
  <c r="N302" i="5"/>
  <c r="AA287" i="5"/>
  <c r="AA288" i="5" s="1"/>
  <c r="D168" i="5"/>
  <c r="AB290" i="5"/>
  <c r="AC285" i="5"/>
  <c r="AC287" i="5" s="1"/>
  <c r="AC288" i="5" s="1"/>
  <c r="AA290" i="5"/>
  <c r="Q304" i="5"/>
  <c r="J55" i="18" s="1"/>
  <c r="Q303" i="5"/>
  <c r="J54" i="18" s="1"/>
  <c r="Q306" i="5"/>
  <c r="J57" i="18" s="1"/>
  <c r="Q305" i="5"/>
  <c r="J56" i="18" s="1"/>
  <c r="Q29" i="17"/>
  <c r="C97" i="18"/>
  <c r="C100" i="18"/>
  <c r="D266" i="5"/>
  <c r="AA271" i="5"/>
  <c r="H95" i="18"/>
  <c r="D270" i="5"/>
  <c r="AA169" i="5"/>
  <c r="L34" i="18"/>
  <c r="L307" i="5"/>
  <c r="L62" i="18"/>
  <c r="L82" i="18"/>
  <c r="M82" i="18"/>
  <c r="L83" i="18"/>
  <c r="M83" i="18"/>
  <c r="M84" i="18"/>
  <c r="L84" i="18"/>
  <c r="X307" i="5"/>
  <c r="J150" i="18"/>
  <c r="M85" i="18"/>
  <c r="L85" i="18"/>
  <c r="Y306" i="5"/>
  <c r="J89" i="18" s="1"/>
  <c r="Y304" i="5"/>
  <c r="J87" i="18" s="1"/>
  <c r="Y305" i="5"/>
  <c r="J88" i="18" s="1"/>
  <c r="Y303" i="5"/>
  <c r="J86" i="18" s="1"/>
  <c r="Z304" i="5"/>
  <c r="J91" i="18" s="1"/>
  <c r="Z306" i="5"/>
  <c r="J93" i="18" s="1"/>
  <c r="Z303" i="5"/>
  <c r="J90" i="18" s="1"/>
  <c r="Z305" i="5"/>
  <c r="J92" i="18" s="1"/>
  <c r="AB288" i="5"/>
  <c r="F101" i="18"/>
  <c r="AB172" i="5"/>
  <c r="F103" i="18"/>
  <c r="AC169" i="5"/>
  <c r="F97" i="18"/>
  <c r="AD283" i="5"/>
  <c r="F100" i="18"/>
  <c r="AB170" i="5"/>
  <c r="L63" i="18"/>
  <c r="L64" i="18"/>
  <c r="S307" i="5"/>
  <c r="L65" i="18"/>
  <c r="L44" i="18"/>
  <c r="R307" i="5"/>
  <c r="L43" i="18"/>
  <c r="J142" i="18"/>
  <c r="P307" i="5"/>
  <c r="M50" i="18"/>
  <c r="M51" i="18"/>
  <c r="L38" i="18"/>
  <c r="M40" i="18"/>
  <c r="L40" i="18"/>
  <c r="M39" i="18"/>
  <c r="L39" i="18"/>
  <c r="M41" i="18"/>
  <c r="L41" i="18"/>
  <c r="M138" i="18"/>
  <c r="M133" i="18"/>
  <c r="L133" i="18"/>
  <c r="N307" i="5"/>
  <c r="J140" i="18"/>
  <c r="M28" i="18"/>
  <c r="M26" i="18"/>
  <c r="L26" i="18"/>
  <c r="L148" i="18"/>
  <c r="M148" i="18"/>
  <c r="J136" i="18"/>
  <c r="M27" i="18"/>
  <c r="L27" i="18"/>
  <c r="P15" i="17"/>
  <c r="O8" i="16"/>
  <c r="P8" i="16" s="1"/>
  <c r="O13" i="16"/>
  <c r="P13" i="16" s="1"/>
  <c r="P6" i="17"/>
  <c r="Q6" i="17"/>
  <c r="O48" i="17"/>
  <c r="O7" i="16"/>
  <c r="P7" i="16" s="1"/>
  <c r="Q46" i="17"/>
  <c r="P46" i="17"/>
  <c r="Q39" i="17"/>
  <c r="P39" i="17"/>
  <c r="O10" i="16"/>
  <c r="P10" i="16" s="1"/>
  <c r="O14" i="16"/>
  <c r="P14" i="16" s="1"/>
  <c r="O5" i="16"/>
  <c r="P5" i="16" s="1"/>
  <c r="Q21" i="17"/>
  <c r="P21" i="17"/>
  <c r="W404" i="5"/>
  <c r="V23" i="46" s="1"/>
  <c r="W411" i="5"/>
  <c r="V24" i="46" s="1"/>
  <c r="W425" i="5"/>
  <c r="V26" i="46" s="1"/>
  <c r="W418" i="5"/>
  <c r="V25" i="46" s="1"/>
  <c r="W390" i="5"/>
  <c r="V21" i="46" s="1"/>
  <c r="D362" i="5"/>
  <c r="W361" i="5"/>
  <c r="D361" i="5" s="1"/>
  <c r="W397" i="5"/>
  <c r="V22" i="46" s="1"/>
  <c r="M61" i="18"/>
  <c r="L61" i="18"/>
  <c r="M59" i="18"/>
  <c r="L59" i="18"/>
  <c r="L60" i="18"/>
  <c r="M60" i="18"/>
  <c r="M145" i="18"/>
  <c r="L145" i="18"/>
  <c r="L58" i="18"/>
  <c r="M144" i="18"/>
  <c r="L144" i="18"/>
  <c r="L50" i="18" l="1"/>
  <c r="L35" i="18"/>
  <c r="P279" i="17"/>
  <c r="J307" i="5"/>
  <c r="L138" i="18"/>
  <c r="M307" i="5"/>
  <c r="L52" i="18"/>
  <c r="M37" i="18"/>
  <c r="L28" i="18"/>
  <c r="M52" i="18"/>
  <c r="L36" i="18"/>
  <c r="L29" i="18"/>
  <c r="L51" i="18"/>
  <c r="E242" i="5"/>
  <c r="L69" i="18"/>
  <c r="M69" i="18"/>
  <c r="L66" i="18"/>
  <c r="M66" i="18"/>
  <c r="E302" i="5"/>
  <c r="E304" i="5"/>
  <c r="J7" i="18" s="1"/>
  <c r="E305" i="5"/>
  <c r="J8" i="18" s="1"/>
  <c r="E306" i="5"/>
  <c r="J9" i="18" s="1"/>
  <c r="E303" i="5"/>
  <c r="J6" i="18" s="1"/>
  <c r="M25" i="18"/>
  <c r="L25" i="18"/>
  <c r="L23" i="18"/>
  <c r="M23" i="18"/>
  <c r="L67" i="18"/>
  <c r="M67" i="18"/>
  <c r="T307" i="5"/>
  <c r="J146" i="18"/>
  <c r="L68" i="18"/>
  <c r="M68" i="18"/>
  <c r="L24" i="18"/>
  <c r="M24" i="18"/>
  <c r="L22" i="18"/>
  <c r="M22" i="18"/>
  <c r="I307" i="5"/>
  <c r="J135" i="18"/>
  <c r="L45" i="18"/>
  <c r="M43" i="18"/>
  <c r="AA172" i="5"/>
  <c r="AA167" i="5" s="1"/>
  <c r="AB167" i="5"/>
  <c r="AC290" i="5"/>
  <c r="AD284" i="5"/>
  <c r="F156" i="18" s="1"/>
  <c r="M57" i="18"/>
  <c r="L57" i="18"/>
  <c r="M54" i="18"/>
  <c r="L54" i="18"/>
  <c r="M56" i="18"/>
  <c r="L56" i="18"/>
  <c r="J143" i="18"/>
  <c r="Q307" i="5"/>
  <c r="M55" i="18"/>
  <c r="L55" i="18"/>
  <c r="L150" i="18"/>
  <c r="M150" i="18"/>
  <c r="M88" i="18"/>
  <c r="L88" i="18"/>
  <c r="J151" i="18"/>
  <c r="Y307" i="5"/>
  <c r="M86" i="18"/>
  <c r="L86" i="18"/>
  <c r="M87" i="18"/>
  <c r="L87" i="18"/>
  <c r="M89" i="18"/>
  <c r="L89" i="18"/>
  <c r="F107" i="18"/>
  <c r="AD169" i="5"/>
  <c r="F104" i="18"/>
  <c r="AC170" i="5"/>
  <c r="M90" i="18"/>
  <c r="L90" i="18"/>
  <c r="J152" i="18"/>
  <c r="Z307" i="5"/>
  <c r="AH283" i="5"/>
  <c r="AE283" i="5"/>
  <c r="F105" i="18"/>
  <c r="AC172" i="5"/>
  <c r="M92" i="18"/>
  <c r="L92" i="18"/>
  <c r="M93" i="18"/>
  <c r="L93" i="18"/>
  <c r="M91" i="18"/>
  <c r="L91" i="18"/>
  <c r="M142" i="18"/>
  <c r="L142" i="18"/>
  <c r="L139" i="18"/>
  <c r="M139" i="18"/>
  <c r="L136" i="18"/>
  <c r="M136" i="18"/>
  <c r="M140" i="18"/>
  <c r="L140" i="18"/>
  <c r="Q48" i="17"/>
  <c r="P48" i="17"/>
  <c r="L205" i="16"/>
  <c r="O205" i="16" s="1"/>
  <c r="P205" i="16" s="1"/>
  <c r="D397" i="5"/>
  <c r="C22" i="46" s="1"/>
  <c r="W366" i="5"/>
  <c r="L203" i="16"/>
  <c r="O203" i="16" s="1"/>
  <c r="P203" i="16" s="1"/>
  <c r="D390" i="5"/>
  <c r="C21" i="46" s="1"/>
  <c r="L212" i="16"/>
  <c r="O212" i="16" s="1"/>
  <c r="P212" i="16" s="1"/>
  <c r="D425" i="5"/>
  <c r="C26" i="46" s="1"/>
  <c r="L206" i="16"/>
  <c r="O206" i="16" s="1"/>
  <c r="P206" i="16" s="1"/>
  <c r="D404" i="5"/>
  <c r="C23" i="46" s="1"/>
  <c r="L211" i="16"/>
  <c r="O211" i="16" s="1"/>
  <c r="P211" i="16" s="1"/>
  <c r="D418" i="5"/>
  <c r="C25" i="46" s="1"/>
  <c r="L208" i="16"/>
  <c r="O208" i="16" s="1"/>
  <c r="P208" i="16" s="1"/>
  <c r="D411" i="5"/>
  <c r="C24" i="46" s="1"/>
  <c r="M9" i="18" l="1"/>
  <c r="L9" i="18"/>
  <c r="M7" i="18"/>
  <c r="L7" i="18"/>
  <c r="L135" i="18"/>
  <c r="M135" i="18"/>
  <c r="L146" i="18"/>
  <c r="M146" i="18"/>
  <c r="L6" i="18"/>
  <c r="M6" i="18"/>
  <c r="M8" i="18"/>
  <c r="L8" i="18"/>
  <c r="J131" i="18"/>
  <c r="E307" i="5"/>
  <c r="E251" i="5"/>
  <c r="AB303" i="5"/>
  <c r="J98" i="18" s="1"/>
  <c r="AB302" i="5"/>
  <c r="J154" i="18" s="1"/>
  <c r="AA306" i="5"/>
  <c r="J97" i="18" s="1"/>
  <c r="AA302" i="5"/>
  <c r="J153" i="18" s="1"/>
  <c r="AB305" i="5"/>
  <c r="J100" i="18" s="1"/>
  <c r="AB304" i="5"/>
  <c r="J99" i="18" s="1"/>
  <c r="AB306" i="5"/>
  <c r="J101" i="18" s="1"/>
  <c r="AD285" i="5"/>
  <c r="F108" i="18" s="1"/>
  <c r="AD171" i="5"/>
  <c r="AA305" i="5"/>
  <c r="J96" i="18" s="1"/>
  <c r="AA303" i="5"/>
  <c r="J94" i="18" s="1"/>
  <c r="AA304" i="5"/>
  <c r="J95" i="18" s="1"/>
  <c r="AC167" i="5"/>
  <c r="M143" i="18"/>
  <c r="L143" i="18"/>
  <c r="AE284" i="5"/>
  <c r="F157" i="18" s="1"/>
  <c r="AH285" i="5"/>
  <c r="AH170" i="5" s="1"/>
  <c r="M151" i="18"/>
  <c r="L151" i="18"/>
  <c r="AC306" i="5"/>
  <c r="J105" i="18" s="1"/>
  <c r="F123" i="18"/>
  <c r="AH169" i="5"/>
  <c r="M99" i="18"/>
  <c r="F111" i="18"/>
  <c r="AE169" i="5"/>
  <c r="L152" i="18"/>
  <c r="M152" i="18"/>
  <c r="AD287" i="5" l="1"/>
  <c r="AD288" i="5" s="1"/>
  <c r="M97" i="18"/>
  <c r="M98" i="18"/>
  <c r="AC303" i="5"/>
  <c r="J102" i="18" s="1"/>
  <c r="AC302" i="5"/>
  <c r="J155" i="18" s="1"/>
  <c r="M94" i="18"/>
  <c r="M101" i="18"/>
  <c r="M95" i="18"/>
  <c r="M96" i="18"/>
  <c r="M100" i="18"/>
  <c r="L101" i="18"/>
  <c r="AD170" i="5"/>
  <c r="L100" i="18"/>
  <c r="L98" i="18"/>
  <c r="AB307" i="5"/>
  <c r="L99" i="18"/>
  <c r="AE285" i="5"/>
  <c r="AE287" i="5" s="1"/>
  <c r="AE290" i="5" s="1"/>
  <c r="AE171" i="5"/>
  <c r="AA307" i="5"/>
  <c r="L95" i="18"/>
  <c r="L96" i="18"/>
  <c r="F124" i="18"/>
  <c r="AC305" i="5"/>
  <c r="J104" i="18" s="1"/>
  <c r="AH287" i="5"/>
  <c r="AH288" i="5" s="1"/>
  <c r="L97" i="18"/>
  <c r="L94" i="18"/>
  <c r="AC304" i="5"/>
  <c r="J103" i="18" s="1"/>
  <c r="M103" i="18" s="1"/>
  <c r="F109" i="18"/>
  <c r="AD290" i="5"/>
  <c r="AD172" i="5"/>
  <c r="D284" i="5"/>
  <c r="L153" i="18"/>
  <c r="M153" i="18"/>
  <c r="L154" i="18"/>
  <c r="M154" i="18"/>
  <c r="M105" i="18"/>
  <c r="M102" i="18" l="1"/>
  <c r="M104" i="18"/>
  <c r="AD167" i="5"/>
  <c r="AD302" i="5" s="1"/>
  <c r="J156" i="18" s="1"/>
  <c r="L103" i="18"/>
  <c r="AH290" i="5"/>
  <c r="L104" i="18"/>
  <c r="L105" i="18"/>
  <c r="AC307" i="5"/>
  <c r="L102" i="18"/>
  <c r="F125" i="18"/>
  <c r="AH172" i="5"/>
  <c r="AH167" i="5" s="1"/>
  <c r="AH302" i="5" s="1"/>
  <c r="AE170" i="5"/>
  <c r="F112" i="18"/>
  <c r="AE172" i="5"/>
  <c r="F113" i="18"/>
  <c r="AE288" i="5"/>
  <c r="M155" i="18"/>
  <c r="L155" i="18"/>
  <c r="AD303" i="5" l="1"/>
  <c r="J106" i="18" s="1"/>
  <c r="M106" i="18" s="1"/>
  <c r="AD306" i="5"/>
  <c r="J109" i="18" s="1"/>
  <c r="AD305" i="5"/>
  <c r="J108" i="18" s="1"/>
  <c r="M108" i="18" s="1"/>
  <c r="AD304" i="5"/>
  <c r="J107" i="18" s="1"/>
  <c r="AH305" i="5"/>
  <c r="J124" i="18" s="1"/>
  <c r="AH303" i="5"/>
  <c r="J122" i="18" s="1"/>
  <c r="AH304" i="5"/>
  <c r="J123" i="18" s="1"/>
  <c r="AH306" i="5"/>
  <c r="J125" i="18" s="1"/>
  <c r="AE167" i="5"/>
  <c r="M156" i="18"/>
  <c r="J160" i="18"/>
  <c r="AD307" i="5" l="1"/>
  <c r="M109" i="18"/>
  <c r="L156" i="18"/>
  <c r="L109" i="18"/>
  <c r="M107" i="18"/>
  <c r="L108" i="18"/>
  <c r="M122" i="18"/>
  <c r="M125" i="18"/>
  <c r="L106" i="18"/>
  <c r="L107" i="18"/>
  <c r="M124" i="18"/>
  <c r="AE305" i="5"/>
  <c r="J112" i="18" s="1"/>
  <c r="AE302" i="5"/>
  <c r="J157" i="18" s="1"/>
  <c r="M123" i="18"/>
  <c r="L125" i="18"/>
  <c r="L124" i="18"/>
  <c r="L122" i="18"/>
  <c r="AH307" i="5"/>
  <c r="L123" i="18"/>
  <c r="AE306" i="5"/>
  <c r="J113" i="18" s="1"/>
  <c r="AE304" i="5"/>
  <c r="J111" i="18" s="1"/>
  <c r="AE303" i="5"/>
  <c r="J110" i="18" s="1"/>
  <c r="L160" i="18"/>
  <c r="M160" i="18"/>
  <c r="M110" i="18" l="1"/>
  <c r="M113" i="18"/>
  <c r="M111" i="18"/>
  <c r="M112" i="18"/>
  <c r="L113" i="18"/>
  <c r="L157" i="18"/>
  <c r="L110" i="18"/>
  <c r="L111" i="18"/>
  <c r="M157" i="18"/>
  <c r="L112" i="18"/>
  <c r="AE307" i="5"/>
  <c r="AF111" i="5" l="1"/>
  <c r="AF94" i="5" s="1"/>
  <c r="AF110" i="5" s="1"/>
  <c r="AF91" i="5" l="1"/>
  <c r="D94" i="5"/>
  <c r="AF105" i="5"/>
  <c r="AF207" i="5" s="1"/>
  <c r="D91" i="5" l="1"/>
  <c r="H1288" i="17"/>
  <c r="P1288" i="17" s="1"/>
  <c r="H1271" i="17"/>
  <c r="P1271" i="17" s="1"/>
  <c r="H1281" i="17"/>
  <c r="P1281" i="17" s="1"/>
  <c r="AF216" i="5"/>
  <c r="H1257" i="17"/>
  <c r="P1257" i="17" s="1"/>
  <c r="H1263" i="17"/>
  <c r="P1263" i="17" s="1"/>
  <c r="H1248" i="17"/>
  <c r="P1248" i="17" s="1"/>
  <c r="AF77" i="5"/>
  <c r="AF74" i="5" s="1"/>
  <c r="D74" i="5" s="1"/>
  <c r="AF225" i="5" l="1"/>
  <c r="P1290" i="17"/>
  <c r="AF139" i="5"/>
  <c r="AF146" i="5" s="1"/>
  <c r="AF107" i="5"/>
  <c r="AF108" i="5"/>
  <c r="AF234" i="5" l="1"/>
  <c r="AF227" i="5"/>
  <c r="AF209" i="5"/>
  <c r="AF236" i="5"/>
  <c r="AF147" i="5"/>
  <c r="D139" i="5"/>
  <c r="AF150" i="5"/>
  <c r="AF148" i="5"/>
  <c r="AF149" i="5"/>
  <c r="AF151" i="5"/>
  <c r="AF243" i="5" l="1"/>
  <c r="D149" i="5"/>
  <c r="AF163" i="5"/>
  <c r="D163" i="5" s="1"/>
  <c r="D150" i="5"/>
  <c r="AF164" i="5"/>
  <c r="D147" i="5"/>
  <c r="AF161" i="5"/>
  <c r="D151" i="5"/>
  <c r="AF165" i="5"/>
  <c r="D165" i="5" s="1"/>
  <c r="D148" i="5"/>
  <c r="AF162" i="5"/>
  <c r="D162" i="5" s="1"/>
  <c r="AF230" i="5"/>
  <c r="AF239" i="5"/>
  <c r="AF221" i="5"/>
  <c r="D146" i="5"/>
  <c r="AF248" i="5"/>
  <c r="AF212" i="5"/>
  <c r="AF257" i="5"/>
  <c r="AF218" i="5"/>
  <c r="G1288" i="17"/>
  <c r="Q1288" i="17" s="1"/>
  <c r="G1263" i="17"/>
  <c r="Q1263" i="17" s="1"/>
  <c r="G1257" i="17"/>
  <c r="Q1257" i="17" s="1"/>
  <c r="G1271" i="17"/>
  <c r="Q1271" i="17" s="1"/>
  <c r="G1281" i="17"/>
  <c r="Q1281" i="17" s="1"/>
  <c r="G1248" i="17"/>
  <c r="Q1248" i="17" s="1"/>
  <c r="AF252" i="5" l="1"/>
  <c r="AF245" i="5"/>
  <c r="AF160" i="5"/>
  <c r="D161" i="5"/>
  <c r="D164" i="5"/>
  <c r="Q1290" i="17"/>
  <c r="AF210" i="5"/>
  <c r="AF211" i="5" s="1"/>
  <c r="AF189" i="5"/>
  <c r="AF197" i="5" s="1"/>
  <c r="D212" i="5"/>
  <c r="D189" i="5" s="1"/>
  <c r="D239" i="5"/>
  <c r="D191" i="5" s="1"/>
  <c r="AF191" i="5"/>
  <c r="AF199" i="5" s="1"/>
  <c r="AF237" i="5"/>
  <c r="AF238" i="5" s="1"/>
  <c r="AF194" i="5"/>
  <c r="D257" i="5"/>
  <c r="D194" i="5" s="1"/>
  <c r="D248" i="5"/>
  <c r="D193" i="5" s="1"/>
  <c r="AF193" i="5"/>
  <c r="AF201" i="5" s="1"/>
  <c r="AF192" i="5"/>
  <c r="D221" i="5"/>
  <c r="D192" i="5" s="1"/>
  <c r="AF219" i="5"/>
  <c r="AF220" i="5" s="1"/>
  <c r="D230" i="5"/>
  <c r="D190" i="5" s="1"/>
  <c r="AF228" i="5"/>
  <c r="AF229" i="5" s="1"/>
  <c r="AF190" i="5"/>
  <c r="AF198" i="5" s="1"/>
  <c r="AF246" i="5" l="1"/>
  <c r="AF247" i="5" s="1"/>
  <c r="D247" i="5" s="1"/>
  <c r="AF254" i="5"/>
  <c r="AF276" i="5"/>
  <c r="AF277" i="5" s="1"/>
  <c r="AF278" i="5" s="1"/>
  <c r="AF283" i="5"/>
  <c r="D201" i="5"/>
  <c r="AF268" i="5"/>
  <c r="D199" i="5"/>
  <c r="D160" i="5"/>
  <c r="D198" i="5"/>
  <c r="D197" i="5"/>
  <c r="AF265" i="5"/>
  <c r="AF267" i="5" s="1"/>
  <c r="D49" i="5"/>
  <c r="AF200" i="5"/>
  <c r="AF18" i="5"/>
  <c r="D18" i="5" s="1"/>
  <c r="AF202" i="5"/>
  <c r="D220" i="5"/>
  <c r="AF15" i="5"/>
  <c r="D15" i="5" s="1"/>
  <c r="D46" i="5"/>
  <c r="D238" i="5"/>
  <c r="AF14" i="5"/>
  <c r="AF188" i="5"/>
  <c r="AF96" i="5" s="1"/>
  <c r="AF109" i="5" s="1"/>
  <c r="AF296" i="5" s="1"/>
  <c r="D296" i="5" s="1"/>
  <c r="D229" i="5"/>
  <c r="AF19" i="5"/>
  <c r="D19" i="5" s="1"/>
  <c r="D48" i="5"/>
  <c r="D47" i="5"/>
  <c r="AF16" i="5"/>
  <c r="D16" i="5" s="1"/>
  <c r="D188" i="5"/>
  <c r="D205" i="5" s="1"/>
  <c r="D211" i="5"/>
  <c r="AF255" i="5" l="1"/>
  <c r="AF256" i="5" s="1"/>
  <c r="AF294" i="5"/>
  <c r="D294" i="5" s="1"/>
  <c r="AF293" i="5"/>
  <c r="AF297" i="5"/>
  <c r="D297" i="5" s="1"/>
  <c r="AF295" i="5"/>
  <c r="D295" i="5" s="1"/>
  <c r="AF97" i="5"/>
  <c r="D96" i="5"/>
  <c r="D97" i="5" s="1"/>
  <c r="AF285" i="5"/>
  <c r="AF196" i="5"/>
  <c r="AF92" i="5" s="1"/>
  <c r="D202" i="5"/>
  <c r="AF272" i="5"/>
  <c r="AF273" i="5" s="1"/>
  <c r="D200" i="5"/>
  <c r="AF261" i="5"/>
  <c r="AF171" i="5" s="1"/>
  <c r="D171" i="5" s="1"/>
  <c r="E117" i="18"/>
  <c r="D277" i="5"/>
  <c r="F115" i="18"/>
  <c r="D283" i="5"/>
  <c r="H116" i="18"/>
  <c r="D268" i="5"/>
  <c r="AF269" i="5"/>
  <c r="AF271" i="5" s="1"/>
  <c r="C117" i="18"/>
  <c r="D265" i="5"/>
  <c r="D293" i="5"/>
  <c r="D44" i="5"/>
  <c r="D45" i="5"/>
  <c r="AF13" i="5"/>
  <c r="D13" i="5" s="1"/>
  <c r="D14" i="5"/>
  <c r="AF298" i="5" l="1"/>
  <c r="D256" i="5"/>
  <c r="D196" i="5"/>
  <c r="D92" i="5" s="1"/>
  <c r="AF287" i="5"/>
  <c r="AF288" i="5" s="1"/>
  <c r="D261" i="5"/>
  <c r="I116" i="18"/>
  <c r="D273" i="5"/>
  <c r="AF170" i="5"/>
  <c r="D170" i="5" s="1"/>
  <c r="AF274" i="5"/>
  <c r="E158" i="18"/>
  <c r="D276" i="5"/>
  <c r="E115" i="18"/>
  <c r="D278" i="5"/>
  <c r="F116" i="18"/>
  <c r="D285" i="5"/>
  <c r="AF279" i="5"/>
  <c r="H117" i="18"/>
  <c r="D269" i="5"/>
  <c r="D158" i="18"/>
  <c r="I117" i="18"/>
  <c r="D272" i="5"/>
  <c r="D298" i="5" l="1"/>
  <c r="AF299" i="5"/>
  <c r="D299" i="5" s="1"/>
  <c r="AF172" i="5"/>
  <c r="D172" i="5" s="1"/>
  <c r="D287" i="5"/>
  <c r="F117" i="18"/>
  <c r="AF290" i="5"/>
  <c r="D290" i="5" s="1"/>
  <c r="I115" i="18"/>
  <c r="AF169" i="5"/>
  <c r="D274" i="5"/>
  <c r="AF275" i="5"/>
  <c r="AF167" i="5" l="1"/>
  <c r="AF302" i="5" s="1"/>
  <c r="D169" i="5"/>
  <c r="AF112" i="5"/>
  <c r="AF104" i="5" s="1"/>
  <c r="D104" i="5" s="1"/>
  <c r="D167" i="5" l="1"/>
  <c r="AF306" i="5"/>
  <c r="AF303" i="5"/>
  <c r="AF305" i="5"/>
  <c r="AF304" i="5"/>
  <c r="J158" i="18" l="1"/>
  <c r="AF307" i="5"/>
  <c r="D302" i="5"/>
  <c r="J116" i="18"/>
  <c r="D305" i="5"/>
  <c r="J117" i="18"/>
  <c r="D306" i="5"/>
  <c r="J115" i="18"/>
  <c r="D304" i="5"/>
  <c r="J114" i="18"/>
  <c r="D303" i="5"/>
  <c r="L114" i="18" l="1"/>
  <c r="M114" i="18"/>
  <c r="M115" i="18"/>
  <c r="L115" i="18"/>
  <c r="L117" i="18"/>
  <c r="M117" i="18"/>
  <c r="M116" i="18"/>
  <c r="L116" i="18"/>
  <c r="D307" i="5"/>
  <c r="L158" i="18"/>
  <c r="M158" i="18"/>
</calcChain>
</file>

<file path=xl/comments1.xml><?xml version="1.0" encoding="utf-8"?>
<comments xmlns="http://schemas.openxmlformats.org/spreadsheetml/2006/main">
  <authors>
    <author>UBIETO UDINA Ernesto (JRC-PETTEN)</author>
  </authors>
  <commentList>
    <comment ref="N54" authorId="0" shapeId="0">
      <text>
        <r>
          <rPr>
            <b/>
            <sz val="9"/>
            <color indexed="81"/>
            <rFont val="Tahoma"/>
            <family val="2"/>
          </rPr>
          <t>UBIETO UDINA Ernesto (JRC-PETTEN):</t>
        </r>
        <r>
          <rPr>
            <sz val="9"/>
            <color indexed="81"/>
            <rFont val="Tahoma"/>
            <family val="2"/>
          </rPr>
          <t xml:space="preserve">
Yellow column is GWh * % heat production ¿¿?? Is not used elsewhere
</t>
        </r>
      </text>
    </comment>
    <comment ref="A95" authorId="0" shapeId="0">
      <text>
        <r>
          <rPr>
            <b/>
            <sz val="9"/>
            <color indexed="81"/>
            <rFont val="Tahoma"/>
            <family val="2"/>
          </rPr>
          <t>UBIETO UDINA Ernesto (JRC-PETTEN):</t>
        </r>
        <r>
          <rPr>
            <sz val="9"/>
            <color indexed="81"/>
            <rFont val="Tahoma"/>
            <family val="2"/>
          </rPr>
          <t xml:space="preserve">
This table is not meeting the one above accuarately
</t>
        </r>
      </text>
    </comment>
  </commentList>
</comments>
</file>

<file path=xl/comments2.xml><?xml version="1.0" encoding="utf-8"?>
<comments xmlns="http://schemas.openxmlformats.org/spreadsheetml/2006/main">
  <authors>
    <author>gemasanb</author>
  </authors>
  <commentList>
    <comment ref="E1063" authorId="0" shapeId="0">
      <text>
        <r>
          <rPr>
            <b/>
            <sz val="8"/>
            <color indexed="81"/>
            <rFont val="Tahoma"/>
            <family val="2"/>
          </rPr>
          <t>gemasanb:</t>
        </r>
        <r>
          <rPr>
            <sz val="8"/>
            <color indexed="81"/>
            <rFont val="Tahoma"/>
            <family val="2"/>
          </rPr>
          <t xml:space="preserve">
See NL</t>
        </r>
      </text>
    </comment>
    <comment ref="I1074" authorId="0" shapeId="0">
      <text>
        <r>
          <rPr>
            <b/>
            <sz val="8"/>
            <color indexed="81"/>
            <rFont val="Tahoma"/>
            <family val="2"/>
          </rPr>
          <t>gemasanb:</t>
        </r>
        <r>
          <rPr>
            <sz val="8"/>
            <color indexed="81"/>
            <rFont val="Tahoma"/>
            <family val="2"/>
          </rPr>
          <t xml:space="preserve">
look at D</t>
        </r>
      </text>
    </comment>
  </commentList>
</comments>
</file>

<file path=xl/comments3.xml><?xml version="1.0" encoding="utf-8"?>
<comments xmlns="http://schemas.openxmlformats.org/spreadsheetml/2006/main">
  <authors>
    <author>UBIETO UDINA Ernesto (JRC-PETTEN)</author>
    <author>Author</author>
  </authors>
  <commentList>
    <comment ref="E52" authorId="0" shapeId="0">
      <text>
        <r>
          <rPr>
            <b/>
            <sz val="9"/>
            <color indexed="81"/>
            <rFont val="Tahoma"/>
            <family val="2"/>
          </rPr>
          <t>UBIETO UDINA Ernesto (JRC-PETTEN):</t>
        </r>
        <r>
          <rPr>
            <sz val="9"/>
            <color indexed="81"/>
            <rFont val="Tahoma"/>
            <family val="2"/>
          </rPr>
          <t xml:space="preserve">
WRONG number !</t>
        </r>
      </text>
    </comment>
    <comment ref="F82" authorId="1" shapeId="0">
      <text>
        <r>
          <rPr>
            <b/>
            <sz val="9"/>
            <color indexed="81"/>
            <rFont val="Tahoma"/>
            <family val="2"/>
          </rPr>
          <t>Author:</t>
        </r>
        <r>
          <rPr>
            <sz val="9"/>
            <color indexed="81"/>
            <rFont val="Tahoma"/>
            <family val="2"/>
          </rPr>
          <t xml:space="preserve">
From heating plants</t>
        </r>
      </text>
    </comment>
  </commentList>
</comments>
</file>

<file path=xl/comments4.xml><?xml version="1.0" encoding="utf-8"?>
<comments xmlns="http://schemas.openxmlformats.org/spreadsheetml/2006/main">
  <authors>
    <author>NIJS Wouter (JRC-PETTEN)</author>
    <author>UBIETO UDINA Ernesto (JRC-PETTEN)</author>
    <author>vanrede</author>
    <author>Justé Annelies</author>
    <author>Maurizio Gargiulo</author>
  </authors>
  <commentList>
    <comment ref="C6" authorId="0" shapeId="0">
      <text>
        <r>
          <rPr>
            <b/>
            <sz val="9"/>
            <color indexed="81"/>
            <rFont val="Tahoma"/>
            <family val="2"/>
          </rPr>
          <t>NIJS Wouter (JRC-PETTEN):</t>
        </r>
        <r>
          <rPr>
            <sz val="9"/>
            <color indexed="81"/>
            <rFont val="Tahoma"/>
            <family val="2"/>
          </rPr>
          <t xml:space="preserve">
</t>
        </r>
        <r>
          <rPr>
            <b/>
            <sz val="9"/>
            <color indexed="81"/>
            <rFont val="Tahoma"/>
            <family val="2"/>
          </rPr>
          <t xml:space="preserve">Net installed capacity - autoproducer power plants (Code 117622)  
</t>
        </r>
        <r>
          <rPr>
            <sz val="9"/>
            <color indexed="81"/>
            <rFont val="Tahoma"/>
            <family val="2"/>
          </rPr>
          <t xml:space="preserve">
Net installed capacity - autoproducer power plants cover the </t>
        </r>
        <r>
          <rPr>
            <sz val="9"/>
            <color indexed="10"/>
            <rFont val="Tahoma"/>
            <family val="2"/>
          </rPr>
          <t>net installed electrical capacity of autoproducer power stations</t>
        </r>
        <r>
          <rPr>
            <sz val="9"/>
            <color indexed="81"/>
            <rFont val="Tahoma"/>
            <family val="2"/>
          </rPr>
          <t xml:space="preserve">. The net capacity is the maximum power assumed to be solely active power that can be supplied, continuously, with all plant running, at the point of outlet to the network. Autoproducer power plants generate electricity wholly or partly for their use as an activity, which supports their primary activity.
</t>
        </r>
      </text>
    </comment>
    <comment ref="C96" authorId="0" shapeId="0">
      <text>
        <r>
          <rPr>
            <b/>
            <sz val="9"/>
            <color indexed="81"/>
            <rFont val="Tahoma"/>
            <family val="2"/>
          </rPr>
          <t>NIJS Wouter (JRC-PETTEN):</t>
        </r>
        <r>
          <rPr>
            <sz val="9"/>
            <color indexed="81"/>
            <rFont val="Tahoma"/>
            <family val="2"/>
          </rPr>
          <t xml:space="preserve">
Heat sold= Fuel Input (ele + heat sold)/Total Fuel Input * (ele Generation + Heat) – Ele Generation</t>
        </r>
      </text>
    </comment>
    <comment ref="C104" authorId="1" shapeId="0">
      <text>
        <r>
          <rPr>
            <b/>
            <sz val="9"/>
            <color indexed="81"/>
            <rFont val="Tahoma"/>
            <family val="2"/>
          </rPr>
          <t>UBIETO UDINA Ernesto (JRC-PETTEN):</t>
        </r>
        <r>
          <rPr>
            <sz val="9"/>
            <color indexed="81"/>
            <rFont val="Tahoma"/>
            <family val="2"/>
          </rPr>
          <t xml:space="preserve">
Increasing rate based on growth rate of heat production
</t>
        </r>
      </text>
    </comment>
    <comment ref="AD115" authorId="0" shapeId="0">
      <text>
        <r>
          <rPr>
            <b/>
            <sz val="9"/>
            <color indexed="81"/>
            <rFont val="Tahoma"/>
            <family val="2"/>
          </rPr>
          <t>NIJS Wouter (JRC-PETTEN):</t>
        </r>
        <r>
          <rPr>
            <sz val="9"/>
            <color indexed="81"/>
            <rFont val="Tahoma"/>
            <family val="2"/>
          </rPr>
          <t xml:space="preserve">
otherwise too much coal CHP in steel. </t>
        </r>
      </text>
    </comment>
    <comment ref="C122" authorId="1" shapeId="0">
      <text>
        <r>
          <rPr>
            <b/>
            <sz val="9"/>
            <color indexed="81"/>
            <rFont val="Tahoma"/>
            <family val="2"/>
          </rPr>
          <t>UBIETO UDINA Ernesto (JRC-PETTEN):</t>
        </r>
        <r>
          <rPr>
            <sz val="9"/>
            <color indexed="81"/>
            <rFont val="Tahoma"/>
            <family val="2"/>
          </rPr>
          <t xml:space="preserve">
Extrapolation of the 2002 Autoproducers CHP data in line with electricity output growth 2002-05</t>
        </r>
      </text>
    </comment>
    <comment ref="C124" authorId="0" shapeId="0">
      <text>
        <r>
          <rPr>
            <b/>
            <sz val="9"/>
            <color indexed="81"/>
            <rFont val="Tahoma"/>
            <family val="2"/>
          </rPr>
          <t>NIJS Wouter (JRC-PETTEN):</t>
        </r>
        <r>
          <rPr>
            <sz val="9"/>
            <color indexed="81"/>
            <rFont val="Tahoma"/>
            <family val="2"/>
          </rPr>
          <t xml:space="preserve">
Is lower than total electricity capacity Autoproducer: OK !</t>
        </r>
      </text>
    </comment>
    <comment ref="C127" authorId="2" shapeId="0">
      <text>
        <r>
          <rPr>
            <b/>
            <sz val="8"/>
            <color indexed="81"/>
            <rFont val="Tahoma"/>
            <family val="2"/>
          </rPr>
          <t>vanrede:</t>
        </r>
        <r>
          <rPr>
            <sz val="8"/>
            <color indexed="81"/>
            <rFont val="Tahoma"/>
            <family val="2"/>
          </rPr>
          <t xml:space="preserve">
allocated as electricity production
</t>
        </r>
      </text>
    </comment>
    <comment ref="D167" authorId="1" shapeId="0">
      <text>
        <r>
          <rPr>
            <b/>
            <sz val="9"/>
            <color indexed="81"/>
            <rFont val="Tahoma"/>
            <family val="2"/>
          </rPr>
          <t>UBIETO UDINA Ernesto (JRC-PETTEN):</t>
        </r>
        <r>
          <rPr>
            <sz val="9"/>
            <color indexed="81"/>
            <rFont val="Tahoma"/>
            <family val="2"/>
          </rPr>
          <t xml:space="preserve">
This is because of smaller errors for oil in DK for example as final consumption in the industrial sectors is too low</t>
        </r>
      </text>
    </comment>
    <comment ref="D169" authorId="1" shapeId="0">
      <text>
        <r>
          <rPr>
            <b/>
            <sz val="9"/>
            <color indexed="81"/>
            <rFont val="Tahoma"/>
            <family val="2"/>
          </rPr>
          <t>UBIETO UDINA Ernesto (JRC-PETTEN):</t>
        </r>
        <r>
          <rPr>
            <sz val="9"/>
            <color indexed="81"/>
            <rFont val="Tahoma"/>
            <family val="2"/>
          </rPr>
          <t xml:space="preserve">
via solver</t>
        </r>
      </text>
    </comment>
    <comment ref="D178" authorId="3" shapeId="0">
      <text>
        <r>
          <rPr>
            <b/>
            <sz val="8"/>
            <color indexed="81"/>
            <rFont val="Tahoma"/>
            <family val="2"/>
          </rPr>
          <t>Justé Annelies:</t>
        </r>
        <r>
          <rPr>
            <sz val="8"/>
            <color indexed="81"/>
            <rFont val="Tahoma"/>
            <family val="2"/>
          </rPr>
          <t xml:space="preserve">
Biofuels is not used</t>
        </r>
      </text>
    </comment>
    <comment ref="Z261" authorId="4" shapeId="0">
      <text>
        <r>
          <rPr>
            <b/>
            <sz val="9"/>
            <color indexed="81"/>
            <rFont val="Tahoma"/>
            <family val="2"/>
          </rPr>
          <t>Maurizio Gargiulo:</t>
        </r>
        <r>
          <rPr>
            <sz val="9"/>
            <color indexed="81"/>
            <rFont val="Tahoma"/>
            <family val="2"/>
          </rPr>
          <t xml:space="preserve">
No RFG consumption in the SUP sector for PT</t>
        </r>
      </text>
    </comment>
    <comment ref="C284" authorId="0" shapeId="0">
      <text>
        <r>
          <rPr>
            <b/>
            <sz val="9"/>
            <color indexed="81"/>
            <rFont val="Tahoma"/>
            <family val="2"/>
          </rPr>
          <t>NIJS Wouter (JRC-PETTEN):</t>
        </r>
        <r>
          <rPr>
            <sz val="9"/>
            <color indexed="81"/>
            <rFont val="Tahoma"/>
            <family val="2"/>
          </rPr>
          <t xml:space="preserve">
From BREF refineries (draft 2012):
Cogeneration plants (CHP)
These systems are designed for the co-production of heat and power. The fuel for this type of 
facility is usually natural gas. It is, however, also possible to fire refinery gas as part of the fuel 
slate, thus potentially reducing the amount of refinery gas available for combustion in boilers 
and furnaces.</t>
        </r>
      </text>
    </comment>
    <comment ref="F335" authorId="1" shapeId="0">
      <text>
        <r>
          <rPr>
            <b/>
            <sz val="9"/>
            <color indexed="81"/>
            <rFont val="Tahoma"/>
            <family val="2"/>
          </rPr>
          <t>UBIETO UDINA Ernesto (JRC-PETTEN):</t>
        </r>
        <r>
          <rPr>
            <sz val="9"/>
            <color indexed="81"/>
            <rFont val="Tahoma"/>
            <family val="2"/>
          </rPr>
          <t xml:space="preserve">
High end efficiency because we do not include heat consuming autoproducers (Belgium has high heat consumption as an exception)</t>
        </r>
      </text>
    </comment>
    <comment ref="U379" authorId="3" shapeId="0">
      <text>
        <r>
          <rPr>
            <b/>
            <sz val="8"/>
            <color indexed="81"/>
            <rFont val="Tahoma"/>
            <family val="2"/>
          </rPr>
          <t xml:space="preserve">Justé Annelies:
</t>
        </r>
        <r>
          <rPr>
            <sz val="8"/>
            <color indexed="81"/>
            <rFont val="Tahoma"/>
            <family val="2"/>
          </rPr>
          <t>No fuel input but capacity</t>
        </r>
      </text>
    </comment>
  </commentList>
</comments>
</file>

<file path=xl/comments5.xml><?xml version="1.0" encoding="utf-8"?>
<comments xmlns="http://schemas.openxmlformats.org/spreadsheetml/2006/main">
  <authors>
    <author>NIJS Wouter (JRC-PETTEN)</author>
  </authors>
  <commentList>
    <comment ref="B5" authorId="0" shapeId="0">
      <text>
        <r>
          <rPr>
            <b/>
            <sz val="9"/>
            <color indexed="81"/>
            <rFont val="Tahoma"/>
            <family val="2"/>
          </rPr>
          <t>NIJS Wouter (JRC-PETTEN):</t>
        </r>
        <r>
          <rPr>
            <sz val="9"/>
            <color indexed="81"/>
            <rFont val="Tahoma"/>
            <family val="2"/>
          </rPr>
          <t xml:space="preserve">
The data down is used to calculate the "MAX Heat fuel input, given Industrial final consumption and CHP input" in sheet ProdandConsbyCHP</t>
        </r>
      </text>
    </comment>
  </commentList>
</comments>
</file>

<file path=xl/comments6.xml><?xml version="1.0" encoding="utf-8"?>
<comments xmlns="http://schemas.openxmlformats.org/spreadsheetml/2006/main">
  <authors>
    <author>NIJS Wouter (JRC-PETTEN)</author>
    <author>Maurizio Gargiulo</author>
  </authors>
  <commentList>
    <comment ref="T7" authorId="0" shapeId="0">
      <text>
        <r>
          <rPr>
            <b/>
            <sz val="9"/>
            <color indexed="81"/>
            <rFont val="Tahoma"/>
            <family val="2"/>
          </rPr>
          <t>NIJS Wouter (JRC-PETTEN):</t>
        </r>
        <r>
          <rPr>
            <sz val="9"/>
            <color indexed="81"/>
            <rFont val="Tahoma"/>
            <family val="2"/>
          </rPr>
          <t xml:space="preserve">
updated to be consistent with BY template</t>
        </r>
      </text>
    </comment>
    <comment ref="C10" authorId="1" shapeId="0">
      <text>
        <r>
          <rPr>
            <b/>
            <sz val="9"/>
            <color indexed="81"/>
            <rFont val="Tahoma"/>
            <family val="2"/>
          </rPr>
          <t>Maurizio Gargiulo:</t>
        </r>
        <r>
          <rPr>
            <sz val="9"/>
            <color indexed="81"/>
            <rFont val="Tahoma"/>
            <family val="2"/>
          </rPr>
          <t xml:space="preserve">
Updated to be consistent with BY templates</t>
        </r>
      </text>
    </comment>
    <comment ref="T18" authorId="0" shapeId="0">
      <text>
        <r>
          <rPr>
            <b/>
            <sz val="9"/>
            <color indexed="81"/>
            <rFont val="Tahoma"/>
            <family val="2"/>
          </rPr>
          <t>NIJS Wouter (JRC-PETTEN):</t>
        </r>
        <r>
          <rPr>
            <sz val="9"/>
            <color indexed="81"/>
            <rFont val="Tahoma"/>
            <family val="2"/>
          </rPr>
          <t xml:space="preserve">
updated to be consistent with BY template</t>
        </r>
      </text>
    </comment>
    <comment ref="C21" authorId="1" shapeId="0">
      <text>
        <r>
          <rPr>
            <b/>
            <sz val="9"/>
            <color indexed="81"/>
            <rFont val="Tahoma"/>
            <family val="2"/>
          </rPr>
          <t>Maurizio Gargiulo:</t>
        </r>
        <r>
          <rPr>
            <sz val="9"/>
            <color indexed="81"/>
            <rFont val="Tahoma"/>
            <family val="2"/>
          </rPr>
          <t xml:space="preserve">
Updated to be consistent with BY templates</t>
        </r>
      </text>
    </comment>
    <comment ref="D21" authorId="1" shapeId="0">
      <text>
        <r>
          <rPr>
            <b/>
            <sz val="9"/>
            <color indexed="81"/>
            <rFont val="Tahoma"/>
            <family val="2"/>
          </rPr>
          <t>Maurizio Gargiulo:</t>
        </r>
        <r>
          <rPr>
            <sz val="9"/>
            <color indexed="81"/>
            <rFont val="Tahoma"/>
            <family val="2"/>
          </rPr>
          <t xml:space="preserve">
Updated to be consistent with BY templates</t>
        </r>
      </text>
    </comment>
    <comment ref="E21" authorId="1" shapeId="0">
      <text>
        <r>
          <rPr>
            <b/>
            <sz val="9"/>
            <color indexed="81"/>
            <rFont val="Tahoma"/>
            <family val="2"/>
          </rPr>
          <t>Maurizio Gargiulo:</t>
        </r>
        <r>
          <rPr>
            <sz val="9"/>
            <color indexed="81"/>
            <rFont val="Tahoma"/>
            <family val="2"/>
          </rPr>
          <t xml:space="preserve">
Updated to be consistent with BY templates</t>
        </r>
      </text>
    </comment>
    <comment ref="C54" authorId="1" shapeId="0">
      <text>
        <r>
          <rPr>
            <b/>
            <sz val="9"/>
            <color indexed="81"/>
            <rFont val="Tahoma"/>
            <family val="2"/>
          </rPr>
          <t>Maurizio Gargiulo:</t>
        </r>
        <r>
          <rPr>
            <sz val="9"/>
            <color indexed="81"/>
            <rFont val="Tahoma"/>
            <family val="2"/>
          </rPr>
          <t xml:space="preserve">
Updated to be consistent with BY templates</t>
        </r>
      </text>
    </comment>
    <comment ref="E54" authorId="1" shapeId="0">
      <text>
        <r>
          <rPr>
            <b/>
            <sz val="9"/>
            <color indexed="81"/>
            <rFont val="Tahoma"/>
            <family val="2"/>
          </rPr>
          <t>Maurizio Gargiulo:</t>
        </r>
        <r>
          <rPr>
            <sz val="9"/>
            <color indexed="81"/>
            <rFont val="Tahoma"/>
            <family val="2"/>
          </rPr>
          <t xml:space="preserve">
Updated to be consistent with BY templates</t>
        </r>
      </text>
    </comment>
    <comment ref="K76" authorId="1" shapeId="0">
      <text>
        <r>
          <rPr>
            <b/>
            <sz val="9"/>
            <color indexed="81"/>
            <rFont val="Tahoma"/>
            <family val="2"/>
          </rPr>
          <t>Maurizio Gargiulo:</t>
        </r>
        <r>
          <rPr>
            <sz val="9"/>
            <color indexed="81"/>
            <rFont val="Tahoma"/>
            <family val="2"/>
          </rPr>
          <t xml:space="preserve">
Updated to be consistent with BY templates</t>
        </r>
      </text>
    </comment>
    <comment ref="L76" authorId="1" shapeId="0">
      <text>
        <r>
          <rPr>
            <b/>
            <sz val="9"/>
            <color indexed="81"/>
            <rFont val="Tahoma"/>
            <family val="2"/>
          </rPr>
          <t>Maurizio Gargiulo:</t>
        </r>
        <r>
          <rPr>
            <sz val="9"/>
            <color indexed="81"/>
            <rFont val="Tahoma"/>
            <family val="2"/>
          </rPr>
          <t xml:space="preserve">
Updated to be consistent with BY templates</t>
        </r>
      </text>
    </comment>
    <comment ref="O81" authorId="1" shapeId="0">
      <text>
        <r>
          <rPr>
            <b/>
            <sz val="9"/>
            <color indexed="81"/>
            <rFont val="Tahoma"/>
            <family val="2"/>
          </rPr>
          <t>Maurizio Gargiulo:</t>
        </r>
        <r>
          <rPr>
            <sz val="9"/>
            <color indexed="81"/>
            <rFont val="Tahoma"/>
            <family val="2"/>
          </rPr>
          <t xml:space="preserve">
Updated to be consistent with BY templates</t>
        </r>
      </text>
    </comment>
    <comment ref="T81" authorId="1" shapeId="0">
      <text>
        <r>
          <rPr>
            <b/>
            <sz val="9"/>
            <color indexed="81"/>
            <rFont val="Tahoma"/>
            <family val="2"/>
          </rPr>
          <t>Maurizio Gargiulo:</t>
        </r>
        <r>
          <rPr>
            <sz val="9"/>
            <color indexed="81"/>
            <rFont val="Tahoma"/>
            <family val="2"/>
          </rPr>
          <t xml:space="preserve">
Updated to be consistent with BY templates</t>
        </r>
      </text>
    </comment>
    <comment ref="O92" authorId="1" shapeId="0">
      <text>
        <r>
          <rPr>
            <b/>
            <sz val="9"/>
            <color indexed="81"/>
            <rFont val="Tahoma"/>
            <family val="2"/>
          </rPr>
          <t>Maurizio Gargiulo:</t>
        </r>
        <r>
          <rPr>
            <sz val="9"/>
            <color indexed="81"/>
            <rFont val="Tahoma"/>
            <family val="2"/>
          </rPr>
          <t xml:space="preserve">
Updated to be consistent with BY templates</t>
        </r>
      </text>
    </comment>
    <comment ref="T103" authorId="0" shapeId="0">
      <text>
        <r>
          <rPr>
            <b/>
            <sz val="9"/>
            <color indexed="81"/>
            <rFont val="Tahoma"/>
            <family val="2"/>
          </rPr>
          <t>NIJS Wouter (JRC-PETTEN):</t>
        </r>
        <r>
          <rPr>
            <sz val="9"/>
            <color indexed="81"/>
            <rFont val="Tahoma"/>
            <family val="2"/>
          </rPr>
          <t xml:space="preserve">
updated to be consistent with BY template</t>
        </r>
      </text>
    </comment>
    <comment ref="T109" authorId="1" shapeId="0">
      <text>
        <r>
          <rPr>
            <b/>
            <sz val="9"/>
            <color indexed="81"/>
            <rFont val="Tahoma"/>
            <family val="2"/>
          </rPr>
          <t>Maurizio Gargiulo:</t>
        </r>
        <r>
          <rPr>
            <sz val="9"/>
            <color indexed="81"/>
            <rFont val="Tahoma"/>
            <family val="2"/>
          </rPr>
          <t xml:space="preserve">
Updated to be consistent with BY templates</t>
        </r>
      </text>
    </comment>
    <comment ref="C120" authorId="1" shapeId="0">
      <text>
        <r>
          <rPr>
            <b/>
            <sz val="9"/>
            <color indexed="81"/>
            <rFont val="Tahoma"/>
            <family val="2"/>
          </rPr>
          <t>Maurizio Gargiulo:</t>
        </r>
        <r>
          <rPr>
            <sz val="9"/>
            <color indexed="81"/>
            <rFont val="Tahoma"/>
            <family val="2"/>
          </rPr>
          <t xml:space="preserve">
Updated to be consistent with BY templates</t>
        </r>
      </text>
    </comment>
    <comment ref="T158" authorId="1" shapeId="0">
      <text>
        <r>
          <rPr>
            <b/>
            <sz val="9"/>
            <color indexed="81"/>
            <rFont val="Tahoma"/>
            <family val="2"/>
          </rPr>
          <t>Maurizio Gargiulo:</t>
        </r>
        <r>
          <rPr>
            <sz val="9"/>
            <color indexed="81"/>
            <rFont val="Tahoma"/>
            <family val="2"/>
          </rPr>
          <t xml:space="preserve">
Updated to be consistent with BY templates</t>
        </r>
      </text>
    </comment>
    <comment ref="C228" authorId="1" shapeId="0">
      <text>
        <r>
          <rPr>
            <b/>
            <sz val="9"/>
            <color indexed="81"/>
            <rFont val="Tahoma"/>
            <family val="2"/>
          </rPr>
          <t>Maurizio Gargiulo:</t>
        </r>
        <r>
          <rPr>
            <sz val="9"/>
            <color indexed="81"/>
            <rFont val="Tahoma"/>
            <family val="2"/>
          </rPr>
          <t xml:space="preserve">
Updated to be consistent with BY templates</t>
        </r>
      </text>
    </comment>
    <comment ref="S237" authorId="1" shapeId="0">
      <text>
        <r>
          <rPr>
            <b/>
            <sz val="9"/>
            <color indexed="81"/>
            <rFont val="Tahoma"/>
            <family val="2"/>
          </rPr>
          <t>Maurizio Gargiulo:</t>
        </r>
        <r>
          <rPr>
            <sz val="9"/>
            <color indexed="81"/>
            <rFont val="Tahoma"/>
            <family val="2"/>
          </rPr>
          <t xml:space="preserve">
Updated to be consistent with BY templates</t>
        </r>
      </text>
    </comment>
    <comment ref="T241" authorId="1" shapeId="0">
      <text>
        <r>
          <rPr>
            <b/>
            <sz val="9"/>
            <color indexed="81"/>
            <rFont val="Tahoma"/>
            <family val="2"/>
          </rPr>
          <t>Maurizio Gargiulo:</t>
        </r>
        <r>
          <rPr>
            <sz val="9"/>
            <color indexed="81"/>
            <rFont val="Tahoma"/>
            <family val="2"/>
          </rPr>
          <t xml:space="preserve">
Updated to be consistent with BY templates</t>
        </r>
      </text>
    </comment>
    <comment ref="T246" authorId="1" shapeId="0">
      <text>
        <r>
          <rPr>
            <b/>
            <sz val="9"/>
            <color indexed="81"/>
            <rFont val="Tahoma"/>
            <family val="2"/>
          </rPr>
          <t>Maurizio Gargiulo:</t>
        </r>
        <r>
          <rPr>
            <sz val="9"/>
            <color indexed="81"/>
            <rFont val="Tahoma"/>
            <family val="2"/>
          </rPr>
          <t xml:space="preserve">
Updated to be consistent with BY templates</t>
        </r>
      </text>
    </comment>
    <comment ref="C296" authorId="1" shapeId="0">
      <text>
        <r>
          <rPr>
            <b/>
            <sz val="9"/>
            <color indexed="81"/>
            <rFont val="Tahoma"/>
            <family val="2"/>
          </rPr>
          <t>Maurizio Gargiulo:</t>
        </r>
        <r>
          <rPr>
            <sz val="9"/>
            <color indexed="81"/>
            <rFont val="Tahoma"/>
            <family val="2"/>
          </rPr>
          <t xml:space="preserve">
Updated to be consistent with BY templates</t>
        </r>
      </text>
    </comment>
    <comment ref="Q303" authorId="1" shapeId="0">
      <text>
        <r>
          <rPr>
            <b/>
            <sz val="9"/>
            <color indexed="81"/>
            <rFont val="Tahoma"/>
            <family val="2"/>
          </rPr>
          <t>Maurizio Gargiulo:</t>
        </r>
        <r>
          <rPr>
            <sz val="9"/>
            <color indexed="81"/>
            <rFont val="Tahoma"/>
            <family val="2"/>
          </rPr>
          <t xml:space="preserve">
Updated to be consistent with BY templates</t>
        </r>
      </text>
    </comment>
    <comment ref="T303" authorId="1" shapeId="0">
      <text>
        <r>
          <rPr>
            <b/>
            <sz val="9"/>
            <color indexed="81"/>
            <rFont val="Tahoma"/>
            <family val="2"/>
          </rPr>
          <t>Maurizio Gargiulo:</t>
        </r>
        <r>
          <rPr>
            <sz val="9"/>
            <color indexed="81"/>
            <rFont val="Tahoma"/>
            <family val="2"/>
          </rPr>
          <t xml:space="preserve">
Updated to be consistent with BY templates</t>
        </r>
      </text>
    </comment>
    <comment ref="S312" authorId="1" shapeId="0">
      <text>
        <r>
          <rPr>
            <b/>
            <sz val="9"/>
            <color indexed="81"/>
            <rFont val="Tahoma"/>
            <family val="2"/>
          </rPr>
          <t>Maurizio Gargiulo:</t>
        </r>
        <r>
          <rPr>
            <sz val="9"/>
            <color indexed="81"/>
            <rFont val="Tahoma"/>
            <family val="2"/>
          </rPr>
          <t xml:space="preserve">
Updated to be consistent with BY templates</t>
        </r>
      </text>
    </comment>
    <comment ref="T312" authorId="1" shapeId="0">
      <text>
        <r>
          <rPr>
            <b/>
            <sz val="9"/>
            <color indexed="81"/>
            <rFont val="Tahoma"/>
            <family val="2"/>
          </rPr>
          <t>Maurizio Gargiulo:</t>
        </r>
        <r>
          <rPr>
            <sz val="9"/>
            <color indexed="81"/>
            <rFont val="Tahoma"/>
            <family val="2"/>
          </rPr>
          <t xml:space="preserve">
Updated to be consistent with BY templates</t>
        </r>
      </text>
    </comment>
  </commentList>
</comments>
</file>

<file path=xl/comments7.xml><?xml version="1.0" encoding="utf-8"?>
<comments xmlns="http://schemas.openxmlformats.org/spreadsheetml/2006/main">
  <authors>
    <author>UBIETO UDINA Ernesto (JRC-PETTEN)</author>
    <author>NIJS Wouter (JRC-PETTEN)</author>
    <author>wouter</author>
  </authors>
  <commentList>
    <comment ref="N13" authorId="0" shapeId="0">
      <text>
        <r>
          <rPr>
            <b/>
            <sz val="9"/>
            <color indexed="81"/>
            <rFont val="Tahoma"/>
            <family val="2"/>
          </rPr>
          <t>UBIETO UDINA Ernesto (JRC-PETTEN):</t>
        </r>
        <r>
          <rPr>
            <sz val="9"/>
            <color indexed="81"/>
            <rFont val="Tahoma"/>
            <family val="2"/>
          </rPr>
          <t xml:space="preserve">
This number was added in line with other Eurostat data</t>
        </r>
      </text>
    </comment>
    <comment ref="J28" authorId="1" shapeId="0">
      <text>
        <r>
          <rPr>
            <b/>
            <sz val="9"/>
            <color indexed="81"/>
            <rFont val="Tahoma"/>
            <family val="2"/>
          </rPr>
          <t>NIJS Wouter (JRC-PETTEN):</t>
        </r>
        <r>
          <rPr>
            <sz val="9"/>
            <color indexed="81"/>
            <rFont val="Tahoma"/>
            <family val="2"/>
          </rPr>
          <t xml:space="preserve">
Not directly from Eurostat; based on own assumptions</t>
        </r>
      </text>
    </comment>
    <comment ref="N28" authorId="1" shapeId="0">
      <text>
        <r>
          <rPr>
            <b/>
            <sz val="9"/>
            <color indexed="81"/>
            <rFont val="Tahoma"/>
            <family val="2"/>
          </rPr>
          <t>NIJS Wouter (JRC-PETTEN):</t>
        </r>
        <r>
          <rPr>
            <sz val="9"/>
            <color indexed="81"/>
            <rFont val="Tahoma"/>
            <family val="2"/>
          </rPr>
          <t xml:space="preserve">
Not directly from Eurostat; based on own assumptions</t>
        </r>
      </text>
    </comment>
    <comment ref="N30" authorId="1" shapeId="0">
      <text>
        <r>
          <rPr>
            <b/>
            <sz val="9"/>
            <color indexed="81"/>
            <rFont val="Tahoma"/>
            <family val="2"/>
          </rPr>
          <t>NIJS Wouter (JRC-PETTEN):</t>
        </r>
        <r>
          <rPr>
            <sz val="9"/>
            <color indexed="81"/>
            <rFont val="Tahoma"/>
            <family val="2"/>
          </rPr>
          <t xml:space="preserve">
Not directly from Eurostat; based on own assumptions</t>
        </r>
      </text>
    </comment>
    <comment ref="N32" authorId="1" shapeId="0">
      <text>
        <r>
          <rPr>
            <b/>
            <sz val="9"/>
            <color indexed="81"/>
            <rFont val="Tahoma"/>
            <family val="2"/>
          </rPr>
          <t>NIJS Wouter (JRC-PETTEN):</t>
        </r>
        <r>
          <rPr>
            <sz val="9"/>
            <color indexed="81"/>
            <rFont val="Tahoma"/>
            <family val="2"/>
          </rPr>
          <t xml:space="preserve">
Not directly from Eurostat; based on own assumptions</t>
        </r>
      </text>
    </comment>
    <comment ref="N34" authorId="1" shapeId="0">
      <text>
        <r>
          <rPr>
            <b/>
            <sz val="9"/>
            <color indexed="81"/>
            <rFont val="Tahoma"/>
            <family val="2"/>
          </rPr>
          <t>NIJS Wouter (JRC-PETTEN):</t>
        </r>
        <r>
          <rPr>
            <sz val="9"/>
            <color indexed="81"/>
            <rFont val="Tahoma"/>
            <family val="2"/>
          </rPr>
          <t xml:space="preserve">
Not directly from Eurostat; based on own assumptions</t>
        </r>
      </text>
    </comment>
    <comment ref="N53" authorId="1" shapeId="0">
      <text>
        <r>
          <rPr>
            <b/>
            <sz val="9"/>
            <color indexed="81"/>
            <rFont val="Tahoma"/>
            <family val="2"/>
          </rPr>
          <t>NIJS Wouter (JRC-PETTEN):</t>
        </r>
        <r>
          <rPr>
            <sz val="9"/>
            <color indexed="81"/>
            <rFont val="Tahoma"/>
            <family val="2"/>
          </rPr>
          <t xml:space="preserve">
Not directly from Eurostat; based on own assumptions</t>
        </r>
      </text>
    </comment>
    <comment ref="D58" authorId="2" shapeId="0">
      <text>
        <r>
          <rPr>
            <b/>
            <sz val="9"/>
            <color indexed="81"/>
            <rFont val="Tahoma"/>
            <family val="2"/>
          </rPr>
          <t>wouter:</t>
        </r>
        <r>
          <rPr>
            <sz val="9"/>
            <color indexed="81"/>
            <rFont val="Tahoma"/>
            <family val="2"/>
          </rPr>
          <t xml:space="preserve">
Basically by Germany and France that do not give disaggregated data for combustibles.</t>
        </r>
      </text>
    </comment>
  </commentList>
</comments>
</file>

<file path=xl/sharedStrings.xml><?xml version="1.0" encoding="utf-8"?>
<sst xmlns="http://schemas.openxmlformats.org/spreadsheetml/2006/main" count="20782" uniqueCount="1346">
  <si>
    <t>CHP</t>
  </si>
  <si>
    <t>electricity</t>
  </si>
  <si>
    <t>generation,</t>
  </si>
  <si>
    <t>TWh</t>
  </si>
  <si>
    <t>Main</t>
  </si>
  <si>
    <t>activity</t>
  </si>
  <si>
    <t>producers</t>
  </si>
  <si>
    <t>Autoproducers</t>
  </si>
  <si>
    <t>generation</t>
  </si>
  <si>
    <t>Electrical</t>
  </si>
  <si>
    <t>capacity,</t>
  </si>
  <si>
    <t>GW</t>
  </si>
  <si>
    <t>CHP Heat</t>
  </si>
  <si>
    <t>production,</t>
  </si>
  <si>
    <t>PJ</t>
  </si>
  <si>
    <t>ENVIRONMENT</t>
  </si>
  <si>
    <t>AND</t>
  </si>
  <si>
    <t>ENERGY</t>
  </si>
  <si>
    <t>Manuscript</t>
  </si>
  <si>
    <t>completed</t>
  </si>
  <si>
    <t>on:</t>
  </si>
  <si>
    <t>17.01.2008</t>
  </si>
  <si>
    <t>Data</t>
  </si>
  <si>
    <t>extracted</t>
  </si>
  <si>
    <t>18.12.2007</t>
  </si>
  <si>
    <t>ISSN</t>
  </si>
  <si>
    <t>1977-0340</t>
  </si>
  <si>
    <t>Catalogue</t>
  </si>
  <si>
    <t>number:</t>
  </si>
  <si>
    <t>KS-QA-08-002-EN-N</t>
  </si>
  <si>
    <t>©</t>
  </si>
  <si>
    <t>European</t>
  </si>
  <si>
    <t>Communities,</t>
  </si>
  <si>
    <t>Share</t>
  </si>
  <si>
    <t>Heat</t>
  </si>
  <si>
    <t>EU-27</t>
  </si>
  <si>
    <t>:</t>
  </si>
  <si>
    <t>EU-25</t>
  </si>
  <si>
    <t>EU-15</t>
  </si>
  <si>
    <t>BE</t>
  </si>
  <si>
    <t>BG</t>
  </si>
  <si>
    <t>CZ</t>
  </si>
  <si>
    <t>DK</t>
  </si>
  <si>
    <t>DE</t>
  </si>
  <si>
    <t>EE</t>
  </si>
  <si>
    <t>ES</t>
  </si>
  <si>
    <t>FR</t>
  </si>
  <si>
    <t>IE</t>
  </si>
  <si>
    <t>IT</t>
  </si>
  <si>
    <t>CY</t>
  </si>
  <si>
    <t>LV</t>
  </si>
  <si>
    <t>LT</t>
  </si>
  <si>
    <t>LU</t>
  </si>
  <si>
    <t>HU</t>
  </si>
  <si>
    <t>MT</t>
  </si>
  <si>
    <t>NL</t>
  </si>
  <si>
    <t>AT</t>
  </si>
  <si>
    <t>PL</t>
  </si>
  <si>
    <t>PT</t>
  </si>
  <si>
    <t>RO</t>
  </si>
  <si>
    <t>SI</t>
  </si>
  <si>
    <t>SK</t>
  </si>
  <si>
    <t>FI</t>
  </si>
  <si>
    <t>SE</t>
  </si>
  <si>
    <t>UK</t>
  </si>
  <si>
    <t>TR</t>
  </si>
  <si>
    <t>Source:</t>
  </si>
  <si>
    <t>Eurostat</t>
  </si>
  <si>
    <t>FuelInput in CHP (PJ)</t>
  </si>
  <si>
    <t>Solid</t>
  </si>
  <si>
    <t>OIL</t>
  </si>
  <si>
    <t>Natural Gas</t>
  </si>
  <si>
    <t>REN</t>
  </si>
  <si>
    <t>Other</t>
  </si>
  <si>
    <t>CHP electricity generation</t>
  </si>
  <si>
    <t>Main activity producers</t>
  </si>
  <si>
    <t>Auto-producers</t>
  </si>
  <si>
    <t>Share of CHP in total electricity generation</t>
  </si>
  <si>
    <t>CHP Heat production</t>
  </si>
  <si>
    <t>%</t>
  </si>
  <si>
    <t>geo/time</t>
  </si>
  <si>
    <t>CH</t>
  </si>
  <si>
    <t>GR</t>
  </si>
  <si>
    <t>IS</t>
  </si>
  <si>
    <t>NO</t>
  </si>
  <si>
    <t>Base-year autoproduction data aggregated by sector fuel (PJ)</t>
  </si>
  <si>
    <t>Less than 5%</t>
  </si>
  <si>
    <t>Comments</t>
  </si>
  <si>
    <t>Electricity</t>
  </si>
  <si>
    <t>Hard Coal</t>
  </si>
  <si>
    <t>Lignite</t>
  </si>
  <si>
    <t>Brown Coal</t>
  </si>
  <si>
    <t>Refinery Gas</t>
  </si>
  <si>
    <t>Light Fuel Oil</t>
  </si>
  <si>
    <t>Heavy Fuel Oil</t>
  </si>
  <si>
    <t>Coke-Oven Gas</t>
  </si>
  <si>
    <t>Blast Furnace Gas</t>
  </si>
  <si>
    <t>Biomass</t>
  </si>
  <si>
    <t>MSW</t>
  </si>
  <si>
    <t>Industrial Wastes</t>
  </si>
  <si>
    <t>Solar</t>
  </si>
  <si>
    <t>Geothermal</t>
  </si>
  <si>
    <t>Hydro</t>
  </si>
  <si>
    <t>Wind</t>
  </si>
  <si>
    <t>Total</t>
  </si>
  <si>
    <t>INDELC</t>
  </si>
  <si>
    <t>INDHTH</t>
  </si>
  <si>
    <t>INDCOA</t>
  </si>
  <si>
    <t>INDCOL</t>
  </si>
  <si>
    <t>INDCOB</t>
  </si>
  <si>
    <t>INDRFG</t>
  </si>
  <si>
    <t>INDLFO</t>
  </si>
  <si>
    <t>INDHFO</t>
  </si>
  <si>
    <t>INDGAS</t>
  </si>
  <si>
    <t>INDCOG</t>
  </si>
  <si>
    <t>INDBFG</t>
  </si>
  <si>
    <t>INDBIO</t>
  </si>
  <si>
    <t>INDMUN</t>
  </si>
  <si>
    <t>INDSLU</t>
  </si>
  <si>
    <t>INDSOL</t>
  </si>
  <si>
    <t>INDGEO</t>
  </si>
  <si>
    <t>INDHYD</t>
  </si>
  <si>
    <t>INDWIN</t>
  </si>
  <si>
    <t>AL</t>
  </si>
  <si>
    <t>101022 Input to autoproducers thermal power stations</t>
  </si>
  <si>
    <t>ALL ZERO</t>
  </si>
  <si>
    <t>HR</t>
  </si>
  <si>
    <t>ELC ONLY</t>
  </si>
  <si>
    <t>ME</t>
  </si>
  <si>
    <t>MK</t>
  </si>
  <si>
    <t>RS</t>
  </si>
  <si>
    <t>CHP elc prod</t>
  </si>
  <si>
    <t>ELC only</t>
  </si>
  <si>
    <t>101122 Output from autoproducers thermal power stations</t>
  </si>
  <si>
    <t>Share by Type of Fuel Input</t>
  </si>
  <si>
    <t>from Amit</t>
  </si>
  <si>
    <t>Maximum CHP Capacity</t>
  </si>
  <si>
    <t>CHP Production</t>
  </si>
  <si>
    <t>Fuel</t>
  </si>
  <si>
    <t>Sector</t>
  </si>
  <si>
    <t>Electrical MW</t>
  </si>
  <si>
    <t>Heat MW</t>
  </si>
  <si>
    <t>Electricity GWh</t>
  </si>
  <si>
    <t>Heat Tj</t>
  </si>
  <si>
    <t>Input TJ(NVC)</t>
  </si>
  <si>
    <t>ELC(PJ)</t>
  </si>
  <si>
    <t>Heat (PJ)</t>
  </si>
  <si>
    <t>CHPR</t>
  </si>
  <si>
    <t>EFF</t>
  </si>
  <si>
    <t>AF</t>
  </si>
  <si>
    <t>Public supply</t>
  </si>
  <si>
    <t>of which</t>
  </si>
  <si>
    <t xml:space="preserve"> Mining and agglomeration of solid fuels</t>
  </si>
  <si>
    <t xml:space="preserve"> Extraction of crude oil and natural gas</t>
  </si>
  <si>
    <t>Coke ovens94</t>
  </si>
  <si>
    <t>Refineries</t>
  </si>
  <si>
    <t xml:space="preserve"> Iron and steel industry</t>
  </si>
  <si>
    <t>Non-ferrous metals</t>
  </si>
  <si>
    <t>Chemical industry</t>
  </si>
  <si>
    <t xml:space="preserve">Non-metallic mineral products </t>
  </si>
  <si>
    <t>Extraction</t>
  </si>
  <si>
    <t>Food products, beverages and tobacco</t>
  </si>
  <si>
    <t>Textile, clothing and leather</t>
  </si>
  <si>
    <t>Paper and printing</t>
  </si>
  <si>
    <t xml:space="preserve">Metal products, machinery, equipment </t>
  </si>
  <si>
    <t>Other industrial branches</t>
  </si>
  <si>
    <t>Transport</t>
  </si>
  <si>
    <t>Services, etc</t>
  </si>
  <si>
    <t>Other1223</t>
  </si>
  <si>
    <t>TOTAL</t>
  </si>
  <si>
    <t>Input</t>
  </si>
  <si>
    <t>Mining and agglomeration of solid fuels</t>
  </si>
  <si>
    <t>Iron and steel industry</t>
  </si>
  <si>
    <t xml:space="preserve">Source: </t>
  </si>
  <si>
    <t>INDUSTRY</t>
  </si>
  <si>
    <t>Heat TJ</t>
  </si>
  <si>
    <t>% main producers</t>
  </si>
  <si>
    <t>% autoproducers</t>
  </si>
  <si>
    <t>Norway</t>
  </si>
  <si>
    <t>Iceland</t>
  </si>
  <si>
    <t>Belgium</t>
  </si>
  <si>
    <t>Bulgaria</t>
  </si>
  <si>
    <t>Denmark</t>
  </si>
  <si>
    <t>Greece</t>
  </si>
  <si>
    <t>Spain</t>
  </si>
  <si>
    <t>France</t>
  </si>
  <si>
    <t>Italy</t>
  </si>
  <si>
    <t>Cyprus</t>
  </si>
  <si>
    <t>Lithuania</t>
  </si>
  <si>
    <t>Hungary</t>
  </si>
  <si>
    <t>Malta</t>
  </si>
  <si>
    <t>Netherlands</t>
  </si>
  <si>
    <t>Austria</t>
  </si>
  <si>
    <t>Poland</t>
  </si>
  <si>
    <t>Portugal</t>
  </si>
  <si>
    <t>Romania</t>
  </si>
  <si>
    <t>Slovenia</t>
  </si>
  <si>
    <t>Slovakia</t>
  </si>
  <si>
    <t>Finland</t>
  </si>
  <si>
    <t>Sweden</t>
  </si>
  <si>
    <t>Some missing or strange data were updated with the 2006 data</t>
  </si>
  <si>
    <t>PJ/GW</t>
  </si>
  <si>
    <t>AFA</t>
  </si>
  <si>
    <t>Main Activity</t>
  </si>
  <si>
    <t>Consumption - Refineries</t>
  </si>
  <si>
    <t>Final energy consumption - Iron and steel industry</t>
  </si>
  <si>
    <t>Final energy consumption - Non-ferrous metal industry</t>
  </si>
  <si>
    <t>Final energy consumption - Chemical industry</t>
  </si>
  <si>
    <t>Final energy consumption - Non-metallic mineral products industry</t>
  </si>
  <si>
    <t>Final energy consumption - Ore extraction (except fuels) industry</t>
  </si>
  <si>
    <t>Final energy consumption - Food, drink and tobacco industry</t>
  </si>
  <si>
    <t>Final energy consumption - Textile, leather and clothing industry</t>
  </si>
  <si>
    <t>Final energy consumption - Paper and printing industry</t>
  </si>
  <si>
    <t>Final energy consumption - Engineering and other metal industry</t>
  </si>
  <si>
    <t>Final energy consumption - Other non-classified industries</t>
  </si>
  <si>
    <t>Czech Republic</t>
  </si>
  <si>
    <t>Germany (including ex-GDR from 1991)</t>
  </si>
  <si>
    <t>Estonia</t>
  </si>
  <si>
    <t>Ireland</t>
  </si>
  <si>
    <t>Latvia</t>
  </si>
  <si>
    <t>Luxembourg (Grand-Duché)</t>
  </si>
  <si>
    <t>United Kingdom</t>
  </si>
  <si>
    <t>Switzerland</t>
  </si>
  <si>
    <t>Blast-Furnace Gas</t>
  </si>
  <si>
    <t>Gasworks Gas</t>
  </si>
  <si>
    <t>LPG</t>
  </si>
  <si>
    <t>Motor Spirit</t>
  </si>
  <si>
    <t>Kerosenes - Jet Fuels</t>
  </si>
  <si>
    <t>Gas / Diesel Oil</t>
  </si>
  <si>
    <t>Residual Fuel Oil</t>
  </si>
  <si>
    <t>Other Petroleum Products</t>
  </si>
  <si>
    <t>Hard Coal &amp; Patent Fuels</t>
  </si>
  <si>
    <t>Coke</t>
  </si>
  <si>
    <t>Lignite &amp; Derivatives</t>
  </si>
  <si>
    <t>Peat</t>
  </si>
  <si>
    <t>Solar Heat</t>
  </si>
  <si>
    <t>Wood &amp; Wood Waste</t>
  </si>
  <si>
    <t>Biogas</t>
  </si>
  <si>
    <t>Geothermal Energy</t>
  </si>
  <si>
    <t>Energy Consumption by Industrial sectors and Refineries in PJ</t>
  </si>
  <si>
    <t>TOTAL by Country</t>
  </si>
  <si>
    <t>TOTAl EU25</t>
  </si>
  <si>
    <t>Iron and Steel</t>
  </si>
  <si>
    <t>Chemical Industry</t>
  </si>
  <si>
    <t>Paper and printing industry</t>
  </si>
  <si>
    <t>Other non-classified industries</t>
  </si>
  <si>
    <t>MW ELC CHPcap per energy consumed</t>
  </si>
  <si>
    <t>Allocation factors between sectors in countries based on MW per energy consumed</t>
  </si>
  <si>
    <t>Others industries</t>
  </si>
  <si>
    <t xml:space="preserve">Iron and steel </t>
  </si>
  <si>
    <t>Non-ferrous metal</t>
  </si>
  <si>
    <t>Non-metallic mineral products</t>
  </si>
  <si>
    <t xml:space="preserve"> Ore extraction (except fuels) </t>
  </si>
  <si>
    <t>Food, drink and tobacco</t>
  </si>
  <si>
    <t>Textile, leather and clothing</t>
  </si>
  <si>
    <t xml:space="preserve">Paper and printing </t>
  </si>
  <si>
    <t xml:space="preserve">Engineering and other metal </t>
  </si>
  <si>
    <t>CHP ELC Capacities</t>
  </si>
  <si>
    <t>Sector Allocation Factors</t>
  </si>
  <si>
    <t>Cap2Act</t>
  </si>
  <si>
    <t>Other Industries</t>
  </si>
  <si>
    <t>check</t>
  </si>
  <si>
    <t>Combined cycle</t>
  </si>
  <si>
    <t>Steam : backpressure turbine</t>
  </si>
  <si>
    <t>Steam : condensing turbine</t>
  </si>
  <si>
    <t>Gas turbine with heat recovery</t>
  </si>
  <si>
    <t>Internal combustion engine</t>
  </si>
  <si>
    <t>Others</t>
  </si>
  <si>
    <t>nrg_113a-Infrastructure - electricity - annual data</t>
  </si>
  <si>
    <t>Last update</t>
  </si>
  <si>
    <t>19-03-2010</t>
  </si>
  <si>
    <t>Extracted on</t>
  </si>
  <si>
    <t>16-04-2010 09:30:56</t>
  </si>
  <si>
    <t>Source of data</t>
  </si>
  <si>
    <t>INDIC_EN</t>
  </si>
  <si>
    <t>Net installed capacity - total</t>
  </si>
  <si>
    <t>Net installed capacity - Thermal power stations</t>
  </si>
  <si>
    <t>Net installed capacity - Nuclear power stations</t>
  </si>
  <si>
    <t>Net installed capacity - Hydro power stations</t>
  </si>
  <si>
    <t>Net installed capacity - Pumped storage plants</t>
  </si>
  <si>
    <t>Net installed capacity - Geothermal plants</t>
  </si>
  <si>
    <t>Net installed capacity - Wind-turbines</t>
  </si>
  <si>
    <t>Net installed capacity - Steam turbine power plants</t>
  </si>
  <si>
    <t>Net installed capacity - Gas turbine power plants</t>
  </si>
  <si>
    <t>Net installed capacity - Combined cycle power plants</t>
  </si>
  <si>
    <t>Net installed capacity - Internal combustion engine plants</t>
  </si>
  <si>
    <t>Net installed capacity : Hydro power stations (Capacity &lt; 1 MW)</t>
  </si>
  <si>
    <t>Net installed capacity : Hydro power stations (Capacity &gt;= 1MW and &lt;= 10MW)</t>
  </si>
  <si>
    <t>Net installed capacity : Hydro power stations (Capacity &gt; 10 MW)</t>
  </si>
  <si>
    <t>Net installed capacity - Public power plants</t>
  </si>
  <si>
    <t>Net installed capacity - Autoproducer power plants</t>
  </si>
  <si>
    <t>Net installed capacity : Photovoltaic systems</t>
  </si>
  <si>
    <t>Net installed capacity : Solar thermal systems</t>
  </si>
  <si>
    <t>Net installed capacity : Municipal solid wastes</t>
  </si>
  <si>
    <t>Net installed capacity : wood / wood wastes</t>
  </si>
  <si>
    <t>Net installed capacity : biogas</t>
  </si>
  <si>
    <t>Net installed capacity : Industrial wastes</t>
  </si>
  <si>
    <t>GEO/TIME</t>
  </si>
  <si>
    <t>2005</t>
  </si>
  <si>
    <t>Croatia</t>
  </si>
  <si>
    <t>Turkey</t>
  </si>
  <si>
    <t>European Economic Area (EEA) (EU-15 plus IS, LI, NO)</t>
  </si>
  <si>
    <t>correction for gross capacity</t>
  </si>
  <si>
    <t>for countries with *</t>
  </si>
  <si>
    <t>RFG</t>
  </si>
  <si>
    <t>GAS</t>
  </si>
  <si>
    <t>Derived Gas</t>
  </si>
  <si>
    <t>Oil</t>
  </si>
  <si>
    <t>Gas</t>
  </si>
  <si>
    <t>Solids</t>
  </si>
  <si>
    <t>IE gross ELC capacity and gross production</t>
  </si>
  <si>
    <t>It seems it is gross Installed capacity for CZ EE LV LU</t>
  </si>
  <si>
    <t>ELCEFFHeatsold in EBAL</t>
  </si>
  <si>
    <t>Iron&amp;Steel</t>
  </si>
  <si>
    <t>Chemical</t>
  </si>
  <si>
    <t>PaperandPrinting</t>
  </si>
  <si>
    <t>Waste</t>
  </si>
  <si>
    <t>CHPAUTOGENSOLID00</t>
  </si>
  <si>
    <t>Heatoutput</t>
  </si>
  <si>
    <t>Net ELCoutput</t>
  </si>
  <si>
    <t>ELC net capacity in GW</t>
  </si>
  <si>
    <t>Fuel Input</t>
  </si>
  <si>
    <t>CHPAUTOGENRFG00</t>
  </si>
  <si>
    <t>CHPAUTOGENOIL00</t>
  </si>
  <si>
    <t>CHPAUTOGENGAS00</t>
  </si>
  <si>
    <t>CHPAUTOGENBIO00</t>
  </si>
  <si>
    <t>CHPAUTOGENWASTE00</t>
  </si>
  <si>
    <t>EAUTOGENSOLID00</t>
  </si>
  <si>
    <t>Net efficiency</t>
  </si>
  <si>
    <t>EAUTOGENRFGD00</t>
  </si>
  <si>
    <t>EAUTOGENOIL00</t>
  </si>
  <si>
    <t>EAUTOGENGAS00</t>
  </si>
  <si>
    <t>EAUTOGENBIO00</t>
  </si>
  <si>
    <t>EAUTOGENWASTE00</t>
  </si>
  <si>
    <t>RFG - Refineries</t>
  </si>
  <si>
    <t>Biomass - Paper and Printing</t>
  </si>
  <si>
    <t>Biomass - Other Industries</t>
  </si>
  <si>
    <t>Gas - Chemical</t>
  </si>
  <si>
    <t>Oil - Other Industries</t>
  </si>
  <si>
    <t>Waste - Other Industries</t>
  </si>
  <si>
    <t>UNIT</t>
  </si>
  <si>
    <t>PRODUCT</t>
  </si>
  <si>
    <t>Derived Heat</t>
  </si>
  <si>
    <t>GEO</t>
  </si>
  <si>
    <t>check solids</t>
  </si>
  <si>
    <t>check biomass</t>
  </si>
  <si>
    <t>check waste</t>
  </si>
  <si>
    <t>Gas - Other Industries</t>
  </si>
  <si>
    <t>check oil</t>
  </si>
  <si>
    <t>check gas</t>
  </si>
  <si>
    <t>Waste - Paper and Printing</t>
  </si>
  <si>
    <t>OIL - Chemical</t>
  </si>
  <si>
    <t>Gas - Paper and Printing</t>
  </si>
  <si>
    <t>Biomass - Chemical</t>
  </si>
  <si>
    <t>OIL - Refineries</t>
  </si>
  <si>
    <t>Base-year technologies for ELC autoproduction</t>
  </si>
  <si>
    <t>TechName</t>
  </si>
  <si>
    <t>TechDesc</t>
  </si>
  <si>
    <t>Comm-IN</t>
  </si>
  <si>
    <t>Comm-OUT</t>
  </si>
  <si>
    <t>Peak~WP</t>
  </si>
  <si>
    <t>Stock</t>
  </si>
  <si>
    <t>Stock~2025</t>
  </si>
  <si>
    <t>\I:</t>
  </si>
  <si>
    <t>EAUT.Electricity Autoproduction.GAS.00</t>
  </si>
  <si>
    <t>EAUT.Electricity Autoproduction.BIO.00</t>
  </si>
  <si>
    <t>EAUT.Electricity Autoproduction.OIL.00</t>
  </si>
  <si>
    <t>EAUT.Electricity Autoproduction.Waste.00</t>
  </si>
  <si>
    <t>EAUT.Electricity Autoproduction.SOLID.00</t>
  </si>
  <si>
    <t>Share~LO</t>
  </si>
  <si>
    <t>Stock~2020</t>
  </si>
  <si>
    <t>Share~UP</t>
  </si>
  <si>
    <t>EAUT.Electricity Autoproduction.RFG.00</t>
  </si>
  <si>
    <t>Industrial BY CHP</t>
  </si>
  <si>
    <t>CHPR~FX</t>
  </si>
  <si>
    <t>LIFE</t>
  </si>
  <si>
    <t>Peak</t>
  </si>
  <si>
    <t>Years</t>
  </si>
  <si>
    <t>IISHTH</t>
  </si>
  <si>
    <t>ICLHTH</t>
  </si>
  <si>
    <t>ICHHTH</t>
  </si>
  <si>
    <t>IPPHTH</t>
  </si>
  <si>
    <t>IOIHTH</t>
  </si>
  <si>
    <t>Sets</t>
  </si>
  <si>
    <t>Tact</t>
  </si>
  <si>
    <t>Tcap</t>
  </si>
  <si>
    <t>Tslvl</t>
  </si>
  <si>
    <t>PrimaryCG</t>
  </si>
  <si>
    <t>Vintage</t>
  </si>
  <si>
    <t>DAYNITE</t>
  </si>
  <si>
    <t>ELE</t>
  </si>
  <si>
    <t>CHP.Autoproducer.Solid.00</t>
  </si>
  <si>
    <t>CHP.Autoproducer.RefinaryGas.00</t>
  </si>
  <si>
    <t>CHP.Autoproducer.HFOLFO.00</t>
  </si>
  <si>
    <t>CHP.Autoproducer.GASCOGBFG.00</t>
  </si>
  <si>
    <t>CHP.Autoproducer.Biomass.00</t>
  </si>
  <si>
    <t>CHP.Autoproducer.Waste.00</t>
  </si>
  <si>
    <t>Other industries</t>
  </si>
  <si>
    <t>Part of CHP fuel input to be subtracted from Final Demand and Heat to be added</t>
  </si>
  <si>
    <t>from RFG</t>
  </si>
  <si>
    <t>from Solids</t>
  </si>
  <si>
    <t>from Gas</t>
  </si>
  <si>
    <t>from Biomass</t>
  </si>
  <si>
    <t>from Oil</t>
  </si>
  <si>
    <t>from Waste</t>
  </si>
  <si>
    <t>Paper and Printing</t>
  </si>
  <si>
    <t>HEAT</t>
  </si>
  <si>
    <t>to subtract</t>
  </si>
  <si>
    <t>to add</t>
  </si>
  <si>
    <t>Paper</t>
  </si>
  <si>
    <t>Waste - Chemical</t>
  </si>
  <si>
    <t>SOLID - Chemical</t>
  </si>
  <si>
    <t>SOLID - Iron and Steel</t>
  </si>
  <si>
    <t>SOLID - Other Industries</t>
  </si>
  <si>
    <t>SOLID - Paper and Printing</t>
  </si>
  <si>
    <t>adjustment gas alloc between sectors CH</t>
  </si>
  <si>
    <t>adjustment gas alloc between sectors PP</t>
  </si>
  <si>
    <t>To COPY and PASTE in all BY INDtemplate and in BY SUPtemplate</t>
  </si>
  <si>
    <t>Gross Input and Output</t>
  </si>
  <si>
    <t>adjustment RFG alloc</t>
  </si>
  <si>
    <t>ELC net efficiency</t>
  </si>
  <si>
    <t>ICUHTH</t>
  </si>
  <si>
    <t>This data has also a split between "main producers" and "autoproducers" CHP. Autoproducers are split among the different sectors.</t>
  </si>
  <si>
    <t>Source = sheet CHPbySector</t>
  </si>
  <si>
    <t>MW ELC</t>
  </si>
  <si>
    <t>Fuel Consumption and HEAT production (excl. Heat sold) in CHP plants (PJ) in final energy</t>
  </si>
  <si>
    <t>The European allocation of autoproducers CHP among sectors is used for each country.</t>
  </si>
  <si>
    <t>EFF(ELC)</t>
  </si>
  <si>
    <t>Hours</t>
  </si>
  <si>
    <t>Natural gas</t>
  </si>
  <si>
    <t>PRODUCTION</t>
  </si>
  <si>
    <t>CONSUMPTION</t>
  </si>
  <si>
    <t>Germany</t>
  </si>
  <si>
    <t>EU27</t>
  </si>
  <si>
    <t>"Input to autoproducers thermal power stations (Code 101022) "</t>
  </si>
  <si>
    <t>Definition</t>
  </si>
  <si>
    <t>"… consists of fuels transformed into electricity as well as the part of fuels used for the heat sold to third parties (Combined heat and power plants) by autoproducer thermal power stations. Autoproducer thermal power stations are defined as undertakings which generate electricity wholly or partly for their own use as an activity which supports their primary activity."</t>
  </si>
  <si>
    <t>Conclusion: this only has part of the heat production (the heat sold namely).</t>
  </si>
  <si>
    <t>Black licquor is not in autoproduction as it is a "recycled" fuel.</t>
  </si>
  <si>
    <t>We can update the subres for CHP capacities etc.. (trans)</t>
  </si>
  <si>
    <t>These capacities are corrected so that AF is logic both for Autoproducer ELE ONLY and Autoproducer CHP.</t>
  </si>
  <si>
    <t>117621 Net Inst. Cap. - Public power plants</t>
  </si>
  <si>
    <t xml:space="preserve">just like </t>
  </si>
  <si>
    <t>It is assumed that "117622 Net Inst. Capacity - Autoproducer power plants" is the capacity of both ELC ONLY and CHP plants.</t>
  </si>
  <si>
    <t xml:space="preserve">The net capacity is the maximum power assumed to be solely active power that can be supplied, continuously, with all plant running, at the point of outlet to the network. </t>
  </si>
  <si>
    <r>
      <t xml:space="preserve">Public supply power plants </t>
    </r>
    <r>
      <rPr>
        <sz val="11"/>
        <color indexed="10"/>
        <rFont val="Calibri"/>
        <family val="2"/>
      </rPr>
      <t>generate electricity (and heat) for sale</t>
    </r>
    <r>
      <rPr>
        <sz val="11"/>
        <rFont val="Calibri"/>
        <family val="2"/>
      </rPr>
      <t xml:space="preserve"> to third parties, as their primary activity. They may be privately or publicly owned.</t>
    </r>
  </si>
  <si>
    <r>
      <rPr>
        <b/>
        <sz val="11"/>
        <rFont val="Calibri"/>
        <family val="2"/>
      </rPr>
      <t>117621</t>
    </r>
    <r>
      <rPr>
        <sz val="11"/>
        <rFont val="Calibri"/>
        <family val="2"/>
      </rPr>
      <t xml:space="preserve"> Net installed capacity - public power plants covers the net installed electrical capacity of public power stations. </t>
    </r>
  </si>
  <si>
    <r>
      <rPr>
        <b/>
        <sz val="11"/>
        <rFont val="Calibri"/>
        <family val="2"/>
      </rPr>
      <t>117622</t>
    </r>
    <r>
      <rPr>
        <sz val="11"/>
        <rFont val="Calibri"/>
        <family val="2"/>
      </rPr>
      <t xml:space="preserve"> Net installed capacity - autoproducer power plants  Net installed capacity - autoproducer power plants cover the net installed electrical capacity of autoproducer power stations. </t>
    </r>
  </si>
  <si>
    <r>
      <t xml:space="preserve">Autoproducer power plants </t>
    </r>
    <r>
      <rPr>
        <sz val="11"/>
        <color indexed="10"/>
        <rFont val="Calibri"/>
        <family val="2"/>
      </rPr>
      <t>generate electricity</t>
    </r>
    <r>
      <rPr>
        <sz val="11"/>
        <rFont val="Calibri"/>
        <family val="2"/>
      </rPr>
      <t xml:space="preserve"> wholly or partly for their use as an activity, which supports their primary activity.</t>
    </r>
  </si>
  <si>
    <r>
      <t xml:space="preserve">The </t>
    </r>
    <r>
      <rPr>
        <b/>
        <sz val="11"/>
        <rFont val="Calibri"/>
        <family val="2"/>
      </rPr>
      <t>Autoproducer CHP capacities for 2005 have been used</t>
    </r>
    <r>
      <rPr>
        <sz val="11"/>
        <rFont val="Calibri"/>
        <family val="2"/>
      </rPr>
      <t xml:space="preserve"> from P. Loesoenen (2008)</t>
    </r>
  </si>
  <si>
    <t>We can subtract fuels and add heat in each of the BY templates (reason: the heat is the heat without the heat sold so it can be added to the already existing heat)</t>
  </si>
  <si>
    <t>TJ</t>
  </si>
  <si>
    <t>AUTOPRODUCERS</t>
  </si>
  <si>
    <t>Sold heat is subtracted from this heat production so that later it can be added to the heat consumption of the industrial sectors without doublecounting the sold heat.</t>
  </si>
  <si>
    <r>
      <t xml:space="preserve">The </t>
    </r>
    <r>
      <rPr>
        <b/>
        <sz val="11"/>
        <rFont val="Calibri"/>
        <family val="2"/>
      </rPr>
      <t>Autoproducer CHP heat production</t>
    </r>
    <r>
      <rPr>
        <sz val="11"/>
        <rFont val="Calibri"/>
        <family val="2"/>
      </rPr>
      <t xml:space="preserve"> is taken from the same source  </t>
    </r>
  </si>
  <si>
    <t>BA</t>
  </si>
  <si>
    <t>KS</t>
  </si>
  <si>
    <t>OUTPUT</t>
  </si>
  <si>
    <t>DATA USED</t>
  </si>
  <si>
    <t>CALCULATIONS</t>
  </si>
  <si>
    <t>References</t>
  </si>
  <si>
    <t>INDCONSbyProduct</t>
  </si>
  <si>
    <t>SOURCE</t>
  </si>
  <si>
    <t>Difference</t>
  </si>
  <si>
    <t>LEGEND of the sheets</t>
  </si>
  <si>
    <t>Explanation</t>
  </si>
  <si>
    <t>Assume CHP ELC Cap</t>
  </si>
  <si>
    <t>ELE cap</t>
  </si>
  <si>
    <t>ELE eff</t>
  </si>
  <si>
    <t>HEAT eff</t>
  </si>
  <si>
    <t>Fuel input</t>
  </si>
  <si>
    <t>TOTAL EU25, 2002 data</t>
  </si>
  <si>
    <t xml:space="preserve">http://epp.eurostat.ec.europa.eu/portal/page/portal/product_results/search_results?mo=containsall&amp;ms=combined+heat&amp;saa=&amp;p_action=SUBMIT&amp;l=us&amp;co=equal&amp;_ci=,&amp;po=equal&amp;_pi=,&amp;gisco=include </t>
  </si>
  <si>
    <t>GWh</t>
  </si>
  <si>
    <t>Luxembourg</t>
  </si>
  <si>
    <t>1 : Completely CHP –units rdmt&gt;= 75%)</t>
  </si>
  <si>
    <t>Maximum capacity</t>
  </si>
  <si>
    <t xml:space="preserve"> Production</t>
  </si>
  <si>
    <t>Number</t>
  </si>
  <si>
    <t>Capacity ratios</t>
  </si>
  <si>
    <t xml:space="preserve"> Production ratios</t>
  </si>
  <si>
    <t xml:space="preserve">   Electrical</t>
  </si>
  <si>
    <t xml:space="preserve">   Electricity</t>
  </si>
  <si>
    <t>of</t>
  </si>
  <si>
    <t>Average</t>
  </si>
  <si>
    <t>Heat to</t>
  </si>
  <si>
    <t>Efficiency</t>
  </si>
  <si>
    <t>Load factor</t>
  </si>
  <si>
    <t>Type of cycle</t>
  </si>
  <si>
    <t>Gross</t>
  </si>
  <si>
    <t>Net</t>
  </si>
  <si>
    <t>ECHP</t>
  </si>
  <si>
    <t>units</t>
  </si>
  <si>
    <t xml:space="preserve"> Electricity</t>
  </si>
  <si>
    <r>
      <t xml:space="preserve">In/out </t>
    </r>
    <r>
      <rPr>
        <i/>
        <sz val="10"/>
        <rFont val="Arial Narrow"/>
        <family val="2"/>
      </rPr>
      <t>(G)</t>
    </r>
  </si>
  <si>
    <r>
      <t xml:space="preserve">In/out </t>
    </r>
    <r>
      <rPr>
        <i/>
        <sz val="10"/>
        <rFont val="Arial Narrow"/>
        <family val="2"/>
      </rPr>
      <t>(N)</t>
    </r>
  </si>
  <si>
    <t>MW</t>
  </si>
  <si>
    <t>TJ(NVC)</t>
  </si>
  <si>
    <t>n</t>
  </si>
  <si>
    <t>Steam: condensing turbine</t>
  </si>
  <si>
    <t>Sub-Total</t>
  </si>
  <si>
    <t>2 : Units with a non-CHP component (rdmt &lt; 75%)</t>
  </si>
  <si>
    <t>TOTAL (1+2)</t>
  </si>
  <si>
    <t>By sector</t>
  </si>
  <si>
    <t xml:space="preserve"> Extraction of crude oil and nat. gas</t>
  </si>
  <si>
    <t xml:space="preserve"> Coke ovens</t>
  </si>
  <si>
    <t xml:space="preserve"> Refineries</t>
  </si>
  <si>
    <t xml:space="preserve"> Extraction and processing of nuclear fuels</t>
  </si>
  <si>
    <t xml:space="preserve"> Non-ferrous metals</t>
  </si>
  <si>
    <t xml:space="preserve"> Chemical industry</t>
  </si>
  <si>
    <t xml:space="preserve"> Non-metallic mineral products </t>
  </si>
  <si>
    <t xml:space="preserve"> Extraction</t>
  </si>
  <si>
    <t xml:space="preserve"> Food products, beverages and tobacco</t>
  </si>
  <si>
    <t xml:space="preserve"> Textile, clothing and leather</t>
  </si>
  <si>
    <t xml:space="preserve"> Paper and printing</t>
  </si>
  <si>
    <t xml:space="preserve"> Metal products, machinery, equipment </t>
  </si>
  <si>
    <t xml:space="preserve"> Other industrial branches</t>
  </si>
  <si>
    <t xml:space="preserve"> Transport</t>
  </si>
  <si>
    <t xml:space="preserve"> Services, etc</t>
  </si>
  <si>
    <t xml:space="preserve"> Other</t>
  </si>
  <si>
    <t>Type of fuel</t>
  </si>
  <si>
    <t>Maximum production</t>
  </si>
  <si>
    <t>Single-fuel fired units</t>
  </si>
  <si>
    <t xml:space="preserve"> Solid</t>
  </si>
  <si>
    <t xml:space="preserve"> Liquid</t>
  </si>
  <si>
    <t xml:space="preserve"> Gas</t>
  </si>
  <si>
    <t>Multi-fuel fired units</t>
  </si>
  <si>
    <t xml:space="preserve"> Solid &amp; liquid</t>
  </si>
  <si>
    <t xml:space="preserve"> Liquid &amp; gas</t>
  </si>
  <si>
    <t xml:space="preserve"> Solid &amp; liquid &amp; gas</t>
  </si>
  <si>
    <t xml:space="preserve"> Others</t>
  </si>
  <si>
    <t>na</t>
  </si>
  <si>
    <t>All the units in the table B1-2 are considered as completely CHP units, although the efficiency is bellow 85%</t>
  </si>
  <si>
    <t>Combined cycle*</t>
  </si>
  <si>
    <t>* CHP capacity and electricity generation have been downscaled to get a physical meaning of the figures</t>
  </si>
  <si>
    <t>*Combined cycle (Eff.&gt;= 85%)</t>
  </si>
  <si>
    <t>*Steam : condensing turbine (Eff. &gt;=85%)</t>
  </si>
  <si>
    <t>*Combined cycle (Eff. &lt;85%)</t>
  </si>
  <si>
    <t>*Steam : condensing turbine (Eff. &lt;85%)</t>
  </si>
  <si>
    <t xml:space="preserve"> Other*</t>
  </si>
  <si>
    <t>* Contains confidential data.</t>
  </si>
  <si>
    <r>
      <t>Others</t>
    </r>
    <r>
      <rPr>
        <vertAlign val="superscript"/>
        <sz val="10"/>
        <rFont val="Arial Narrow"/>
        <family val="2"/>
      </rPr>
      <t>1</t>
    </r>
  </si>
  <si>
    <r>
      <t>1</t>
    </r>
    <r>
      <rPr>
        <sz val="10"/>
        <rFont val="Arial Narrow"/>
        <family val="2"/>
      </rPr>
      <t xml:space="preserve"> Municipal solid waste</t>
    </r>
  </si>
  <si>
    <t>Total output</t>
  </si>
  <si>
    <t>Heat Efficiency</t>
  </si>
  <si>
    <t>Electrical Efficiency</t>
  </si>
  <si>
    <t>Solid Fuels</t>
  </si>
  <si>
    <t>Auto CHP Heat production 2002</t>
  </si>
  <si>
    <t>Auto CHP  ISI Heat 2002</t>
  </si>
  <si>
    <t>Auto CHP  Chemical Heat 2002</t>
  </si>
  <si>
    <t>Auto CHP Paper Heat 2002</t>
  </si>
  <si>
    <t>Auto CHP Refineries Heat 2002</t>
  </si>
  <si>
    <t>Auto CHP Others Heat 2002</t>
  </si>
  <si>
    <t>Auto CHP Total Consumption 2002</t>
  </si>
  <si>
    <t>Auto CHP ISI Consumption 2002</t>
  </si>
  <si>
    <t>Auto CHP Chemical consumption 2002</t>
  </si>
  <si>
    <t>Auto CHP Paper conumption 2002</t>
  </si>
  <si>
    <t>Auto CHP Refineries consumption 2002</t>
  </si>
  <si>
    <t>Auto CHP Others consumption 2002</t>
  </si>
  <si>
    <t>Biofuels</t>
  </si>
  <si>
    <t xml:space="preserve">This data is for the sum of main activity and autoproducer </t>
  </si>
  <si>
    <t>The data do not add up as not all countries gave type of fuel data</t>
  </si>
  <si>
    <t>This is table 7b from the annual electricity and heat questionnaire</t>
  </si>
  <si>
    <t>FUEL INPUT (PJ) whitout heat in use</t>
  </si>
  <si>
    <t>Thermal Power Stations</t>
  </si>
  <si>
    <t xml:space="preserve">Autoproducers </t>
  </si>
  <si>
    <t>Waste (based on the assumption that all non-wood is waste)</t>
  </si>
  <si>
    <t>Biomass (wood and wood wastes)</t>
  </si>
  <si>
    <t>total</t>
  </si>
  <si>
    <t>Electricity Only</t>
  </si>
  <si>
    <t xml:space="preserve">CHP </t>
  </si>
  <si>
    <t>CHP (M+A)</t>
  </si>
  <si>
    <t>ELECTRICITY OUTPUT</t>
  </si>
  <si>
    <t>HEAT OUTPUT</t>
  </si>
  <si>
    <t>Heat Only</t>
  </si>
  <si>
    <t>Supply, transformation, consumption - all products - annual data [nrg_100a]</t>
  </si>
  <si>
    <t>Terajoule</t>
  </si>
  <si>
    <t>All products</t>
  </si>
  <si>
    <t>TIME</t>
  </si>
  <si>
    <t>INDIC_NRG/GEO</t>
  </si>
  <si>
    <t>European Union (27 countries)</t>
  </si>
  <si>
    <t>Germany (until 1990 former territory of the FRG)</t>
  </si>
  <si>
    <t>Former Yugoslav Republic of Macedonia, the</t>
  </si>
  <si>
    <t>Transformation input in Main Activity Producer Conventional Power Stations</t>
  </si>
  <si>
    <t>Transformation input in Main Activity Producer Electricity Plants</t>
  </si>
  <si>
    <t>Transformation input in Main Activity Producer CHP Plants</t>
  </si>
  <si>
    <t>Transformation input in Autoproducer Conventional Power Stations</t>
  </si>
  <si>
    <t>Transformation input in Autoproducer Electricity Plants</t>
  </si>
  <si>
    <t>Transformation input in Autoproducer CHP Plants</t>
  </si>
  <si>
    <t>Special value:</t>
  </si>
  <si>
    <t>not available</t>
  </si>
  <si>
    <t>Supply, transformation, consumption - solid fuels - annual data [nrg_101a]</t>
  </si>
  <si>
    <t>INDIC_NRG/PRODUCT</t>
  </si>
  <si>
    <t>Solid fuels</t>
  </si>
  <si>
    <t>Hard coal and derivatives</t>
  </si>
  <si>
    <t>Hard coal</t>
  </si>
  <si>
    <t>Patent Fuels</t>
  </si>
  <si>
    <t>Anthracite</t>
  </si>
  <si>
    <t>Coking Coal</t>
  </si>
  <si>
    <t>Other Bituminous Coal</t>
  </si>
  <si>
    <t>Sub-bituminous Coal</t>
  </si>
  <si>
    <t>Coke Oven Coke</t>
  </si>
  <si>
    <t>Gas Coke</t>
  </si>
  <si>
    <t>Coal Tar</t>
  </si>
  <si>
    <t>Lignite and Derivatives</t>
  </si>
  <si>
    <t>Lignite/Brown Coal</t>
  </si>
  <si>
    <t>BKB/PB</t>
  </si>
  <si>
    <t>Transformation input - Conventional Thermal Power Stations</t>
  </si>
  <si>
    <t>Transformation input - District heating plants</t>
  </si>
  <si>
    <t>Own Use in Electricity, CHP and Heat Plants</t>
  </si>
  <si>
    <t>Supply, transformation, consumption - oil - annual data [nrg_102a]</t>
  </si>
  <si>
    <t>Total petroleum products</t>
  </si>
  <si>
    <t>Crude oil, feedstocks and other hydrocarbons</t>
  </si>
  <si>
    <t>Crude Oil</t>
  </si>
  <si>
    <t>Natural Gas Liquids</t>
  </si>
  <si>
    <t>Crude oil and NGL</t>
  </si>
  <si>
    <t>Feedstocks and other hydrocarbons</t>
  </si>
  <si>
    <t>Refinery Feedstocks</t>
  </si>
  <si>
    <t>Additives/Oxygenates</t>
  </si>
  <si>
    <t>Other Hydrocarbons</t>
  </si>
  <si>
    <t>All petroleum products</t>
  </si>
  <si>
    <t>Refinery gas and ethane</t>
  </si>
  <si>
    <t>Refinery Gas (not. Liquid)</t>
  </si>
  <si>
    <t>Ethane</t>
  </si>
  <si>
    <t>Motor spirit</t>
  </si>
  <si>
    <t>Motor Gasoline</t>
  </si>
  <si>
    <t>Aviation Gasoline</t>
  </si>
  <si>
    <t>Other Kerosene</t>
  </si>
  <si>
    <t>Gasoline Type  Jet Fuel</t>
  </si>
  <si>
    <t>Kerosene Type Jet Fuel</t>
  </si>
  <si>
    <t>Naphta</t>
  </si>
  <si>
    <t>Gas/Diesel oil</t>
  </si>
  <si>
    <t>Transport Diesel</t>
  </si>
  <si>
    <t>Heating and other Gasoil</t>
  </si>
  <si>
    <t>Fuel Oil - Low Sulphur (&lt; 1%)</t>
  </si>
  <si>
    <t>Fuel Oil - High Sulphur (&gt;= 1%)</t>
  </si>
  <si>
    <t>Other petroleum products</t>
  </si>
  <si>
    <t>White Spirit and SBP</t>
  </si>
  <si>
    <t>Lubricants</t>
  </si>
  <si>
    <t>Bitumen</t>
  </si>
  <si>
    <t>Petroleum Coke</t>
  </si>
  <si>
    <t>Paraffin Waxes</t>
  </si>
  <si>
    <t>Other Oil Products</t>
  </si>
  <si>
    <t>Biogasoline</t>
  </si>
  <si>
    <t>Biodiesels</t>
  </si>
  <si>
    <t>Supply, transformation, consumption - gas - annual data [nrg_103a]</t>
  </si>
  <si>
    <t>Derived gases</t>
  </si>
  <si>
    <t>Coke Oven Gas</t>
  </si>
  <si>
    <t>Gas Works Gas</t>
  </si>
  <si>
    <t>Oxygen Steel Furnace Gas</t>
  </si>
  <si>
    <t>Supply, transformation, consumption - renewables and wastes (total, solar heat, biomass, geothermal, wastes) - annual data [nrg_1071a]</t>
  </si>
  <si>
    <t>Renewable energies</t>
  </si>
  <si>
    <t>Solar energy</t>
  </si>
  <si>
    <t>Solar thermal</t>
  </si>
  <si>
    <t>Biomass and renewable wastes</t>
  </si>
  <si>
    <t>Transformation output - Main Activity Conventional Thermal Power Stations</t>
  </si>
  <si>
    <t>Transformation output - Autoproducer Conventional Thermal Power Stations</t>
  </si>
  <si>
    <t>Supply, transformation, consumption - electricity - annual data [nrg_105a]</t>
  </si>
  <si>
    <t>Electrical energy</t>
  </si>
  <si>
    <t>European Economic Area (EU-15 plus IS, LI, NO)</t>
  </si>
  <si>
    <t>M</t>
  </si>
  <si>
    <t>E</t>
  </si>
  <si>
    <t>Gross electricity generation Main activity electricity only - Solar Photovoltaic</t>
  </si>
  <si>
    <t>Gross electricity generation Main activity electricity only - Solar Thermal</t>
  </si>
  <si>
    <t>A</t>
  </si>
  <si>
    <t>Gross electricity generation Autoproducer electricity only - Solar Photovoltaic</t>
  </si>
  <si>
    <t>Gross electricity generation Autoproducer electricity only - Solar Thermal</t>
  </si>
  <si>
    <t>Gross electricity generation Main activity electricity only - Nuclear</t>
  </si>
  <si>
    <t>C</t>
  </si>
  <si>
    <t>Gross electricity generation Main activity CHP plants - Nuclear</t>
  </si>
  <si>
    <t>Gross electricity generation Autoproducer electricity only - Nuclear</t>
  </si>
  <si>
    <t>Gross electricity generation Autoproducer CHP plants - Nuclear</t>
  </si>
  <si>
    <t>Gross electricity generation Main activity electricity only - Hydro</t>
  </si>
  <si>
    <t>Gross electricity generation Autoproducer electricity only - Hydro</t>
  </si>
  <si>
    <t>Gross electricity generation Main activity electricity only - Pumped Hydro</t>
  </si>
  <si>
    <t>Gross electricity generation Autoproducer electricity only - Pumped Hydro</t>
  </si>
  <si>
    <t>Gross electricity generation Main activity electricity only - Geothermal</t>
  </si>
  <si>
    <t>Gross electricity generation Main activity CHP plants - Geothermal</t>
  </si>
  <si>
    <t>Gross electricity generation Autoproducer electricity only - Geothermal</t>
  </si>
  <si>
    <t>Gross electricity generation Autoproducer CHP plants - Geothermal</t>
  </si>
  <si>
    <t>Gross electricity generation Autoproducer electricity only - Solar</t>
  </si>
  <si>
    <t>Gross electricity generation Main activity electricity only - Tide, Wave and Ocean</t>
  </si>
  <si>
    <t>Gross electricity generation Autoproducer electricity only - Tide, Wave and Ocean</t>
  </si>
  <si>
    <t>Gross electricity generation Main activity electricity only - Wind</t>
  </si>
  <si>
    <t>Gross electricity generation Autoproducer electricity only - Wind</t>
  </si>
  <si>
    <t>Gross electricity generation Main activity electricity only - Combustible Fuels</t>
  </si>
  <si>
    <t>Gross electricity generation Main activity CHP plants - Combustible Fuels</t>
  </si>
  <si>
    <t>Gross electricity generation Autoproducer electricity only - Combustible Fuels</t>
  </si>
  <si>
    <t>Gross electricity generation Autoproducer CHP plants - Combustible Fuels</t>
  </si>
  <si>
    <t>Gross electricity generation Autoproducer electricity only - Heat from Chemical Sources</t>
  </si>
  <si>
    <t>Gross electricity generation Autoproducer CHP plants - Heat from Chemical Sources</t>
  </si>
  <si>
    <t>Gross electricity generation Main activity electricity only - Other Sources</t>
  </si>
  <si>
    <t>Gross electricity generation Main activity CHP plants - Other Sources</t>
  </si>
  <si>
    <t>Gross electricity generation Autoproducer electricity only - Other Sources</t>
  </si>
  <si>
    <t>Gross electricity generation Autoproducer CHP plants - Other Sources</t>
  </si>
  <si>
    <t>G</t>
  </si>
  <si>
    <t>Total gross production</t>
  </si>
  <si>
    <t>Gross electricity generation Main activity electricity only - Anthracite</t>
  </si>
  <si>
    <t>Gross electricity generation Main activity CHP plants - Anthracite</t>
  </si>
  <si>
    <t>Gross electricity generation Autoproducer electricity only - Anthracite</t>
  </si>
  <si>
    <t>Gross electricity generation Autoproducer CHP plants - Anthracite</t>
  </si>
  <si>
    <t>Gross electricity generation Main activity electricity only - Coking Coal</t>
  </si>
  <si>
    <t>Gross electricity generation Main activity CHP plants - Coking Coal</t>
  </si>
  <si>
    <t>Gross electricity generation Autoproducer electricity only - Coking Coal</t>
  </si>
  <si>
    <t>Gross electricity generation Autoproducer CHP plants - Coking Coal</t>
  </si>
  <si>
    <t>Gross electricity generation Main activity electricity only - Other Bituminous Coal</t>
  </si>
  <si>
    <t>Gross electricity generation Main activity CHP plants - Other Bituminous Coal</t>
  </si>
  <si>
    <t>Gross electricity generation Autoproducer electricity only - Other Bituminous Coal</t>
  </si>
  <si>
    <t>Gross electricity generation Autoproducer CHP plants - Other Bituminous Coal</t>
  </si>
  <si>
    <t>Gross electricity generation Main activity electricity only - Sub-Bituminous Coal</t>
  </si>
  <si>
    <t>Gross electricity generation Main activity CHP plants - Sub-Bituminous Coal</t>
  </si>
  <si>
    <t>Gross electricity generation Autoproducer electricity only - Sub-Bituminous Coal</t>
  </si>
  <si>
    <t>Gross electricity generation Autoproducer CHP plants - Sub-Bituminous Coal</t>
  </si>
  <si>
    <t>Gross electricity generation Main activity electricity only - Lignite/Brown Coal</t>
  </si>
  <si>
    <t>Gross electricity generation Main activity CHP plants - Lignite/Brown Coal</t>
  </si>
  <si>
    <t>Gross electricity generation Autoproducer electricity only - Lignite/Brown Coal</t>
  </si>
  <si>
    <t>Gross electricity generation Autoproducer CHP plants - Lignite/Brown Coal</t>
  </si>
  <si>
    <t>Gross electricity generation Main activity electricity only - Peat</t>
  </si>
  <si>
    <t>Gross electricity generation Main activity CHP plants - Peat</t>
  </si>
  <si>
    <t>Gross electricity generation Autoproducer electricity only - Peat</t>
  </si>
  <si>
    <t>Gross electricity generation Autoproducer CHP plants - Peat</t>
  </si>
  <si>
    <t>Gross electricity generation Main activity electricity only - Patent Fuel</t>
  </si>
  <si>
    <t>Gross electricity generation Main activity CHP plants - Patent Fuel</t>
  </si>
  <si>
    <t>Gross electricity generation Autoproducer electricity only - Patent Fuel</t>
  </si>
  <si>
    <t>Gross electricity generation Autoproducer CHP plants - Patent Fuel</t>
  </si>
  <si>
    <t>Gross electricity generation Main activity electricity only - Coke Oven Coke</t>
  </si>
  <si>
    <t>Gross electricity generation Main activity CHP plants - Coke Oven Coke</t>
  </si>
  <si>
    <t>Gross electricity generation Autoproducer electricity only - Coke Oven Coke</t>
  </si>
  <si>
    <t>Gross electricity generation Autoproducer CHP plants - Coke Oven Coke</t>
  </si>
  <si>
    <t>Gross electricity generation Main activity electricity only - Gas Coke</t>
  </si>
  <si>
    <t>Gross electricity generation Main activity CHP plants - Gas Coke</t>
  </si>
  <si>
    <t>Gross electricity generation Autoproducer electricity only - Gas Coke</t>
  </si>
  <si>
    <t>Gross electricity generation Autoproducer CHP plants - Gas Coke</t>
  </si>
  <si>
    <t>Gross electricity generation Main activity electricity only - Coal Tar</t>
  </si>
  <si>
    <t>Gross electricity generation Main activity CHP plants - Coal Tar</t>
  </si>
  <si>
    <t>Gross electricity generation Autoproducer electricity only - Coal Tar</t>
  </si>
  <si>
    <t>Gross electricity generation Autoproducer CHP plants - Coal Tar</t>
  </si>
  <si>
    <t>Gross electricity generation Main activity electricity only - BKB / Peat Briquettes</t>
  </si>
  <si>
    <t>Gross electricity generation Main activity CHP plants - BKB / Peat Briquettes</t>
  </si>
  <si>
    <t>Gross electricity generation Autoproducer electricity only - BKB / Peat Briquettes</t>
  </si>
  <si>
    <t>Gross electricity generation Autoproducer CHP plants - BKB / Peat Briquettes</t>
  </si>
  <si>
    <t>Gross electricity generation Main activity electricity only - Gas Works Gas</t>
  </si>
  <si>
    <t>Gross electricity generation Main activity CHP plants - Gas Works Gas</t>
  </si>
  <si>
    <t>Gross electricity generation Autoproducer electricity only - Gas Works Gas</t>
  </si>
  <si>
    <t>Gross electricity generation Autoproducer CHP plants - Gas Works Gas</t>
  </si>
  <si>
    <t>Gross electricity generation Main activity electricity only - Coke Oven Gas</t>
  </si>
  <si>
    <t>Gross electricity generation Main activity CHP plants - Coke Oven Gas</t>
  </si>
  <si>
    <t>Gross electricity generation Autoproducer electricity only - Coke Oven Gas</t>
  </si>
  <si>
    <t>Gross electricity generation Autoproducer CHP plants - Coke Oven Gas</t>
  </si>
  <si>
    <t>Gross electricity generation Main activity electricity only - Blast Furnace Gas</t>
  </si>
  <si>
    <t>Gross electricity generation Main activity CHP plants - Blast Furnace Gas</t>
  </si>
  <si>
    <t>Gross electricity generation Autoproducer electricity only - Blast Furnace Gas</t>
  </si>
  <si>
    <t>Gross electricity generation Autoproducer CHP plants - Blast Furnace Gas</t>
  </si>
  <si>
    <t>Gross electricity generation Main activity electricity only - Oxygen Steel Furnace Gas</t>
  </si>
  <si>
    <t>Gross electricity generation Main activity CHP plants - Oxygen Steel Furnace Gas</t>
  </si>
  <si>
    <t>Gross electricity generation Autoproducer electricity only - Oxygen Steel Furnace Gas</t>
  </si>
  <si>
    <t>Gross electricity generation Autoproducer CHP plants - Oxygen Steel Furnace Gas</t>
  </si>
  <si>
    <t>Gross electricity generation Main activity electricity only - Crude Oil</t>
  </si>
  <si>
    <t>Gross electricity generation Main activity CHP plants - Crude Oil</t>
  </si>
  <si>
    <t>Gross electricity generation Autoproducer electricity only - Crude Oil</t>
  </si>
  <si>
    <t>Gross electricity generation Autoproducer CHP plants - Crude Oil</t>
  </si>
  <si>
    <t>Gross electricity generation Main activity electricity only - NGL (Natural Gas Liquids)</t>
  </si>
  <si>
    <t>Gross electricity generation Main activity CHP plants - NGL (Natural Gas Liquids)</t>
  </si>
  <si>
    <t>Gross electricity generation Autoproducer electricity only - NGL (Natural Gas Liquids)</t>
  </si>
  <si>
    <t>Gross electricity generation Autoproducer CHP plants - NGL (Natural Gas Liquids)</t>
  </si>
  <si>
    <t>Gross electricity generation Main activity electricity only - Refinery Gas</t>
  </si>
  <si>
    <t>Gross electricity generation Main activity CHP plants - Refinery Gas</t>
  </si>
  <si>
    <t>Gross electricity generation Autoproducer electricity only - Refinery Gas</t>
  </si>
  <si>
    <t>Gross electricity generation Autoproducer CHP plants - Refinery Gas</t>
  </si>
  <si>
    <t>Gross electricity generation Main activity electricity only - LPG (Liquefied Petroleum Gases)</t>
  </si>
  <si>
    <t>Gross electricity generation Main activity CHP plants - LPG (Liquefied Petroleum Gases)</t>
  </si>
  <si>
    <t>Gross electricity generation Autoproducer electricity only - LPG (Liquefied Petroleum Gases)</t>
  </si>
  <si>
    <t>Gross electricity generation Autoproducer CHP plants - LPG (Liquefied Petroleum Gases)</t>
  </si>
  <si>
    <t>Gross electricity generation Main activity electricity only - Naphtha</t>
  </si>
  <si>
    <t>Gross electricity generation Main activity CHP plants - Naphtha</t>
  </si>
  <si>
    <t>Gross electricity generation Autoproducer electricity only - Naphtha</t>
  </si>
  <si>
    <t>Gross electricity generation Autoproducer CHP plants - Naphtha</t>
  </si>
  <si>
    <t>Gross electricity generation Main activity electricity only - Kerosene Type Jet Fuel</t>
  </si>
  <si>
    <t>Gross electricity generation Main activity CHP plants - Kerosene Type Jet Fuel</t>
  </si>
  <si>
    <t>Gross electricity generation Autoproducer electricity only - Kerosene Type Jet Fuel</t>
  </si>
  <si>
    <t>Gross electricity generation Autoproducer CHP plants - Kerosene Type Jet Fuel</t>
  </si>
  <si>
    <t>Gross electricity generation Main activity electricity only - Other Kerosene</t>
  </si>
  <si>
    <t>Gross electricity generation Main activity CHP plants - Other Kerosene</t>
  </si>
  <si>
    <t>Gross electricity generation Autoproducer electricity only - Other Kerosene</t>
  </si>
  <si>
    <t>Gross electricity generation Autoproducer CHP plants - Other Kerosene</t>
  </si>
  <si>
    <t>Gross electricity generation Main activity electricity only - Gas / Diesel Oil</t>
  </si>
  <si>
    <t>Gross electricity generation Main activity CHP plants - Gas / Diesel Oil</t>
  </si>
  <si>
    <t>Gross electricity generation Autoproducer electricity only - Gas / Diesel Oil</t>
  </si>
  <si>
    <t>Gross electricity generation Autoproducer CHP plants - Gas / Diesel Oil</t>
  </si>
  <si>
    <t>Gross electricity generation Main activity electricity only - Residual Fuel Oil</t>
  </si>
  <si>
    <t>Gross electricity generation Main activity CHP plants - Residual Fuel Oil</t>
  </si>
  <si>
    <t>Gross electricity generation Autoproducer electricity only - Residual Fuel Oil</t>
  </si>
  <si>
    <t>Gross electricity generation Autoproducer CHP plants - Residual Fuel Oil</t>
  </si>
  <si>
    <t>Gross electricity generation Main activity electricity only - Bitumen</t>
  </si>
  <si>
    <t>Gross electricity generation Main activity CHP plants - Bitumen</t>
  </si>
  <si>
    <t>Gross electricity generation Autoproducer electricity only - Bitumen</t>
  </si>
  <si>
    <t>Gross electricity generation Autoproducer CHP plants - Bitumen</t>
  </si>
  <si>
    <t>Gross electricity generation Main activity electricity only - Petroleum Coke</t>
  </si>
  <si>
    <t>Gross electricity generation Main activity CHP plants - Petroleum Coke</t>
  </si>
  <si>
    <t>Gross electricity generation Autoproducer electricity only - Petroleum Coke</t>
  </si>
  <si>
    <t>Gross electricity generation Autoproducer CHP plants - Petroleum Coke</t>
  </si>
  <si>
    <t>Gross electricity generation Main activity electricity only - Other Oil Products</t>
  </si>
  <si>
    <t>Gross electricity generation Main activity CHP plants - Other Oil Products</t>
  </si>
  <si>
    <t>Gross electricity generation Autoproducer electricity only - Other Oil Products</t>
  </si>
  <si>
    <t>Gross electricity generation Autoproducer CHP plants - Other Oil Products</t>
  </si>
  <si>
    <t>Gross electricity generation Main activity electricity only - Natural Gas</t>
  </si>
  <si>
    <t>Gross electricity generation Main activity CHP plants - Natural Gas</t>
  </si>
  <si>
    <t>Gross electricity generation Autoproducer electricity only - Natural Gas</t>
  </si>
  <si>
    <t>Gross electricity generation Autoproducer CHP plants - Natural Gas</t>
  </si>
  <si>
    <t>Gross electricity generation Main activity electricity only - Industrial Waste</t>
  </si>
  <si>
    <t>Gross electricity generation Main activity CHP plants - Industrial Waste</t>
  </si>
  <si>
    <t>Gross electricity generation Autoproducer electricity only - Industrial Waste</t>
  </si>
  <si>
    <t>Gross electricity generation Autoproducer CHP plants - Industrial Waste</t>
  </si>
  <si>
    <t>Gross electricity generation Main activity electricity only - Municipal Waste (Renewable)</t>
  </si>
  <si>
    <t>Gross electricity generation Main activity CHP plants - Municipal Waste (Renewable)</t>
  </si>
  <si>
    <t>Gross electricity generation Autoproducer electricity only - Municipal Waste (Renewable)</t>
  </si>
  <si>
    <t>Gross electricity generation Autoproducer CHP plants - Municipal Waste (Renewable)</t>
  </si>
  <si>
    <t>Gross electricity generation Main activity electricity only - Municipal Waste (Non-Renewable)</t>
  </si>
  <si>
    <t>Gross electricity generation Main activity CHP plants - Municipal Waste (Non-Renewable)</t>
  </si>
  <si>
    <t>Gross electricity generation Autoproducer electricity only - Municipal Waste (Non-Renewable)</t>
  </si>
  <si>
    <t>Gross electricity generation Autoproducer CHP plants - Municipal Waste (Non-Renewable)</t>
  </si>
  <si>
    <t>Gross electricity generation Main activity electricity only - Wood, Wood Wastes and Other Solid Wastes</t>
  </si>
  <si>
    <t>Gross electricity generation Main activity CHP plants - Wood, Wood Wastes and Other Solid Wastes</t>
  </si>
  <si>
    <t>Gross electricity generation Autoproducer electricity only - Wood, Wood Wastes and Other Solid Wastes</t>
  </si>
  <si>
    <t>Gross electricity generation Autoproducer CHP plants - Wood, Wood Wastes and Other Solid Wastes</t>
  </si>
  <si>
    <t>Gross electricity generation Main activity electricity only - Landfill Gas</t>
  </si>
  <si>
    <t>Gross electricity generation Main activity CHP plants - Landfill Gas</t>
  </si>
  <si>
    <t>Gross electricity generation Autoproducer electricity only - Landfill Gas</t>
  </si>
  <si>
    <t>Gross electricity generation Autoproducer CHP plants - Landfill Gas</t>
  </si>
  <si>
    <t>Gross electricity generation Main activity electricity only - Sludge Gas</t>
  </si>
  <si>
    <t>Gross electricity generation Main activity CHP plants - Sludge Gas</t>
  </si>
  <si>
    <t>Gross electricity generation Autoproducer electricity only - Sludge Gas</t>
  </si>
  <si>
    <t>Gross electricity generation Autoproducer CHP plants - Sludge Gas</t>
  </si>
  <si>
    <t>Gross electricity generation Main activity electricity only - Other Biogas</t>
  </si>
  <si>
    <t>Gross electricity generation Main activity CHP plants - Other Biogas</t>
  </si>
  <si>
    <t>Gross electricity generation Autoproducer electricity only - Other Biogas</t>
  </si>
  <si>
    <t>Gross electricity generation Autoproducer CHP plants - Other Biogas</t>
  </si>
  <si>
    <t>Gross electricity generation Main activity electricity only - Other Liquid Biofuels</t>
  </si>
  <si>
    <t>Gross electricity generation Main activity CHP plants - Other Liquid Biofuels</t>
  </si>
  <si>
    <t>Gross electricity generation Autoproducer electricity only - Other Liquid Biofuels</t>
  </si>
  <si>
    <t>Gross electricity generation Autoproducer CHP plants - Other Liquid Biofuels</t>
  </si>
  <si>
    <t>Transformation output - Conventional Thermal Power Stations</t>
  </si>
  <si>
    <t>Net electricity generation Main activity electricity only - Nuclear</t>
  </si>
  <si>
    <t>Net electricity generation Main activity CHP plants - Nuclear</t>
  </si>
  <si>
    <t>Net electricity generation Autoproducer electricity only - Nuclear</t>
  </si>
  <si>
    <t>Net electricity generation Autoproducer CHP plants - Nuclear</t>
  </si>
  <si>
    <t>Net electricity generation Main activity electricity only - Hydro</t>
  </si>
  <si>
    <t>Net electricity generation Autoproducer electricity only - Hydro</t>
  </si>
  <si>
    <t>Net electricity generation Main activity electricity only - Pumped Hydro</t>
  </si>
  <si>
    <t>Net electricity generation Autoproducer electricity only - Pumped Hydro</t>
  </si>
  <si>
    <t>Net electricity generation Main activity electricity only - Geothermal</t>
  </si>
  <si>
    <t>Net electricity generation Main activity CHP plants - Geothermal</t>
  </si>
  <si>
    <t>Net electricity generation Autoproducer electricity only - Geothermal</t>
  </si>
  <si>
    <t>Net electricity generation Autoproducer CHP plants - Geothermal</t>
  </si>
  <si>
    <t>Net electricity generation Main activity electricity only - Solar</t>
  </si>
  <si>
    <t>Net electricity generation Autoproducer electricity only - Solar</t>
  </si>
  <si>
    <t>Net electricity generation Main activity electricity only - Tide, Wave and Ocean</t>
  </si>
  <si>
    <t>Net electricity generation Autoproducer electricity only - Tide, Wave and Ocean</t>
  </si>
  <si>
    <t>Net electricity generation Main activity electricity only - Wind</t>
  </si>
  <si>
    <t>Net electricity generation Autoproducer electricity only - Wind</t>
  </si>
  <si>
    <t>Net electricity generation Main activity electricity only - Combustible Fuels</t>
  </si>
  <si>
    <t>Net electricity generation Main activity CHP plants - Combustible Fuels</t>
  </si>
  <si>
    <t>Net electricity generation Autoproducer electricity only - Combustible Fuels</t>
  </si>
  <si>
    <t>Net electricity generation Autoproducer CHP plants - Combustible Fuels</t>
  </si>
  <si>
    <t>Net electricity generation Autoproducer electricity only - Heat from Chemical Sources</t>
  </si>
  <si>
    <t>Net electricity generation Autoproducer CHP plants - Heat from Chemical Sources</t>
  </si>
  <si>
    <t>Net electricity generation Main activity electricity only - Other Sources</t>
  </si>
  <si>
    <t>Net electricity generation Main activity CHP plants - Other Sources</t>
  </si>
  <si>
    <t>Net electricity generation Autoproducer electricity only - Other Sources</t>
  </si>
  <si>
    <t>Net electricity generation Autoproducer CHP plants - Other Sources</t>
  </si>
  <si>
    <t>Total net production</t>
  </si>
  <si>
    <t>Transformation output</t>
  </si>
  <si>
    <t>Transformation output - Nuclear Power Stations</t>
  </si>
  <si>
    <t>Supply, transformation, consumption - heat - annual data [nrg_106a]</t>
  </si>
  <si>
    <t>Derived heat</t>
  </si>
  <si>
    <t>Type</t>
  </si>
  <si>
    <t>Net heat production Main activity CHP plants - Nuclear</t>
  </si>
  <si>
    <t>H</t>
  </si>
  <si>
    <t>Net heat production Main activity heat only plants - Nuclear</t>
  </si>
  <si>
    <t>Net heat production Autoproducer CHP plants - Nuclear</t>
  </si>
  <si>
    <t>Net heat production Autoproducer heat only plants - Nuclear</t>
  </si>
  <si>
    <t>Net heat production Main activity CHP plants - Geothermal</t>
  </si>
  <si>
    <t>Net heat production Main activity heat only plants - Geothermal</t>
  </si>
  <si>
    <t>Net heat production Autoproducer CHP plants - Geothermal</t>
  </si>
  <si>
    <t>Net heat production Autoproducer heat only plants - Geothermal</t>
  </si>
  <si>
    <t>Net heat production Main activity CHP plants - Solar</t>
  </si>
  <si>
    <t>Net heat production Main activity heat only plants - Solar</t>
  </si>
  <si>
    <t>Net heat production Autoproducer CHP plants - Solar</t>
  </si>
  <si>
    <t>Net heat production Autoproducer heat only plants - Solar</t>
  </si>
  <si>
    <t>Net heat production Main activity CHP plants - Combustible Fuels</t>
  </si>
  <si>
    <t>Net heat production Main activity heat only plants - Combustible Fuels</t>
  </si>
  <si>
    <t>Net heat production Autoproducer CHP plants - Combustible Fuels</t>
  </si>
  <si>
    <t>Net heat production Autoproducer heat only plants - Combustible Fuels</t>
  </si>
  <si>
    <t>Net heat production Main activity CHP plants - Heat Pumps</t>
  </si>
  <si>
    <t>Net heat production Main activity heat only plants - Heat Pumps</t>
  </si>
  <si>
    <t>Net heat production Autoproducer CHP plants - Heat Pumps</t>
  </si>
  <si>
    <t>Net heat production Autoproducer heat only plants - Heat Pumps</t>
  </si>
  <si>
    <t>Net heat production Main activity CHP plants - Electric Boilers</t>
  </si>
  <si>
    <t>Net heat production Main activity heat only plants - Electric Boilers</t>
  </si>
  <si>
    <t>Net heat production Autoproducer CHP plants - Electric Boilers</t>
  </si>
  <si>
    <t>Net heat production Autoproducer heat only plants - Electric Boilers</t>
  </si>
  <si>
    <t>Net heat production Autoproducer CHP plants - Heat from Chemical Sources</t>
  </si>
  <si>
    <t>Net heat production Autoproducer heat only plants - Heat from Chemical Sources</t>
  </si>
  <si>
    <t>Net heat production Main activity CHP plants - Other Sources</t>
  </si>
  <si>
    <t>Net heat production Main activity heat only plants - Other Sources</t>
  </si>
  <si>
    <t>Net heat production Autoproducer CHP plants - Other Sources</t>
  </si>
  <si>
    <t>Net heat production Autoproducer heat only plants - Other Sources</t>
  </si>
  <si>
    <t>Transformation output - District Heating Plants</t>
  </si>
  <si>
    <t>Infrastructure - electricity - annual data [nrg_113a]</t>
  </si>
  <si>
    <t>Megawatt</t>
  </si>
  <si>
    <t>Electrical capacity</t>
  </si>
  <si>
    <t>Assumed fuel</t>
  </si>
  <si>
    <t>CORRECTED</t>
  </si>
  <si>
    <t>Electrical capacity, main activity producers - Combustible Fuels</t>
  </si>
  <si>
    <t>Electrical capacity, autoproducers -  Combustible Fuels</t>
  </si>
  <si>
    <t>Electrical capacity, main activity producers - Nuclear</t>
  </si>
  <si>
    <t>Electrical capacity, autoproducers -  Nuclear</t>
  </si>
  <si>
    <t>Electrical capacity, main activity producers - Hydro</t>
  </si>
  <si>
    <t>Electrical capacity, autoproducers -  Hydro</t>
  </si>
  <si>
    <t>Electrical capacity, main activity producers - Pumped Hydro</t>
  </si>
  <si>
    <t>Electrical capacity, autoproducers -  Pumped Hydro</t>
  </si>
  <si>
    <t>Electrical capacity, main activity producers - Geothermal</t>
  </si>
  <si>
    <t>Electrical capacity, autoproducers -  Geothermal</t>
  </si>
  <si>
    <t>O</t>
  </si>
  <si>
    <t>Net maximum capacity - Geothermal</t>
  </si>
  <si>
    <t>Electrical capacity, main activity producers - Wind</t>
  </si>
  <si>
    <t>Electrical capacity, autoproducers -  Wind</t>
  </si>
  <si>
    <t>Electrical capacity, main activity producers - Other Sources</t>
  </si>
  <si>
    <t>Electrical capacity, autoproducers -  Other Sources</t>
  </si>
  <si>
    <t>Electrical capacity, main activity producers - Steam</t>
  </si>
  <si>
    <t>Electrical capacity, autoproducers -  Steam</t>
  </si>
  <si>
    <t>Solid,gas,oil</t>
  </si>
  <si>
    <t>Electrical capacity, main activity producers - Gas Turbine</t>
  </si>
  <si>
    <t>Electrical capacity, autoproducers -  Gas Turbine</t>
  </si>
  <si>
    <t>Electrical capacity, main activity producers - Combined Cycle</t>
  </si>
  <si>
    <t>Electrical capacity, autoproducers -  Combined Cycle</t>
  </si>
  <si>
    <t>Electrical capacity, main activity producers - Internal Combustion</t>
  </si>
  <si>
    <t>Electrical capacity, autoproducers -  Internal Combustion</t>
  </si>
  <si>
    <t>Net maximum capacity - Hydro &lt;1 MW</t>
  </si>
  <si>
    <t>Net maximum capacity - Hydro &gt;= 1 MW and &lt;= 10 MW</t>
  </si>
  <si>
    <t>Net maximum capacity - Hydro 10 MW and over</t>
  </si>
  <si>
    <t>Electrical capacity, main activity producers - Solar</t>
  </si>
  <si>
    <t>Electrical capacity, autoproducers -  Solar</t>
  </si>
  <si>
    <t>Net maximum capacity - Solar Photovoltaic</t>
  </si>
  <si>
    <t>Net maximum capacity - Solar Thermal Electric</t>
  </si>
  <si>
    <t>Net maximum capacity - Municipal Wastes</t>
  </si>
  <si>
    <t>Net maximum capacity - Wood/Wood Wastes/Other Solid Wastes</t>
  </si>
  <si>
    <t>Net maximum capacity - Industrial Wastes (non-renewable)</t>
  </si>
  <si>
    <t>Electrical capacity, main activity producers - Tide, wave and ocean</t>
  </si>
  <si>
    <t>Electrical capacity, autoproducers -  Tide, wave and ocean</t>
  </si>
  <si>
    <t>Net maximum capacity - Tide, Wave, Ocean</t>
  </si>
  <si>
    <t>Net maximum capacity - Landfill Gas</t>
  </si>
  <si>
    <t>Net maximum capacity - Sewage Sludge Gas</t>
  </si>
  <si>
    <t>Net maximum capacity - Other Biogas</t>
  </si>
  <si>
    <t>Net maximum capacity - Liquid Biofuels</t>
  </si>
  <si>
    <t>Electrical capacity, main activity producers - Other Type of Generation</t>
  </si>
  <si>
    <t>Electrical capacity, autoproducers -  Other Type of Generation</t>
  </si>
  <si>
    <t>Combustible Fuels</t>
  </si>
  <si>
    <t>CHECK</t>
  </si>
  <si>
    <t>Germany Main and Autoproducer CHP</t>
  </si>
  <si>
    <t>France Main and Autoproducer CHP</t>
  </si>
  <si>
    <t>Max waste</t>
  </si>
  <si>
    <t>Waste to be moved</t>
  </si>
  <si>
    <t>Waste corrected</t>
  </si>
  <si>
    <t>Total CHP</t>
  </si>
  <si>
    <t>Elec Only Autoproducers AFA</t>
  </si>
  <si>
    <t>Total Elec Only (no Ren)</t>
  </si>
  <si>
    <t>Total Auto Thermal Plants</t>
  </si>
  <si>
    <t xml:space="preserve">Solar </t>
  </si>
  <si>
    <t>Electricity Only (thermal Plants)</t>
  </si>
  <si>
    <t>Electricity Only (thermal + Renewables)</t>
  </si>
  <si>
    <t>ELECTRICAL CAPACITY</t>
  </si>
  <si>
    <t>Total Capacity</t>
  </si>
  <si>
    <t>Maximun Autoproducers CHP capacity</t>
  </si>
  <si>
    <t>Minumun Autoproducers Elec Only Capacity</t>
  </si>
  <si>
    <t>Thermal</t>
  </si>
  <si>
    <t>Elec Only Autoproducers Efficiency (Thermal)</t>
  </si>
  <si>
    <t xml:space="preserve">Extra Capacity for Elec Only </t>
  </si>
  <si>
    <t>Maximun Autoproducers CHP capacity (considering Only Elec AFA)</t>
  </si>
  <si>
    <t>Minimun Autoproducers Elec Only Capacity</t>
  </si>
  <si>
    <t>Added Capacity in CHP AFA iteration</t>
  </si>
  <si>
    <t>Extra Capacity for AFA = 0.9</t>
  </si>
  <si>
    <t>Overall Calculations</t>
  </si>
  <si>
    <t>Country AFA</t>
  </si>
  <si>
    <t>Renewable AFA</t>
  </si>
  <si>
    <t>[OEA] Minimun Capacity</t>
  </si>
  <si>
    <t>[CHPA] Minimun AFA</t>
  </si>
  <si>
    <t>[CHPA] Maximun Capacity</t>
  </si>
  <si>
    <t>Elec Only Autoproducers Capacity (GW) before iteration [EOA-AFA]</t>
  </si>
  <si>
    <t>Elec Only Autoproducers Capacity (GW) adjusted with [EOA-AFA]</t>
  </si>
  <si>
    <t>Elec Only Autoproducers AFA adjusted [EOA-AFA]</t>
  </si>
  <si>
    <t>Elec Only Autoproducers Capacity (GW) adjusted with [EOA-AFA and final CHP]</t>
  </si>
  <si>
    <t>Elec Only Autoproducers AFA adjusted with [EOA-AFA and final CHP]</t>
  </si>
  <si>
    <t>of which Refinery Gas</t>
  </si>
  <si>
    <t>of which Derived Gases</t>
  </si>
  <si>
    <t>aux row</t>
  </si>
  <si>
    <t>Autoproducers CHP Sectors Allocation</t>
  </si>
  <si>
    <t>Generic Autoproducers CHP Allocation by Fuel</t>
  </si>
  <si>
    <t>Calculation</t>
  </si>
  <si>
    <t>Calculation  (C1)</t>
  </si>
  <si>
    <t>Calculation based on C1</t>
  </si>
  <si>
    <t>Calculation Adjusting C1 (C2)</t>
  </si>
  <si>
    <t>Calculation Adjusting C2 (C3)</t>
  </si>
  <si>
    <t>Calculation based on C3</t>
  </si>
  <si>
    <t>Iteration calculation</t>
  </si>
  <si>
    <t>AUTOPRODUCERS ELECTRICITY PRODUCTION ONLY [EOA]</t>
  </si>
  <si>
    <t>CHP heat Production (PJ)</t>
  </si>
  <si>
    <t>2002-2005</t>
  </si>
  <si>
    <t xml:space="preserve">Eurostat </t>
  </si>
  <si>
    <t xml:space="preserve">Loesoenen </t>
  </si>
  <si>
    <t>Auto CHP ISI Consumption  est</t>
  </si>
  <si>
    <t>Auto CHP Chemical consumption  est</t>
  </si>
  <si>
    <t>Auto CHP Paper conumption  est</t>
  </si>
  <si>
    <t>Auto CHP Refineries consumption  est</t>
  </si>
  <si>
    <t>Auto CHP Others consumption  est</t>
  </si>
  <si>
    <t xml:space="preserve">Elec Only Autoproducers Electricity Net Generation (PJ) </t>
  </si>
  <si>
    <t>YEAR (Default is 2005)</t>
  </si>
  <si>
    <t xml:space="preserve"> Fuel Input (PJ)</t>
  </si>
  <si>
    <t xml:space="preserve"> Gross ELC production (PJ)</t>
  </si>
  <si>
    <t xml:space="preserve"> Heat production (PJ)</t>
  </si>
  <si>
    <t xml:space="preserve"> AFA</t>
  </si>
  <si>
    <t xml:space="preserve"> Electricital Capacity corrected AFA CHP</t>
  </si>
  <si>
    <t xml:space="preserve"> Heat Capacity</t>
  </si>
  <si>
    <t xml:space="preserve"> CHPR</t>
  </si>
  <si>
    <t xml:space="preserve"> AFA corrected</t>
  </si>
  <si>
    <t xml:space="preserve"> Overall Efficiency corrected</t>
  </si>
  <si>
    <t xml:space="preserve"> Electrical Efficiency</t>
  </si>
  <si>
    <t>ELC Net Capacity  (GW)  (EOA iteration)</t>
  </si>
  <si>
    <t>Maximun capacity (discounting renewable capacity)</t>
  </si>
  <si>
    <t xml:space="preserve">Electrical net Capacity (GW) </t>
  </si>
  <si>
    <t>Fuel Input (PJ)</t>
  </si>
  <si>
    <t>Electricity Net Generation (PJ)</t>
  </si>
  <si>
    <t xml:space="preserve">HEAT net production </t>
  </si>
  <si>
    <t>ELC Net Capacity (GW)</t>
  </si>
  <si>
    <t>HEAT Net Capacity (GW)</t>
  </si>
  <si>
    <t>Heat Net Generation (PJ)</t>
  </si>
  <si>
    <t xml:space="preserve">Total Input (for ELCpart and heat sold) </t>
  </si>
  <si>
    <t>AFA (with EOA iteration capacity)</t>
  </si>
  <si>
    <t>Growth Ratio -05</t>
  </si>
  <si>
    <t>Heat production</t>
  </si>
  <si>
    <t>ISI</t>
  </si>
  <si>
    <t>Total consumption</t>
  </si>
  <si>
    <t>Total fuel consumption</t>
  </si>
  <si>
    <t>Net Electricity Gen</t>
  </si>
  <si>
    <t>Autoproducers TOTAL (CHP and ELE only)</t>
  </si>
  <si>
    <t>Net Electricity Capacity GW</t>
  </si>
  <si>
    <t>CHECK: Net Electricity Capacity autoprod (assumption)</t>
  </si>
  <si>
    <t>CHECK Net Electricity Gen (assumption)</t>
  </si>
  <si>
    <t>CHECK CHPR (assumption)</t>
  </si>
  <si>
    <t>Eurostat most recent</t>
  </si>
  <si>
    <t xml:space="preserve">Gross ELC production by Autoprod </t>
  </si>
  <si>
    <t>Eurostat from JRC-EU-TIMES</t>
  </si>
  <si>
    <t xml:space="preserve">Fuel input (for ELCpart and heat sold) </t>
  </si>
  <si>
    <t>Fuel consumption</t>
  </si>
  <si>
    <t>Electricity Only Autoproducers Allocation by fuel</t>
  </si>
  <si>
    <t>CHP TOTAL (Main Activity + Autoproducer)</t>
  </si>
  <si>
    <t>Fuel Input  (PJ)</t>
  </si>
  <si>
    <t>Total fuel input</t>
  </si>
  <si>
    <t>Fuel Input (PJ)   (heat sold + ele)</t>
  </si>
  <si>
    <t xml:space="preserve">Fuel Input (heat sold + ele) </t>
  </si>
  <si>
    <t>CHP Main Activity</t>
  </si>
  <si>
    <t>CHP Autoproducers [CHPA]</t>
  </si>
  <si>
    <t>Sector allocatiuon of the quantity to be subtracted (Fuel)</t>
  </si>
  <si>
    <t>Check (total fuel - allocation)</t>
  </si>
  <si>
    <t>of which coal</t>
  </si>
  <si>
    <t>AEO</t>
  </si>
  <si>
    <t>ACHP</t>
  </si>
  <si>
    <t>of which LFO</t>
  </si>
  <si>
    <t>of which HFO</t>
  </si>
  <si>
    <t>of which Other Petroleum</t>
  </si>
  <si>
    <t>Share low</t>
  </si>
  <si>
    <t>Share up coal</t>
  </si>
  <si>
    <t>Share up BFG</t>
  </si>
  <si>
    <t>Share up COG</t>
  </si>
  <si>
    <t>Derived Gases of which COG</t>
  </si>
  <si>
    <t>Derived Gases of which  BFG</t>
  </si>
  <si>
    <t xml:space="preserve">Derived heat: Derived heat covers the total heat production in heating plants and in combined heat and power plants. It includes the heat used by the auxiliaries of the installation which use hot fluid (space heating, liquid fuel heating, etc.) and losses in the installation/network heat exchanges. For autoproducing entities (= entities generating electricity and/or heat wholly or partially for their own use as an activity which supports their primary activity) the heat used by the undertaking for its own processes is not included. 
</t>
  </si>
  <si>
    <t>Output from autoproducers' thermal power stations covers gross electricity generated and any heat also sold to third parties (Combined heat and power plants) by autoproducer thermal power stations. Autoproducer thermal power stations generate electricity (and heat) wholly or partly for their use as an activity, which supports their primary activity. The gross electricity generation is measured at the outlet of the main transformers, i.e. the consumption of electricity in the plant auxiliaries and in transformers is included.</t>
  </si>
  <si>
    <t xml:space="preserve">Output from autoproducers' thermal power stations (Code 101122) </t>
  </si>
  <si>
    <t>European Union (25 countries)</t>
  </si>
  <si>
    <t>European Union (15 countries)</t>
  </si>
  <si>
    <t>New Member States (10 countries)</t>
  </si>
  <si>
    <t>Euro area (EA11-2000, EA12-2006, EA13-2007, EA15-2008, EA16-2010, EA17)</t>
  </si>
  <si>
    <t>Euro area (17 countries)</t>
  </si>
  <si>
    <t>Euro area (16 countries)</t>
  </si>
  <si>
    <t>Euro area (15 countries)</t>
  </si>
  <si>
    <t>Euro area (13 countries)</t>
  </si>
  <si>
    <t>Euro area (12 countries)</t>
  </si>
  <si>
    <t>Gross heat production Main activity CHP plants - Nuclear</t>
  </si>
  <si>
    <t>Gross heat production Main activity heat only plants - Nuclear</t>
  </si>
  <si>
    <t>Gross heat production Autoproducer CHP plants - Nuclear</t>
  </si>
  <si>
    <t>Gross heat production Autoproducer heat only plants - Nuclear</t>
  </si>
  <si>
    <t>Gross heat production Main activity CHP plants - Geothermal</t>
  </si>
  <si>
    <t>Gross heat production Main activity heat only plants - Geothermal</t>
  </si>
  <si>
    <t>Gross heat production Autoproducer CHP plants - Geothermal</t>
  </si>
  <si>
    <t>Gross heat production Autoproducer heat only plants - Geothermal</t>
  </si>
  <si>
    <t>Gross heat production Main activity CHP plants - Solar</t>
  </si>
  <si>
    <t>Gross heat production Main activity heat only plants - Solar</t>
  </si>
  <si>
    <t>Gross heat production Autoproducer CHP plants - Solar</t>
  </si>
  <si>
    <t>Gross heat production Autoproducer heat only plants - Solar</t>
  </si>
  <si>
    <t>Gross heat production Main activity CHP plants - Combustible Fuels</t>
  </si>
  <si>
    <t>Gross heat production Main activity heat only plants - Combustible Fuels</t>
  </si>
  <si>
    <t>Gross heat production Autoproducer CHP plants - Combustible Fuels</t>
  </si>
  <si>
    <t>Gross heat production Autoproducer heat only plants - Combustible Fuels</t>
  </si>
  <si>
    <t>Gross heat production Main activity CHP plants - Heat Pumps</t>
  </si>
  <si>
    <t>Gross heat production Main activity heat only plants - Heat Pumps</t>
  </si>
  <si>
    <t>Gross heat production Autoproducer CHP plants - Heat Pumps</t>
  </si>
  <si>
    <t>Gross heat production Autoproducer heat only plants - Heat Pumps</t>
  </si>
  <si>
    <t>Gross heat production Main activity CHP plants - Electric Boilers</t>
  </si>
  <si>
    <t>Gross heat production Main activity heat only plants - Electric Boilers</t>
  </si>
  <si>
    <t>Gross heat production Autoproducer CHP plants - Electric Boilers</t>
  </si>
  <si>
    <t>Gross heat production Autoproducer heat only plants - Electric Boilers</t>
  </si>
  <si>
    <t>Gross heat production Autoproducer CHP plants - Heat from Chemical Sources</t>
  </si>
  <si>
    <t>Gross heat production Autoproducer heat only plants - Heat from Chemical Sources</t>
  </si>
  <si>
    <t>Gross heat production Main activity CHP plants - Other Sources</t>
  </si>
  <si>
    <t>Gross heat production Main activity heat only plants - Other Sources</t>
  </si>
  <si>
    <t>Gross heat production Autoproducer CHP plants - Other Sources</t>
  </si>
  <si>
    <t>Gross heat production Autoproducer heat only plants - Other Sources</t>
  </si>
  <si>
    <t>Gross heat production Main activity CHP plants - Anthracite</t>
  </si>
  <si>
    <t>Gross heat production Main activity heat only plants - Anthracite</t>
  </si>
  <si>
    <t>Gross heat production Autoproducer CHP plants - Anthracite</t>
  </si>
  <si>
    <t>Gross heat production Autoproducer heat only plants - Anthracite</t>
  </si>
  <si>
    <t>Gross heat production Main activity CHP plants - Coking Coal</t>
  </si>
  <si>
    <t>Gross heat production Main activity heat only plants - Coking Coal</t>
  </si>
  <si>
    <t>Gross heat production Autoproducer CHP plants - Coking Coal</t>
  </si>
  <si>
    <t>Gross heat production Autoproducer heat only plants - Coking Coal</t>
  </si>
  <si>
    <t>Gross heat production Main activity CHP plants - Other Bituminous Coal</t>
  </si>
  <si>
    <t>Gross heat production Main activity heat only plants - Other Bituminous Coal</t>
  </si>
  <si>
    <t>Gross heat production Autoproducer CHP plants - Other Bituminous Coal</t>
  </si>
  <si>
    <t>Gross heat production Autoproducer heat only plants - Other Bituminous Coal</t>
  </si>
  <si>
    <t>Gross heat production Main activity CHP plants - Sub-Bituminous Coal</t>
  </si>
  <si>
    <t>Gross heat production Main activity heat only plants - Sub-Bituminous Coal</t>
  </si>
  <si>
    <t>Gross heat production Autoproducer CHP plants - Sub-Bituminous Coal</t>
  </si>
  <si>
    <t>Gross heat production Autoproducer heat only plants - Sub-Bituminous Coal</t>
  </si>
  <si>
    <t>Gross heat production Main activity CHP plants - Lignite/Brown Coal</t>
  </si>
  <si>
    <t>Gross heat production Main activity heat only plants - Lignite/Brown Coal</t>
  </si>
  <si>
    <t>Gross heat production Autoproducer CHP plants - Lignite/Brown Coal</t>
  </si>
  <si>
    <t>Gross heat production Autoproducer heat only plants - Lignite/Brown Coal</t>
  </si>
  <si>
    <t>Gross heat production Main activity CHP plants - Peat</t>
  </si>
  <si>
    <t>Gross heat production Main activity heat only plants - Peat</t>
  </si>
  <si>
    <t>Gross heat production Autoproducer CHP plants - Peat</t>
  </si>
  <si>
    <t>Gross heat production Autoproducer heat only plants - Peat</t>
  </si>
  <si>
    <t>Gross heat production Main activity CHP plants - Patent Fuel</t>
  </si>
  <si>
    <t>Gross heat production Main activity heat only plants - Patent Fuel</t>
  </si>
  <si>
    <t>Gross heat production Autoproducer CHP plants - Patent Fuel</t>
  </si>
  <si>
    <t>Gross heat production Autoproducer heat only plants - Patent Fuel</t>
  </si>
  <si>
    <t>Gross heat production Main activity CHP plants - Coke Oven Coke</t>
  </si>
  <si>
    <t>Gross heat production Main activity heat only plants - Coke Oven Coke</t>
  </si>
  <si>
    <t>Gross heat production Autoproducer CHP plants - Coke Oven Coke</t>
  </si>
  <si>
    <t>Gross heat production Autoproducer heat only plants - Coke Oven Coke</t>
  </si>
  <si>
    <t>Gross heat production Main activity CHP plants - Gas Coke</t>
  </si>
  <si>
    <t>Gross heat production Main activity heat only plants - Gas Coke</t>
  </si>
  <si>
    <t>Gross heat production Autoproducer CHP plants - Gas Coke</t>
  </si>
  <si>
    <t>Gross heat production Autoproducer heat only plants - Gas Coke</t>
  </si>
  <si>
    <t>Gross heat production Main activity CHP plants - Coal Tar</t>
  </si>
  <si>
    <t>Gross heat production Main activity heat only plants - Coal Tar</t>
  </si>
  <si>
    <t>Gross heat production Autoproducer CHP plants - Coal Tar</t>
  </si>
  <si>
    <t>Gross heat production Autoproducer heat only plants - Coal Tar</t>
  </si>
  <si>
    <t>Gross heat production Main activity CHP plants - BKB / Peat Briquettes</t>
  </si>
  <si>
    <t>Gross heat production Main activity heat only plants - BKB / Peat Briquettes</t>
  </si>
  <si>
    <t>Gross heat production Autoproducer CHP plants - BKB / Peat Briquettes</t>
  </si>
  <si>
    <t>Gross heat production Autoproducer heat only plants - BKB / Peat Briquettes</t>
  </si>
  <si>
    <t>Gross heat production Main activity CHP plants - Gas Works Gas</t>
  </si>
  <si>
    <t>Gross heat production Main activity heat only plants - Gas Works Gas</t>
  </si>
  <si>
    <t>Gross heat production Autoproducer CHP plants - Gas Works Gas</t>
  </si>
  <si>
    <t>Gross heat production Autoproducer heat only plants - Gas Works Gas</t>
  </si>
  <si>
    <t>Gross heat production Main activity CHP plants - Coke Oven Gas</t>
  </si>
  <si>
    <t>Gross heat production Main activity heat only plants - Coke Oven Gas</t>
  </si>
  <si>
    <t>Gross heat production Autoproducer CHP plants - Coke Oven Gas</t>
  </si>
  <si>
    <t>Gross heat production Autoproducer heat only plants - Coke Oven Gas</t>
  </si>
  <si>
    <t>Gross heat production Main activity CHP plants - Blast Furnace Gas</t>
  </si>
  <si>
    <t>Gross heat production Main activity heat only plants - Blast Furnace Gas</t>
  </si>
  <si>
    <t>Gross heat production Autoproducer CHP plants - Blast Furnace Gas</t>
  </si>
  <si>
    <t>Gross heat production Autoproducer heat only plants - Blast Furnace Gas</t>
  </si>
  <si>
    <t>Gross heat production Main activity CHP plants - Oxygen Steel Furnace Gas</t>
  </si>
  <si>
    <t>Gross heat production Main activity heat only plants - Oxygen Steel Furnace Gas</t>
  </si>
  <si>
    <t>Gross heat production Autoproducer CHP plants - Oxygen Steel Furnace Gas</t>
  </si>
  <si>
    <t>Gross heat production Autoproducer heat only plants - Oxygen Steel Furnace Gas</t>
  </si>
  <si>
    <t>Gross heat production Main activity CHP plants - Crude Oil</t>
  </si>
  <si>
    <t>Gross heat production Main activity heat only plants - Crude Oil</t>
  </si>
  <si>
    <t>Gross heat production Autoproducer CHP plants - Crude Oil</t>
  </si>
  <si>
    <t>Gross heat production Autoproducer heat only plants - Crude Oil</t>
  </si>
  <si>
    <t>Gross heat production Main activity CHP plants - NGL (Natural Gas Liquids)</t>
  </si>
  <si>
    <t>Gross heat production Main activity heat only plants - NGL (Natural Gas Liquids)</t>
  </si>
  <si>
    <t>Gross heat production Autoproducer CHP plants - NGL (Natural Gas Liquids)</t>
  </si>
  <si>
    <t>Gross heat production Autoproducer heat only plants - NGL (Natural Gas Liquids)</t>
  </si>
  <si>
    <t>Gross heat production Main activity CHP plants - Refinery Gas</t>
  </si>
  <si>
    <t>Gross heat production Main activity heat only plants - Refinery Gas</t>
  </si>
  <si>
    <t>Gross heat production Autoproducer CHP plants - Refinery Gas</t>
  </si>
  <si>
    <t>Gross heat production Autoproducer heat only plants - Refinery Gas</t>
  </si>
  <si>
    <t>Gross heat production Main activity CHP plants - LPG (Liquefied Petroleum Gases)</t>
  </si>
  <si>
    <t>Gross heat production Main activity heat only plants - LPG (Liquefied Petroleum Gases)</t>
  </si>
  <si>
    <t>Gross heat production Autoproducer CHP plants - LPG (Liquefied Petroleum Gases)</t>
  </si>
  <si>
    <t>Gross heat production Autoproducer heat only plants - LPG (Liquefied Petroleum Gases)</t>
  </si>
  <si>
    <t>Gross heat production Main activity CHP plants - Naphtha</t>
  </si>
  <si>
    <t>Gross heat production Main activity heat only plants - Naphtha</t>
  </si>
  <si>
    <t>Gross heat production Autoproducer CHP plants - Naphtha</t>
  </si>
  <si>
    <t>Gross heat production Autoproducer heat only plants - Naphtha</t>
  </si>
  <si>
    <t>Gross heat production Main activity CHP plants - Kerosene Type Jet Fuel</t>
  </si>
  <si>
    <t>Gross heat production Main activity heat only plants - Kerosene Type Jet Fuel</t>
  </si>
  <si>
    <t>Gross heat production Autoproducer CHP plants - Kerosene Type Jet Fuel</t>
  </si>
  <si>
    <t>Gross heat production Autoproducer heat only plants - Kerosene Type Jet Fuel</t>
  </si>
  <si>
    <t>Gross heat production Main activity CHP plants - Other Kerosene</t>
  </si>
  <si>
    <t>Gross heat production Main activity heat only plants - Other Kerosene</t>
  </si>
  <si>
    <t>Gross heat production Autoproducer CHP plants - Other Kerosene</t>
  </si>
  <si>
    <t>Gross heat production Autoproducer heat only plants - Other Kerosene</t>
  </si>
  <si>
    <t>Gross heat production Main activity CHP plants - Gas / Diesel Oil</t>
  </si>
  <si>
    <t>Gross heat production Main activity heat only plants - Gas / Diesel Oil</t>
  </si>
  <si>
    <t>Gross heat production Autoproducer CHP plants - Gas / Diesel Oil</t>
  </si>
  <si>
    <t>Gross heat production Autoproducer heat only plants - Gas / Diesel Oil</t>
  </si>
  <si>
    <t>Gross heat production Main activity CHP plants - Residual Fuel Oil</t>
  </si>
  <si>
    <t>Gross heat production Main activity heat only plants - Residual Fuel Oil</t>
  </si>
  <si>
    <t>Gross heat production Autoproducer CHP plants - Residual Fuel Oil</t>
  </si>
  <si>
    <t>Gross heat production Autoproducer heat only plants - Residual Fuel Oil</t>
  </si>
  <si>
    <t>Gross heat production Main activity CHP plants - Bitumen</t>
  </si>
  <si>
    <t>Gross heat production Main activity heat only plants - Bitumen</t>
  </si>
  <si>
    <t>Gross heat production Autoproducer CHP plants - Bitumen</t>
  </si>
  <si>
    <t>Gross heat production Autoproducer heat only plants - Bitumen</t>
  </si>
  <si>
    <t>Gross heat production Main activity CHP plants - Petroleum Coke</t>
  </si>
  <si>
    <t>Gross heat production Main activity heat only plants - Petroleum Coke</t>
  </si>
  <si>
    <t>Gross heat production Autoproducer CHP plants - Petroleum Coke</t>
  </si>
  <si>
    <t>Gross heat production Autoproducer heat only plants - Petroleum Coke</t>
  </si>
  <si>
    <t>Gross heat production Main activity CHP plants - Other Oil Products</t>
  </si>
  <si>
    <t>Gross heat production Main activity heat only plants - Other Oil Products</t>
  </si>
  <si>
    <t>Gross heat production Autoproducer CHP plants - Other Oil Products</t>
  </si>
  <si>
    <t>Gross heat production Autoproducer heat only plants - Other Oil Products</t>
  </si>
  <si>
    <t>Gross heat production Main activity CHP plants - Natural Gas</t>
  </si>
  <si>
    <t>Gross heat production Main activity heat only plants - Natural Gas</t>
  </si>
  <si>
    <t>Gross heat production Autoproducer CHP plants - Natural Gas</t>
  </si>
  <si>
    <t>Gross heat production Autoproducer heat only plants - Natural Gas</t>
  </si>
  <si>
    <t>Gross heat production Main activity CHP plants - Industrial Waste</t>
  </si>
  <si>
    <t>Gross heat production Main activity heat only plants - Industrial Waste</t>
  </si>
  <si>
    <t>Gross heat production Autoproducer CHP plants - Industrial Waste</t>
  </si>
  <si>
    <t>Gross heat production Autoproducer heat only plants - Industrial Waste</t>
  </si>
  <si>
    <t>Gross heat production Main activity CHP plants - Municipal Waste (Renewable)</t>
  </si>
  <si>
    <t>Gross heat production Main activity heat only plants - Municipal Waste (Renewable)</t>
  </si>
  <si>
    <t>Gross heat production Autoproducer CHP plants - Municipal Waste (Renewable)</t>
  </si>
  <si>
    <t>Gross heat production Autoproducer heat only plants - Municipal Waste (Renewable)</t>
  </si>
  <si>
    <t>Gross heat production Main activity CHP plants - Municipal Waste (Non-Renewable)</t>
  </si>
  <si>
    <t>Gross heat production Main activity heat only plants - Municipal Waste (Non-Renewable)</t>
  </si>
  <si>
    <t>Gross heat production Autoproducer CHP plants - Municipal Waste (Non-Renewable)</t>
  </si>
  <si>
    <t>Gross heat production Autoproducer heat only plants - Municipal Waste (Non-Renewable)</t>
  </si>
  <si>
    <t>Gross heat production Main activity CHP plants - Wood, Wood Wastes and Other Solid Wastes</t>
  </si>
  <si>
    <t>Gross heat production Main activity heat only plants - Wood, Wood Wastes and Other Solid Wastes</t>
  </si>
  <si>
    <t>Gross heat production Autoproducer CHP plants - Wood, Wood Wastes and Other Solid Wastes</t>
  </si>
  <si>
    <t>Gross heat production Autoproducer heat only plants - Wood, Wood Wastes and Other Solid Wastes</t>
  </si>
  <si>
    <t>Gross heat production Main activity CHP plants - Landfill Gas</t>
  </si>
  <si>
    <t>Gross heat production Main activity heat only plants - Landfill Gas</t>
  </si>
  <si>
    <t>Gross heat production Autoproducer CHP plants - Landfill Gas</t>
  </si>
  <si>
    <t>Gross heat production Autoproducer heat only plants - Landfill Gas</t>
  </si>
  <si>
    <t>Gross heat production Main activity CHP plants - Sludge Gas</t>
  </si>
  <si>
    <t>Gross heat production Main activity heat only plants - Sludge Gas</t>
  </si>
  <si>
    <t>Gross heat production Autoproducer CHP plants - Sludge Gas</t>
  </si>
  <si>
    <t>Gross heat production Autoproducer heat only plants - Sludge Gas</t>
  </si>
  <si>
    <t>Gross heat production Main activity CHP plants - Other Biogas</t>
  </si>
  <si>
    <t>Gross heat production Main activity heat only plants - Other Biogas</t>
  </si>
  <si>
    <t>Gross heat production Autoproducer CHP plants - Other Biogas</t>
  </si>
  <si>
    <t>Gross heat production Autoproducer heat only plants - Other Biogas</t>
  </si>
  <si>
    <t>Gross heat production Main activity CHP plants - Other Liquid Biofuels</t>
  </si>
  <si>
    <t>Gross heat production Main activity heat only plants - Other Liquid Biofuels</t>
  </si>
  <si>
    <t>Gross heat production Autoproducer CHP plants - Other Liquid Biofuels</t>
  </si>
  <si>
    <t>Gross heat production Autoproducer heat only plants - Other Liquid Biofuels</t>
  </si>
  <si>
    <t>Imports</t>
  </si>
  <si>
    <t>Exports</t>
  </si>
  <si>
    <t>Gross inland Consumption</t>
  </si>
  <si>
    <t>Consumption in Energy Sector</t>
  </si>
  <si>
    <t>Consumption in Oil and gas extraction</t>
  </si>
  <si>
    <t>Consumption in Petroleum Refineries</t>
  </si>
  <si>
    <t>Consumption in Nuclear industry</t>
  </si>
  <si>
    <t>Consumption in Coal Mines</t>
  </si>
  <si>
    <t>Consumption in Patent Fuel Plants</t>
  </si>
  <si>
    <t>Consumption in Coke Ovens</t>
  </si>
  <si>
    <t>Consumption in BKB / PB Plants</t>
  </si>
  <si>
    <t>Consumption in Gas Works</t>
  </si>
  <si>
    <t>Consumption in Blast Furnaces</t>
  </si>
  <si>
    <t>Consumption in Coal Liquefaction Plants</t>
  </si>
  <si>
    <t>Consumption in Liquefaction (LNG) / regasification plants</t>
  </si>
  <si>
    <t>Consumption in Gasification plants for biogas</t>
  </si>
  <si>
    <t>Consumption in Gas-to-liquids (GTL) plants (energy)</t>
  </si>
  <si>
    <t>Consumption in Non-specified (Energy)</t>
  </si>
  <si>
    <t>Consumption in Charcoal production plants (Energy)</t>
  </si>
  <si>
    <t>Distribution Losses</t>
  </si>
  <si>
    <t>Energy Available for Final Consumption</t>
  </si>
  <si>
    <t>Final Energy Consumption</t>
  </si>
  <si>
    <t>Final Energy Consumption - Industry</t>
  </si>
  <si>
    <t>Non-Ferrous Metals</t>
  </si>
  <si>
    <t>Chemical and Petrochemical</t>
  </si>
  <si>
    <t>Non-Metallic Minerals</t>
  </si>
  <si>
    <t>Mining and Quarrying</t>
  </si>
  <si>
    <t>Food and Tobacco</t>
  </si>
  <si>
    <t>Textile and Leather</t>
  </si>
  <si>
    <t>Paper, Pulp and Print</t>
  </si>
  <si>
    <t>Transport Equipment</t>
  </si>
  <si>
    <t>Machinery</t>
  </si>
  <si>
    <t>Wood and Wood Products</t>
  </si>
  <si>
    <t>Construction</t>
  </si>
  <si>
    <t>Non-specified (Industry)</t>
  </si>
  <si>
    <t>Final Energy Consumption - Other Sectors</t>
  </si>
  <si>
    <t>Residential</t>
  </si>
  <si>
    <t>Fishing</t>
  </si>
  <si>
    <t>Agriculture/Forestry</t>
  </si>
  <si>
    <t>Services</t>
  </si>
  <si>
    <t>Non-specified (Other)</t>
  </si>
  <si>
    <t>Statistical Difference</t>
  </si>
  <si>
    <t>FUEL IN</t>
  </si>
  <si>
    <t>From formulas</t>
  </si>
  <si>
    <t>Derived gas</t>
  </si>
  <si>
    <t xml:space="preserve">Total "Autorproducer CHP" capacity by region and by fuel </t>
  </si>
  <si>
    <t>Total "Autoproducers Electricity only" capacity by region and fuel</t>
  </si>
  <si>
    <t>ELC</t>
  </si>
  <si>
    <t>Consumption</t>
  </si>
  <si>
    <t>Gas consumption in BY templates</t>
  </si>
  <si>
    <t>Originall from Eurostat</t>
  </si>
  <si>
    <t>aux CH Heat Gen</t>
  </si>
  <si>
    <t>aux CH heat Capacity</t>
  </si>
  <si>
    <t>aux CH Fuel Input</t>
  </si>
  <si>
    <t>Ratio Heat sold/ Heat generation</t>
  </si>
  <si>
    <t>Ratio Heat Generation/ Heat Capacity</t>
  </si>
  <si>
    <t>Ratio Fuel Input (heat sold + ele) / Fuel Input</t>
  </si>
  <si>
    <t>EU30</t>
  </si>
  <si>
    <t>Total fuel input (heat used on site)</t>
  </si>
  <si>
    <t>Check ratio heat used on site</t>
  </si>
  <si>
    <t>Fuel Consumption (heat in-use)</t>
  </si>
  <si>
    <t>Fuel Consumption (heat in-use) From formulas</t>
  </si>
  <si>
    <t>Heat to be added in Final Consumption (heat used on site)</t>
  </si>
  <si>
    <t>Heat Allocation by Sector (heat used on site)</t>
  </si>
  <si>
    <t>Eurostat corrected</t>
  </si>
  <si>
    <t>Heat used on site (PJ)</t>
  </si>
  <si>
    <t>Gas - Refineries</t>
  </si>
  <si>
    <t>adjustment gas alloc between sectors REF</t>
  </si>
  <si>
    <t>Fuel Consumption (ele + heat sold)</t>
  </si>
  <si>
    <t>CHECK calculation Absolute</t>
  </si>
  <si>
    <t>CHECK calculation Relative</t>
  </si>
  <si>
    <t>Heat Net Generation (PJ) corrected</t>
  </si>
  <si>
    <t>Heat sold (PJ) - this creates problems as fuel input allocoated to ELE + heat sold is too high.</t>
  </si>
  <si>
    <t xml:space="preserve"> Heat sold - share - Eurostat</t>
  </si>
  <si>
    <t xml:space="preserve"> Heat sold - share - corrected</t>
  </si>
  <si>
    <t>Explanation: Fuel allocated to ELE and heat sold are coming from Eurostat.</t>
  </si>
  <si>
    <t>For the "fuel all.to heat used on site" and for the "heat used on site" we are free…</t>
  </si>
  <si>
    <t>Heat sold (PJ) -  corrected - does not affect fuel consumption</t>
  </si>
  <si>
    <t>With this approach, both heat and fuel consumption are consistent with LOESOENEN 2002</t>
  </si>
  <si>
    <t>HEAT used on site</t>
  </si>
  <si>
    <t>REFHTH</t>
  </si>
  <si>
    <t>[GWe]</t>
  </si>
  <si>
    <t>For calibration</t>
  </si>
  <si>
    <t>***FI_Process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</si>
</sst>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5" formatCode="&quot;$&quot;#,##0_);\(&quot;$&quot;#,##0\)"/>
    <numFmt numFmtId="164" formatCode="_-* #,##0.00_-;\-* #,##0.00_-;_-* &quot;-&quot;??_-;_-@_-"/>
    <numFmt numFmtId="165" formatCode="_-* #,##0_-;\-* #,##0_-;_-* &quot;-&quot;_-;_-@_-"/>
    <numFmt numFmtId="166" formatCode="0.0%"/>
    <numFmt numFmtId="167" formatCode="_-&quot;$&quot;* #,##0.00_-;\-&quot;$&quot;* #,##0.00_-;_-&quot;$&quot;* &quot;-&quot;??_-;_-@_-"/>
    <numFmt numFmtId="168" formatCode="_([$€]* #,##0.00_);_([$€]* \(#,##0.00\);_([$€]* &quot;-&quot;??_);_(@_)"/>
    <numFmt numFmtId="169" formatCode="_([$€-2]* #,##0.00_);_([$€-2]* \(#,##0.00\);_([$€-2]* &quot;-&quot;??_)"/>
    <numFmt numFmtId="170" formatCode="General_)"/>
    <numFmt numFmtId="171" formatCode="0.000"/>
    <numFmt numFmtId="172" formatCode="0.0"/>
    <numFmt numFmtId="173" formatCode="0.0000"/>
    <numFmt numFmtId="174" formatCode="0.00000"/>
    <numFmt numFmtId="176" formatCode="#0"/>
    <numFmt numFmtId="178" formatCode="dd\.mm\.yy"/>
    <numFmt numFmtId="179" formatCode="#,##0.0000"/>
  </numFmts>
  <fonts count="101">
    <font>
      <sz val="10"/>
      <name val="Arial"/>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10"/>
      <name val="Calibri"/>
      <family val="2"/>
    </font>
    <font>
      <b/>
      <sz val="11"/>
      <color indexed="9"/>
      <name val="Calibri"/>
      <family val="2"/>
    </font>
    <font>
      <sz val="10"/>
      <name val="Arial"/>
      <family val="2"/>
    </font>
    <font>
      <sz val="10"/>
      <name val="MS Sans Serif"/>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sz val="11"/>
      <color indexed="62"/>
      <name val="Calibri"/>
      <family val="2"/>
    </font>
    <font>
      <sz val="11"/>
      <color indexed="52"/>
      <name val="Calibri"/>
      <family val="2"/>
    </font>
    <font>
      <sz val="11"/>
      <color indexed="10"/>
      <name val="Calibri"/>
      <family val="2"/>
    </font>
    <font>
      <sz val="11"/>
      <color indexed="60"/>
      <name val="Calibri"/>
      <family val="2"/>
    </font>
    <font>
      <sz val="11"/>
      <color indexed="19"/>
      <name val="Calibri"/>
      <family val="2"/>
    </font>
    <font>
      <sz val="8"/>
      <name val="Helv"/>
    </font>
    <font>
      <sz val="10"/>
      <name val="Courier"/>
      <family val="3"/>
    </font>
    <font>
      <b/>
      <sz val="11"/>
      <color indexed="63"/>
      <name val="Calibri"/>
      <family val="2"/>
    </font>
    <font>
      <b/>
      <sz val="18"/>
      <color indexed="56"/>
      <name val="Cambria"/>
      <family val="2"/>
    </font>
    <font>
      <b/>
      <sz val="18"/>
      <color indexed="62"/>
      <name val="Cambria"/>
      <family val="2"/>
    </font>
    <font>
      <b/>
      <sz val="11"/>
      <color indexed="8"/>
      <name val="Calibri"/>
      <family val="2"/>
    </font>
    <font>
      <u/>
      <sz val="12"/>
      <color indexed="20"/>
      <name val="宋体"/>
      <charset val="134"/>
    </font>
    <font>
      <sz val="10"/>
      <color indexed="10"/>
      <name val="Arial"/>
      <family val="2"/>
    </font>
    <font>
      <sz val="14"/>
      <color indexed="9"/>
      <name val="Arial"/>
      <family val="2"/>
    </font>
    <font>
      <sz val="10"/>
      <color indexed="9"/>
      <name val="Arial"/>
      <family val="2"/>
    </font>
    <font>
      <b/>
      <sz val="10"/>
      <name val="Arial"/>
      <family val="2"/>
    </font>
    <font>
      <b/>
      <sz val="9"/>
      <color indexed="81"/>
      <name val="Tahoma"/>
      <family val="2"/>
    </font>
    <font>
      <sz val="9"/>
      <color indexed="81"/>
      <name val="Tahoma"/>
      <family val="2"/>
    </font>
    <font>
      <b/>
      <sz val="12"/>
      <color indexed="8"/>
      <name val="Calibri"/>
      <family val="2"/>
    </font>
    <font>
      <sz val="12"/>
      <color indexed="8"/>
      <name val="Calibri"/>
      <family val="2"/>
    </font>
    <font>
      <sz val="10"/>
      <color indexed="10"/>
      <name val="Arial"/>
      <family val="2"/>
    </font>
    <font>
      <sz val="8"/>
      <color indexed="81"/>
      <name val="Tahoma"/>
      <family val="2"/>
    </font>
    <font>
      <b/>
      <sz val="8"/>
      <color indexed="81"/>
      <name val="Tahoma"/>
      <family val="2"/>
    </font>
    <font>
      <b/>
      <sz val="14"/>
      <color indexed="12"/>
      <name val="Arial"/>
      <family val="2"/>
    </font>
    <font>
      <sz val="11"/>
      <color indexed="9"/>
      <name val="Arial"/>
      <family val="2"/>
    </font>
    <font>
      <b/>
      <sz val="10"/>
      <color indexed="12"/>
      <name val="Arial"/>
      <family val="2"/>
    </font>
    <font>
      <b/>
      <sz val="11"/>
      <color indexed="10"/>
      <name val="Arial"/>
      <family val="2"/>
    </font>
    <font>
      <sz val="11"/>
      <name val="Arial"/>
      <family val="2"/>
    </font>
    <font>
      <sz val="11"/>
      <color indexed="8"/>
      <name val="Calibri"/>
      <family val="2"/>
    </font>
    <font>
      <b/>
      <sz val="11"/>
      <name val="Arial"/>
      <family val="2"/>
    </font>
    <font>
      <sz val="12"/>
      <color indexed="9"/>
      <name val="Arial"/>
      <family val="2"/>
    </font>
    <font>
      <b/>
      <sz val="11"/>
      <name val="Calibri"/>
      <family val="2"/>
    </font>
    <font>
      <sz val="11"/>
      <name val="Calibri"/>
      <family val="2"/>
    </font>
    <font>
      <sz val="9"/>
      <color indexed="10"/>
      <name val="Tahoma"/>
      <family val="2"/>
    </font>
    <font>
      <sz val="10"/>
      <name val="Arial"/>
      <family val="2"/>
    </font>
    <font>
      <b/>
      <sz val="10"/>
      <color indexed="12"/>
      <name val="Arial Narrow"/>
      <family val="2"/>
    </font>
    <font>
      <sz val="10"/>
      <name val="Arial Narrow"/>
      <family val="2"/>
    </font>
    <font>
      <b/>
      <sz val="10"/>
      <name val="Arial Narrow"/>
      <family val="2"/>
    </font>
    <font>
      <sz val="9"/>
      <name val="Arial"/>
      <family val="2"/>
    </font>
    <font>
      <sz val="10"/>
      <color indexed="8"/>
      <name val="Arial Narrow"/>
      <family val="2"/>
    </font>
    <font>
      <b/>
      <sz val="10"/>
      <color indexed="8"/>
      <name val="Arial Narrow"/>
      <family val="2"/>
    </font>
    <font>
      <sz val="10"/>
      <color indexed="14"/>
      <name val="Arial Narrow"/>
      <family val="2"/>
    </font>
    <font>
      <i/>
      <sz val="10"/>
      <name val="Arial Narrow"/>
      <family val="2"/>
    </font>
    <font>
      <b/>
      <i/>
      <sz val="10"/>
      <name val="Arial Narrow"/>
      <family val="2"/>
    </font>
    <font>
      <b/>
      <i/>
      <sz val="10"/>
      <color indexed="8"/>
      <name val="Arial Narrow"/>
      <family val="2"/>
    </font>
    <font>
      <b/>
      <sz val="9"/>
      <name val="Arial"/>
      <family val="2"/>
    </font>
    <font>
      <sz val="10"/>
      <color indexed="12"/>
      <name val="Arial Narrow"/>
      <family val="2"/>
    </font>
    <font>
      <sz val="10"/>
      <color indexed="10"/>
      <name val="Arial Narrow"/>
      <family val="2"/>
    </font>
    <font>
      <sz val="10"/>
      <color indexed="46"/>
      <name val="Arial Narrow"/>
      <family val="2"/>
    </font>
    <font>
      <sz val="9"/>
      <color indexed="46"/>
      <name val="Arial"/>
      <family val="2"/>
    </font>
    <font>
      <b/>
      <i/>
      <sz val="9"/>
      <name val="Arial"/>
      <family val="2"/>
    </font>
    <font>
      <b/>
      <sz val="10"/>
      <color indexed="14"/>
      <name val="Arial Narrow"/>
      <family val="2"/>
    </font>
    <font>
      <sz val="9"/>
      <name val="Arial Narrow"/>
      <family val="2"/>
    </font>
    <font>
      <b/>
      <sz val="10"/>
      <color indexed="48"/>
      <name val="Arial Narrow"/>
      <family val="2"/>
    </font>
    <font>
      <b/>
      <sz val="10"/>
      <color indexed="10"/>
      <name val="Arial"/>
      <family val="2"/>
    </font>
    <font>
      <vertAlign val="superscript"/>
      <sz val="10"/>
      <name val="Arial Narrow"/>
      <family val="2"/>
    </font>
    <font>
      <b/>
      <sz val="10"/>
      <color indexed="53"/>
      <name val="Arial Narrow"/>
      <family val="2"/>
    </font>
    <font>
      <sz val="10"/>
      <name val="Arial"/>
      <family val="2"/>
    </font>
    <font>
      <sz val="11"/>
      <color theme="0"/>
      <name val="Calibri"/>
      <family val="2"/>
      <scheme val="minor"/>
    </font>
    <font>
      <sz val="11"/>
      <color rgb="FF9C0006"/>
      <name val="Calibri"/>
      <family val="2"/>
      <scheme val="minor"/>
    </font>
    <font>
      <sz val="11"/>
      <color rgb="FF006100"/>
      <name val="Calibri"/>
      <family val="2"/>
      <scheme val="minor"/>
    </font>
    <font>
      <sz val="11"/>
      <color theme="1"/>
      <name val="Calibri"/>
      <family val="2"/>
      <scheme val="minor"/>
    </font>
    <font>
      <sz val="11"/>
      <name val="Calibri"/>
      <family val="2"/>
      <scheme val="minor"/>
    </font>
    <font>
      <b/>
      <sz val="11"/>
      <name val="Calibri"/>
      <family val="2"/>
      <scheme val="minor"/>
    </font>
    <font>
      <b/>
      <sz val="12"/>
      <color rgb="FFFF0000"/>
      <name val="Arial"/>
      <family val="2"/>
    </font>
    <font>
      <sz val="14"/>
      <color theme="0"/>
      <name val="Arial"/>
      <family val="2"/>
    </font>
    <font>
      <sz val="14"/>
      <color rgb="FF000000"/>
      <name val="Tahoma"/>
      <family val="2"/>
    </font>
    <font>
      <sz val="10"/>
      <color rgb="FFFF0000"/>
      <name val="Arial"/>
      <family val="2"/>
    </font>
    <font>
      <sz val="10"/>
      <color theme="1"/>
      <name val="Arial"/>
      <family val="2"/>
    </font>
    <font>
      <sz val="10"/>
      <color theme="1" tint="0.499984740745262"/>
      <name val="Arial"/>
      <family val="2"/>
    </font>
    <font>
      <b/>
      <sz val="10"/>
      <name val="Calibri"/>
      <family val="2"/>
      <scheme val="minor"/>
    </font>
    <font>
      <sz val="10"/>
      <name val="Calibri"/>
      <family val="2"/>
      <scheme val="minor"/>
    </font>
    <font>
      <sz val="10"/>
      <color theme="1" tint="0.499984740745262"/>
      <name val="Calibri"/>
      <family val="2"/>
      <scheme val="minor"/>
    </font>
    <font>
      <b/>
      <sz val="14"/>
      <color theme="0"/>
      <name val="Calibri"/>
      <family val="2"/>
      <scheme val="minor"/>
    </font>
    <font>
      <b/>
      <sz val="10"/>
      <color theme="1"/>
      <name val="Arial"/>
      <family val="2"/>
    </font>
    <font>
      <b/>
      <sz val="12"/>
      <color theme="0"/>
      <name val="Arial"/>
      <family val="2"/>
    </font>
    <font>
      <i/>
      <sz val="11"/>
      <name val="Calibri"/>
      <family val="2"/>
      <scheme val="minor"/>
    </font>
    <font>
      <b/>
      <i/>
      <sz val="11"/>
      <name val="Calibri"/>
      <family val="2"/>
      <scheme val="minor"/>
    </font>
    <font>
      <b/>
      <sz val="10"/>
      <color rgb="FFFF0000"/>
      <name val="Arial"/>
      <family val="2"/>
    </font>
  </fonts>
  <fills count="68">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indexed="55"/>
      </patternFill>
    </fill>
    <fill>
      <patternFill patternType="solid">
        <fgColor indexed="44"/>
        <bgColor indexed="64"/>
      </patternFill>
    </fill>
    <fill>
      <patternFill patternType="solid">
        <fgColor indexed="43"/>
        <bgColor indexed="64"/>
      </patternFill>
    </fill>
    <fill>
      <patternFill patternType="solid">
        <fgColor indexed="12"/>
        <bgColor indexed="64"/>
      </patternFill>
    </fill>
    <fill>
      <patternFill patternType="solid">
        <fgColor indexed="43"/>
        <bgColor indexed="26"/>
      </patternFill>
    </fill>
    <fill>
      <patternFill patternType="solid">
        <fgColor indexed="41"/>
        <bgColor indexed="64"/>
      </patternFill>
    </fill>
    <fill>
      <patternFill patternType="solid">
        <fgColor indexed="47"/>
        <bgColor indexed="26"/>
      </patternFill>
    </fill>
    <fill>
      <patternFill patternType="solid">
        <fgColor indexed="41"/>
        <bgColor indexed="26"/>
      </patternFill>
    </fill>
    <fill>
      <patternFill patternType="solid">
        <fgColor indexed="29"/>
        <bgColor indexed="64"/>
      </patternFill>
    </fill>
    <fill>
      <patternFill patternType="solid">
        <fgColor indexed="13"/>
        <bgColor indexed="64"/>
      </patternFill>
    </fill>
    <fill>
      <patternFill patternType="solid">
        <fgColor indexed="4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14"/>
        <bgColor indexed="64"/>
      </patternFill>
    </fill>
    <fill>
      <patternFill patternType="solid">
        <fgColor theme="7" tint="0.39997558519241921"/>
        <bgColor indexed="65"/>
      </patternFill>
    </fill>
    <fill>
      <patternFill patternType="solid">
        <fgColor rgb="FFFFC7CE"/>
      </patternFill>
    </fill>
    <fill>
      <patternFill patternType="solid">
        <fgColor rgb="FFC6EFCE"/>
      </patternFill>
    </fill>
    <fill>
      <patternFill patternType="solid">
        <fgColor rgb="FF00B0F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rgb="FF92D050"/>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C2C9FE"/>
        <bgColor indexed="64"/>
      </patternFill>
    </fill>
    <fill>
      <patternFill patternType="solid">
        <fgColor theme="5" tint="0.59999389629810485"/>
        <bgColor indexed="64"/>
      </patternFill>
    </fill>
    <fill>
      <patternFill patternType="solid">
        <fgColor theme="2"/>
        <bgColor indexed="64"/>
      </patternFill>
    </fill>
    <fill>
      <patternFill patternType="solid">
        <fgColor theme="9" tint="0.39997558519241921"/>
        <bgColor indexed="64"/>
      </patternFill>
    </fill>
    <fill>
      <patternFill patternType="solid">
        <fgColor theme="3"/>
        <bgColor indexed="64"/>
      </patternFill>
    </fill>
    <fill>
      <patternFill patternType="solid">
        <fgColor theme="0" tint="-0.499984740745262"/>
        <bgColor indexed="64"/>
      </patternFill>
    </fill>
    <fill>
      <patternFill patternType="solid">
        <fgColor rgb="FFFF0000"/>
        <bgColor indexed="26"/>
      </patternFill>
    </fill>
    <fill>
      <patternFill patternType="solid">
        <fgColor theme="4"/>
        <bgColor indexed="64"/>
      </patternFill>
    </fill>
  </fills>
  <borders count="8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8"/>
      </bottom>
      <diagonal/>
    </border>
    <border>
      <left style="thin">
        <color indexed="64"/>
      </left>
      <right style="thin">
        <color indexed="64"/>
      </right>
      <top/>
      <bottom style="thin">
        <color indexed="8"/>
      </bottom>
      <diagonal/>
    </border>
    <border>
      <left style="thin">
        <color indexed="64"/>
      </left>
      <right style="medium">
        <color indexed="64"/>
      </right>
      <top style="thin">
        <color indexed="64"/>
      </top>
      <bottom/>
      <diagonal/>
    </border>
    <border>
      <left/>
      <right style="thin">
        <color indexed="8"/>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8"/>
      </left>
      <right/>
      <top style="medium">
        <color indexed="8"/>
      </top>
      <bottom style="medium">
        <color indexed="8"/>
      </bottom>
      <diagonal/>
    </border>
  </borders>
  <cellStyleXfs count="3229">
    <xf numFmtId="0" fontId="0" fillId="0" borderId="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0" fillId="42"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1" fillId="43" borderId="0" applyNumberFormat="0" applyBorder="0" applyAlignment="0" applyProtection="0"/>
    <xf numFmtId="0" fontId="9" fillId="24" borderId="1" applyNumberFormat="0" applyAlignment="0" applyProtection="0"/>
    <xf numFmtId="0" fontId="10" fillId="25" borderId="1" applyNumberFormat="0" applyAlignment="0" applyProtection="0"/>
    <xf numFmtId="0" fontId="9" fillId="24"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10" fillId="25" borderId="1" applyNumberFormat="0" applyAlignment="0" applyProtection="0"/>
    <xf numFmtId="0" fontId="9" fillId="24" borderId="1" applyNumberFormat="0" applyAlignment="0" applyProtection="0"/>
    <xf numFmtId="0" fontId="9" fillId="24" borderId="1" applyNumberFormat="0" applyAlignment="0" applyProtection="0"/>
    <xf numFmtId="0" fontId="9" fillId="24" borderId="1" applyNumberFormat="0" applyAlignment="0" applyProtection="0"/>
    <xf numFmtId="0" fontId="9" fillId="24" borderId="1" applyNumberFormat="0" applyAlignment="0" applyProtection="0"/>
    <xf numFmtId="0" fontId="9" fillId="24" borderId="1" applyNumberFormat="0" applyAlignment="0" applyProtection="0"/>
    <xf numFmtId="0" fontId="9" fillId="24" borderId="1"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0" fontId="11" fillId="26" borderId="2" applyNumberFormat="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40" fontId="1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40" fontId="1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69" fontId="3" fillId="0" borderId="0" applyFont="0" applyFill="0" applyBorder="0" applyAlignment="0" applyProtection="0"/>
    <xf numFmtId="169" fontId="12" fillId="0" borderId="0" applyFont="0" applyFill="0" applyBorder="0" applyAlignment="0" applyProtection="0"/>
    <xf numFmtId="169" fontId="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82" fillId="4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6" fillId="0" borderId="3"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6" fillId="0" borderId="3" applyNumberFormat="0" applyFill="0" applyAlignment="0" applyProtection="0"/>
    <xf numFmtId="0" fontId="16" fillId="0" borderId="3" applyNumberFormat="0" applyFill="0" applyAlignment="0" applyProtection="0"/>
    <xf numFmtId="0" fontId="16" fillId="0" borderId="3" applyNumberFormat="0" applyFill="0" applyAlignment="0" applyProtection="0"/>
    <xf numFmtId="0" fontId="16" fillId="0" borderId="3" applyNumberFormat="0" applyFill="0" applyAlignment="0" applyProtection="0"/>
    <xf numFmtId="0" fontId="16" fillId="0" borderId="3" applyNumberFormat="0" applyFill="0" applyAlignment="0" applyProtection="0"/>
    <xf numFmtId="0" fontId="16" fillId="0" borderId="3"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 fillId="0" borderId="0" applyNumberFormat="0" applyFill="0" applyBorder="0" applyAlignment="0" applyProtection="0">
      <alignment vertical="top"/>
      <protection locked="0"/>
    </xf>
    <xf numFmtId="0" fontId="22" fillId="9" borderId="1" applyNumberFormat="0" applyAlignment="0" applyProtection="0"/>
    <xf numFmtId="0" fontId="22" fillId="12" borderId="1" applyNumberFormat="0" applyAlignment="0" applyProtection="0"/>
    <xf numFmtId="0" fontId="22" fillId="9"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12" borderId="1" applyNumberFormat="0" applyAlignment="0" applyProtection="0"/>
    <xf numFmtId="0" fontId="22" fillId="9" borderId="1" applyNumberFormat="0" applyAlignment="0" applyProtection="0"/>
    <xf numFmtId="0" fontId="22" fillId="9" borderId="1" applyNumberFormat="0" applyAlignment="0" applyProtection="0"/>
    <xf numFmtId="0" fontId="22" fillId="9" borderId="1" applyNumberFormat="0" applyAlignment="0" applyProtection="0"/>
    <xf numFmtId="0" fontId="22" fillId="9" borderId="1" applyNumberFormat="0" applyAlignment="0" applyProtection="0"/>
    <xf numFmtId="0" fontId="22" fillId="9" borderId="1" applyNumberFormat="0" applyAlignment="0" applyProtection="0"/>
    <xf numFmtId="0" fontId="22" fillId="9" borderId="1" applyNumberFormat="0" applyAlignment="0" applyProtection="0"/>
    <xf numFmtId="0" fontId="23" fillId="0" borderId="9" applyNumberFormat="0" applyFill="0" applyAlignment="0" applyProtection="0"/>
    <xf numFmtId="0" fontId="24" fillId="0" borderId="10"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5" fillId="12" borderId="0" applyNumberFormat="0" applyBorder="0" applyAlignment="0" applyProtection="0"/>
    <xf numFmtId="0" fontId="26" fillId="12" borderId="0" applyNumberFormat="0" applyBorder="0" applyAlignment="0" applyProtection="0"/>
    <xf numFmtId="0" fontId="25"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6" fillId="0" borderId="0"/>
    <xf numFmtId="0" fontId="83" fillId="0" borderId="0"/>
    <xf numFmtId="5" fontId="27" fillId="0" borderId="0">
      <alignment vertical="center"/>
    </xf>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5" fontId="27" fillId="0" borderId="0">
      <alignment vertical="center"/>
    </xf>
    <xf numFmtId="5" fontId="27" fillId="0" borderId="0">
      <alignment vertical="center"/>
    </xf>
    <xf numFmtId="5" fontId="27" fillId="0" borderId="0">
      <alignment vertical="center"/>
    </xf>
    <xf numFmtId="5" fontId="27" fillId="0" borderId="0">
      <alignment vertical="center"/>
    </xf>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5" fontId="27" fillId="0" borderId="0">
      <alignment vertical="center"/>
    </xf>
    <xf numFmtId="5" fontId="27" fillId="0" borderId="0">
      <alignment vertical="center"/>
    </xf>
    <xf numFmtId="5" fontId="27"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5" fontId="27" fillId="0" borderId="0">
      <alignment vertical="center"/>
    </xf>
    <xf numFmtId="5" fontId="27" fillId="0" borderId="0">
      <alignment vertical="center"/>
    </xf>
    <xf numFmtId="5" fontId="27" fillId="0" borderId="0">
      <alignment vertical="center"/>
    </xf>
    <xf numFmtId="5" fontId="27" fillId="0" borderId="0">
      <alignment vertical="center"/>
    </xf>
    <xf numFmtId="0" fontId="6" fillId="0" borderId="0"/>
    <xf numFmtId="0" fontId="83" fillId="0" borderId="0"/>
    <xf numFmtId="166" fontId="27" fillId="0" borderId="0">
      <alignment vertical="center"/>
    </xf>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83" fillId="0" borderId="0"/>
    <xf numFmtId="0" fontId="12" fillId="0" borderId="0"/>
    <xf numFmtId="0" fontId="6" fillId="0" borderId="0"/>
    <xf numFmtId="0" fontId="83" fillId="0" borderId="0"/>
    <xf numFmtId="0" fontId="6" fillId="0" borderId="0"/>
    <xf numFmtId="0" fontId="83" fillId="0" borderId="0"/>
    <xf numFmtId="0" fontId="12" fillId="0" borderId="0"/>
    <xf numFmtId="0" fontId="12" fillId="0" borderId="0"/>
    <xf numFmtId="0" fontId="12" fillId="0" borderId="0"/>
    <xf numFmtId="0" fontId="12" fillId="0" borderId="0"/>
    <xf numFmtId="166" fontId="27" fillId="0" borderId="0">
      <alignment vertical="center"/>
    </xf>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83" fillId="0" borderId="0"/>
    <xf numFmtId="0" fontId="6" fillId="0" borderId="0"/>
    <xf numFmtId="0" fontId="12" fillId="0" borderId="0"/>
    <xf numFmtId="0" fontId="12" fillId="0" borderId="0"/>
    <xf numFmtId="0" fontId="12" fillId="0" borderId="0"/>
    <xf numFmtId="0" fontId="12"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3" fillId="0" borderId="0"/>
    <xf numFmtId="0" fontId="12" fillId="0" borderId="0"/>
    <xf numFmtId="0" fontId="12" fillId="0" borderId="0"/>
    <xf numFmtId="0" fontId="12"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12" fillId="0" borderId="0"/>
    <xf numFmtId="0" fontId="12" fillId="0" borderId="0"/>
    <xf numFmtId="0" fontId="12" fillId="0" borderId="0"/>
    <xf numFmtId="0" fontId="12" fillId="0" borderId="0"/>
    <xf numFmtId="0" fontId="12" fillId="0" borderId="0"/>
    <xf numFmtId="170" fontId="27" fillId="0" borderId="0">
      <alignment vertical="center"/>
    </xf>
    <xf numFmtId="0" fontId="3" fillId="0" borderId="0"/>
    <xf numFmtId="0" fontId="12" fillId="0" borderId="0"/>
    <xf numFmtId="0" fontId="12" fillId="0" borderId="0"/>
    <xf numFmtId="0" fontId="3" fillId="0" borderId="0"/>
    <xf numFmtId="0" fontId="12" fillId="0" borderId="0"/>
    <xf numFmtId="0" fontId="12" fillId="0" borderId="0"/>
    <xf numFmtId="0" fontId="3" fillId="0" borderId="0"/>
    <xf numFmtId="0" fontId="3" fillId="0" borderId="0"/>
    <xf numFmtId="0" fontId="12" fillId="0" borderId="0"/>
    <xf numFmtId="0" fontId="12" fillId="0" borderId="0"/>
    <xf numFmtId="0" fontId="3" fillId="0" borderId="0"/>
    <xf numFmtId="0" fontId="12" fillId="0" borderId="0"/>
    <xf numFmtId="0" fontId="12" fillId="0" borderId="0"/>
    <xf numFmtId="0" fontId="83"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12" fillId="0" borderId="0"/>
    <xf numFmtId="0" fontId="12" fillId="0" borderId="0"/>
    <xf numFmtId="0" fontId="12" fillId="0" borderId="0"/>
    <xf numFmtId="0" fontId="12"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12" fillId="0" borderId="0"/>
    <xf numFmtId="0" fontId="12" fillId="0" borderId="0"/>
    <xf numFmtId="0" fontId="12" fillId="0" borderId="0"/>
    <xf numFmtId="0" fontId="12"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6" fillId="0" borderId="0"/>
    <xf numFmtId="0" fontId="8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3" fillId="0" borderId="0" applyNumberFormat="0" applyFont="0" applyFill="0" applyBorder="0" applyAlignment="0" applyProtection="0"/>
    <xf numFmtId="0" fontId="3" fillId="0" borderId="0"/>
    <xf numFmtId="0" fontId="28" fillId="0" borderId="0"/>
    <xf numFmtId="0" fontId="3"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3"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3"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3" fillId="7" borderId="11" applyNumberFormat="0" applyFont="0" applyAlignment="0" applyProtection="0"/>
    <xf numFmtId="0" fontId="12" fillId="7" borderId="11" applyNumberFormat="0" applyFont="0" applyAlignment="0" applyProtection="0"/>
    <xf numFmtId="0" fontId="12" fillId="7" borderId="11" applyNumberFormat="0" applyFont="0" applyAlignment="0" applyProtection="0"/>
    <xf numFmtId="0" fontId="29" fillId="24" borderId="12" applyNumberFormat="0" applyAlignment="0" applyProtection="0"/>
    <xf numFmtId="0" fontId="29" fillId="25" borderId="12" applyNumberFormat="0" applyAlignment="0" applyProtection="0"/>
    <xf numFmtId="0" fontId="29" fillId="24"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5" borderId="12" applyNumberFormat="0" applyAlignment="0" applyProtection="0"/>
    <xf numFmtId="0" fontId="29" fillId="24" borderId="12" applyNumberFormat="0" applyAlignment="0" applyProtection="0"/>
    <xf numFmtId="0" fontId="29" fillId="24" borderId="12" applyNumberFormat="0" applyAlignment="0" applyProtection="0"/>
    <xf numFmtId="0" fontId="29" fillId="24" borderId="12" applyNumberFormat="0" applyAlignment="0" applyProtection="0"/>
    <xf numFmtId="0" fontId="29" fillId="24" borderId="12" applyNumberFormat="0" applyAlignment="0" applyProtection="0"/>
    <xf numFmtId="0" fontId="29" fillId="24" borderId="12" applyNumberFormat="0" applyAlignment="0" applyProtection="0"/>
    <xf numFmtId="0" fontId="29" fillId="24" borderId="12" applyNumberFormat="0" applyAlignment="0" applyProtection="0"/>
    <xf numFmtId="9" fontId="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0" fillId="0" borderId="0" applyFont="0" applyFill="0" applyBorder="0" applyAlignment="0" applyProtection="0"/>
    <xf numFmtId="9" fontId="83" fillId="0" borderId="0" applyFont="0" applyFill="0" applyBorder="0" applyAlignment="0" applyProtection="0"/>
    <xf numFmtId="9" fontId="4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2" fillId="0" borderId="13" applyNumberFormat="0" applyFill="0" applyAlignment="0" applyProtection="0"/>
    <xf numFmtId="0" fontId="32" fillId="0" borderId="14" applyNumberFormat="0" applyFill="0" applyAlignment="0" applyProtection="0"/>
    <xf numFmtId="0" fontId="32" fillId="0" borderId="13"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3" fillId="0" borderId="0" applyNumberFormat="0" applyFill="0" applyBorder="0" applyAlignment="0" applyProtection="0">
      <alignment vertical="center"/>
    </xf>
    <xf numFmtId="0" fontId="2"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0" fontId="3" fillId="7" borderId="11" applyNumberFormat="0" applyFont="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cellStyleXfs>
  <cellXfs count="759">
    <xf numFmtId="0" fontId="0" fillId="0" borderId="0" xfId="0"/>
    <xf numFmtId="17" fontId="0" fillId="0" borderId="0" xfId="0" applyNumberFormat="1"/>
    <xf numFmtId="10" fontId="0" fillId="0" borderId="0" xfId="0" applyNumberFormat="1"/>
    <xf numFmtId="0" fontId="12" fillId="0" borderId="0" xfId="1190" applyNumberFormat="1" applyFont="1" applyFill="1" applyBorder="1" applyAlignment="1"/>
    <xf numFmtId="0" fontId="12" fillId="0" borderId="0" xfId="1190" applyNumberFormat="1" applyFont="1" applyFill="1" applyBorder="1" applyAlignment="1">
      <alignment wrapText="1"/>
    </xf>
    <xf numFmtId="0" fontId="12" fillId="27" borderId="15" xfId="1190" applyNumberFormat="1" applyFont="1" applyFill="1" applyBorder="1" applyAlignment="1">
      <alignment horizontal="center" shrinkToFit="1"/>
    </xf>
    <xf numFmtId="0" fontId="12" fillId="27" borderId="16" xfId="1190" applyNumberFormat="1" applyFont="1" applyFill="1" applyBorder="1" applyAlignment="1">
      <alignment horizontal="center" shrinkToFit="1"/>
    </xf>
    <xf numFmtId="0" fontId="12" fillId="27" borderId="17" xfId="1190" applyNumberFormat="1" applyFont="1" applyFill="1" applyBorder="1" applyAlignment="1">
      <alignment horizontal="center" shrinkToFit="1"/>
    </xf>
    <xf numFmtId="0" fontId="12" fillId="0" borderId="18" xfId="1190" applyNumberFormat="1" applyFont="1" applyFill="1" applyBorder="1" applyAlignment="1"/>
    <xf numFmtId="10" fontId="12" fillId="0" borderId="19" xfId="1190" applyNumberFormat="1" applyFont="1" applyFill="1" applyBorder="1" applyAlignment="1"/>
    <xf numFmtId="10" fontId="12" fillId="0" borderId="20" xfId="1190" applyNumberFormat="1" applyFont="1" applyFill="1" applyBorder="1" applyAlignment="1"/>
    <xf numFmtId="10" fontId="12" fillId="0" borderId="21" xfId="1190" applyNumberFormat="1" applyFont="1" applyFill="1" applyBorder="1" applyAlignment="1"/>
    <xf numFmtId="0" fontId="12" fillId="0" borderId="22" xfId="1190" applyNumberFormat="1" applyFont="1" applyFill="1" applyBorder="1" applyAlignment="1"/>
    <xf numFmtId="10" fontId="12" fillId="0" borderId="0" xfId="1190" applyNumberFormat="1" applyFont="1" applyFill="1" applyBorder="1" applyAlignment="1"/>
    <xf numFmtId="10" fontId="12" fillId="0" borderId="23" xfId="1190" applyNumberFormat="1" applyFont="1" applyFill="1" applyBorder="1" applyAlignment="1"/>
    <xf numFmtId="10" fontId="12" fillId="0" borderId="24" xfId="1190" applyNumberFormat="1" applyFont="1" applyFill="1" applyBorder="1" applyAlignment="1"/>
    <xf numFmtId="9" fontId="12" fillId="0" borderId="24" xfId="1190" applyNumberFormat="1" applyFont="1" applyFill="1" applyBorder="1" applyAlignment="1"/>
    <xf numFmtId="0" fontId="12" fillId="28" borderId="22" xfId="1190" applyNumberFormat="1" applyFont="1" applyFill="1" applyBorder="1" applyAlignment="1"/>
    <xf numFmtId="0" fontId="12" fillId="28" borderId="0" xfId="1190" applyNumberFormat="1" applyFont="1" applyFill="1" applyBorder="1" applyAlignment="1"/>
    <xf numFmtId="0" fontId="12" fillId="28" borderId="23" xfId="1190" applyNumberFormat="1" applyFont="1" applyFill="1" applyBorder="1" applyAlignment="1"/>
    <xf numFmtId="0" fontId="12" fillId="28" borderId="24" xfId="1190" applyNumberFormat="1" applyFont="1" applyFill="1" applyBorder="1" applyAlignment="1"/>
    <xf numFmtId="9" fontId="12" fillId="0" borderId="0" xfId="1190" applyNumberFormat="1" applyFont="1" applyFill="1" applyBorder="1" applyAlignment="1"/>
    <xf numFmtId="9" fontId="12" fillId="0" borderId="23" xfId="1190" applyNumberFormat="1" applyFont="1" applyFill="1" applyBorder="1" applyAlignment="1"/>
    <xf numFmtId="0" fontId="34" fillId="28" borderId="0" xfId="1190" applyNumberFormat="1" applyFont="1" applyFill="1" applyBorder="1" applyAlignment="1"/>
    <xf numFmtId="0" fontId="34" fillId="28" borderId="23" xfId="1190" applyNumberFormat="1" applyFont="1" applyFill="1" applyBorder="1" applyAlignment="1"/>
    <xf numFmtId="0" fontId="12" fillId="0" borderId="25" xfId="1190" applyNumberFormat="1" applyFont="1" applyFill="1" applyBorder="1" applyAlignment="1"/>
    <xf numFmtId="10" fontId="12" fillId="0" borderId="26" xfId="1190" applyNumberFormat="1" applyFont="1" applyFill="1" applyBorder="1" applyAlignment="1"/>
    <xf numFmtId="10" fontId="12" fillId="0" borderId="27" xfId="1190" applyNumberFormat="1" applyFont="1" applyFill="1" applyBorder="1" applyAlignment="1"/>
    <xf numFmtId="10" fontId="12" fillId="0" borderId="28" xfId="1190" applyNumberFormat="1" applyFont="1" applyFill="1" applyBorder="1" applyAlignment="1"/>
    <xf numFmtId="0" fontId="35" fillId="29" borderId="0" xfId="0" applyFont="1" applyFill="1" applyBorder="1" applyAlignment="1">
      <alignment horizontal="left"/>
    </xf>
    <xf numFmtId="0" fontId="36" fillId="29" borderId="0" xfId="0" applyFont="1" applyFill="1" applyBorder="1"/>
    <xf numFmtId="0" fontId="0" fillId="0" borderId="0" xfId="0" applyBorder="1"/>
    <xf numFmtId="0" fontId="0" fillId="0" borderId="0" xfId="0" applyFill="1"/>
    <xf numFmtId="0" fontId="8" fillId="4" borderId="0" xfId="575"/>
    <xf numFmtId="0" fontId="12" fillId="28" borderId="29" xfId="0" applyFont="1" applyFill="1" applyBorder="1" applyAlignment="1">
      <alignment vertical="center"/>
    </xf>
    <xf numFmtId="0" fontId="32" fillId="28" borderId="29" xfId="0" applyFont="1" applyFill="1" applyBorder="1"/>
    <xf numFmtId="0" fontId="12" fillId="28" borderId="29" xfId="0" applyFont="1" applyFill="1" applyBorder="1" applyAlignment="1">
      <alignment horizontal="center" vertical="center" wrapText="1"/>
    </xf>
    <xf numFmtId="0" fontId="12" fillId="28" borderId="29" xfId="0" applyFont="1" applyFill="1" applyBorder="1" applyAlignment="1">
      <alignment horizontal="center" vertical="center"/>
    </xf>
    <xf numFmtId="0" fontId="12" fillId="0" borderId="0" xfId="0" applyFont="1" applyFill="1" applyBorder="1" applyAlignment="1">
      <alignment horizontal="center" vertical="center" wrapText="1"/>
    </xf>
    <xf numFmtId="0" fontId="12" fillId="28" borderId="0" xfId="0" applyFont="1" applyFill="1" applyBorder="1" applyAlignment="1">
      <alignment horizontal="left" wrapText="1"/>
    </xf>
    <xf numFmtId="0" fontId="12" fillId="30" borderId="0" xfId="0" applyFont="1" applyFill="1" applyBorder="1" applyAlignment="1">
      <alignment horizontal="center"/>
    </xf>
    <xf numFmtId="0" fontId="10" fillId="0" borderId="0" xfId="0" applyFont="1"/>
    <xf numFmtId="0" fontId="0" fillId="28" borderId="0" xfId="0" quotePrefix="1" applyFill="1" applyAlignment="1">
      <alignment horizontal="left"/>
    </xf>
    <xf numFmtId="2" fontId="12" fillId="31" borderId="0" xfId="0" applyNumberFormat="1" applyFont="1" applyFill="1" applyBorder="1" applyAlignment="1">
      <alignment horizontal="right"/>
    </xf>
    <xf numFmtId="2" fontId="12" fillId="32" borderId="0" xfId="0" applyNumberFormat="1" applyFont="1" applyFill="1" applyBorder="1" applyAlignment="1">
      <alignment horizontal="right"/>
    </xf>
    <xf numFmtId="2" fontId="12" fillId="28" borderId="0" xfId="0" applyNumberFormat="1" applyFont="1" applyFill="1" applyBorder="1" applyAlignment="1">
      <alignment horizontal="right"/>
    </xf>
    <xf numFmtId="10" fontId="6" fillId="0" borderId="0" xfId="1692" applyNumberFormat="1" applyFont="1" applyFill="1"/>
    <xf numFmtId="1" fontId="12" fillId="30" borderId="0" xfId="0" applyNumberFormat="1" applyFont="1" applyFill="1" applyBorder="1" applyAlignment="1">
      <alignment horizontal="right"/>
    </xf>
    <xf numFmtId="2" fontId="0" fillId="31" borderId="0" xfId="0" applyNumberFormat="1" applyFill="1" applyBorder="1"/>
    <xf numFmtId="2" fontId="12" fillId="33" borderId="0" xfId="0" applyNumberFormat="1" applyFont="1" applyFill="1" applyBorder="1" applyAlignment="1">
      <alignment horizontal="right"/>
    </xf>
    <xf numFmtId="1" fontId="0" fillId="0" borderId="0" xfId="0" applyNumberFormat="1" applyFill="1"/>
    <xf numFmtId="2" fontId="12" fillId="31" borderId="0" xfId="0" applyNumberFormat="1" applyFont="1" applyFill="1" applyBorder="1"/>
    <xf numFmtId="1" fontId="12" fillId="32" borderId="0" xfId="0" applyNumberFormat="1" applyFont="1" applyFill="1" applyBorder="1" applyAlignment="1">
      <alignment horizontal="right"/>
    </xf>
    <xf numFmtId="2" fontId="0" fillId="0" borderId="0" xfId="0" applyNumberFormat="1" applyFill="1"/>
    <xf numFmtId="0" fontId="10" fillId="0" borderId="0" xfId="0" applyFont="1" applyFill="1"/>
    <xf numFmtId="0" fontId="0" fillId="0" borderId="0" xfId="0" quotePrefix="1" applyFill="1" applyAlignment="1">
      <alignment horizontal="left"/>
    </xf>
    <xf numFmtId="0" fontId="12" fillId="0" borderId="0" xfId="0" applyFont="1" applyFill="1" applyBorder="1" applyAlignment="1">
      <alignment horizontal="left" wrapText="1"/>
    </xf>
    <xf numFmtId="1" fontId="12" fillId="0" borderId="0" xfId="0" applyNumberFormat="1" applyFont="1" applyFill="1" applyBorder="1" applyAlignment="1">
      <alignment horizontal="right"/>
    </xf>
    <xf numFmtId="2" fontId="12" fillId="0" borderId="0" xfId="0" applyNumberFormat="1" applyFont="1" applyFill="1" applyBorder="1" applyAlignment="1">
      <alignment horizontal="right"/>
    </xf>
    <xf numFmtId="2" fontId="0" fillId="0" borderId="0" xfId="0" applyNumberFormat="1" applyFill="1" applyBorder="1"/>
    <xf numFmtId="171" fontId="12" fillId="33" borderId="0" xfId="0" applyNumberFormat="1" applyFont="1" applyFill="1" applyBorder="1" applyAlignment="1">
      <alignment horizontal="right"/>
    </xf>
    <xf numFmtId="171" fontId="0" fillId="0" borderId="0" xfId="0" applyNumberFormat="1" applyFill="1" applyBorder="1"/>
    <xf numFmtId="1" fontId="0" fillId="0" borderId="0" xfId="0" applyNumberFormat="1" applyFill="1" applyBorder="1"/>
    <xf numFmtId="172" fontId="12" fillId="0" borderId="0" xfId="0" applyNumberFormat="1" applyFont="1" applyFill="1" applyBorder="1" applyAlignment="1">
      <alignment horizontal="right"/>
    </xf>
    <xf numFmtId="2" fontId="0" fillId="0" borderId="0" xfId="0" applyNumberFormat="1"/>
    <xf numFmtId="0" fontId="40" fillId="0" borderId="30" xfId="0" applyFont="1" applyBorder="1" applyAlignment="1">
      <alignment vertical="top" wrapText="1"/>
    </xf>
    <xf numFmtId="0" fontId="40" fillId="0" borderId="31" xfId="0" applyFont="1" applyBorder="1" applyAlignment="1">
      <alignment vertical="top" wrapText="1"/>
    </xf>
    <xf numFmtId="0" fontId="40" fillId="0" borderId="32" xfId="0" applyFont="1" applyBorder="1" applyAlignment="1">
      <alignment vertical="top" wrapText="1"/>
    </xf>
    <xf numFmtId="0" fontId="40" fillId="0" borderId="33" xfId="0" applyFont="1" applyBorder="1" applyAlignment="1">
      <alignment vertical="top" wrapText="1"/>
    </xf>
    <xf numFmtId="172" fontId="0" fillId="0" borderId="0" xfId="0" applyNumberFormat="1"/>
    <xf numFmtId="172" fontId="0" fillId="0" borderId="0" xfId="0" applyNumberFormat="1" applyBorder="1"/>
    <xf numFmtId="2" fontId="0" fillId="0" borderId="0" xfId="0" applyNumberFormat="1" applyBorder="1"/>
    <xf numFmtId="9" fontId="6" fillId="0" borderId="0" xfId="1692" applyFont="1" applyBorder="1"/>
    <xf numFmtId="9" fontId="6" fillId="0" borderId="0" xfId="1692" applyFont="1"/>
    <xf numFmtId="0" fontId="41" fillId="0" borderId="32" xfId="0" applyFont="1" applyBorder="1" applyAlignment="1">
      <alignment vertical="top" wrapText="1"/>
    </xf>
    <xf numFmtId="0" fontId="41" fillId="0" borderId="33" xfId="0" applyFont="1" applyBorder="1" applyAlignment="1">
      <alignment vertical="top" wrapText="1"/>
    </xf>
    <xf numFmtId="0" fontId="41" fillId="34" borderId="32" xfId="0" applyFont="1" applyFill="1" applyBorder="1" applyAlignment="1">
      <alignment vertical="top" wrapText="1"/>
    </xf>
    <xf numFmtId="0" fontId="41" fillId="34" borderId="33" xfId="0" applyFont="1" applyFill="1" applyBorder="1" applyAlignment="1">
      <alignment vertical="top" wrapText="1"/>
    </xf>
    <xf numFmtId="0" fontId="41" fillId="35" borderId="32" xfId="0" applyFont="1" applyFill="1" applyBorder="1" applyAlignment="1">
      <alignment vertical="top" wrapText="1"/>
    </xf>
    <xf numFmtId="0" fontId="41" fillId="35" borderId="33" xfId="0" applyFont="1" applyFill="1" applyBorder="1" applyAlignment="1">
      <alignment vertical="top" wrapText="1"/>
    </xf>
    <xf numFmtId="10" fontId="6" fillId="0" borderId="0" xfId="1692" applyNumberFormat="1" applyFont="1"/>
    <xf numFmtId="173" fontId="0" fillId="0" borderId="0" xfId="0" applyNumberFormat="1"/>
    <xf numFmtId="0" fontId="41" fillId="0" borderId="33" xfId="0" applyFont="1" applyFill="1" applyBorder="1" applyAlignment="1">
      <alignment vertical="top" wrapText="1"/>
    </xf>
    <xf numFmtId="0" fontId="41" fillId="0" borderId="32" xfId="0" applyFont="1" applyFill="1" applyBorder="1" applyAlignment="1">
      <alignment vertical="top" wrapText="1"/>
    </xf>
    <xf numFmtId="0" fontId="41" fillId="27" borderId="32" xfId="0" applyFont="1" applyFill="1" applyBorder="1" applyAlignment="1">
      <alignment vertical="top" wrapText="1"/>
    </xf>
    <xf numFmtId="0" fontId="41" fillId="27" borderId="33" xfId="0" applyFont="1" applyFill="1" applyBorder="1" applyAlignment="1">
      <alignment vertical="top" wrapText="1"/>
    </xf>
    <xf numFmtId="0" fontId="40" fillId="0" borderId="0" xfId="0" applyFont="1" applyFill="1" applyBorder="1" applyAlignment="1">
      <alignment horizontal="center" vertical="top" wrapText="1"/>
    </xf>
    <xf numFmtId="0" fontId="0" fillId="0" borderId="0" xfId="0" applyAlignment="1">
      <alignment horizontal="center"/>
    </xf>
    <xf numFmtId="0" fontId="37" fillId="0" borderId="0" xfId="0" applyFont="1"/>
    <xf numFmtId="0" fontId="0" fillId="0" borderId="0" xfId="0" applyAlignment="1">
      <alignment horizontal="center" wrapText="1"/>
    </xf>
    <xf numFmtId="171" fontId="0" fillId="0" borderId="0" xfId="0" applyNumberFormat="1"/>
    <xf numFmtId="172" fontId="0" fillId="0" borderId="0" xfId="0" applyNumberFormat="1" applyFill="1" applyBorder="1"/>
    <xf numFmtId="0" fontId="42" fillId="0" borderId="0" xfId="0" applyFont="1"/>
    <xf numFmtId="10" fontId="42" fillId="0" borderId="0" xfId="0" applyNumberFormat="1" applyFont="1"/>
    <xf numFmtId="172" fontId="42" fillId="0" borderId="0" xfId="0" applyNumberFormat="1" applyFont="1" applyFill="1" applyBorder="1"/>
    <xf numFmtId="166" fontId="0" fillId="0" borderId="0" xfId="1692" applyNumberFormat="1" applyFont="1"/>
    <xf numFmtId="2" fontId="3" fillId="0" borderId="0" xfId="1641" applyNumberFormat="1" applyFill="1" applyBorder="1" applyAlignment="1"/>
    <xf numFmtId="0" fontId="3" fillId="0" borderId="0" xfId="1641" applyNumberFormat="1" applyFont="1" applyFill="1" applyBorder="1" applyAlignment="1"/>
    <xf numFmtId="0" fontId="0" fillId="0" borderId="0" xfId="0" applyNumberFormat="1" applyFill="1" applyBorder="1" applyAlignment="1"/>
    <xf numFmtId="0" fontId="0" fillId="0" borderId="0" xfId="0" applyNumberFormat="1" applyFont="1" applyFill="1" applyBorder="1" applyAlignment="1"/>
    <xf numFmtId="0" fontId="0" fillId="0" borderId="0" xfId="0" applyNumberFormat="1" applyFont="1" applyFill="1" applyBorder="1" applyAlignment="1">
      <alignment horizontal="center" wrapText="1"/>
    </xf>
    <xf numFmtId="2" fontId="0" fillId="0" borderId="0" xfId="0" applyNumberFormat="1" applyFont="1" applyFill="1" applyBorder="1" applyAlignment="1"/>
    <xf numFmtId="0" fontId="0" fillId="0" borderId="0" xfId="0" applyNumberFormat="1" applyFill="1" applyBorder="1" applyAlignment="1">
      <alignment horizontal="center" wrapText="1"/>
    </xf>
    <xf numFmtId="2" fontId="0" fillId="0" borderId="0" xfId="0" applyNumberFormat="1" applyFill="1" applyBorder="1" applyAlignment="1"/>
    <xf numFmtId="174" fontId="0" fillId="0" borderId="0" xfId="0" applyNumberFormat="1" applyFont="1" applyFill="1" applyBorder="1" applyAlignment="1"/>
    <xf numFmtId="171" fontId="0" fillId="0" borderId="0" xfId="0" applyNumberFormat="1" applyFont="1" applyFill="1" applyBorder="1" applyAlignment="1"/>
    <xf numFmtId="174" fontId="0" fillId="0" borderId="0" xfId="0" applyNumberFormat="1" applyFill="1" applyBorder="1" applyAlignment="1"/>
    <xf numFmtId="2" fontId="37" fillId="0" borderId="0" xfId="0" applyNumberFormat="1" applyFont="1"/>
    <xf numFmtId="0" fontId="45" fillId="0" borderId="0" xfId="0" applyNumberFormat="1" applyFont="1" applyFill="1" applyBorder="1" applyAlignment="1"/>
    <xf numFmtId="0" fontId="0" fillId="27" borderId="15" xfId="0" applyNumberFormat="1" applyFont="1" applyFill="1" applyBorder="1" applyAlignment="1">
      <alignment wrapText="1"/>
    </xf>
    <xf numFmtId="0" fontId="0" fillId="0" borderId="0" xfId="0" applyNumberFormat="1" applyFont="1" applyFill="1" applyBorder="1" applyAlignment="1">
      <alignment wrapText="1"/>
    </xf>
    <xf numFmtId="0" fontId="0" fillId="27" borderId="15" xfId="0" applyNumberFormat="1" applyFont="1" applyFill="1" applyBorder="1" applyAlignment="1"/>
    <xf numFmtId="176" fontId="0" fillId="0" borderId="15" xfId="0" applyNumberFormat="1" applyFont="1" applyFill="1" applyBorder="1" applyAlignment="1"/>
    <xf numFmtId="2" fontId="0" fillId="0" borderId="15" xfId="0" applyNumberFormat="1" applyFont="1" applyFill="1" applyBorder="1" applyAlignment="1">
      <alignment horizontal="right"/>
    </xf>
    <xf numFmtId="176" fontId="0" fillId="0" borderId="0" xfId="0" applyNumberFormat="1" applyFont="1" applyFill="1" applyBorder="1" applyAlignment="1"/>
    <xf numFmtId="0" fontId="46" fillId="29" borderId="0" xfId="0" applyFont="1" applyFill="1" applyBorder="1" applyAlignment="1">
      <alignment horizontal="left"/>
    </xf>
    <xf numFmtId="0" fontId="47" fillId="0" borderId="0" xfId="0" applyFont="1" applyFill="1" applyBorder="1" applyAlignment="1">
      <alignment horizontal="left"/>
    </xf>
    <xf numFmtId="0" fontId="48" fillId="0" borderId="0" xfId="0" applyFont="1"/>
    <xf numFmtId="0" fontId="49" fillId="0" borderId="0" xfId="0" applyFont="1"/>
    <xf numFmtId="0" fontId="12" fillId="28" borderId="34" xfId="0" applyFont="1" applyFill="1" applyBorder="1" applyAlignment="1">
      <alignment vertical="center"/>
    </xf>
    <xf numFmtId="0" fontId="12" fillId="28" borderId="34" xfId="0" applyFont="1" applyFill="1" applyBorder="1" applyAlignment="1">
      <alignment horizontal="center" vertical="center"/>
    </xf>
    <xf numFmtId="0" fontId="12" fillId="28" borderId="34" xfId="0" applyFont="1" applyFill="1" applyBorder="1" applyAlignment="1">
      <alignment horizontal="center" vertical="center" wrapText="1"/>
    </xf>
    <xf numFmtId="0" fontId="12" fillId="28" borderId="34" xfId="0" quotePrefix="1" applyFont="1" applyFill="1" applyBorder="1" applyAlignment="1">
      <alignment horizontal="center" vertical="center" wrapText="1"/>
    </xf>
    <xf numFmtId="0" fontId="12" fillId="28" borderId="35" xfId="0" applyFont="1" applyFill="1" applyBorder="1" applyAlignment="1">
      <alignment vertical="center"/>
    </xf>
    <xf numFmtId="0" fontId="12" fillId="28" borderId="35" xfId="0" applyFont="1" applyFill="1" applyBorder="1" applyAlignment="1">
      <alignment horizontal="center" vertical="center" wrapText="1"/>
    </xf>
    <xf numFmtId="0" fontId="0" fillId="28" borderId="35" xfId="0" applyFill="1" applyBorder="1"/>
    <xf numFmtId="0" fontId="12" fillId="28" borderId="0" xfId="0" quotePrefix="1" applyFont="1" applyFill="1" applyBorder="1" applyAlignment="1">
      <alignment horizontal="left"/>
    </xf>
    <xf numFmtId="0" fontId="12" fillId="36" borderId="0" xfId="0" applyFont="1" applyFill="1" applyBorder="1"/>
    <xf numFmtId="0" fontId="12" fillId="28" borderId="0" xfId="0" applyFont="1" applyFill="1" applyBorder="1"/>
    <xf numFmtId="2" fontId="12" fillId="37" borderId="0" xfId="0" applyNumberFormat="1" applyFont="1" applyFill="1" applyBorder="1" applyAlignment="1">
      <alignment horizontal="right"/>
    </xf>
    <xf numFmtId="2" fontId="12" fillId="38" borderId="0" xfId="0" applyNumberFormat="1" applyFont="1" applyFill="1" applyBorder="1" applyAlignment="1">
      <alignment horizontal="right"/>
    </xf>
    <xf numFmtId="171" fontId="12" fillId="28" borderId="0" xfId="0" applyNumberFormat="1" applyFont="1" applyFill="1" applyBorder="1" applyAlignment="1">
      <alignment horizontal="right"/>
    </xf>
    <xf numFmtId="2" fontId="0" fillId="37" borderId="0" xfId="0" applyNumberFormat="1" applyFill="1"/>
    <xf numFmtId="0" fontId="12" fillId="36" borderId="0" xfId="0" quotePrefix="1" applyFont="1" applyFill="1" applyBorder="1" applyAlignment="1">
      <alignment horizontal="left"/>
    </xf>
    <xf numFmtId="0" fontId="12" fillId="28" borderId="34" xfId="1190" applyFont="1" applyFill="1" applyBorder="1" applyAlignment="1">
      <alignment horizontal="center" vertical="center" wrapText="1"/>
    </xf>
    <xf numFmtId="0" fontId="12" fillId="28" borderId="35" xfId="1190" applyFont="1" applyFill="1" applyBorder="1" applyAlignment="1">
      <alignment horizontal="center" vertical="center" wrapText="1"/>
    </xf>
    <xf numFmtId="0" fontId="47" fillId="0" borderId="0" xfId="0" applyFont="1"/>
    <xf numFmtId="0" fontId="12" fillId="0" borderId="0" xfId="0" applyFont="1" applyFill="1" applyAlignment="1">
      <alignment wrapText="1"/>
    </xf>
    <xf numFmtId="0" fontId="12" fillId="28" borderId="19" xfId="0" applyFont="1" applyFill="1" applyBorder="1" applyAlignment="1">
      <alignment horizontal="center" vertical="center" wrapText="1"/>
    </xf>
    <xf numFmtId="0" fontId="12" fillId="28" borderId="19" xfId="1642" applyFont="1" applyFill="1" applyBorder="1" applyAlignment="1">
      <alignment horizontal="center" vertical="center" wrapText="1"/>
    </xf>
    <xf numFmtId="0" fontId="12" fillId="27" borderId="29" xfId="0" applyFont="1" applyFill="1" applyBorder="1" applyAlignment="1">
      <alignment vertical="center"/>
    </xf>
    <xf numFmtId="0" fontId="12" fillId="27" borderId="29" xfId="0" applyFont="1" applyFill="1" applyBorder="1" applyAlignment="1">
      <alignment horizontal="center" vertical="center" wrapText="1"/>
    </xf>
    <xf numFmtId="0" fontId="34" fillId="27" borderId="29" xfId="1642" applyFont="1" applyFill="1" applyBorder="1" applyAlignment="1">
      <alignment horizontal="center" vertical="center" wrapText="1"/>
    </xf>
    <xf numFmtId="0" fontId="12" fillId="27" borderId="29" xfId="1642" applyFont="1" applyFill="1" applyBorder="1" applyAlignment="1">
      <alignment horizontal="center" vertical="center" wrapText="1"/>
    </xf>
    <xf numFmtId="0" fontId="0" fillId="36" borderId="0" xfId="0" applyFill="1"/>
    <xf numFmtId="0" fontId="37" fillId="28" borderId="36" xfId="0" applyFont="1" applyFill="1" applyBorder="1"/>
    <xf numFmtId="0" fontId="37" fillId="28" borderId="34" xfId="0" applyFont="1" applyFill="1" applyBorder="1"/>
    <xf numFmtId="0" fontId="37" fillId="28" borderId="37" xfId="0" applyFont="1" applyFill="1" applyBorder="1"/>
    <xf numFmtId="0" fontId="12" fillId="28" borderId="29" xfId="0" applyFont="1" applyFill="1" applyBorder="1" applyAlignment="1">
      <alignment horizontal="center" wrapText="1"/>
    </xf>
    <xf numFmtId="0" fontId="12" fillId="28" borderId="0" xfId="0" applyFont="1" applyFill="1" applyBorder="1" applyAlignment="1">
      <alignment horizontal="left"/>
    </xf>
    <xf numFmtId="1" fontId="12" fillId="31" borderId="0" xfId="0" applyNumberFormat="1" applyFont="1" applyFill="1" applyBorder="1" applyAlignment="1">
      <alignment horizontal="right"/>
    </xf>
    <xf numFmtId="0" fontId="0" fillId="28" borderId="0" xfId="0" applyFill="1"/>
    <xf numFmtId="2" fontId="0" fillId="28" borderId="0" xfId="0" applyNumberFormat="1" applyFill="1"/>
    <xf numFmtId="0" fontId="12" fillId="28" borderId="19" xfId="0" applyFont="1" applyFill="1" applyBorder="1" applyAlignment="1">
      <alignment horizontal="left"/>
    </xf>
    <xf numFmtId="2" fontId="0" fillId="0" borderId="19" xfId="0" applyNumberFormat="1" applyBorder="1"/>
    <xf numFmtId="0" fontId="51" fillId="0" borderId="0" xfId="0" applyFont="1"/>
    <xf numFmtId="0" fontId="12" fillId="0" borderId="0" xfId="0" applyNumberFormat="1" applyFont="1" applyFill="1" applyBorder="1" applyAlignment="1"/>
    <xf numFmtId="166" fontId="0" fillId="0" borderId="0" xfId="1692" applyNumberFormat="1" applyFont="1" applyBorder="1"/>
    <xf numFmtId="0" fontId="52" fillId="29" borderId="0" xfId="0" applyFont="1" applyFill="1" applyBorder="1" applyAlignment="1">
      <alignment horizontal="left"/>
    </xf>
    <xf numFmtId="0" fontId="12" fillId="0" borderId="0" xfId="0" applyFont="1"/>
    <xf numFmtId="9" fontId="12" fillId="0" borderId="0" xfId="1692" applyFont="1"/>
    <xf numFmtId="1" fontId="0" fillId="0" borderId="0" xfId="0" applyNumberFormat="1"/>
    <xf numFmtId="1" fontId="0" fillId="45" borderId="0" xfId="0" applyNumberFormat="1" applyFill="1"/>
    <xf numFmtId="0" fontId="86" fillId="0" borderId="0" xfId="1190" applyNumberFormat="1" applyFont="1" applyFill="1" applyBorder="1" applyAlignment="1"/>
    <xf numFmtId="0" fontId="0" fillId="49" borderId="0" xfId="0" applyFill="1"/>
    <xf numFmtId="2" fontId="0" fillId="49" borderId="0" xfId="0" applyNumberFormat="1" applyFill="1"/>
    <xf numFmtId="176" fontId="0" fillId="50" borderId="15" xfId="0" applyNumberFormat="1" applyFont="1" applyFill="1" applyBorder="1" applyAlignment="1"/>
    <xf numFmtId="0" fontId="0" fillId="48" borderId="0" xfId="0" applyFill="1"/>
    <xf numFmtId="0" fontId="87" fillId="51" borderId="0" xfId="0" applyFont="1" applyFill="1"/>
    <xf numFmtId="0" fontId="87" fillId="45" borderId="0" xfId="0" applyFont="1" applyFill="1"/>
    <xf numFmtId="0" fontId="87" fillId="52" borderId="0" xfId="0" applyFont="1" applyFill="1"/>
    <xf numFmtId="0" fontId="0" fillId="49" borderId="0" xfId="0" applyFill="1" applyAlignment="1">
      <alignment horizontal="right"/>
    </xf>
    <xf numFmtId="10" fontId="0" fillId="49" borderId="0" xfId="0" applyNumberFormat="1" applyFill="1"/>
    <xf numFmtId="9" fontId="56" fillId="49" borderId="0" xfId="1692" applyFont="1" applyFill="1"/>
    <xf numFmtId="9" fontId="42" fillId="49" borderId="0" xfId="1692" applyFont="1" applyFill="1"/>
    <xf numFmtId="2" fontId="37" fillId="49" borderId="0" xfId="0" applyNumberFormat="1" applyFont="1" applyFill="1"/>
    <xf numFmtId="0" fontId="0" fillId="27" borderId="0" xfId="0" applyNumberFormat="1" applyFont="1" applyFill="1" applyBorder="1" applyAlignment="1"/>
    <xf numFmtId="176" fontId="0" fillId="50" borderId="0" xfId="0" applyNumberFormat="1" applyFont="1" applyFill="1" applyBorder="1" applyAlignment="1"/>
    <xf numFmtId="171" fontId="12" fillId="0" borderId="0" xfId="0" applyNumberFormat="1" applyFont="1" applyFill="1" applyBorder="1" applyAlignment="1">
      <alignment horizontal="right"/>
    </xf>
    <xf numFmtId="1" fontId="0" fillId="0" borderId="0" xfId="0" applyNumberFormat="1" applyFont="1" applyFill="1" applyBorder="1" applyAlignment="1"/>
    <xf numFmtId="0" fontId="0" fillId="53" borderId="0" xfId="0" applyFill="1"/>
    <xf numFmtId="0" fontId="0" fillId="52" borderId="0" xfId="0" applyFill="1"/>
    <xf numFmtId="0" fontId="37" fillId="47" borderId="0" xfId="0" applyFont="1" applyFill="1"/>
    <xf numFmtId="0" fontId="0" fillId="47" borderId="0" xfId="0" applyFill="1"/>
    <xf numFmtId="0" fontId="0" fillId="54" borderId="0" xfId="0" applyFill="1"/>
    <xf numFmtId="0" fontId="0" fillId="55" borderId="0" xfId="0" applyFill="1"/>
    <xf numFmtId="0" fontId="12" fillId="55" borderId="0" xfId="0" applyFont="1" applyFill="1"/>
    <xf numFmtId="0" fontId="54" fillId="55" borderId="0" xfId="0" applyFont="1" applyFill="1" applyAlignment="1">
      <alignment vertical="center"/>
    </xf>
    <xf numFmtId="0" fontId="84" fillId="55" borderId="0" xfId="0" applyFont="1" applyFill="1" applyAlignment="1">
      <alignment vertical="center"/>
    </xf>
    <xf numFmtId="0" fontId="84" fillId="55" borderId="0" xfId="0" applyFont="1" applyFill="1"/>
    <xf numFmtId="0" fontId="84" fillId="55" borderId="0" xfId="1069" applyFont="1" applyFill="1" applyBorder="1" applyAlignment="1"/>
    <xf numFmtId="0" fontId="84" fillId="55" borderId="0" xfId="0" applyFont="1" applyFill="1" applyAlignment="1"/>
    <xf numFmtId="0" fontId="37" fillId="55" borderId="0" xfId="0" applyFont="1" applyFill="1"/>
    <xf numFmtId="0" fontId="83" fillId="55" borderId="0" xfId="1202" applyFill="1"/>
    <xf numFmtId="0" fontId="88" fillId="55" borderId="0" xfId="0" applyFont="1" applyFill="1"/>
    <xf numFmtId="1" fontId="83" fillId="55" borderId="0" xfId="1202" applyNumberFormat="1" applyFill="1"/>
    <xf numFmtId="172" fontId="83" fillId="55" borderId="0" xfId="1202" applyNumberFormat="1" applyFont="1" applyFill="1"/>
    <xf numFmtId="172" fontId="0" fillId="55" borderId="0" xfId="0" applyNumberFormat="1" applyFill="1"/>
    <xf numFmtId="0" fontId="83" fillId="54" borderId="0" xfId="1202" applyFill="1"/>
    <xf numFmtId="0" fontId="4" fillId="0" borderId="0" xfId="987" applyAlignment="1" applyProtection="1"/>
    <xf numFmtId="1" fontId="59" fillId="39" borderId="21" xfId="1043" applyNumberFormat="1" applyFont="1" applyFill="1" applyBorder="1" applyAlignment="1">
      <alignment horizontal="center"/>
    </xf>
    <xf numFmtId="1" fontId="58" fillId="39" borderId="20" xfId="1043" applyNumberFormat="1" applyFont="1" applyFill="1" applyBorder="1" applyAlignment="1">
      <alignment horizontal="right"/>
    </xf>
    <xf numFmtId="1" fontId="58" fillId="39" borderId="24" xfId="1043" applyNumberFormat="1" applyFont="1" applyFill="1" applyBorder="1" applyAlignment="1">
      <alignment horizontal="right"/>
    </xf>
    <xf numFmtId="1" fontId="58" fillId="39" borderId="28" xfId="1043" applyNumberFormat="1" applyFont="1" applyFill="1" applyBorder="1" applyAlignment="1">
      <alignment horizontal="right"/>
    </xf>
    <xf numFmtId="1" fontId="58" fillId="39" borderId="23" xfId="1043" applyNumberFormat="1" applyFont="1" applyFill="1" applyBorder="1" applyAlignment="1">
      <alignment horizontal="right"/>
    </xf>
    <xf numFmtId="1" fontId="59" fillId="39" borderId="24" xfId="1043" applyNumberFormat="1" applyFont="1" applyFill="1" applyBorder="1" applyAlignment="1">
      <alignment horizontal="right"/>
    </xf>
    <xf numFmtId="1" fontId="58" fillId="39" borderId="0" xfId="1043" applyNumberFormat="1" applyFont="1" applyFill="1" applyBorder="1" applyAlignment="1">
      <alignment horizontal="right"/>
    </xf>
    <xf numFmtId="1" fontId="58" fillId="39" borderId="19" xfId="1043" applyNumberFormat="1" applyFont="1" applyFill="1" applyBorder="1" applyAlignment="1">
      <alignment horizontal="right"/>
    </xf>
    <xf numFmtId="1" fontId="12" fillId="0" borderId="0" xfId="1043" applyNumberFormat="1"/>
    <xf numFmtId="1" fontId="12" fillId="0" borderId="24" xfId="1043" applyNumberFormat="1" applyBorder="1"/>
    <xf numFmtId="1" fontId="58" fillId="39" borderId="27" xfId="1043" applyNumberFormat="1" applyFont="1" applyFill="1" applyBorder="1" applyAlignment="1">
      <alignment horizontal="right"/>
    </xf>
    <xf numFmtId="1" fontId="63" fillId="39" borderId="23" xfId="1043" applyNumberFormat="1" applyFont="1" applyFill="1" applyBorder="1" applyAlignment="1">
      <alignment horizontal="right"/>
    </xf>
    <xf numFmtId="1" fontId="12" fillId="0" borderId="40" xfId="1043" applyNumberFormat="1" applyBorder="1"/>
    <xf numFmtId="1" fontId="58" fillId="39" borderId="21" xfId="1043" applyNumberFormat="1" applyFont="1" applyFill="1" applyBorder="1" applyAlignment="1">
      <alignment horizontal="right"/>
    </xf>
    <xf numFmtId="1" fontId="58" fillId="39" borderId="0" xfId="1043" applyNumberFormat="1" applyFont="1" applyFill="1"/>
    <xf numFmtId="1" fontId="61" fillId="39" borderId="24" xfId="1043" applyNumberFormat="1" applyFont="1" applyFill="1" applyBorder="1" applyAlignment="1">
      <alignment horizontal="right"/>
    </xf>
    <xf numFmtId="1" fontId="61" fillId="39" borderId="23" xfId="1043" applyNumberFormat="1" applyFont="1" applyFill="1" applyBorder="1" applyAlignment="1">
      <alignment horizontal="right"/>
    </xf>
    <xf numFmtId="1" fontId="59" fillId="39" borderId="20" xfId="1043" applyNumberFormat="1" applyFont="1" applyFill="1" applyBorder="1" applyAlignment="1">
      <alignment horizontal="right"/>
    </xf>
    <xf numFmtId="1" fontId="61" fillId="39" borderId="27" xfId="1043" applyNumberFormat="1" applyFont="1" applyFill="1" applyBorder="1" applyAlignment="1">
      <alignment horizontal="right"/>
    </xf>
    <xf numFmtId="1" fontId="59" fillId="39" borderId="21" xfId="1043" applyNumberFormat="1" applyFont="1" applyFill="1" applyBorder="1" applyAlignment="1">
      <alignment horizontal="right"/>
    </xf>
    <xf numFmtId="1" fontId="12" fillId="39" borderId="0" xfId="1043" applyNumberFormat="1" applyFill="1"/>
    <xf numFmtId="1" fontId="57" fillId="39" borderId="0" xfId="1043" applyNumberFormat="1" applyFont="1" applyFill="1"/>
    <xf numFmtId="1" fontId="59" fillId="39" borderId="0" xfId="1043" applyNumberFormat="1" applyFont="1" applyFill="1"/>
    <xf numFmtId="1" fontId="58" fillId="39" borderId="26" xfId="1043" applyNumberFormat="1" applyFont="1" applyFill="1" applyBorder="1"/>
    <xf numFmtId="1" fontId="37" fillId="0" borderId="48" xfId="1043" applyNumberFormat="1" applyFont="1" applyBorder="1"/>
    <xf numFmtId="1" fontId="59" fillId="39" borderId="26" xfId="1043" applyNumberFormat="1" applyFont="1" applyFill="1" applyBorder="1" applyAlignment="1">
      <alignment horizontal="centerContinuous"/>
    </xf>
    <xf numFmtId="1" fontId="59" fillId="39" borderId="27" xfId="1043" applyNumberFormat="1" applyFont="1" applyFill="1" applyBorder="1" applyAlignment="1">
      <alignment horizontal="centerContinuous"/>
    </xf>
    <xf numFmtId="1" fontId="59" fillId="39" borderId="36" xfId="1043" applyNumberFormat="1" applyFont="1" applyFill="1" applyBorder="1" applyAlignment="1">
      <alignment horizontal="centerContinuous"/>
    </xf>
    <xf numFmtId="1" fontId="59" fillId="39" borderId="34" xfId="1043" applyNumberFormat="1" applyFont="1" applyFill="1" applyBorder="1" applyAlignment="1">
      <alignment horizontal="centerContinuous"/>
    </xf>
    <xf numFmtId="1" fontId="58" fillId="39" borderId="34" xfId="1043" applyNumberFormat="1" applyFont="1" applyFill="1" applyBorder="1" applyAlignment="1">
      <alignment horizontal="centerContinuous"/>
    </xf>
    <xf numFmtId="1" fontId="58" fillId="39" borderId="0" xfId="1043" applyNumberFormat="1" applyFont="1" applyFill="1" applyBorder="1" applyAlignment="1">
      <alignment horizontal="center"/>
    </xf>
    <xf numFmtId="1" fontId="37" fillId="0" borderId="49" xfId="1043" applyNumberFormat="1" applyFont="1" applyBorder="1"/>
    <xf numFmtId="1" fontId="59" fillId="39" borderId="49" xfId="1043" applyNumberFormat="1" applyFont="1" applyFill="1" applyBorder="1" applyAlignment="1">
      <alignment horizontal="centerContinuous"/>
    </xf>
    <xf numFmtId="1" fontId="59" fillId="39" borderId="50" xfId="1043" applyNumberFormat="1" applyFont="1" applyFill="1" applyBorder="1" applyAlignment="1">
      <alignment horizontal="centerContinuous"/>
    </xf>
    <xf numFmtId="1" fontId="59" fillId="39" borderId="51" xfId="1043" applyNumberFormat="1" applyFont="1" applyFill="1" applyBorder="1" applyAlignment="1">
      <alignment horizontal="centerContinuous"/>
    </xf>
    <xf numFmtId="1" fontId="59" fillId="39" borderId="52" xfId="1043" applyNumberFormat="1" applyFont="1" applyFill="1" applyBorder="1" applyAlignment="1">
      <alignment horizontal="centerContinuous"/>
    </xf>
    <xf numFmtId="1" fontId="58" fillId="39" borderId="50" xfId="1043" applyNumberFormat="1" applyFont="1" applyFill="1" applyBorder="1" applyAlignment="1">
      <alignment horizontal="centerContinuous"/>
    </xf>
    <xf numFmtId="1" fontId="58" fillId="39" borderId="53" xfId="1043" applyNumberFormat="1" applyFont="1" applyFill="1" applyBorder="1" applyAlignment="1">
      <alignment horizontal="centerContinuous"/>
    </xf>
    <xf numFmtId="1" fontId="58" fillId="39" borderId="0" xfId="1043" applyNumberFormat="1" applyFont="1" applyFill="1" applyBorder="1" applyAlignment="1"/>
    <xf numFmtId="1" fontId="58" fillId="39" borderId="24" xfId="1043" applyNumberFormat="1" applyFont="1" applyFill="1" applyBorder="1"/>
    <xf numFmtId="1" fontId="59" fillId="39" borderId="22" xfId="1043" applyNumberFormat="1" applyFont="1" applyFill="1" applyBorder="1" applyAlignment="1">
      <alignment horizontal="centerContinuous"/>
    </xf>
    <xf numFmtId="1" fontId="59" fillId="39" borderId="24" xfId="1043" applyNumberFormat="1" applyFont="1" applyFill="1" applyBorder="1" applyAlignment="1">
      <alignment horizontal="center"/>
    </xf>
    <xf numFmtId="1" fontId="59" fillId="39" borderId="24" xfId="1043" applyNumberFormat="1" applyFont="1" applyFill="1" applyBorder="1" applyAlignment="1">
      <alignment horizontal="centerContinuous"/>
    </xf>
    <xf numFmtId="1" fontId="59" fillId="39" borderId="0" xfId="1043" applyNumberFormat="1" applyFont="1" applyFill="1" applyBorder="1" applyAlignment="1">
      <alignment horizontal="centerContinuous"/>
    </xf>
    <xf numFmtId="1" fontId="59" fillId="39" borderId="0" xfId="1043" applyNumberFormat="1" applyFont="1" applyFill="1" applyBorder="1" applyAlignment="1">
      <alignment horizontal="center"/>
    </xf>
    <xf numFmtId="1" fontId="58" fillId="39" borderId="54" xfId="1043" applyNumberFormat="1" applyFont="1" applyFill="1" applyBorder="1"/>
    <xf numFmtId="1" fontId="58" fillId="39" borderId="54" xfId="1043" applyNumberFormat="1" applyFont="1" applyFill="1" applyBorder="1" applyAlignment="1">
      <alignment horizontal="centerContinuous"/>
    </xf>
    <xf numFmtId="1" fontId="58" fillId="39" borderId="0" xfId="1043" applyNumberFormat="1" applyFont="1" applyFill="1" applyBorder="1" applyAlignment="1">
      <alignment horizontal="centerContinuous"/>
    </xf>
    <xf numFmtId="1" fontId="58" fillId="39" borderId="24" xfId="1043" applyNumberFormat="1" applyFont="1" applyFill="1" applyBorder="1" applyAlignment="1">
      <alignment horizontal="center"/>
    </xf>
    <xf numFmtId="1" fontId="58" fillId="39" borderId="23" xfId="1043" applyNumberFormat="1" applyFont="1" applyFill="1" applyBorder="1" applyAlignment="1">
      <alignment horizontal="centerContinuous"/>
    </xf>
    <xf numFmtId="1" fontId="58" fillId="39" borderId="46" xfId="1043" applyNumberFormat="1" applyFont="1" applyFill="1" applyBorder="1" applyAlignment="1">
      <alignment horizontal="center"/>
    </xf>
    <xf numFmtId="1" fontId="59" fillId="39" borderId="21" xfId="1043" applyNumberFormat="1" applyFont="1" applyFill="1" applyBorder="1"/>
    <xf numFmtId="1" fontId="58" fillId="39" borderId="23" xfId="1043" applyNumberFormat="1" applyFont="1" applyFill="1" applyBorder="1" applyAlignment="1">
      <alignment horizontal="center"/>
    </xf>
    <xf numFmtId="1" fontId="59" fillId="39" borderId="55" xfId="1043" applyNumberFormat="1" applyFont="1" applyFill="1" applyBorder="1"/>
    <xf numFmtId="1" fontId="58" fillId="39" borderId="56" xfId="1043" applyNumberFormat="1" applyFont="1" applyFill="1" applyBorder="1" applyAlignment="1">
      <alignment horizontal="center"/>
    </xf>
    <xf numFmtId="1" fontId="58" fillId="39" borderId="57" xfId="1043" applyNumberFormat="1" applyFont="1" applyFill="1" applyBorder="1" applyAlignment="1">
      <alignment horizontal="center"/>
    </xf>
    <xf numFmtId="1" fontId="58" fillId="39" borderId="27" xfId="1043" applyNumberFormat="1" applyFont="1" applyFill="1" applyBorder="1" applyAlignment="1">
      <alignment horizontal="center"/>
    </xf>
    <xf numFmtId="1" fontId="58" fillId="39" borderId="28" xfId="1043" applyNumberFormat="1" applyFont="1" applyFill="1" applyBorder="1" applyAlignment="1">
      <alignment horizontal="center"/>
    </xf>
    <xf numFmtId="1" fontId="58" fillId="39" borderId="58" xfId="1043" applyNumberFormat="1" applyFont="1" applyFill="1" applyBorder="1" applyAlignment="1">
      <alignment horizontal="center"/>
    </xf>
    <xf numFmtId="1" fontId="58" fillId="39" borderId="26" xfId="1043" applyNumberFormat="1" applyFont="1" applyFill="1" applyBorder="1" applyAlignment="1">
      <alignment horizontal="center"/>
    </xf>
    <xf numFmtId="1" fontId="58" fillId="39" borderId="59" xfId="1043" applyNumberFormat="1" applyFont="1" applyFill="1" applyBorder="1" applyAlignment="1">
      <alignment horizontal="center"/>
    </xf>
    <xf numFmtId="1" fontId="58" fillId="39" borderId="21" xfId="1043" applyNumberFormat="1" applyFont="1" applyFill="1" applyBorder="1"/>
    <xf numFmtId="1" fontId="60" fillId="0" borderId="23" xfId="1043" applyNumberFormat="1" applyFont="1" applyBorder="1" applyAlignment="1">
      <alignment vertical="center"/>
    </xf>
    <xf numFmtId="1" fontId="60" fillId="40" borderId="23" xfId="1043" applyNumberFormat="1" applyFont="1" applyFill="1" applyBorder="1" applyAlignment="1">
      <alignment vertical="center"/>
    </xf>
    <xf numFmtId="1" fontId="60" fillId="0" borderId="46" xfId="1043" applyNumberFormat="1" applyFont="1" applyFill="1" applyBorder="1" applyAlignment="1">
      <alignment vertical="center"/>
    </xf>
    <xf numFmtId="1" fontId="58" fillId="39" borderId="55" xfId="1043" applyNumberFormat="1" applyFont="1" applyFill="1" applyBorder="1"/>
    <xf numFmtId="1" fontId="58" fillId="39" borderId="56" xfId="1043" applyNumberFormat="1" applyFont="1" applyFill="1" applyBorder="1"/>
    <xf numFmtId="1" fontId="58" fillId="39" borderId="23" xfId="1043" applyNumberFormat="1" applyFont="1" applyFill="1" applyBorder="1"/>
    <xf numFmtId="1" fontId="58" fillId="39" borderId="57" xfId="1043" applyNumberFormat="1" applyFont="1" applyFill="1" applyBorder="1"/>
    <xf numFmtId="1" fontId="58" fillId="39" borderId="0" xfId="1043" applyNumberFormat="1" applyFont="1" applyFill="1" applyBorder="1"/>
    <xf numFmtId="1" fontId="60" fillId="0" borderId="38" xfId="1043" applyNumberFormat="1" applyFont="1" applyFill="1" applyBorder="1" applyAlignment="1">
      <alignment vertical="center"/>
    </xf>
    <xf numFmtId="1" fontId="60" fillId="0" borderId="38" xfId="1043" applyNumberFormat="1" applyFont="1" applyBorder="1" applyAlignment="1">
      <alignment vertical="center"/>
    </xf>
    <xf numFmtId="1" fontId="58" fillId="39" borderId="28" xfId="1043" applyNumberFormat="1" applyFont="1" applyFill="1" applyBorder="1"/>
    <xf numFmtId="1" fontId="60" fillId="0" borderId="39" xfId="1043" applyNumberFormat="1" applyFont="1" applyFill="1" applyBorder="1" applyAlignment="1">
      <alignment vertical="center"/>
    </xf>
    <xf numFmtId="1" fontId="58" fillId="39" borderId="27" xfId="1043" applyNumberFormat="1" applyFont="1" applyFill="1" applyBorder="1"/>
    <xf numFmtId="1" fontId="58" fillId="39" borderId="59" xfId="1043" applyNumberFormat="1" applyFont="1" applyFill="1" applyBorder="1"/>
    <xf numFmtId="1" fontId="65" fillId="39" borderId="48" xfId="1043" applyNumberFormat="1" applyFont="1" applyFill="1" applyBorder="1" applyAlignment="1">
      <alignment vertical="center"/>
    </xf>
    <xf numFmtId="1" fontId="66" fillId="39" borderId="37" xfId="1043" applyNumberFormat="1" applyFont="1" applyFill="1" applyBorder="1" applyAlignment="1">
      <alignment horizontal="right"/>
    </xf>
    <xf numFmtId="1" fontId="66" fillId="39" borderId="60" xfId="1043" applyNumberFormat="1" applyFont="1" applyFill="1" applyBorder="1" applyAlignment="1">
      <alignment horizontal="right"/>
    </xf>
    <xf numFmtId="1" fontId="59" fillId="39" borderId="61" xfId="1043" applyNumberFormat="1" applyFont="1" applyFill="1" applyBorder="1"/>
    <xf numFmtId="1" fontId="59" fillId="39" borderId="48" xfId="1043" applyNumberFormat="1" applyFont="1" applyFill="1" applyBorder="1"/>
    <xf numFmtId="1" fontId="59" fillId="39" borderId="37" xfId="1043" applyNumberFormat="1" applyFont="1" applyFill="1" applyBorder="1"/>
    <xf numFmtId="1" fontId="59" fillId="39" borderId="62" xfId="1043" applyNumberFormat="1" applyFont="1" applyFill="1" applyBorder="1"/>
    <xf numFmtId="1" fontId="59" fillId="39" borderId="27" xfId="1043" applyNumberFormat="1" applyFont="1" applyFill="1" applyBorder="1"/>
    <xf numFmtId="1" fontId="59" fillId="39" borderId="59" xfId="1043" applyNumberFormat="1" applyFont="1" applyFill="1" applyBorder="1"/>
    <xf numFmtId="1" fontId="67" fillId="0" borderId="58" xfId="1043" applyNumberFormat="1" applyFont="1" applyBorder="1" applyAlignment="1">
      <alignment vertical="center"/>
    </xf>
    <xf numFmtId="1" fontId="59" fillId="39" borderId="37" xfId="1043" applyNumberFormat="1" applyFont="1" applyFill="1" applyBorder="1" applyAlignment="1">
      <alignment horizontal="centerContinuous"/>
    </xf>
    <xf numFmtId="1" fontId="67" fillId="0" borderId="63" xfId="1043" applyNumberFormat="1" applyFont="1" applyBorder="1" applyAlignment="1">
      <alignment vertical="center"/>
    </xf>
    <xf numFmtId="1" fontId="59" fillId="39" borderId="61" xfId="1043" applyNumberFormat="1" applyFont="1" applyFill="1" applyBorder="1" applyAlignment="1">
      <alignment horizontal="centerContinuous"/>
    </xf>
    <xf numFmtId="1" fontId="58" fillId="39" borderId="64" xfId="1043" applyNumberFormat="1" applyFont="1" applyFill="1" applyBorder="1" applyAlignment="1">
      <alignment horizontal="centerContinuous"/>
    </xf>
    <xf numFmtId="1" fontId="60" fillId="39" borderId="56" xfId="1043" applyNumberFormat="1" applyFont="1" applyFill="1" applyBorder="1" applyAlignment="1">
      <alignment vertical="center"/>
    </xf>
    <xf numFmtId="1" fontId="65" fillId="39" borderId="37" xfId="1640" applyNumberFormat="1" applyFont="1" applyFill="1" applyBorder="1" applyAlignment="1">
      <alignment horizontal="right"/>
    </xf>
    <xf numFmtId="1" fontId="66" fillId="39" borderId="37" xfId="1640" applyNumberFormat="1" applyFont="1" applyFill="1" applyBorder="1" applyAlignment="1">
      <alignment horizontal="right"/>
    </xf>
    <xf numFmtId="1" fontId="65" fillId="39" borderId="60" xfId="1640" applyNumberFormat="1" applyFont="1" applyFill="1" applyBorder="1" applyAlignment="1">
      <alignment horizontal="right"/>
    </xf>
    <xf numFmtId="1" fontId="59" fillId="0" borderId="62" xfId="1043" applyNumberFormat="1" applyFont="1" applyFill="1" applyBorder="1"/>
    <xf numFmtId="1" fontId="59" fillId="41" borderId="62" xfId="1043" applyNumberFormat="1" applyFont="1" applyFill="1" applyBorder="1"/>
    <xf numFmtId="1" fontId="59" fillId="39" borderId="65" xfId="1043" applyNumberFormat="1" applyFont="1" applyFill="1" applyBorder="1" applyAlignment="1">
      <alignment vertical="center"/>
    </xf>
    <xf numFmtId="1" fontId="59" fillId="39" borderId="66" xfId="1640" applyNumberFormat="1" applyFont="1" applyFill="1" applyBorder="1" applyAlignment="1">
      <alignment horizontal="right"/>
    </xf>
    <xf numFmtId="1" fontId="59" fillId="39" borderId="67" xfId="1640" applyNumberFormat="1" applyFont="1" applyFill="1" applyBorder="1" applyAlignment="1">
      <alignment horizontal="right"/>
    </xf>
    <xf numFmtId="1" fontId="59" fillId="39" borderId="68" xfId="1640" applyNumberFormat="1" applyFont="1" applyFill="1" applyBorder="1" applyAlignment="1">
      <alignment horizontal="right"/>
    </xf>
    <xf numFmtId="1" fontId="59" fillId="39" borderId="69" xfId="1043" applyNumberFormat="1" applyFont="1" applyFill="1" applyBorder="1"/>
    <xf numFmtId="1" fontId="59" fillId="39" borderId="66" xfId="1043" applyNumberFormat="1" applyFont="1" applyFill="1" applyBorder="1"/>
    <xf numFmtId="1" fontId="59" fillId="39" borderId="70" xfId="1043" applyNumberFormat="1" applyFont="1" applyFill="1" applyBorder="1"/>
    <xf numFmtId="1" fontId="59" fillId="39" borderId="18" xfId="1043" applyNumberFormat="1" applyFont="1" applyFill="1" applyBorder="1"/>
    <xf numFmtId="1" fontId="59" fillId="39" borderId="0" xfId="1043" applyNumberFormat="1" applyFont="1" applyFill="1" applyAlignment="1"/>
    <xf numFmtId="1" fontId="58" fillId="39" borderId="22" xfId="1043" applyNumberFormat="1" applyFont="1" applyFill="1" applyBorder="1"/>
    <xf numFmtId="1" fontId="58" fillId="39" borderId="22" xfId="1043" applyNumberFormat="1" applyFont="1" applyFill="1" applyBorder="1" applyAlignment="1">
      <alignment horizontal="centerContinuous"/>
    </xf>
    <xf numFmtId="1" fontId="58" fillId="39" borderId="21" xfId="1043" applyNumberFormat="1" applyFont="1" applyFill="1" applyBorder="1" applyAlignment="1">
      <alignment horizontal="center"/>
    </xf>
    <xf numFmtId="1" fontId="59" fillId="39" borderId="21" xfId="1640" applyNumberFormat="1" applyFont="1" applyFill="1" applyBorder="1" applyAlignment="1">
      <alignment horizontal="right"/>
    </xf>
    <xf numFmtId="1" fontId="59" fillId="39" borderId="0" xfId="1640" applyNumberFormat="1" applyFont="1" applyFill="1" applyBorder="1" applyAlignment="1">
      <alignment horizontal="right"/>
    </xf>
    <xf numFmtId="1" fontId="59" fillId="39" borderId="24" xfId="1640" applyNumberFormat="1" applyFont="1" applyFill="1" applyBorder="1" applyAlignment="1">
      <alignment horizontal="right"/>
    </xf>
    <xf numFmtId="1" fontId="59" fillId="39" borderId="22" xfId="1640" applyNumberFormat="1" applyFont="1" applyFill="1" applyBorder="1" applyAlignment="1">
      <alignment horizontal="right"/>
    </xf>
    <xf numFmtId="1" fontId="59" fillId="39" borderId="24" xfId="1043" applyNumberFormat="1" applyFont="1" applyFill="1" applyBorder="1"/>
    <xf numFmtId="1" fontId="59" fillId="39" borderId="23" xfId="1043" applyNumberFormat="1" applyFont="1" applyFill="1" applyBorder="1"/>
    <xf numFmtId="1" fontId="58" fillId="39" borderId="24" xfId="1640" applyNumberFormat="1" applyFont="1" applyFill="1" applyBorder="1" applyAlignment="1">
      <alignment horizontal="center"/>
    </xf>
    <xf numFmtId="1" fontId="58" fillId="39" borderId="23" xfId="1640" applyNumberFormat="1" applyFont="1" applyFill="1" applyBorder="1" applyAlignment="1">
      <alignment horizontal="center"/>
    </xf>
    <xf numFmtId="1" fontId="58" fillId="39" borderId="24" xfId="1640" applyNumberFormat="1" applyFont="1" applyFill="1" applyBorder="1"/>
    <xf numFmtId="1" fontId="58" fillId="39" borderId="0" xfId="1640" applyNumberFormat="1" applyFont="1" applyFill="1" applyBorder="1" applyAlignment="1">
      <alignment horizontal="center"/>
    </xf>
    <xf numFmtId="1" fontId="59" fillId="39" borderId="22" xfId="1043" applyNumberFormat="1" applyFont="1" applyFill="1" applyBorder="1"/>
    <xf numFmtId="1" fontId="58" fillId="39" borderId="24" xfId="1640" applyNumberFormat="1" applyFont="1" applyFill="1" applyBorder="1" applyAlignment="1">
      <alignment horizontal="right"/>
    </xf>
    <xf numFmtId="1" fontId="58" fillId="39" borderId="23" xfId="1640" applyNumberFormat="1" applyFont="1" applyFill="1" applyBorder="1" applyAlignment="1">
      <alignment horizontal="right"/>
    </xf>
    <xf numFmtId="1" fontId="58" fillId="39" borderId="0" xfId="1640" applyNumberFormat="1" applyFont="1" applyFill="1" applyBorder="1" applyAlignment="1">
      <alignment horizontal="right"/>
    </xf>
    <xf numFmtId="1" fontId="58" fillId="0" borderId="24" xfId="1043" applyNumberFormat="1" applyFont="1" applyFill="1" applyBorder="1"/>
    <xf numFmtId="1" fontId="58" fillId="41" borderId="23" xfId="1043" applyNumberFormat="1" applyFont="1" applyFill="1" applyBorder="1"/>
    <xf numFmtId="1" fontId="58" fillId="39" borderId="24" xfId="1640" quotePrefix="1" applyNumberFormat="1" applyFont="1" applyFill="1" applyBorder="1" applyAlignment="1">
      <alignment horizontal="right"/>
    </xf>
    <xf numFmtId="1" fontId="58" fillId="39" borderId="23" xfId="1640" quotePrefix="1" applyNumberFormat="1" applyFont="1" applyFill="1" applyBorder="1" applyAlignment="1">
      <alignment horizontal="right"/>
    </xf>
    <xf numFmtId="1" fontId="59" fillId="39" borderId="62" xfId="1640" applyNumberFormat="1" applyFont="1" applyFill="1" applyBorder="1" applyAlignment="1">
      <alignment horizontal="right"/>
    </xf>
    <xf numFmtId="1" fontId="62" fillId="39" borderId="62" xfId="1640" applyNumberFormat="1" applyFont="1" applyFill="1" applyBorder="1" applyAlignment="1">
      <alignment horizontal="right"/>
    </xf>
    <xf numFmtId="1" fontId="59" fillId="39" borderId="36" xfId="1043" applyNumberFormat="1" applyFont="1" applyFill="1" applyBorder="1"/>
    <xf numFmtId="1" fontId="60" fillId="0" borderId="28" xfId="1043" applyNumberFormat="1" applyFont="1" applyBorder="1" applyAlignment="1">
      <alignment horizontal="center" vertical="center"/>
    </xf>
    <xf numFmtId="1" fontId="67" fillId="0" borderId="24" xfId="1043" applyNumberFormat="1" applyFont="1" applyBorder="1" applyAlignment="1">
      <alignment horizontal="right" vertical="center"/>
    </xf>
    <xf numFmtId="1" fontId="67" fillId="0" borderId="23" xfId="1043" applyNumberFormat="1" applyFont="1" applyBorder="1" applyAlignment="1">
      <alignment horizontal="right" vertical="center"/>
    </xf>
    <xf numFmtId="1" fontId="67" fillId="0" borderId="22" xfId="1043" applyNumberFormat="1" applyFont="1" applyBorder="1" applyAlignment="1">
      <alignment horizontal="right" vertical="center"/>
    </xf>
    <xf numFmtId="1" fontId="67" fillId="0" borderId="38" xfId="1043" applyNumberFormat="1" applyFont="1" applyBorder="1" applyAlignment="1">
      <alignment horizontal="right" vertical="center"/>
    </xf>
    <xf numFmtId="1" fontId="12" fillId="0" borderId="24" xfId="1043" applyNumberFormat="1" applyBorder="1" applyAlignment="1">
      <alignment horizontal="right"/>
    </xf>
    <xf numFmtId="1" fontId="12" fillId="0" borderId="38" xfId="1043" applyNumberFormat="1" applyBorder="1" applyAlignment="1">
      <alignment horizontal="right"/>
    </xf>
    <xf numFmtId="1" fontId="67" fillId="0" borderId="24" xfId="1043" applyNumberFormat="1" applyFont="1" applyBorder="1" applyAlignment="1">
      <alignment horizontal="right"/>
    </xf>
    <xf numFmtId="1" fontId="67" fillId="0" borderId="23" xfId="1043" applyNumberFormat="1" applyFont="1" applyBorder="1" applyAlignment="1">
      <alignment horizontal="right"/>
    </xf>
    <xf numFmtId="1" fontId="67" fillId="0" borderId="22" xfId="1043" applyNumberFormat="1" applyFont="1" applyBorder="1" applyAlignment="1">
      <alignment horizontal="right"/>
    </xf>
    <xf numFmtId="1" fontId="67" fillId="0" borderId="38" xfId="1043" applyNumberFormat="1" applyFont="1" applyBorder="1" applyAlignment="1">
      <alignment horizontal="right"/>
    </xf>
    <xf numFmtId="1" fontId="12" fillId="0" borderId="45" xfId="1043" applyNumberFormat="1" applyBorder="1" applyAlignment="1">
      <alignment horizontal="right"/>
    </xf>
    <xf numFmtId="1" fontId="12" fillId="0" borderId="44" xfId="1043" applyNumberFormat="1" applyBorder="1" applyAlignment="1">
      <alignment horizontal="right"/>
    </xf>
    <xf numFmtId="1" fontId="67" fillId="0" borderId="71" xfId="1043" applyNumberFormat="1" applyFont="1" applyBorder="1" applyAlignment="1">
      <alignment vertical="center"/>
    </xf>
    <xf numFmtId="1" fontId="67" fillId="0" borderId="72" xfId="1043" applyNumberFormat="1" applyFont="1" applyBorder="1" applyAlignment="1">
      <alignment vertical="center"/>
    </xf>
    <xf numFmtId="1" fontId="67" fillId="0" borderId="73" xfId="1043" applyNumberFormat="1" applyFont="1" applyBorder="1" applyAlignment="1">
      <alignment vertical="center"/>
    </xf>
    <xf numFmtId="1" fontId="68" fillId="39" borderId="0" xfId="1043" applyNumberFormat="1" applyFont="1" applyFill="1"/>
    <xf numFmtId="1" fontId="37" fillId="0" borderId="74" xfId="1043" applyNumberFormat="1" applyFont="1" applyBorder="1"/>
    <xf numFmtId="1" fontId="59" fillId="39" borderId="42" xfId="1043" applyNumberFormat="1" applyFont="1" applyFill="1" applyBorder="1" applyAlignment="1">
      <alignment horizontal="center"/>
    </xf>
    <xf numFmtId="1" fontId="59" fillId="39" borderId="43" xfId="1043" applyNumberFormat="1" applyFont="1" applyFill="1" applyBorder="1" applyAlignment="1">
      <alignment horizontal="center"/>
    </xf>
    <xf numFmtId="1" fontId="59" fillId="39" borderId="38" xfId="1043" applyNumberFormat="1" applyFont="1" applyFill="1" applyBorder="1" applyAlignment="1">
      <alignment horizontal="center"/>
    </xf>
    <xf numFmtId="1" fontId="59" fillId="39" borderId="75" xfId="1043" applyNumberFormat="1" applyFont="1" applyFill="1" applyBorder="1"/>
    <xf numFmtId="1" fontId="58" fillId="39" borderId="39" xfId="1043" applyNumberFormat="1" applyFont="1" applyFill="1" applyBorder="1" applyAlignment="1">
      <alignment horizontal="center"/>
    </xf>
    <xf numFmtId="1" fontId="58" fillId="39" borderId="75" xfId="1043" applyNumberFormat="1" applyFont="1" applyFill="1" applyBorder="1"/>
    <xf numFmtId="1" fontId="58" fillId="39" borderId="58" xfId="1043" applyNumberFormat="1" applyFont="1" applyFill="1" applyBorder="1"/>
    <xf numFmtId="1" fontId="59" fillId="39" borderId="46" xfId="1043" applyNumberFormat="1" applyFont="1" applyFill="1" applyBorder="1" applyAlignment="1">
      <alignment horizontal="center"/>
    </xf>
    <xf numFmtId="1" fontId="60" fillId="39" borderId="57" xfId="1043" applyNumberFormat="1" applyFont="1" applyFill="1" applyBorder="1" applyAlignment="1">
      <alignment vertical="center"/>
    </xf>
    <xf numFmtId="1" fontId="62" fillId="39" borderId="21" xfId="1043" applyNumberFormat="1" applyFont="1" applyFill="1" applyBorder="1" applyAlignment="1">
      <alignment horizontal="right"/>
    </xf>
    <xf numFmtId="1" fontId="62" fillId="39" borderId="0" xfId="1043" applyNumberFormat="1" applyFont="1" applyFill="1" applyBorder="1" applyAlignment="1">
      <alignment horizontal="right"/>
    </xf>
    <xf numFmtId="1" fontId="62" fillId="39" borderId="24" xfId="1043" applyNumberFormat="1" applyFont="1" applyFill="1" applyBorder="1" applyAlignment="1">
      <alignment horizontal="right"/>
    </xf>
    <xf numFmtId="1" fontId="59" fillId="39" borderId="0" xfId="1043" applyNumberFormat="1" applyFont="1" applyFill="1" applyBorder="1" applyAlignment="1">
      <alignment horizontal="right"/>
    </xf>
    <xf numFmtId="1" fontId="62" fillId="39" borderId="37" xfId="1043" applyNumberFormat="1" applyFont="1" applyFill="1" applyBorder="1" applyAlignment="1">
      <alignment horizontal="right"/>
    </xf>
    <xf numFmtId="1" fontId="59" fillId="39" borderId="37" xfId="1043" applyNumberFormat="1" applyFont="1" applyFill="1" applyBorder="1" applyAlignment="1">
      <alignment horizontal="right"/>
    </xf>
    <xf numFmtId="1" fontId="69" fillId="39" borderId="0" xfId="1043" applyNumberFormat="1" applyFont="1" applyFill="1"/>
    <xf numFmtId="1" fontId="58" fillId="39" borderId="57" xfId="1043" applyNumberFormat="1" applyFont="1" applyFill="1" applyBorder="1" applyAlignment="1">
      <alignment horizontal="right"/>
    </xf>
    <xf numFmtId="1" fontId="59" fillId="39" borderId="59" xfId="1043" applyNumberFormat="1" applyFont="1" applyFill="1" applyBorder="1" applyAlignment="1">
      <alignment horizontal="right"/>
    </xf>
    <xf numFmtId="1" fontId="58" fillId="39" borderId="20" xfId="1640" applyNumberFormat="1" applyFont="1" applyFill="1" applyBorder="1" applyAlignment="1">
      <alignment horizontal="right"/>
    </xf>
    <xf numFmtId="1" fontId="70" fillId="39" borderId="20" xfId="1640" applyNumberFormat="1" applyFont="1" applyFill="1" applyBorder="1" applyAlignment="1">
      <alignment horizontal="right"/>
    </xf>
    <xf numFmtId="1" fontId="70" fillId="39" borderId="23" xfId="1640" applyNumberFormat="1" applyFont="1" applyFill="1" applyBorder="1" applyAlignment="1">
      <alignment horizontal="right"/>
    </xf>
    <xf numFmtId="1" fontId="58" fillId="39" borderId="19" xfId="1640" applyNumberFormat="1" applyFont="1" applyFill="1" applyBorder="1" applyAlignment="1">
      <alignment horizontal="right"/>
    </xf>
    <xf numFmtId="1" fontId="58" fillId="39" borderId="21" xfId="1640" applyNumberFormat="1" applyFont="1" applyFill="1" applyBorder="1" applyAlignment="1">
      <alignment horizontal="right"/>
    </xf>
    <xf numFmtId="1" fontId="58" fillId="39" borderId="57" xfId="1640" applyNumberFormat="1" applyFont="1" applyFill="1" applyBorder="1" applyAlignment="1">
      <alignment horizontal="right"/>
    </xf>
    <xf numFmtId="1" fontId="63" fillId="39" borderId="23" xfId="1640" applyNumberFormat="1" applyFont="1" applyFill="1" applyBorder="1" applyAlignment="1">
      <alignment horizontal="right"/>
    </xf>
    <xf numFmtId="1" fontId="60" fillId="0" borderId="23" xfId="1043" applyNumberFormat="1" applyFont="1" applyFill="1" applyBorder="1" applyAlignment="1">
      <alignment vertical="center"/>
    </xf>
    <xf numFmtId="1" fontId="71" fillId="0" borderId="23" xfId="1043" applyNumberFormat="1" applyFont="1" applyFill="1" applyBorder="1" applyAlignment="1">
      <alignment vertical="center"/>
    </xf>
    <xf numFmtId="1" fontId="58" fillId="0" borderId="23" xfId="1043" applyNumberFormat="1" applyFont="1" applyFill="1" applyBorder="1" applyAlignment="1">
      <alignment vertical="center"/>
    </xf>
    <xf numFmtId="1" fontId="63" fillId="0" borderId="23" xfId="1043" applyNumberFormat="1" applyFont="1" applyFill="1" applyBorder="1" applyAlignment="1">
      <alignment vertical="center"/>
    </xf>
    <xf numFmtId="1" fontId="72" fillId="39" borderId="76" xfId="1043" applyNumberFormat="1" applyFont="1" applyFill="1" applyBorder="1" applyAlignment="1">
      <alignment vertical="center"/>
    </xf>
    <xf numFmtId="1" fontId="73" fillId="39" borderId="66" xfId="1640" applyNumberFormat="1" applyFont="1" applyFill="1" applyBorder="1" applyAlignment="1">
      <alignment horizontal="right"/>
    </xf>
    <xf numFmtId="1" fontId="67" fillId="39" borderId="70" xfId="1043" applyNumberFormat="1" applyFont="1" applyFill="1" applyBorder="1" applyAlignment="1">
      <alignment vertical="center"/>
    </xf>
    <xf numFmtId="1" fontId="73" fillId="39" borderId="21" xfId="1043" applyNumberFormat="1" applyFont="1" applyFill="1" applyBorder="1" applyAlignment="1">
      <alignment horizontal="right"/>
    </xf>
    <xf numFmtId="1" fontId="63" fillId="39" borderId="23" xfId="1043" applyNumberFormat="1" applyFont="1" applyFill="1" applyBorder="1" applyAlignment="1">
      <alignment horizontal="center"/>
    </xf>
    <xf numFmtId="1" fontId="63" fillId="39" borderId="23" xfId="1043" applyNumberFormat="1" applyFont="1" applyFill="1" applyBorder="1"/>
    <xf numFmtId="1" fontId="58" fillId="39" borderId="23" xfId="1043" quotePrefix="1" applyNumberFormat="1" applyFont="1" applyFill="1" applyBorder="1" applyAlignment="1">
      <alignment horizontal="right"/>
    </xf>
    <xf numFmtId="1" fontId="63" fillId="39" borderId="23" xfId="1043" quotePrefix="1" applyNumberFormat="1" applyFont="1" applyFill="1" applyBorder="1" applyAlignment="1">
      <alignment horizontal="right"/>
    </xf>
    <xf numFmtId="1" fontId="61" fillId="39" borderId="23" xfId="1043" quotePrefix="1" applyNumberFormat="1" applyFont="1" applyFill="1" applyBorder="1" applyAlignment="1">
      <alignment horizontal="right"/>
    </xf>
    <xf numFmtId="1" fontId="61" fillId="39" borderId="23" xfId="1043" applyNumberFormat="1" applyFont="1" applyFill="1" applyBorder="1"/>
    <xf numFmtId="1" fontId="61" fillId="39" borderId="0" xfId="1043" applyNumberFormat="1" applyFont="1" applyFill="1" applyBorder="1" applyAlignment="1">
      <alignment horizontal="right"/>
    </xf>
    <xf numFmtId="1" fontId="68" fillId="39" borderId="23" xfId="1043" applyNumberFormat="1" applyFont="1" applyFill="1" applyBorder="1"/>
    <xf numFmtId="1" fontId="60" fillId="0" borderId="27" xfId="1043" applyNumberFormat="1" applyFont="1" applyBorder="1" applyAlignment="1">
      <alignment horizontal="center" vertical="center"/>
    </xf>
    <xf numFmtId="1" fontId="59" fillId="39" borderId="20" xfId="1043" applyNumberFormat="1" applyFont="1" applyFill="1" applyBorder="1" applyAlignment="1">
      <alignment horizontal="center"/>
    </xf>
    <xf numFmtId="1" fontId="73" fillId="39" borderId="20" xfId="1043" applyNumberFormat="1" applyFont="1" applyFill="1" applyBorder="1" applyAlignment="1">
      <alignment horizontal="center"/>
    </xf>
    <xf numFmtId="1" fontId="59" fillId="39" borderId="23" xfId="1043" applyNumberFormat="1" applyFont="1" applyFill="1" applyBorder="1" applyAlignment="1">
      <alignment horizontal="right"/>
    </xf>
    <xf numFmtId="1" fontId="73" fillId="39" borderId="23" xfId="1043" applyNumberFormat="1" applyFont="1" applyFill="1" applyBorder="1" applyAlignment="1">
      <alignment horizontal="right"/>
    </xf>
    <xf numFmtId="1" fontId="59" fillId="39" borderId="25" xfId="1043" applyNumberFormat="1" applyFont="1" applyFill="1" applyBorder="1" applyAlignment="1">
      <alignment horizontal="centerContinuous"/>
    </xf>
    <xf numFmtId="1" fontId="58" fillId="39" borderId="26" xfId="1043" applyNumberFormat="1" applyFont="1" applyFill="1" applyBorder="1" applyAlignment="1">
      <alignment horizontal="centerContinuous"/>
    </xf>
    <xf numFmtId="1" fontId="58" fillId="39" borderId="27" xfId="1640" applyNumberFormat="1" applyFont="1" applyFill="1" applyBorder="1" applyAlignment="1">
      <alignment horizontal="right"/>
    </xf>
    <xf numFmtId="1" fontId="58" fillId="39" borderId="26" xfId="1640" applyNumberFormat="1" applyFont="1" applyFill="1" applyBorder="1" applyAlignment="1">
      <alignment horizontal="right"/>
    </xf>
    <xf numFmtId="1" fontId="58" fillId="39" borderId="28" xfId="1640" applyNumberFormat="1" applyFont="1" applyFill="1" applyBorder="1" applyAlignment="1">
      <alignment horizontal="right"/>
    </xf>
    <xf numFmtId="1" fontId="74" fillId="0" borderId="0" xfId="1043" applyNumberFormat="1" applyFont="1"/>
    <xf numFmtId="1" fontId="75" fillId="39" borderId="0" xfId="1043" applyNumberFormat="1" applyFont="1" applyFill="1"/>
    <xf numFmtId="1" fontId="58" fillId="39" borderId="26" xfId="1043" applyNumberFormat="1" applyFont="1" applyFill="1" applyBorder="1" applyAlignment="1">
      <alignment horizontal="right"/>
    </xf>
    <xf numFmtId="1" fontId="58" fillId="39" borderId="59" xfId="1043" applyNumberFormat="1" applyFont="1" applyFill="1" applyBorder="1" applyAlignment="1">
      <alignment horizontal="right"/>
    </xf>
    <xf numFmtId="1" fontId="12" fillId="0" borderId="47" xfId="1043" applyNumberFormat="1" applyBorder="1" applyAlignment="1">
      <alignment horizontal="right"/>
    </xf>
    <xf numFmtId="1" fontId="37" fillId="0" borderId="77" xfId="1043" applyNumberFormat="1" applyFont="1" applyFill="1" applyBorder="1" applyAlignment="1">
      <alignment horizontal="right"/>
    </xf>
    <xf numFmtId="1" fontId="37" fillId="0" borderId="78" xfId="1043" applyNumberFormat="1" applyFont="1" applyFill="1" applyBorder="1" applyAlignment="1">
      <alignment horizontal="right"/>
    </xf>
    <xf numFmtId="1" fontId="37" fillId="0" borderId="24" xfId="1043" applyNumberFormat="1" applyFont="1" applyBorder="1" applyAlignment="1">
      <alignment horizontal="right"/>
    </xf>
    <xf numFmtId="1" fontId="37" fillId="0" borderId="39" xfId="1043" applyNumberFormat="1" applyFont="1" applyBorder="1" applyAlignment="1">
      <alignment horizontal="right"/>
    </xf>
    <xf numFmtId="1" fontId="37" fillId="0" borderId="21" xfId="1043" applyNumberFormat="1" applyFont="1" applyBorder="1" applyAlignment="1">
      <alignment horizontal="right"/>
    </xf>
    <xf numFmtId="1" fontId="37" fillId="0" borderId="46" xfId="1043" applyNumberFormat="1" applyFont="1" applyBorder="1" applyAlignment="1">
      <alignment horizontal="right"/>
    </xf>
    <xf numFmtId="1" fontId="12" fillId="0" borderId="24" xfId="1043" applyNumberFormat="1" applyFill="1" applyBorder="1" applyAlignment="1">
      <alignment horizontal="right"/>
    </xf>
    <xf numFmtId="1" fontId="12" fillId="0" borderId="38" xfId="1043" applyNumberFormat="1" applyFill="1" applyBorder="1" applyAlignment="1">
      <alignment horizontal="right"/>
    </xf>
    <xf numFmtId="1" fontId="12" fillId="0" borderId="24" xfId="1043" applyNumberFormat="1" applyFont="1" applyBorder="1" applyAlignment="1"/>
    <xf numFmtId="1" fontId="12" fillId="0" borderId="38" xfId="1043" applyNumberFormat="1" applyFont="1" applyBorder="1" applyAlignment="1"/>
    <xf numFmtId="1" fontId="12" fillId="0" borderId="28" xfId="1043" applyNumberFormat="1" applyFont="1" applyBorder="1" applyAlignment="1"/>
    <xf numFmtId="1" fontId="12" fillId="0" borderId="39" xfId="1043" applyNumberFormat="1" applyFont="1" applyBorder="1" applyAlignment="1"/>
    <xf numFmtId="1" fontId="12" fillId="0" borderId="40" xfId="1043" applyNumberFormat="1" applyFont="1" applyBorder="1" applyAlignment="1"/>
    <xf numFmtId="1" fontId="12" fillId="0" borderId="41" xfId="1043" applyNumberFormat="1" applyFont="1" applyBorder="1" applyAlignment="1"/>
    <xf numFmtId="1" fontId="58" fillId="40" borderId="20" xfId="1043" applyNumberFormat="1" applyFont="1" applyFill="1" applyBorder="1" applyAlignment="1">
      <alignment horizontal="right"/>
    </xf>
    <xf numFmtId="1" fontId="58" fillId="40" borderId="23" xfId="1043" applyNumberFormat="1" applyFont="1" applyFill="1" applyBorder="1" applyAlignment="1">
      <alignment horizontal="right"/>
    </xf>
    <xf numFmtId="1" fontId="61" fillId="40" borderId="23" xfId="1043" applyNumberFormat="1" applyFont="1" applyFill="1" applyBorder="1" applyAlignment="1">
      <alignment horizontal="right"/>
    </xf>
    <xf numFmtId="1" fontId="58" fillId="40" borderId="27" xfId="1043" applyNumberFormat="1" applyFont="1" applyFill="1" applyBorder="1" applyAlignment="1">
      <alignment horizontal="right"/>
    </xf>
    <xf numFmtId="1" fontId="58" fillId="40" borderId="28" xfId="1043" applyNumberFormat="1" applyFont="1" applyFill="1" applyBorder="1" applyAlignment="1">
      <alignment horizontal="right"/>
    </xf>
    <xf numFmtId="1" fontId="37" fillId="0" borderId="21" xfId="1043" applyNumberFormat="1" applyFont="1" applyBorder="1"/>
    <xf numFmtId="1" fontId="37" fillId="0" borderId="64" xfId="1043" applyNumberFormat="1" applyFont="1" applyBorder="1"/>
    <xf numFmtId="1" fontId="12" fillId="0" borderId="57" xfId="1043" applyNumberFormat="1" applyBorder="1"/>
    <xf numFmtId="1" fontId="12" fillId="0" borderId="24" xfId="1043" applyNumberFormat="1" applyFill="1" applyBorder="1"/>
    <xf numFmtId="1" fontId="12" fillId="0" borderId="67" xfId="1043" applyNumberFormat="1" applyBorder="1"/>
    <xf numFmtId="1" fontId="58" fillId="39" borderId="23" xfId="1043" applyNumberFormat="1" applyFont="1" applyFill="1" applyBorder="1" applyAlignment="1">
      <alignment horizontal="right" vertical="center"/>
    </xf>
    <xf numFmtId="1" fontId="58" fillId="39" borderId="23" xfId="1043" applyNumberFormat="1" applyFont="1" applyFill="1" applyBorder="1" applyAlignment="1">
      <alignment vertical="center"/>
    </xf>
    <xf numFmtId="1" fontId="58" fillId="39" borderId="39" xfId="1043" applyNumberFormat="1" applyFont="1" applyFill="1" applyBorder="1" applyAlignment="1">
      <alignment vertical="center"/>
    </xf>
    <xf numFmtId="1" fontId="58" fillId="39" borderId="57" xfId="1043" applyNumberFormat="1" applyFont="1" applyFill="1" applyBorder="1" applyAlignment="1">
      <alignment vertical="center"/>
    </xf>
    <xf numFmtId="1" fontId="65" fillId="39" borderId="76" xfId="1043" applyNumberFormat="1" applyFont="1" applyFill="1" applyBorder="1" applyAlignment="1">
      <alignment vertical="center"/>
    </xf>
    <xf numFmtId="1" fontId="59" fillId="39" borderId="70" xfId="1043" applyNumberFormat="1" applyFont="1" applyFill="1" applyBorder="1" applyAlignment="1">
      <alignment vertical="center"/>
    </xf>
    <xf numFmtId="1" fontId="59" fillId="39" borderId="28" xfId="1043" applyNumberFormat="1" applyFont="1" applyFill="1" applyBorder="1"/>
    <xf numFmtId="1" fontId="62" fillId="39" borderId="27" xfId="1043" applyNumberFormat="1" applyFont="1" applyFill="1" applyBorder="1" applyAlignment="1">
      <alignment horizontal="right"/>
    </xf>
    <xf numFmtId="1" fontId="60" fillId="0" borderId="21" xfId="1043" applyNumberFormat="1" applyFont="1" applyBorder="1" applyAlignment="1">
      <alignment vertical="center"/>
    </xf>
    <xf numFmtId="1" fontId="60" fillId="40" borderId="20" xfId="1043" applyNumberFormat="1" applyFont="1" applyFill="1" applyBorder="1" applyAlignment="1">
      <alignment vertical="center"/>
    </xf>
    <xf numFmtId="1" fontId="60" fillId="0" borderId="20" xfId="1043" applyNumberFormat="1" applyFont="1" applyBorder="1" applyAlignment="1">
      <alignment vertical="center"/>
    </xf>
    <xf numFmtId="1" fontId="60" fillId="0" borderId="21" xfId="1043" applyNumberFormat="1" applyFont="1" applyFill="1" applyBorder="1" applyAlignment="1">
      <alignment vertical="center"/>
    </xf>
    <xf numFmtId="1" fontId="60" fillId="0" borderId="24" xfId="1043" applyNumberFormat="1" applyFont="1" applyBorder="1" applyAlignment="1">
      <alignment vertical="center"/>
    </xf>
    <xf numFmtId="1" fontId="60" fillId="0" borderId="24" xfId="1043" applyNumberFormat="1" applyFont="1" applyFill="1" applyBorder="1" applyAlignment="1">
      <alignment vertical="center"/>
    </xf>
    <xf numFmtId="1" fontId="58" fillId="39" borderId="38" xfId="1043" applyNumberFormat="1" applyFont="1" applyFill="1" applyBorder="1" applyAlignment="1">
      <alignment vertical="center"/>
    </xf>
    <xf numFmtId="1" fontId="76" fillId="0" borderId="48" xfId="1042" applyNumberFormat="1" applyFont="1" applyBorder="1"/>
    <xf numFmtId="1" fontId="59" fillId="39" borderId="56" xfId="1043" applyNumberFormat="1" applyFont="1" applyFill="1" applyBorder="1"/>
    <xf numFmtId="1" fontId="58" fillId="39" borderId="23" xfId="1042" applyNumberFormat="1" applyFont="1" applyFill="1" applyBorder="1" applyAlignment="1">
      <alignment vertical="center"/>
    </xf>
    <xf numFmtId="1" fontId="58" fillId="39" borderId="46" xfId="1043" applyNumberFormat="1" applyFont="1" applyFill="1" applyBorder="1" applyAlignment="1">
      <alignment vertical="center"/>
    </xf>
    <xf numFmtId="1" fontId="69" fillId="39" borderId="23" xfId="1640" applyNumberFormat="1" applyFont="1" applyFill="1" applyBorder="1" applyAlignment="1">
      <alignment horizontal="right"/>
    </xf>
    <xf numFmtId="1" fontId="69" fillId="39" borderId="23" xfId="1043" applyNumberFormat="1" applyFont="1" applyFill="1" applyBorder="1" applyAlignment="1">
      <alignment vertical="center"/>
    </xf>
    <xf numFmtId="1" fontId="59" fillId="39" borderId="70" xfId="1640" applyNumberFormat="1" applyFont="1" applyFill="1" applyBorder="1" applyAlignment="1">
      <alignment horizontal="right"/>
    </xf>
    <xf numFmtId="1" fontId="61" fillId="39" borderId="22" xfId="1043" applyNumberFormat="1" applyFont="1" applyFill="1" applyBorder="1" applyAlignment="1">
      <alignment horizontal="right"/>
    </xf>
    <xf numFmtId="1" fontId="58" fillId="39" borderId="22" xfId="1043" applyNumberFormat="1" applyFont="1" applyFill="1" applyBorder="1" applyAlignment="1">
      <alignment horizontal="right"/>
    </xf>
    <xf numFmtId="1" fontId="59" fillId="39" borderId="0" xfId="1043" applyNumberFormat="1" applyFont="1" applyFill="1" applyBorder="1"/>
    <xf numFmtId="1" fontId="34" fillId="39" borderId="0" xfId="1043" applyNumberFormat="1" applyFont="1" applyFill="1"/>
    <xf numFmtId="1" fontId="12" fillId="39" borderId="26" xfId="1043" applyNumberFormat="1" applyFill="1" applyBorder="1"/>
    <xf numFmtId="1" fontId="57" fillId="39" borderId="26" xfId="1043" applyNumberFormat="1" applyFont="1" applyFill="1" applyBorder="1"/>
    <xf numFmtId="1" fontId="58" fillId="0" borderId="24" xfId="1043" applyNumberFormat="1" applyFont="1" applyBorder="1"/>
    <xf numFmtId="1" fontId="77" fillId="0" borderId="0" xfId="1043" applyNumberFormat="1" applyFont="1"/>
    <xf numFmtId="1" fontId="65" fillId="39" borderId="59" xfId="1043" applyNumberFormat="1" applyFont="1" applyFill="1" applyBorder="1" applyAlignment="1">
      <alignment horizontal="right"/>
    </xf>
    <xf numFmtId="1" fontId="60" fillId="39" borderId="39" xfId="1043" applyNumberFormat="1" applyFont="1" applyFill="1" applyBorder="1" applyAlignment="1">
      <alignment vertical="center"/>
    </xf>
    <xf numFmtId="1" fontId="59" fillId="39" borderId="70" xfId="1043" applyNumberFormat="1" applyFont="1" applyFill="1" applyBorder="1" applyAlignment="1">
      <alignment horizontal="right"/>
    </xf>
    <xf numFmtId="1" fontId="58" fillId="40" borderId="20" xfId="1640" applyNumberFormat="1" applyFont="1" applyFill="1" applyBorder="1" applyAlignment="1">
      <alignment horizontal="right"/>
    </xf>
    <xf numFmtId="1" fontId="58" fillId="40" borderId="24" xfId="1640" applyNumberFormat="1" applyFont="1" applyFill="1" applyBorder="1" applyAlignment="1">
      <alignment horizontal="right"/>
    </xf>
    <xf numFmtId="1" fontId="58" fillId="40" borderId="23" xfId="1640" applyNumberFormat="1" applyFont="1" applyFill="1" applyBorder="1" applyAlignment="1">
      <alignment horizontal="right"/>
    </xf>
    <xf numFmtId="1" fontId="58" fillId="40" borderId="27" xfId="1640" applyNumberFormat="1" applyFont="1" applyFill="1" applyBorder="1" applyAlignment="1">
      <alignment horizontal="right"/>
    </xf>
    <xf numFmtId="1" fontId="66" fillId="40" borderId="37" xfId="1043" applyNumberFormat="1" applyFont="1" applyFill="1" applyBorder="1" applyAlignment="1">
      <alignment horizontal="right"/>
    </xf>
    <xf numFmtId="1" fontId="60" fillId="39" borderId="23" xfId="1043" applyNumberFormat="1" applyFont="1" applyFill="1" applyBorder="1" applyAlignment="1">
      <alignment vertical="center"/>
    </xf>
    <xf numFmtId="1" fontId="60" fillId="39" borderId="24" xfId="1043" applyNumberFormat="1" applyFont="1" applyFill="1" applyBorder="1" applyAlignment="1">
      <alignment vertical="center"/>
    </xf>
    <xf numFmtId="1" fontId="58" fillId="0" borderId="28" xfId="1640" applyNumberFormat="1" applyFont="1" applyFill="1" applyBorder="1" applyAlignment="1">
      <alignment horizontal="right"/>
    </xf>
    <xf numFmtId="1" fontId="78" fillId="39" borderId="37" xfId="1043" applyNumberFormat="1" applyFont="1" applyFill="1" applyBorder="1" applyAlignment="1">
      <alignment horizontal="right"/>
    </xf>
    <xf numFmtId="1" fontId="58" fillId="40" borderId="23" xfId="1043" applyNumberFormat="1" applyFont="1" applyFill="1" applyBorder="1" applyAlignment="1">
      <alignment horizontal="center"/>
    </xf>
    <xf numFmtId="1" fontId="58" fillId="40" borderId="28" xfId="1043" applyNumberFormat="1" applyFont="1" applyFill="1" applyBorder="1" applyAlignment="1">
      <alignment horizontal="center"/>
    </xf>
    <xf numFmtId="1" fontId="58" fillId="40" borderId="24" xfId="1043" applyNumberFormat="1" applyFont="1" applyFill="1" applyBorder="1" applyAlignment="1">
      <alignment horizontal="right"/>
    </xf>
    <xf numFmtId="1" fontId="61" fillId="40" borderId="20" xfId="1043" applyNumberFormat="1" applyFont="1" applyFill="1" applyBorder="1" applyAlignment="1">
      <alignment horizontal="right"/>
    </xf>
    <xf numFmtId="1" fontId="61" fillId="40" borderId="27" xfId="1043" applyNumberFormat="1" applyFont="1" applyFill="1" applyBorder="1" applyAlignment="1">
      <alignment horizontal="right"/>
    </xf>
    <xf numFmtId="1" fontId="61" fillId="39" borderId="23" xfId="1640" applyNumberFormat="1" applyFont="1" applyFill="1" applyBorder="1" applyAlignment="1">
      <alignment horizontal="right"/>
    </xf>
    <xf numFmtId="1" fontId="61" fillId="39" borderId="0" xfId="1640" applyNumberFormat="1" applyFont="1" applyFill="1" applyBorder="1" applyAlignment="1">
      <alignment horizontal="right"/>
    </xf>
    <xf numFmtId="1" fontId="58" fillId="40" borderId="27" xfId="1043" applyNumberFormat="1" applyFont="1" applyFill="1" applyBorder="1" applyAlignment="1">
      <alignment horizontal="center"/>
    </xf>
    <xf numFmtId="1" fontId="58" fillId="0" borderId="23" xfId="1640" applyNumberFormat="1" applyFont="1" applyFill="1" applyBorder="1" applyAlignment="1">
      <alignment horizontal="right"/>
    </xf>
    <xf numFmtId="1" fontId="58" fillId="0" borderId="24" xfId="1640" applyNumberFormat="1" applyFont="1" applyFill="1" applyBorder="1" applyAlignment="1">
      <alignment horizontal="right"/>
    </xf>
    <xf numFmtId="1" fontId="58" fillId="0" borderId="24" xfId="1640" applyNumberFormat="1" applyFont="1" applyFill="1" applyBorder="1"/>
    <xf numFmtId="1" fontId="66" fillId="0" borderId="37" xfId="1043" applyNumberFormat="1" applyFont="1" applyFill="1" applyBorder="1" applyAlignment="1">
      <alignment horizontal="right"/>
    </xf>
    <xf numFmtId="1" fontId="59" fillId="0" borderId="66" xfId="1640" applyNumberFormat="1" applyFont="1" applyFill="1" applyBorder="1" applyAlignment="1">
      <alignment horizontal="right"/>
    </xf>
    <xf numFmtId="1" fontId="58" fillId="0" borderId="23" xfId="1043" applyNumberFormat="1" applyFont="1" applyBorder="1" applyAlignment="1">
      <alignment horizontal="right" vertical="center"/>
    </xf>
    <xf numFmtId="1" fontId="58" fillId="40" borderId="23" xfId="1043" applyNumberFormat="1" applyFont="1" applyFill="1" applyBorder="1" applyAlignment="1">
      <alignment horizontal="right" vertical="center"/>
    </xf>
    <xf numFmtId="1" fontId="58" fillId="40" borderId="23" xfId="1043" applyNumberFormat="1" applyFont="1" applyFill="1" applyBorder="1" applyAlignment="1">
      <alignment vertical="center"/>
    </xf>
    <xf numFmtId="1" fontId="58" fillId="0" borderId="23" xfId="1043" applyNumberFormat="1" applyFont="1" applyBorder="1" applyAlignment="1">
      <alignment vertical="center"/>
    </xf>
    <xf numFmtId="0" fontId="89" fillId="0" borderId="0" xfId="0" applyFont="1" applyFill="1" applyBorder="1"/>
    <xf numFmtId="0" fontId="0" fillId="46" borderId="0" xfId="0" applyFill="1"/>
    <xf numFmtId="172" fontId="59" fillId="39" borderId="23" xfId="1043" applyNumberFormat="1" applyFont="1" applyFill="1" applyBorder="1"/>
    <xf numFmtId="172" fontId="59" fillId="39" borderId="37" xfId="1043" applyNumberFormat="1" applyFont="1" applyFill="1" applyBorder="1"/>
    <xf numFmtId="2" fontId="58" fillId="39" borderId="24" xfId="1043" applyNumberFormat="1" applyFont="1" applyFill="1" applyBorder="1"/>
    <xf numFmtId="0" fontId="0" fillId="49" borderId="0" xfId="0" applyFill="1" applyAlignment="1">
      <alignment horizontal="left"/>
    </xf>
    <xf numFmtId="171" fontId="58" fillId="39" borderId="0" xfId="1043" applyNumberFormat="1" applyFont="1" applyFill="1"/>
    <xf numFmtId="172" fontId="0" fillId="46" borderId="0" xfId="0" applyNumberFormat="1" applyFill="1"/>
    <xf numFmtId="0" fontId="12" fillId="46" borderId="0" xfId="1190" applyNumberFormat="1" applyFont="1" applyFill="1" applyBorder="1" applyAlignment="1">
      <alignment wrapText="1"/>
    </xf>
    <xf numFmtId="0" fontId="0" fillId="0" borderId="0" xfId="0" applyFill="1" applyBorder="1"/>
    <xf numFmtId="0" fontId="0" fillId="46" borderId="15" xfId="0" applyNumberFormat="1" applyFont="1" applyFill="1" applyBorder="1" applyAlignment="1">
      <alignment wrapText="1"/>
    </xf>
    <xf numFmtId="176" fontId="0" fillId="46" borderId="15" xfId="0" applyNumberFormat="1" applyFont="1" applyFill="1" applyBorder="1" applyAlignment="1"/>
    <xf numFmtId="2" fontId="0" fillId="46" borderId="15" xfId="0" applyNumberFormat="1" applyFont="1" applyFill="1" applyBorder="1" applyAlignment="1">
      <alignment horizontal="right"/>
    </xf>
    <xf numFmtId="0" fontId="12" fillId="46" borderId="0" xfId="1190" applyNumberFormat="1" applyFont="1" applyFill="1" applyBorder="1" applyAlignment="1"/>
    <xf numFmtId="1" fontId="59" fillId="57" borderId="66" xfId="1640" applyNumberFormat="1" applyFont="1" applyFill="1" applyBorder="1" applyAlignment="1">
      <alignment horizontal="right"/>
    </xf>
    <xf numFmtId="1" fontId="59" fillId="57" borderId="67" xfId="1640" applyNumberFormat="1" applyFont="1" applyFill="1" applyBorder="1" applyAlignment="1">
      <alignment horizontal="right"/>
    </xf>
    <xf numFmtId="0" fontId="12" fillId="49" borderId="0" xfId="0" applyFont="1" applyFill="1"/>
    <xf numFmtId="0" fontId="0" fillId="58" borderId="0" xfId="0" applyFill="1"/>
    <xf numFmtId="2" fontId="0" fillId="0" borderId="0" xfId="1692" applyNumberFormat="1" applyFont="1"/>
    <xf numFmtId="2" fontId="0" fillId="49" borderId="0" xfId="0" applyNumberFormat="1" applyFill="1" applyAlignment="1">
      <alignment horizontal="right"/>
    </xf>
    <xf numFmtId="2" fontId="59" fillId="39" borderId="23" xfId="1043" applyNumberFormat="1" applyFont="1" applyFill="1" applyBorder="1"/>
    <xf numFmtId="2" fontId="58" fillId="39" borderId="23" xfId="1043" applyNumberFormat="1" applyFont="1" applyFill="1" applyBorder="1"/>
    <xf numFmtId="1" fontId="37" fillId="49" borderId="0" xfId="0" applyNumberFormat="1" applyFont="1" applyFill="1" applyAlignment="1">
      <alignment horizontal="left"/>
    </xf>
    <xf numFmtId="2" fontId="12" fillId="49" borderId="0" xfId="0" applyNumberFormat="1" applyFont="1" applyFill="1" applyAlignment="1">
      <alignment horizontal="right"/>
    </xf>
    <xf numFmtId="1" fontId="37" fillId="49" borderId="0" xfId="0" applyNumberFormat="1" applyFont="1" applyFill="1" applyAlignment="1">
      <alignment horizontal="center"/>
    </xf>
    <xf numFmtId="9" fontId="58" fillId="39" borderId="0" xfId="1692" applyFont="1" applyFill="1"/>
    <xf numFmtId="1" fontId="58" fillId="39" borderId="0" xfId="1692" applyNumberFormat="1" applyFont="1" applyFill="1"/>
    <xf numFmtId="0" fontId="84" fillId="54" borderId="0" xfId="1295" applyFont="1" applyFill="1"/>
    <xf numFmtId="2" fontId="85" fillId="54" borderId="35" xfId="1295" applyNumberFormat="1" applyFont="1" applyFill="1" applyBorder="1" applyAlignment="1">
      <alignment horizontal="center"/>
    </xf>
    <xf numFmtId="2" fontId="85" fillId="54" borderId="0" xfId="1295" applyNumberFormat="1" applyFont="1" applyFill="1" applyBorder="1" applyAlignment="1">
      <alignment horizontal="center"/>
    </xf>
    <xf numFmtId="0" fontId="85" fillId="54" borderId="0" xfId="1295" applyFont="1" applyFill="1" applyBorder="1" applyAlignment="1">
      <alignment horizontal="center"/>
    </xf>
    <xf numFmtId="2" fontId="84" fillId="54" borderId="0" xfId="1295" applyNumberFormat="1" applyFont="1" applyFill="1"/>
    <xf numFmtId="0" fontId="84" fillId="54" borderId="0" xfId="1295" applyFont="1" applyFill="1" applyBorder="1"/>
    <xf numFmtId="0" fontId="85" fillId="54" borderId="79" xfId="1295" applyFont="1" applyFill="1" applyBorder="1"/>
    <xf numFmtId="0" fontId="85" fillId="54" borderId="35" xfId="1295" applyFont="1" applyFill="1" applyBorder="1"/>
    <xf numFmtId="2" fontId="84" fillId="54" borderId="35" xfId="1295" applyNumberFormat="1" applyFont="1" applyFill="1" applyBorder="1"/>
    <xf numFmtId="0" fontId="84" fillId="54" borderId="23" xfId="1295" applyFont="1" applyFill="1" applyBorder="1"/>
    <xf numFmtId="9" fontId="84" fillId="54" borderId="0" xfId="1991" applyFont="1" applyFill="1" applyBorder="1"/>
    <xf numFmtId="2" fontId="84" fillId="59" borderId="0" xfId="1295" applyNumberFormat="1" applyFont="1" applyFill="1"/>
    <xf numFmtId="2" fontId="84" fillId="60" borderId="0" xfId="1295" applyNumberFormat="1" applyFont="1" applyFill="1"/>
    <xf numFmtId="2" fontId="83" fillId="60" borderId="0" xfId="1295" applyNumberFormat="1" applyFont="1" applyFill="1"/>
    <xf numFmtId="2" fontId="84" fillId="61" borderId="0" xfId="1295" applyNumberFormat="1" applyFont="1" applyFill="1"/>
    <xf numFmtId="0" fontId="85" fillId="54" borderId="0" xfId="1295" applyFont="1" applyFill="1" applyAlignment="1">
      <alignment horizontal="center"/>
    </xf>
    <xf numFmtId="0" fontId="12" fillId="0" borderId="0" xfId="1199" applyNumberFormat="1" applyFont="1" applyFill="1" applyBorder="1" applyAlignment="1"/>
    <xf numFmtId="0" fontId="49" fillId="0" borderId="0" xfId="1199"/>
    <xf numFmtId="178" fontId="12" fillId="0" borderId="0" xfId="1199" applyNumberFormat="1" applyFont="1" applyFill="1" applyBorder="1" applyAlignment="1"/>
    <xf numFmtId="0" fontId="12" fillId="27" borderId="15" xfId="1199" applyNumberFormat="1" applyFont="1" applyFill="1" applyBorder="1" applyAlignment="1"/>
    <xf numFmtId="3" fontId="12" fillId="0" borderId="15" xfId="1199" applyNumberFormat="1" applyFont="1" applyFill="1" applyBorder="1" applyAlignment="1"/>
    <xf numFmtId="0" fontId="12" fillId="0" borderId="15" xfId="1199" applyNumberFormat="1" applyFont="1" applyFill="1" applyBorder="1" applyAlignment="1"/>
    <xf numFmtId="3" fontId="49" fillId="0" borderId="0" xfId="1199" applyNumberFormat="1"/>
    <xf numFmtId="0" fontId="37" fillId="0" borderId="0" xfId="1199" applyNumberFormat="1" applyFont="1" applyFill="1" applyBorder="1" applyAlignment="1"/>
    <xf numFmtId="0" fontId="49" fillId="0" borderId="62" xfId="1199" applyBorder="1"/>
    <xf numFmtId="0" fontId="12" fillId="27" borderId="62" xfId="1199" applyNumberFormat="1" applyFont="1" applyFill="1" applyBorder="1" applyAlignment="1"/>
    <xf numFmtId="0" fontId="49" fillId="0" borderId="62" xfId="1199" applyFont="1" applyBorder="1"/>
    <xf numFmtId="3" fontId="12" fillId="0" borderId="62" xfId="1199" applyNumberFormat="1" applyFont="1" applyFill="1" applyBorder="1" applyAlignment="1"/>
    <xf numFmtId="0" fontId="12" fillId="0" borderId="62" xfId="1199" applyNumberFormat="1" applyFont="1" applyFill="1" applyBorder="1" applyAlignment="1"/>
    <xf numFmtId="0" fontId="12" fillId="46" borderId="62" xfId="1199" applyNumberFormat="1" applyFont="1" applyFill="1" applyBorder="1" applyAlignment="1"/>
    <xf numFmtId="0" fontId="49" fillId="0" borderId="0" xfId="1199" applyAlignment="1"/>
    <xf numFmtId="0" fontId="49" fillId="0" borderId="0" xfId="1199" applyFont="1"/>
    <xf numFmtId="3" fontId="12" fillId="46" borderId="15" xfId="1199" applyNumberFormat="1" applyFont="1" applyFill="1" applyBorder="1" applyAlignment="1"/>
    <xf numFmtId="3" fontId="12" fillId="52" borderId="15" xfId="1199" applyNumberFormat="1" applyFont="1" applyFill="1" applyBorder="1" applyAlignment="1"/>
    <xf numFmtId="179" fontId="49" fillId="0" borderId="0" xfId="1199" applyNumberFormat="1"/>
    <xf numFmtId="0" fontId="49" fillId="0" borderId="0" xfId="1199" applyFont="1" applyAlignment="1">
      <alignment horizontal="right"/>
    </xf>
    <xf numFmtId="3" fontId="49" fillId="0" borderId="0" xfId="1199" applyNumberFormat="1" applyAlignment="1"/>
    <xf numFmtId="0" fontId="12" fillId="0" borderId="0" xfId="1199" applyNumberFormat="1" applyFont="1" applyFill="1" applyBorder="1" applyAlignment="1">
      <alignment horizontal="right"/>
    </xf>
    <xf numFmtId="3" fontId="49" fillId="52" borderId="0" xfId="1199" applyNumberFormat="1" applyFill="1" applyAlignment="1"/>
    <xf numFmtId="3" fontId="12" fillId="0" borderId="0" xfId="1199" applyNumberFormat="1" applyFont="1" applyFill="1" applyBorder="1" applyAlignment="1"/>
    <xf numFmtId="1" fontId="49" fillId="0" borderId="0" xfId="1199" applyNumberFormat="1" applyAlignment="1"/>
    <xf numFmtId="0" fontId="85" fillId="54" borderId="0" xfId="1295" applyFont="1" applyFill="1" applyBorder="1" applyAlignment="1">
      <alignment horizontal="center"/>
    </xf>
    <xf numFmtId="0" fontId="85" fillId="54" borderId="23" xfId="1295" applyFont="1" applyFill="1" applyBorder="1" applyAlignment="1">
      <alignment horizontal="center"/>
    </xf>
    <xf numFmtId="0" fontId="85" fillId="54" borderId="0" xfId="1295" applyFont="1" applyFill="1" applyAlignment="1">
      <alignment horizontal="center"/>
    </xf>
    <xf numFmtId="172" fontId="37" fillId="49" borderId="0" xfId="0" applyNumberFormat="1" applyFont="1" applyFill="1" applyAlignment="1">
      <alignment horizontal="center"/>
    </xf>
    <xf numFmtId="0" fontId="85" fillId="54" borderId="23" xfId="1295" applyFont="1" applyFill="1" applyBorder="1"/>
    <xf numFmtId="0" fontId="85" fillId="54" borderId="0" xfId="1295" applyFont="1" applyFill="1" applyBorder="1"/>
    <xf numFmtId="2" fontId="85" fillId="59" borderId="0" xfId="1295" applyNumberFormat="1" applyFont="1" applyFill="1"/>
    <xf numFmtId="2" fontId="85" fillId="54" borderId="35" xfId="1295" applyNumberFormat="1" applyFont="1" applyFill="1" applyBorder="1"/>
    <xf numFmtId="4" fontId="49" fillId="0" borderId="0" xfId="1199" applyNumberFormat="1" applyAlignment="1"/>
    <xf numFmtId="2" fontId="49" fillId="0" borderId="0" xfId="1199" applyNumberFormat="1"/>
    <xf numFmtId="0" fontId="49" fillId="0" borderId="0" xfId="1199" applyFont="1" applyBorder="1"/>
    <xf numFmtId="0" fontId="12" fillId="46" borderId="0" xfId="1199" applyNumberFormat="1" applyFont="1" applyFill="1" applyBorder="1" applyAlignment="1"/>
    <xf numFmtId="0" fontId="85" fillId="54" borderId="0" xfId="1295" applyFont="1" applyFill="1"/>
    <xf numFmtId="2" fontId="85" fillId="54" borderId="0" xfId="1295" applyNumberFormat="1" applyFont="1" applyFill="1"/>
    <xf numFmtId="0" fontId="12" fillId="62" borderId="62" xfId="1199" applyNumberFormat="1" applyFont="1" applyFill="1" applyBorder="1" applyAlignment="1"/>
    <xf numFmtId="0" fontId="12" fillId="63" borderId="62" xfId="1199" applyNumberFormat="1" applyFont="1" applyFill="1" applyBorder="1" applyAlignment="1"/>
    <xf numFmtId="0" fontId="85" fillId="49" borderId="0" xfId="1295" applyFont="1" applyFill="1" applyBorder="1" applyAlignment="1">
      <alignment horizontal="center"/>
    </xf>
    <xf numFmtId="2" fontId="85" fillId="54" borderId="26" xfId="1295" applyNumberFormat="1" applyFont="1" applyFill="1" applyBorder="1"/>
    <xf numFmtId="2" fontId="84" fillId="54" borderId="26" xfId="1295" applyNumberFormat="1" applyFont="1" applyFill="1" applyBorder="1"/>
    <xf numFmtId="0" fontId="85" fillId="54" borderId="35" xfId="1295" applyFont="1" applyFill="1" applyBorder="1" applyAlignment="1">
      <alignment horizontal="center"/>
    </xf>
    <xf numFmtId="0" fontId="37" fillId="49" borderId="0" xfId="0" applyFont="1" applyFill="1" applyBorder="1"/>
    <xf numFmtId="2" fontId="12" fillId="49" borderId="0" xfId="0" applyNumberFormat="1" applyFont="1" applyFill="1"/>
    <xf numFmtId="0" fontId="37" fillId="49" borderId="0" xfId="0" applyFont="1" applyFill="1"/>
    <xf numFmtId="1" fontId="58" fillId="39" borderId="62" xfId="1043" applyNumberFormat="1" applyFont="1" applyFill="1" applyBorder="1"/>
    <xf numFmtId="2" fontId="58" fillId="39" borderId="62" xfId="1043" applyNumberFormat="1" applyFont="1" applyFill="1" applyBorder="1"/>
    <xf numFmtId="0" fontId="85" fillId="45" borderId="80" xfId="1295" applyFont="1" applyFill="1" applyBorder="1" applyAlignment="1">
      <alignment horizontal="center"/>
    </xf>
    <xf numFmtId="0" fontId="85" fillId="45" borderId="81" xfId="1295" applyFont="1" applyFill="1" applyBorder="1" applyAlignment="1">
      <alignment horizontal="center"/>
    </xf>
    <xf numFmtId="0" fontId="85" fillId="45" borderId="73" xfId="1295" applyFont="1" applyFill="1" applyBorder="1" applyAlignment="1">
      <alignment horizontal="center"/>
    </xf>
    <xf numFmtId="171" fontId="84" fillId="54" borderId="0" xfId="1295" applyNumberFormat="1" applyFont="1" applyFill="1"/>
    <xf numFmtId="171" fontId="12" fillId="49" borderId="0" xfId="0" applyNumberFormat="1" applyFont="1" applyFill="1" applyAlignment="1">
      <alignment horizontal="right"/>
    </xf>
    <xf numFmtId="0" fontId="37" fillId="58" borderId="0" xfId="0" applyFont="1" applyFill="1"/>
    <xf numFmtId="2" fontId="0" fillId="49" borderId="0" xfId="0" applyNumberFormat="1" applyFill="1" applyBorder="1"/>
    <xf numFmtId="0" fontId="0" fillId="49" borderId="0" xfId="0" applyFill="1" applyBorder="1"/>
    <xf numFmtId="0" fontId="12" fillId="49" borderId="0" xfId="0" applyFont="1" applyFill="1" applyBorder="1" applyAlignment="1">
      <alignment horizontal="left"/>
    </xf>
    <xf numFmtId="0" fontId="84" fillId="54" borderId="23" xfId="1295" applyFont="1" applyFill="1" applyBorder="1" applyAlignment="1">
      <alignment horizontal="right"/>
    </xf>
    <xf numFmtId="2" fontId="91" fillId="49" borderId="0" xfId="0" applyNumberFormat="1" applyFont="1" applyFill="1" applyAlignment="1">
      <alignment horizontal="right"/>
    </xf>
    <xf numFmtId="2" fontId="91" fillId="49" borderId="0" xfId="0" applyNumberFormat="1" applyFont="1" applyFill="1"/>
    <xf numFmtId="0" fontId="91" fillId="49" borderId="0" xfId="0" applyFont="1" applyFill="1"/>
    <xf numFmtId="0" fontId="92" fillId="47" borderId="0" xfId="0" applyFont="1" applyFill="1" applyAlignment="1">
      <alignment horizontal="left"/>
    </xf>
    <xf numFmtId="0" fontId="93" fillId="49" borderId="0" xfId="0" applyFont="1" applyFill="1" applyAlignment="1">
      <alignment horizontal="left"/>
    </xf>
    <xf numFmtId="0" fontId="93" fillId="0" borderId="0" xfId="0" applyFont="1" applyAlignment="1">
      <alignment horizontal="left"/>
    </xf>
    <xf numFmtId="0" fontId="93" fillId="49" borderId="0" xfId="0" applyFont="1" applyFill="1" applyBorder="1" applyAlignment="1">
      <alignment horizontal="left"/>
    </xf>
    <xf numFmtId="0" fontId="93" fillId="49" borderId="0" xfId="0" applyFont="1" applyFill="1"/>
    <xf numFmtId="0" fontId="94" fillId="49" borderId="0" xfId="0" applyFont="1" applyFill="1" applyAlignment="1">
      <alignment horizontal="left"/>
    </xf>
    <xf numFmtId="0" fontId="93" fillId="53" borderId="0" xfId="0" applyFont="1" applyFill="1" applyAlignment="1">
      <alignment horizontal="left"/>
    </xf>
    <xf numFmtId="0" fontId="93" fillId="52" borderId="0" xfId="0" applyFont="1" applyFill="1" applyAlignment="1">
      <alignment horizontal="left"/>
    </xf>
    <xf numFmtId="0" fontId="95" fillId="49" borderId="0" xfId="0" applyFont="1" applyFill="1" applyAlignment="1">
      <alignment horizontal="center" vertical="center"/>
    </xf>
    <xf numFmtId="0" fontId="93" fillId="49" borderId="0" xfId="0" applyFont="1" applyFill="1" applyAlignment="1">
      <alignment horizontal="center" vertical="center"/>
    </xf>
    <xf numFmtId="0" fontId="0" fillId="49" borderId="0" xfId="0" applyFill="1" applyAlignment="1">
      <alignment horizontal="center" vertical="center"/>
    </xf>
    <xf numFmtId="2" fontId="0" fillId="49" borderId="0" xfId="0" applyNumberFormat="1" applyFill="1" applyAlignment="1">
      <alignment horizontal="center" vertical="center"/>
    </xf>
    <xf numFmtId="0" fontId="93" fillId="49" borderId="0" xfId="0" applyFont="1" applyFill="1" applyAlignment="1">
      <alignment horizontal="left" vertical="center"/>
    </xf>
    <xf numFmtId="2" fontId="12" fillId="49" borderId="0" xfId="0" applyNumberFormat="1" applyFont="1" applyFill="1" applyAlignment="1">
      <alignment horizontal="center" vertical="center"/>
    </xf>
    <xf numFmtId="172" fontId="0" fillId="49" borderId="0" xfId="0" applyNumberFormat="1" applyFill="1"/>
    <xf numFmtId="172" fontId="0" fillId="53" borderId="0" xfId="0" applyNumberFormat="1" applyFill="1"/>
    <xf numFmtId="0" fontId="95" fillId="49" borderId="0" xfId="0" applyFont="1" applyFill="1" applyAlignment="1">
      <alignment horizontal="right" vertical="center"/>
    </xf>
    <xf numFmtId="172" fontId="37" fillId="49" borderId="0" xfId="0" applyNumberFormat="1" applyFont="1" applyFill="1" applyAlignment="1">
      <alignment horizontal="right"/>
    </xf>
    <xf numFmtId="172" fontId="0" fillId="49" borderId="0" xfId="0" applyNumberFormat="1" applyFill="1" applyAlignment="1">
      <alignment horizontal="right"/>
    </xf>
    <xf numFmtId="0" fontId="3" fillId="0" borderId="0" xfId="1641" applyNumberFormat="1" applyFill="1" applyBorder="1" applyAlignment="1">
      <alignment horizontal="right"/>
    </xf>
    <xf numFmtId="0" fontId="3" fillId="0" borderId="0" xfId="1641" applyNumberFormat="1" applyFont="1" applyFill="1" applyBorder="1" applyAlignment="1">
      <alignment horizontal="right"/>
    </xf>
    <xf numFmtId="0" fontId="0" fillId="0" borderId="0" xfId="0" applyAlignment="1">
      <alignment horizontal="right"/>
    </xf>
    <xf numFmtId="0" fontId="37" fillId="47" borderId="0" xfId="0" applyFont="1" applyFill="1" applyAlignment="1">
      <alignment horizontal="left"/>
    </xf>
    <xf numFmtId="1" fontId="0" fillId="49" borderId="0" xfId="0" applyNumberFormat="1" applyFill="1" applyAlignment="1">
      <alignment horizontal="right"/>
    </xf>
    <xf numFmtId="172" fontId="12" fillId="49" borderId="0" xfId="0" applyNumberFormat="1" applyFont="1" applyFill="1"/>
    <xf numFmtId="172" fontId="90" fillId="49" borderId="0" xfId="0" applyNumberFormat="1" applyFont="1" applyFill="1"/>
    <xf numFmtId="172" fontId="0" fillId="49" borderId="0" xfId="0" applyNumberFormat="1" applyFill="1" applyAlignment="1">
      <alignment horizontal="left"/>
    </xf>
    <xf numFmtId="172" fontId="37" fillId="49" borderId="0" xfId="0" applyNumberFormat="1" applyFont="1" applyFill="1" applyBorder="1" applyAlignment="1">
      <alignment horizontal="left"/>
    </xf>
    <xf numFmtId="172" fontId="37" fillId="53" borderId="35" xfId="0" applyNumberFormat="1" applyFont="1" applyFill="1" applyBorder="1"/>
    <xf numFmtId="172" fontId="37" fillId="53" borderId="35" xfId="0" applyNumberFormat="1" applyFont="1" applyFill="1" applyBorder="1" applyAlignment="1">
      <alignment horizontal="right"/>
    </xf>
    <xf numFmtId="172" fontId="0" fillId="53" borderId="0" xfId="0" applyNumberFormat="1" applyFill="1" applyAlignment="1">
      <alignment horizontal="right"/>
    </xf>
    <xf numFmtId="172" fontId="0" fillId="53" borderId="0" xfId="0" applyNumberFormat="1" applyFill="1" applyAlignment="1">
      <alignment horizontal="left"/>
    </xf>
    <xf numFmtId="172" fontId="37" fillId="49" borderId="0" xfId="0" applyNumberFormat="1" applyFont="1" applyFill="1" applyBorder="1" applyAlignment="1">
      <alignment horizontal="right"/>
    </xf>
    <xf numFmtId="172" fontId="37" fillId="49" borderId="0" xfId="0" applyNumberFormat="1" applyFont="1" applyFill="1" applyBorder="1"/>
    <xf numFmtId="172" fontId="37" fillId="49" borderId="35" xfId="0" applyNumberFormat="1" applyFont="1" applyFill="1" applyBorder="1" applyAlignment="1">
      <alignment horizontal="left"/>
    </xf>
    <xf numFmtId="172" fontId="37" fillId="49" borderId="35" xfId="0" applyNumberFormat="1" applyFont="1" applyFill="1" applyBorder="1" applyAlignment="1">
      <alignment horizontal="right"/>
    </xf>
    <xf numFmtId="172" fontId="37" fillId="49" borderId="35" xfId="0" applyNumberFormat="1" applyFont="1" applyFill="1" applyBorder="1"/>
    <xf numFmtId="172" fontId="12" fillId="49" borderId="0" xfId="0" applyNumberFormat="1" applyFont="1" applyFill="1" applyAlignment="1">
      <alignment horizontal="right"/>
    </xf>
    <xf numFmtId="172" fontId="90" fillId="49" borderId="0" xfId="0" applyNumberFormat="1" applyFont="1" applyFill="1" applyAlignment="1">
      <alignment horizontal="right"/>
    </xf>
    <xf numFmtId="172" fontId="12" fillId="49" borderId="0" xfId="0" applyNumberFormat="1" applyFont="1" applyFill="1" applyAlignment="1">
      <alignment horizontal="left"/>
    </xf>
    <xf numFmtId="172" fontId="79" fillId="49" borderId="0" xfId="1692" applyNumberFormat="1" applyFont="1" applyFill="1"/>
    <xf numFmtId="172" fontId="90" fillId="49" borderId="0" xfId="0" applyNumberFormat="1" applyFont="1" applyFill="1" applyAlignment="1">
      <alignment horizontal="left"/>
    </xf>
    <xf numFmtId="172" fontId="90" fillId="49" borderId="0" xfId="1692" applyNumberFormat="1" applyFont="1" applyFill="1" applyAlignment="1">
      <alignment horizontal="right"/>
    </xf>
    <xf numFmtId="172" fontId="90" fillId="49" borderId="0" xfId="1692" applyNumberFormat="1" applyFont="1" applyFill="1"/>
    <xf numFmtId="172" fontId="12" fillId="49" borderId="0" xfId="0" applyNumberFormat="1" applyFont="1" applyFill="1" applyBorder="1"/>
    <xf numFmtId="172" fontId="12" fillId="49" borderId="0" xfId="0" applyNumberFormat="1" applyFont="1" applyFill="1" applyBorder="1" applyAlignment="1">
      <alignment horizontal="right"/>
    </xf>
    <xf numFmtId="172" fontId="37" fillId="49" borderId="0" xfId="0" applyNumberFormat="1" applyFont="1" applyFill="1" applyAlignment="1">
      <alignment horizontal="left"/>
    </xf>
    <xf numFmtId="172" fontId="37" fillId="49" borderId="0" xfId="0" applyNumberFormat="1" applyFont="1" applyFill="1"/>
    <xf numFmtId="172" fontId="97" fillId="65" borderId="0" xfId="0" applyNumberFormat="1" applyFont="1" applyFill="1" applyBorder="1" applyAlignment="1">
      <alignment horizontal="center" vertical="center"/>
    </xf>
    <xf numFmtId="172" fontId="0" fillId="49" borderId="0" xfId="0" applyNumberFormat="1" applyFill="1" applyAlignment="1">
      <alignment horizontal="right" vertical="center"/>
    </xf>
    <xf numFmtId="172" fontId="0" fillId="49" borderId="0" xfId="0" applyNumberFormat="1" applyFill="1" applyAlignment="1">
      <alignment horizontal="center" vertical="center"/>
    </xf>
    <xf numFmtId="172" fontId="0" fillId="49" borderId="0" xfId="0" applyNumberFormat="1" applyFill="1" applyAlignment="1">
      <alignment horizontal="center"/>
    </xf>
    <xf numFmtId="172" fontId="96" fillId="49" borderId="35" xfId="0" applyNumberFormat="1" applyFont="1" applyFill="1" applyBorder="1" applyAlignment="1">
      <alignment horizontal="left"/>
    </xf>
    <xf numFmtId="172" fontId="96" fillId="49" borderId="35" xfId="0" applyNumberFormat="1" applyFont="1" applyFill="1" applyBorder="1" applyAlignment="1">
      <alignment horizontal="right"/>
    </xf>
    <xf numFmtId="172" fontId="96" fillId="49" borderId="0" xfId="0" applyNumberFormat="1" applyFont="1" applyFill="1" applyAlignment="1">
      <alignment horizontal="right"/>
    </xf>
    <xf numFmtId="172" fontId="37" fillId="49" borderId="0" xfId="0" applyNumberFormat="1" applyFont="1" applyFill="1" applyAlignment="1">
      <alignment horizontal="right" vertical="center"/>
    </xf>
    <xf numFmtId="172" fontId="12" fillId="49" borderId="0" xfId="0" applyNumberFormat="1" applyFont="1" applyFill="1" applyAlignment="1">
      <alignment horizontal="center" vertical="center"/>
    </xf>
    <xf numFmtId="172" fontId="0" fillId="52" borderId="0" xfId="0" applyNumberFormat="1" applyFill="1" applyAlignment="1">
      <alignment horizontal="left"/>
    </xf>
    <xf numFmtId="172" fontId="0" fillId="52" borderId="0" xfId="0" applyNumberFormat="1" applyFill="1" applyAlignment="1">
      <alignment horizontal="right"/>
    </xf>
    <xf numFmtId="172" fontId="0" fillId="52" borderId="0" xfId="0" applyNumberFormat="1" applyFill="1"/>
    <xf numFmtId="172" fontId="37" fillId="52" borderId="0" xfId="0" applyNumberFormat="1" applyFont="1" applyFill="1" applyAlignment="1">
      <alignment horizontal="left"/>
    </xf>
    <xf numFmtId="172" fontId="37" fillId="53" borderId="0" xfId="0" applyNumberFormat="1" applyFont="1" applyFill="1" applyAlignment="1">
      <alignment horizontal="left"/>
    </xf>
    <xf numFmtId="172" fontId="12" fillId="49" borderId="0" xfId="0" applyNumberFormat="1" applyFont="1" applyFill="1" applyBorder="1" applyAlignment="1">
      <alignment horizontal="left"/>
    </xf>
    <xf numFmtId="172" fontId="12" fillId="49" borderId="35" xfId="0" applyNumberFormat="1" applyFont="1" applyFill="1" applyBorder="1" applyAlignment="1">
      <alignment horizontal="left"/>
    </xf>
    <xf numFmtId="172" fontId="90" fillId="49" borderId="35" xfId="0" applyNumberFormat="1" applyFont="1" applyFill="1" applyBorder="1" applyAlignment="1">
      <alignment horizontal="left"/>
    </xf>
    <xf numFmtId="172" fontId="90" fillId="49" borderId="0" xfId="0" applyNumberFormat="1" applyFont="1" applyFill="1" applyBorder="1" applyAlignment="1">
      <alignment horizontal="left"/>
    </xf>
    <xf numFmtId="172" fontId="12" fillId="49" borderId="35" xfId="0" applyNumberFormat="1" applyFont="1" applyFill="1" applyBorder="1" applyAlignment="1">
      <alignment horizontal="right"/>
    </xf>
    <xf numFmtId="9" fontId="0" fillId="49" borderId="0" xfId="1692" applyFont="1" applyFill="1"/>
    <xf numFmtId="9" fontId="3" fillId="49" borderId="0" xfId="1692" applyFont="1" applyFill="1"/>
    <xf numFmtId="9" fontId="89" fillId="49" borderId="0" xfId="1692" applyFont="1" applyFill="1"/>
    <xf numFmtId="172" fontId="91" fillId="49" borderId="0" xfId="0" applyNumberFormat="1" applyFont="1" applyFill="1"/>
    <xf numFmtId="172" fontId="91" fillId="49" borderId="0" xfId="0" applyNumberFormat="1" applyFont="1" applyFill="1" applyAlignment="1">
      <alignment horizontal="right"/>
    </xf>
    <xf numFmtId="2" fontId="93" fillId="49" borderId="0" xfId="0" applyNumberFormat="1" applyFont="1" applyFill="1" applyAlignment="1">
      <alignment horizontal="left"/>
    </xf>
    <xf numFmtId="172" fontId="12" fillId="56" borderId="0" xfId="0" applyNumberFormat="1" applyFont="1" applyFill="1" applyAlignment="1">
      <alignment horizontal="right"/>
    </xf>
    <xf numFmtId="2" fontId="12" fillId="48" borderId="0" xfId="0" applyNumberFormat="1" applyFont="1" applyFill="1" applyAlignment="1">
      <alignment horizontal="right"/>
    </xf>
    <xf numFmtId="172" fontId="12" fillId="53" borderId="0" xfId="0" applyNumberFormat="1" applyFont="1" applyFill="1" applyAlignment="1">
      <alignment horizontal="left"/>
    </xf>
    <xf numFmtId="2" fontId="85" fillId="54" borderId="0" xfId="1295" applyNumberFormat="1" applyFont="1" applyFill="1" applyBorder="1"/>
    <xf numFmtId="1" fontId="0" fillId="49" borderId="0" xfId="0" applyNumberFormat="1" applyFill="1"/>
    <xf numFmtId="172" fontId="12" fillId="53" borderId="0" xfId="0" applyNumberFormat="1" applyFont="1" applyFill="1" applyBorder="1"/>
    <xf numFmtId="172" fontId="12" fillId="53" borderId="0" xfId="0" applyNumberFormat="1" applyFont="1" applyFill="1" applyBorder="1" applyAlignment="1">
      <alignment horizontal="right"/>
    </xf>
    <xf numFmtId="172" fontId="90" fillId="56" borderId="0" xfId="1692" applyNumberFormat="1" applyFont="1" applyFill="1"/>
    <xf numFmtId="172" fontId="0" fillId="56" borderId="0" xfId="0" applyNumberFormat="1" applyFill="1"/>
    <xf numFmtId="2" fontId="0" fillId="54" borderId="0" xfId="0" applyNumberFormat="1" applyFill="1"/>
    <xf numFmtId="2" fontId="0" fillId="48" borderId="0" xfId="0" applyNumberFormat="1" applyFill="1"/>
    <xf numFmtId="172" fontId="3" fillId="53" borderId="0" xfId="0" applyNumberFormat="1" applyFont="1" applyFill="1" applyBorder="1"/>
    <xf numFmtId="0" fontId="3" fillId="0" borderId="0" xfId="0" applyFont="1"/>
    <xf numFmtId="0" fontId="3" fillId="0" borderId="0" xfId="0" applyFont="1" applyBorder="1"/>
    <xf numFmtId="0" fontId="3" fillId="0" borderId="0" xfId="0" applyFont="1" applyFill="1" applyBorder="1"/>
    <xf numFmtId="172" fontId="3" fillId="52" borderId="0" xfId="0" applyNumberFormat="1" applyFont="1" applyFill="1" applyAlignment="1">
      <alignment horizontal="left"/>
    </xf>
    <xf numFmtId="2" fontId="3" fillId="0" borderId="0" xfId="0" applyNumberFormat="1" applyFont="1"/>
    <xf numFmtId="0" fontId="37" fillId="54" borderId="0" xfId="0" applyFont="1" applyFill="1"/>
    <xf numFmtId="2" fontId="0" fillId="57" borderId="0" xfId="0" applyNumberFormat="1" applyFill="1"/>
    <xf numFmtId="1" fontId="0" fillId="57" borderId="0" xfId="0" applyNumberFormat="1" applyFill="1"/>
    <xf numFmtId="0" fontId="0" fillId="57" borderId="0" xfId="0" applyFill="1"/>
    <xf numFmtId="172" fontId="0" fillId="31" borderId="0" xfId="0" applyNumberFormat="1" applyFill="1" applyBorder="1"/>
    <xf numFmtId="172" fontId="12" fillId="33" borderId="0" xfId="0" applyNumberFormat="1" applyFont="1" applyFill="1" applyBorder="1" applyAlignment="1">
      <alignment horizontal="right"/>
    </xf>
    <xf numFmtId="172" fontId="12" fillId="31" borderId="0" xfId="0" applyNumberFormat="1" applyFont="1" applyFill="1" applyBorder="1" applyAlignment="1">
      <alignment horizontal="right"/>
    </xf>
    <xf numFmtId="172" fontId="12" fillId="31" borderId="19" xfId="0" applyNumberFormat="1" applyFont="1" applyFill="1" applyBorder="1" applyAlignment="1">
      <alignment horizontal="right"/>
    </xf>
    <xf numFmtId="172" fontId="0" fillId="31" borderId="19" xfId="0" applyNumberFormat="1" applyFill="1" applyBorder="1"/>
    <xf numFmtId="172" fontId="12" fillId="33" borderId="19" xfId="0" applyNumberFormat="1" applyFont="1" applyFill="1" applyBorder="1" applyAlignment="1">
      <alignment horizontal="right"/>
    </xf>
    <xf numFmtId="0" fontId="12" fillId="27" borderId="0" xfId="1199" applyNumberFormat="1" applyFont="1" applyFill="1" applyBorder="1" applyAlignment="1"/>
    <xf numFmtId="4" fontId="49" fillId="0" borderId="0" xfId="1199" applyNumberFormat="1"/>
    <xf numFmtId="171" fontId="49" fillId="0" borderId="0" xfId="1199" applyNumberFormat="1"/>
    <xf numFmtId="172" fontId="0" fillId="28" borderId="0" xfId="0" applyNumberFormat="1" applyFill="1"/>
    <xf numFmtId="171" fontId="59" fillId="39" borderId="23" xfId="1043" applyNumberFormat="1" applyFont="1" applyFill="1" applyBorder="1"/>
    <xf numFmtId="171" fontId="58" fillId="39" borderId="23" xfId="1043" applyNumberFormat="1" applyFont="1" applyFill="1" applyBorder="1"/>
    <xf numFmtId="0" fontId="98" fillId="54" borderId="0" xfId="1295" applyFont="1" applyFill="1" applyBorder="1" applyAlignment="1">
      <alignment horizontal="right"/>
    </xf>
    <xf numFmtId="2" fontId="3" fillId="37" borderId="0" xfId="0" applyNumberFormat="1" applyFont="1" applyFill="1" applyBorder="1" applyAlignment="1">
      <alignment horizontal="right"/>
    </xf>
    <xf numFmtId="9" fontId="85" fillId="54" borderId="0" xfId="1991" applyFont="1" applyFill="1" applyBorder="1"/>
    <xf numFmtId="0" fontId="98" fillId="54" borderId="0" xfId="1295" applyFont="1" applyFill="1" applyBorder="1"/>
    <xf numFmtId="2" fontId="99" fillId="59" borderId="0" xfId="1295" applyNumberFormat="1" applyFont="1" applyFill="1"/>
    <xf numFmtId="2" fontId="98" fillId="59" borderId="0" xfId="1295" applyNumberFormat="1" applyFont="1" applyFill="1"/>
    <xf numFmtId="0" fontId="98" fillId="54" borderId="0" xfId="1295" applyFont="1" applyFill="1"/>
    <xf numFmtId="171" fontId="12" fillId="66" borderId="0" xfId="0" applyNumberFormat="1" applyFont="1" applyFill="1" applyBorder="1" applyAlignment="1">
      <alignment horizontal="right"/>
    </xf>
    <xf numFmtId="0" fontId="3" fillId="0" borderId="0" xfId="1199" applyNumberFormat="1" applyFont="1" applyFill="1" applyBorder="1" applyAlignment="1"/>
    <xf numFmtId="178" fontId="3" fillId="0" borderId="0" xfId="1199" applyNumberFormat="1" applyFont="1" applyFill="1" applyBorder="1" applyAlignment="1"/>
    <xf numFmtId="0" fontId="3" fillId="27" borderId="15" xfId="1199" applyNumberFormat="1" applyFont="1" applyFill="1" applyBorder="1" applyAlignment="1"/>
    <xf numFmtId="3" fontId="3" fillId="0" borderId="15" xfId="1199" applyNumberFormat="1" applyFont="1" applyFill="1" applyBorder="1" applyAlignment="1"/>
    <xf numFmtId="0" fontId="49" fillId="0" borderId="0" xfId="1199" applyFill="1"/>
    <xf numFmtId="0" fontId="3" fillId="28" borderId="29" xfId="0" applyFont="1" applyFill="1" applyBorder="1" applyAlignment="1">
      <alignment horizontal="center" wrapText="1"/>
    </xf>
    <xf numFmtId="0" fontId="3" fillId="59" borderId="0" xfId="0" applyFont="1" applyFill="1"/>
    <xf numFmtId="0" fontId="0" fillId="59" borderId="0" xfId="0" applyFill="1"/>
    <xf numFmtId="0" fontId="37" fillId="59" borderId="0" xfId="0" applyFont="1" applyFill="1" applyAlignment="1">
      <alignment horizontal="right"/>
    </xf>
    <xf numFmtId="0" fontId="0" fillId="59" borderId="0" xfId="0" applyFill="1" applyAlignment="1">
      <alignment horizontal="right"/>
    </xf>
    <xf numFmtId="172" fontId="37" fillId="59" borderId="0" xfId="0" applyNumberFormat="1" applyFont="1" applyFill="1" applyAlignment="1">
      <alignment horizontal="right"/>
    </xf>
    <xf numFmtId="172" fontId="0" fillId="54" borderId="0" xfId="0" applyNumberFormat="1" applyFill="1" applyAlignment="1">
      <alignment horizontal="right"/>
    </xf>
    <xf numFmtId="2" fontId="37" fillId="49" borderId="0" xfId="1692" applyNumberFormat="1" applyFont="1" applyFill="1"/>
    <xf numFmtId="172" fontId="100" fillId="0" borderId="0" xfId="0" applyNumberFormat="1" applyFont="1"/>
    <xf numFmtId="172" fontId="0" fillId="31" borderId="26" xfId="0" applyNumberFormat="1" applyFill="1" applyBorder="1"/>
    <xf numFmtId="172" fontId="0" fillId="58" borderId="0" xfId="0" applyNumberFormat="1" applyFill="1"/>
    <xf numFmtId="172" fontId="3" fillId="58" borderId="0" xfId="0" applyNumberFormat="1" applyFont="1" applyFill="1" applyAlignment="1">
      <alignment horizontal="left"/>
    </xf>
    <xf numFmtId="0" fontId="52" fillId="0" borderId="0" xfId="0" applyFont="1" applyFill="1" applyBorder="1" applyAlignment="1">
      <alignment horizontal="left"/>
    </xf>
    <xf numFmtId="0" fontId="12" fillId="0" borderId="0" xfId="0" applyFont="1" applyFill="1" applyBorder="1" applyAlignment="1">
      <alignment horizontal="center" wrapText="1"/>
    </xf>
    <xf numFmtId="2" fontId="0" fillId="46" borderId="0" xfId="0" applyNumberFormat="1" applyFont="1" applyFill="1" applyBorder="1" applyAlignment="1"/>
    <xf numFmtId="9" fontId="85" fillId="54" borderId="0" xfId="1692" applyFont="1" applyFill="1"/>
    <xf numFmtId="172" fontId="3" fillId="49" borderId="0" xfId="0" applyNumberFormat="1" applyFont="1" applyFill="1" applyBorder="1" applyAlignment="1">
      <alignment horizontal="left"/>
    </xf>
    <xf numFmtId="172" fontId="3" fillId="49" borderId="0" xfId="0" applyNumberFormat="1" applyFont="1" applyFill="1" applyAlignment="1">
      <alignment horizontal="right"/>
    </xf>
    <xf numFmtId="172" fontId="3" fillId="49" borderId="0" xfId="0" applyNumberFormat="1" applyFont="1" applyFill="1"/>
    <xf numFmtId="172" fontId="37" fillId="67" borderId="0" xfId="0" applyNumberFormat="1" applyFont="1" applyFill="1"/>
    <xf numFmtId="172" fontId="90" fillId="67" borderId="0" xfId="0" applyNumberFormat="1" applyFont="1" applyFill="1"/>
    <xf numFmtId="172" fontId="37" fillId="67" borderId="35" xfId="0" applyNumberFormat="1" applyFont="1" applyFill="1" applyBorder="1" applyAlignment="1">
      <alignment horizontal="right"/>
    </xf>
    <xf numFmtId="172" fontId="37" fillId="48" borderId="0" xfId="0" applyNumberFormat="1" applyFont="1" applyFill="1" applyAlignment="1">
      <alignment horizontal="right"/>
    </xf>
    <xf numFmtId="172" fontId="96" fillId="48" borderId="0" xfId="0" applyNumberFormat="1" applyFont="1" applyFill="1" applyAlignment="1">
      <alignment horizontal="right"/>
    </xf>
    <xf numFmtId="2" fontId="0" fillId="56" borderId="0" xfId="0" applyNumberFormat="1" applyFill="1"/>
    <xf numFmtId="172" fontId="3" fillId="49" borderId="0" xfId="0" applyNumberFormat="1" applyFont="1" applyFill="1" applyAlignment="1">
      <alignment horizontal="left"/>
    </xf>
    <xf numFmtId="172" fontId="3" fillId="49" borderId="0" xfId="0" applyNumberFormat="1" applyFont="1" applyFill="1" applyBorder="1" applyAlignment="1">
      <alignment horizontal="right"/>
    </xf>
    <xf numFmtId="2" fontId="3" fillId="49" borderId="0" xfId="0" applyNumberFormat="1" applyFont="1" applyFill="1"/>
    <xf numFmtId="0" fontId="3" fillId="49" borderId="0" xfId="0" applyFont="1" applyFill="1"/>
    <xf numFmtId="172" fontId="3" fillId="49" borderId="0" xfId="0" applyNumberFormat="1" applyFont="1" applyFill="1" applyBorder="1"/>
    <xf numFmtId="2" fontId="3" fillId="49" borderId="0" xfId="0" applyNumberFormat="1" applyFont="1" applyFill="1" applyBorder="1"/>
    <xf numFmtId="0" fontId="3" fillId="49" borderId="0" xfId="0" applyFont="1" applyFill="1" applyBorder="1"/>
    <xf numFmtId="2" fontId="3" fillId="49" borderId="0" xfId="1692" applyNumberFormat="1" applyFont="1" applyFill="1"/>
    <xf numFmtId="172" fontId="37" fillId="56" borderId="0" xfId="0" applyNumberFormat="1" applyFont="1" applyFill="1" applyBorder="1"/>
    <xf numFmtId="0" fontId="3" fillId="28" borderId="0" xfId="0" applyFont="1" applyFill="1"/>
    <xf numFmtId="0" fontId="40" fillId="0" borderId="82" xfId="0" applyFont="1" applyBorder="1" applyAlignment="1">
      <alignment horizontal="center" vertical="top" wrapText="1"/>
    </xf>
    <xf numFmtId="0" fontId="40" fillId="0" borderId="31" xfId="0" applyFont="1" applyBorder="1" applyAlignment="1">
      <alignment horizontal="center" vertical="top" wrapText="1"/>
    </xf>
    <xf numFmtId="0" fontId="85" fillId="54" borderId="0" xfId="1295" applyFont="1" applyFill="1" applyBorder="1" applyAlignment="1">
      <alignment horizontal="center"/>
    </xf>
    <xf numFmtId="0" fontId="85" fillId="54" borderId="23" xfId="1295" applyFont="1" applyFill="1" applyBorder="1" applyAlignment="1">
      <alignment horizontal="center"/>
    </xf>
    <xf numFmtId="0" fontId="85" fillId="62" borderId="80" xfId="1295" applyFont="1" applyFill="1" applyBorder="1" applyAlignment="1">
      <alignment horizontal="center"/>
    </xf>
    <xf numFmtId="0" fontId="85" fillId="62" borderId="81" xfId="1295" applyFont="1" applyFill="1" applyBorder="1" applyAlignment="1">
      <alignment horizontal="center"/>
    </xf>
    <xf numFmtId="0" fontId="85" fillId="62" borderId="73" xfId="1295" applyFont="1" applyFill="1" applyBorder="1" applyAlignment="1">
      <alignment horizontal="center"/>
    </xf>
    <xf numFmtId="0" fontId="85" fillId="54" borderId="0" xfId="1295" applyFont="1" applyFill="1" applyAlignment="1">
      <alignment horizontal="center"/>
    </xf>
    <xf numFmtId="0" fontId="85" fillId="54" borderId="35" xfId="1295" applyFont="1" applyFill="1" applyBorder="1" applyAlignment="1">
      <alignment horizontal="center"/>
    </xf>
    <xf numFmtId="0" fontId="85" fillId="54" borderId="79" xfId="1295" applyFont="1" applyFill="1" applyBorder="1" applyAlignment="1">
      <alignment horizontal="center"/>
    </xf>
    <xf numFmtId="172" fontId="97" fillId="64" borderId="0" xfId="0" applyNumberFormat="1" applyFont="1" applyFill="1" applyBorder="1" applyAlignment="1">
      <alignment horizontal="center" vertical="center"/>
    </xf>
    <xf numFmtId="0" fontId="95" fillId="64" borderId="0" xfId="0" applyFont="1" applyFill="1" applyAlignment="1">
      <alignment horizontal="center" vertical="center"/>
    </xf>
    <xf numFmtId="172" fontId="95" fillId="64" borderId="0" xfId="0" applyNumberFormat="1" applyFont="1" applyFill="1" applyAlignment="1">
      <alignment horizontal="center" vertical="center"/>
    </xf>
  </cellXfs>
  <cellStyles count="3229">
    <cellStyle name="20% - Accent1" xfId="1" builtinId="30" customBuiltin="1"/>
    <cellStyle name="20% - Accent1 10" xfId="2"/>
    <cellStyle name="20% - Accent1 10 2" xfId="3"/>
    <cellStyle name="20% - Accent1 11" xfId="4"/>
    <cellStyle name="20% - Accent1 11 2" xfId="5"/>
    <cellStyle name="20% - Accent1 2" xfId="6"/>
    <cellStyle name="20% - Accent1 2 10" xfId="7"/>
    <cellStyle name="20% - Accent1 2 11" xfId="8"/>
    <cellStyle name="20% - Accent1 2 12" xfId="9"/>
    <cellStyle name="20% - Accent1 2 13" xfId="10"/>
    <cellStyle name="20% - Accent1 2 14" xfId="11"/>
    <cellStyle name="20% - Accent1 2 15" xfId="12"/>
    <cellStyle name="20% - Accent1 2 16" xfId="13"/>
    <cellStyle name="20% - Accent1 2 2" xfId="14"/>
    <cellStyle name="20% - Accent1 2 3" xfId="15"/>
    <cellStyle name="20% - Accent1 2 4" xfId="16"/>
    <cellStyle name="20% - Accent1 2 5" xfId="17"/>
    <cellStyle name="20% - Accent1 2 6" xfId="18"/>
    <cellStyle name="20% - Accent1 2 7" xfId="19"/>
    <cellStyle name="20% - Accent1 2 8" xfId="20"/>
    <cellStyle name="20% - Accent1 2 9" xfId="21"/>
    <cellStyle name="20% - Accent1 3" xfId="22"/>
    <cellStyle name="20% - Accent1 4" xfId="23"/>
    <cellStyle name="20% - Accent1 5" xfId="24"/>
    <cellStyle name="20% - Accent1 6" xfId="25"/>
    <cellStyle name="20% - Accent1 7" xfId="26"/>
    <cellStyle name="20% - Accent1 8" xfId="27"/>
    <cellStyle name="20% - Accent1 9" xfId="28"/>
    <cellStyle name="20% - Accent1 9 2" xfId="29"/>
    <cellStyle name="20% - Accent2" xfId="30" builtinId="34" customBuiltin="1"/>
    <cellStyle name="20% - Accent2 10" xfId="31"/>
    <cellStyle name="20% - Accent2 10 2" xfId="32"/>
    <cellStyle name="20% - Accent2 11" xfId="33"/>
    <cellStyle name="20% - Accent2 11 2" xfId="34"/>
    <cellStyle name="20% - Accent2 2" xfId="35"/>
    <cellStyle name="20% - Accent2 2 10" xfId="36"/>
    <cellStyle name="20% - Accent2 2 11" xfId="37"/>
    <cellStyle name="20% - Accent2 2 12" xfId="38"/>
    <cellStyle name="20% - Accent2 2 13" xfId="39"/>
    <cellStyle name="20% - Accent2 2 14" xfId="40"/>
    <cellStyle name="20% - Accent2 2 15" xfId="41"/>
    <cellStyle name="20% - Accent2 2 16" xfId="42"/>
    <cellStyle name="20% - Accent2 2 2" xfId="43"/>
    <cellStyle name="20% - Accent2 2 3" xfId="44"/>
    <cellStyle name="20% - Accent2 2 4" xfId="45"/>
    <cellStyle name="20% - Accent2 2 5" xfId="46"/>
    <cellStyle name="20% - Accent2 2 6" xfId="47"/>
    <cellStyle name="20% - Accent2 2 7" xfId="48"/>
    <cellStyle name="20% - Accent2 2 8" xfId="49"/>
    <cellStyle name="20% - Accent2 2 9" xfId="50"/>
    <cellStyle name="20% - Accent2 3" xfId="51"/>
    <cellStyle name="20% - Accent2 4" xfId="52"/>
    <cellStyle name="20% - Accent2 5" xfId="53"/>
    <cellStyle name="20% - Accent2 6" xfId="54"/>
    <cellStyle name="20% - Accent2 7" xfId="55"/>
    <cellStyle name="20% - Accent2 8" xfId="56"/>
    <cellStyle name="20% - Accent2 9" xfId="57"/>
    <cellStyle name="20% - Accent2 9 2" xfId="58"/>
    <cellStyle name="20% - Accent3" xfId="59" builtinId="38" customBuiltin="1"/>
    <cellStyle name="20% - Accent3 10" xfId="60"/>
    <cellStyle name="20% - Accent3 10 2" xfId="61"/>
    <cellStyle name="20% - Accent3 11" xfId="62"/>
    <cellStyle name="20% - Accent3 11 2" xfId="63"/>
    <cellStyle name="20% - Accent3 2" xfId="64"/>
    <cellStyle name="20% - Accent3 2 10" xfId="65"/>
    <cellStyle name="20% - Accent3 2 11" xfId="66"/>
    <cellStyle name="20% - Accent3 2 12" xfId="67"/>
    <cellStyle name="20% - Accent3 2 13" xfId="68"/>
    <cellStyle name="20% - Accent3 2 14" xfId="69"/>
    <cellStyle name="20% - Accent3 2 15" xfId="70"/>
    <cellStyle name="20% - Accent3 2 16" xfId="71"/>
    <cellStyle name="20% - Accent3 2 2" xfId="72"/>
    <cellStyle name="20% - Accent3 2 3" xfId="73"/>
    <cellStyle name="20% - Accent3 2 4" xfId="74"/>
    <cellStyle name="20% - Accent3 2 5" xfId="75"/>
    <cellStyle name="20% - Accent3 2 6" xfId="76"/>
    <cellStyle name="20% - Accent3 2 7" xfId="77"/>
    <cellStyle name="20% - Accent3 2 8" xfId="78"/>
    <cellStyle name="20% - Accent3 2 9" xfId="79"/>
    <cellStyle name="20% - Accent3 3" xfId="80"/>
    <cellStyle name="20% - Accent3 4" xfId="81"/>
    <cellStyle name="20% - Accent3 5" xfId="82"/>
    <cellStyle name="20% - Accent3 6" xfId="83"/>
    <cellStyle name="20% - Accent3 7" xfId="84"/>
    <cellStyle name="20% - Accent3 8" xfId="85"/>
    <cellStyle name="20% - Accent3 9" xfId="86"/>
    <cellStyle name="20% - Accent3 9 2" xfId="87"/>
    <cellStyle name="20% - Accent4" xfId="88" builtinId="42" customBuiltin="1"/>
    <cellStyle name="20% - Accent4 10" xfId="89"/>
    <cellStyle name="20% - Accent4 10 2" xfId="90"/>
    <cellStyle name="20% - Accent4 11" xfId="91"/>
    <cellStyle name="20% - Accent4 11 2" xfId="92"/>
    <cellStyle name="20% - Accent4 2" xfId="93"/>
    <cellStyle name="20% - Accent4 2 10" xfId="94"/>
    <cellStyle name="20% - Accent4 2 11" xfId="95"/>
    <cellStyle name="20% - Accent4 2 12" xfId="96"/>
    <cellStyle name="20% - Accent4 2 13" xfId="97"/>
    <cellStyle name="20% - Accent4 2 14" xfId="98"/>
    <cellStyle name="20% - Accent4 2 15" xfId="99"/>
    <cellStyle name="20% - Accent4 2 16" xfId="100"/>
    <cellStyle name="20% - Accent4 2 2" xfId="101"/>
    <cellStyle name="20% - Accent4 2 3" xfId="102"/>
    <cellStyle name="20% - Accent4 2 4" xfId="103"/>
    <cellStyle name="20% - Accent4 2 5" xfId="104"/>
    <cellStyle name="20% - Accent4 2 6" xfId="105"/>
    <cellStyle name="20% - Accent4 2 7" xfId="106"/>
    <cellStyle name="20% - Accent4 2 8" xfId="107"/>
    <cellStyle name="20% - Accent4 2 9" xfId="108"/>
    <cellStyle name="20% - Accent4 3" xfId="109"/>
    <cellStyle name="20% - Accent4 4" xfId="110"/>
    <cellStyle name="20% - Accent4 5" xfId="111"/>
    <cellStyle name="20% - Accent4 6" xfId="112"/>
    <cellStyle name="20% - Accent4 7" xfId="113"/>
    <cellStyle name="20% - Accent4 8" xfId="114"/>
    <cellStyle name="20% - Accent4 9" xfId="115"/>
    <cellStyle name="20% - Accent4 9 2" xfId="116"/>
    <cellStyle name="20% - Accent5" xfId="117" builtinId="46" customBuiltin="1"/>
    <cellStyle name="20% - Accent5 10" xfId="118"/>
    <cellStyle name="20% - Accent5 10 2" xfId="119"/>
    <cellStyle name="20% - Accent5 11" xfId="120"/>
    <cellStyle name="20% - Accent5 11 2" xfId="121"/>
    <cellStyle name="20% - Accent5 2" xfId="122"/>
    <cellStyle name="20% - Accent5 2 10" xfId="123"/>
    <cellStyle name="20% - Accent5 2 11" xfId="124"/>
    <cellStyle name="20% - Accent5 2 12" xfId="125"/>
    <cellStyle name="20% - Accent5 2 13" xfId="126"/>
    <cellStyle name="20% - Accent5 2 14" xfId="127"/>
    <cellStyle name="20% - Accent5 2 15" xfId="128"/>
    <cellStyle name="20% - Accent5 2 2" xfId="129"/>
    <cellStyle name="20% - Accent5 2 3" xfId="130"/>
    <cellStyle name="20% - Accent5 2 4" xfId="131"/>
    <cellStyle name="20% - Accent5 2 5" xfId="132"/>
    <cellStyle name="20% - Accent5 2 6" xfId="133"/>
    <cellStyle name="20% - Accent5 2 7" xfId="134"/>
    <cellStyle name="20% - Accent5 2 8" xfId="135"/>
    <cellStyle name="20% - Accent5 2 9" xfId="136"/>
    <cellStyle name="20% - Accent5 3" xfId="137"/>
    <cellStyle name="20% - Accent5 4" xfId="138"/>
    <cellStyle name="20% - Accent5 5" xfId="139"/>
    <cellStyle name="20% - Accent5 6" xfId="140"/>
    <cellStyle name="20% - Accent5 7" xfId="141"/>
    <cellStyle name="20% - Accent5 8" xfId="142"/>
    <cellStyle name="20% - Accent5 9" xfId="143"/>
    <cellStyle name="20% - Accent5 9 2" xfId="144"/>
    <cellStyle name="20% - Accent6" xfId="145" builtinId="50" customBuiltin="1"/>
    <cellStyle name="20% - Accent6 10" xfId="146"/>
    <cellStyle name="20% - Accent6 10 2" xfId="147"/>
    <cellStyle name="20% - Accent6 11" xfId="148"/>
    <cellStyle name="20% - Accent6 11 2" xfId="149"/>
    <cellStyle name="20% - Accent6 2" xfId="150"/>
    <cellStyle name="20% - Accent6 2 10" xfId="151"/>
    <cellStyle name="20% - Accent6 2 11" xfId="152"/>
    <cellStyle name="20% - Accent6 2 12" xfId="153"/>
    <cellStyle name="20% - Accent6 2 13" xfId="154"/>
    <cellStyle name="20% - Accent6 2 14" xfId="155"/>
    <cellStyle name="20% - Accent6 2 15" xfId="156"/>
    <cellStyle name="20% - Accent6 2 16" xfId="157"/>
    <cellStyle name="20% - Accent6 2 2" xfId="158"/>
    <cellStyle name="20% - Accent6 2 3" xfId="159"/>
    <cellStyle name="20% - Accent6 2 4" xfId="160"/>
    <cellStyle name="20% - Accent6 2 5" xfId="161"/>
    <cellStyle name="20% - Accent6 2 6" xfId="162"/>
    <cellStyle name="20% - Accent6 2 7" xfId="163"/>
    <cellStyle name="20% - Accent6 2 8" xfId="164"/>
    <cellStyle name="20% - Accent6 2 9" xfId="165"/>
    <cellStyle name="20% - Accent6 3" xfId="166"/>
    <cellStyle name="20% - Accent6 4" xfId="167"/>
    <cellStyle name="20% - Accent6 5" xfId="168"/>
    <cellStyle name="20% - Accent6 6" xfId="169"/>
    <cellStyle name="20% - Accent6 7" xfId="170"/>
    <cellStyle name="20% - Accent6 8" xfId="171"/>
    <cellStyle name="20% - Accent6 9" xfId="172"/>
    <cellStyle name="20% - Accent6 9 2" xfId="173"/>
    <cellStyle name="40% - Accent1" xfId="174" builtinId="31" customBuiltin="1"/>
    <cellStyle name="40% - Accent1 10" xfId="175"/>
    <cellStyle name="40% - Accent1 10 2" xfId="176"/>
    <cellStyle name="40% - Accent1 11" xfId="177"/>
    <cellStyle name="40% - Accent1 11 2" xfId="178"/>
    <cellStyle name="40% - Accent1 2" xfId="179"/>
    <cellStyle name="40% - Accent1 2 10" xfId="180"/>
    <cellStyle name="40% - Accent1 2 11" xfId="181"/>
    <cellStyle name="40% - Accent1 2 12" xfId="182"/>
    <cellStyle name="40% - Accent1 2 13" xfId="183"/>
    <cellStyle name="40% - Accent1 2 14" xfId="184"/>
    <cellStyle name="40% - Accent1 2 15" xfId="185"/>
    <cellStyle name="40% - Accent1 2 16" xfId="186"/>
    <cellStyle name="40% - Accent1 2 2" xfId="187"/>
    <cellStyle name="40% - Accent1 2 3" xfId="188"/>
    <cellStyle name="40% - Accent1 2 4" xfId="189"/>
    <cellStyle name="40% - Accent1 2 5" xfId="190"/>
    <cellStyle name="40% - Accent1 2 6" xfId="191"/>
    <cellStyle name="40% - Accent1 2 7" xfId="192"/>
    <cellStyle name="40% - Accent1 2 8" xfId="193"/>
    <cellStyle name="40% - Accent1 2 9" xfId="194"/>
    <cellStyle name="40% - Accent1 3" xfId="195"/>
    <cellStyle name="40% - Accent1 4" xfId="196"/>
    <cellStyle name="40% - Accent1 5" xfId="197"/>
    <cellStyle name="40% - Accent1 6" xfId="198"/>
    <cellStyle name="40% - Accent1 7" xfId="199"/>
    <cellStyle name="40% - Accent1 8" xfId="200"/>
    <cellStyle name="40% - Accent1 9" xfId="201"/>
    <cellStyle name="40% - Accent1 9 2" xfId="202"/>
    <cellStyle name="40% - Accent2" xfId="203" builtinId="35" customBuiltin="1"/>
    <cellStyle name="40% - Accent2 10" xfId="204"/>
    <cellStyle name="40% - Accent2 10 2" xfId="205"/>
    <cellStyle name="40% - Accent2 11" xfId="206"/>
    <cellStyle name="40% - Accent2 11 2" xfId="207"/>
    <cellStyle name="40% - Accent2 2" xfId="208"/>
    <cellStyle name="40% - Accent2 2 10" xfId="209"/>
    <cellStyle name="40% - Accent2 2 11" xfId="210"/>
    <cellStyle name="40% - Accent2 2 12" xfId="211"/>
    <cellStyle name="40% - Accent2 2 13" xfId="212"/>
    <cellStyle name="40% - Accent2 2 14" xfId="213"/>
    <cellStyle name="40% - Accent2 2 15" xfId="214"/>
    <cellStyle name="40% - Accent2 2 2" xfId="215"/>
    <cellStyle name="40% - Accent2 2 3" xfId="216"/>
    <cellStyle name="40% - Accent2 2 4" xfId="217"/>
    <cellStyle name="40% - Accent2 2 5" xfId="218"/>
    <cellStyle name="40% - Accent2 2 6" xfId="219"/>
    <cellStyle name="40% - Accent2 2 7" xfId="220"/>
    <cellStyle name="40% - Accent2 2 8" xfId="221"/>
    <cellStyle name="40% - Accent2 2 9" xfId="222"/>
    <cellStyle name="40% - Accent2 3" xfId="223"/>
    <cellStyle name="40% - Accent2 4" xfId="224"/>
    <cellStyle name="40% - Accent2 5" xfId="225"/>
    <cellStyle name="40% - Accent2 6" xfId="226"/>
    <cellStyle name="40% - Accent2 7" xfId="227"/>
    <cellStyle name="40% - Accent2 8" xfId="228"/>
    <cellStyle name="40% - Accent2 9" xfId="229"/>
    <cellStyle name="40% - Accent2 9 2" xfId="230"/>
    <cellStyle name="40% - Accent3" xfId="231" builtinId="39" customBuiltin="1"/>
    <cellStyle name="40% - Accent3 10" xfId="232"/>
    <cellStyle name="40% - Accent3 10 2" xfId="233"/>
    <cellStyle name="40% - Accent3 11" xfId="234"/>
    <cellStyle name="40% - Accent3 11 2" xfId="235"/>
    <cellStyle name="40% - Accent3 2" xfId="236"/>
    <cellStyle name="40% - Accent3 2 10" xfId="237"/>
    <cellStyle name="40% - Accent3 2 11" xfId="238"/>
    <cellStyle name="40% - Accent3 2 12" xfId="239"/>
    <cellStyle name="40% - Accent3 2 13" xfId="240"/>
    <cellStyle name="40% - Accent3 2 14" xfId="241"/>
    <cellStyle name="40% - Accent3 2 15" xfId="242"/>
    <cellStyle name="40% - Accent3 2 16" xfId="243"/>
    <cellStyle name="40% - Accent3 2 2" xfId="244"/>
    <cellStyle name="40% - Accent3 2 3" xfId="245"/>
    <cellStyle name="40% - Accent3 2 4" xfId="246"/>
    <cellStyle name="40% - Accent3 2 5" xfId="247"/>
    <cellStyle name="40% - Accent3 2 6" xfId="248"/>
    <cellStyle name="40% - Accent3 2 7" xfId="249"/>
    <cellStyle name="40% - Accent3 2 8" xfId="250"/>
    <cellStyle name="40% - Accent3 2 9" xfId="251"/>
    <cellStyle name="40% - Accent3 3" xfId="252"/>
    <cellStyle name="40% - Accent3 4" xfId="253"/>
    <cellStyle name="40% - Accent3 5" xfId="254"/>
    <cellStyle name="40% - Accent3 6" xfId="255"/>
    <cellStyle name="40% - Accent3 7" xfId="256"/>
    <cellStyle name="40% - Accent3 8" xfId="257"/>
    <cellStyle name="40% - Accent3 9" xfId="258"/>
    <cellStyle name="40% - Accent3 9 2" xfId="259"/>
    <cellStyle name="40% - Accent4" xfId="260" builtinId="43" customBuiltin="1"/>
    <cellStyle name="40% - Accent4 10" xfId="261"/>
    <cellStyle name="40% - Accent4 10 2" xfId="262"/>
    <cellStyle name="40% - Accent4 11" xfId="263"/>
    <cellStyle name="40% - Accent4 11 2" xfId="264"/>
    <cellStyle name="40% - Accent4 2" xfId="265"/>
    <cellStyle name="40% - Accent4 2 10" xfId="266"/>
    <cellStyle name="40% - Accent4 2 11" xfId="267"/>
    <cellStyle name="40% - Accent4 2 12" xfId="268"/>
    <cellStyle name="40% - Accent4 2 13" xfId="269"/>
    <cellStyle name="40% - Accent4 2 14" xfId="270"/>
    <cellStyle name="40% - Accent4 2 15" xfId="271"/>
    <cellStyle name="40% - Accent4 2 16" xfId="272"/>
    <cellStyle name="40% - Accent4 2 2" xfId="273"/>
    <cellStyle name="40% - Accent4 2 3" xfId="274"/>
    <cellStyle name="40% - Accent4 2 4" xfId="275"/>
    <cellStyle name="40% - Accent4 2 5" xfId="276"/>
    <cellStyle name="40% - Accent4 2 6" xfId="277"/>
    <cellStyle name="40% - Accent4 2 7" xfId="278"/>
    <cellStyle name="40% - Accent4 2 8" xfId="279"/>
    <cellStyle name="40% - Accent4 2 9" xfId="280"/>
    <cellStyle name="40% - Accent4 3" xfId="281"/>
    <cellStyle name="40% - Accent4 4" xfId="282"/>
    <cellStyle name="40% - Accent4 5" xfId="283"/>
    <cellStyle name="40% - Accent4 6" xfId="284"/>
    <cellStyle name="40% - Accent4 7" xfId="285"/>
    <cellStyle name="40% - Accent4 8" xfId="286"/>
    <cellStyle name="40% - Accent4 9" xfId="287"/>
    <cellStyle name="40% - Accent4 9 2" xfId="288"/>
    <cellStyle name="40% - Accent5" xfId="289" builtinId="47" customBuiltin="1"/>
    <cellStyle name="40% - Accent5 10" xfId="290"/>
    <cellStyle name="40% - Accent5 10 2" xfId="291"/>
    <cellStyle name="40% - Accent5 11" xfId="292"/>
    <cellStyle name="40% - Accent5 11 2" xfId="293"/>
    <cellStyle name="40% - Accent5 2" xfId="294"/>
    <cellStyle name="40% - Accent5 2 10" xfId="295"/>
    <cellStyle name="40% - Accent5 2 11" xfId="296"/>
    <cellStyle name="40% - Accent5 2 12" xfId="297"/>
    <cellStyle name="40% - Accent5 2 13" xfId="298"/>
    <cellStyle name="40% - Accent5 2 14" xfId="299"/>
    <cellStyle name="40% - Accent5 2 15" xfId="300"/>
    <cellStyle name="40% - Accent5 2 16" xfId="301"/>
    <cellStyle name="40% - Accent5 2 2" xfId="302"/>
    <cellStyle name="40% - Accent5 2 3" xfId="303"/>
    <cellStyle name="40% - Accent5 2 4" xfId="304"/>
    <cellStyle name="40% - Accent5 2 5" xfId="305"/>
    <cellStyle name="40% - Accent5 2 6" xfId="306"/>
    <cellStyle name="40% - Accent5 2 7" xfId="307"/>
    <cellStyle name="40% - Accent5 2 8" xfId="308"/>
    <cellStyle name="40% - Accent5 2 9" xfId="309"/>
    <cellStyle name="40% - Accent5 3" xfId="310"/>
    <cellStyle name="40% - Accent5 4" xfId="311"/>
    <cellStyle name="40% - Accent5 5" xfId="312"/>
    <cellStyle name="40% - Accent5 6" xfId="313"/>
    <cellStyle name="40% - Accent5 7" xfId="314"/>
    <cellStyle name="40% - Accent5 8" xfId="315"/>
    <cellStyle name="40% - Accent5 9" xfId="316"/>
    <cellStyle name="40% - Accent5 9 2" xfId="317"/>
    <cellStyle name="40% - Accent6" xfId="318" builtinId="51" customBuiltin="1"/>
    <cellStyle name="40% - Accent6 10" xfId="319"/>
    <cellStyle name="40% - Accent6 10 2" xfId="320"/>
    <cellStyle name="40% - Accent6 11" xfId="321"/>
    <cellStyle name="40% - Accent6 11 2" xfId="322"/>
    <cellStyle name="40% - Accent6 2" xfId="323"/>
    <cellStyle name="40% - Accent6 2 10" xfId="324"/>
    <cellStyle name="40% - Accent6 2 11" xfId="325"/>
    <cellStyle name="40% - Accent6 2 12" xfId="326"/>
    <cellStyle name="40% - Accent6 2 13" xfId="327"/>
    <cellStyle name="40% - Accent6 2 14" xfId="328"/>
    <cellStyle name="40% - Accent6 2 15" xfId="329"/>
    <cellStyle name="40% - Accent6 2 16" xfId="330"/>
    <cellStyle name="40% - Accent6 2 2" xfId="331"/>
    <cellStyle name="40% - Accent6 2 3" xfId="332"/>
    <cellStyle name="40% - Accent6 2 4" xfId="333"/>
    <cellStyle name="40% - Accent6 2 5" xfId="334"/>
    <cellStyle name="40% - Accent6 2 6" xfId="335"/>
    <cellStyle name="40% - Accent6 2 7" xfId="336"/>
    <cellStyle name="40% - Accent6 2 8" xfId="337"/>
    <cellStyle name="40% - Accent6 2 9" xfId="338"/>
    <cellStyle name="40% - Accent6 3" xfId="339"/>
    <cellStyle name="40% - Accent6 4" xfId="340"/>
    <cellStyle name="40% - Accent6 5" xfId="341"/>
    <cellStyle name="40% - Accent6 6" xfId="342"/>
    <cellStyle name="40% - Accent6 7" xfId="343"/>
    <cellStyle name="40% - Accent6 8" xfId="344"/>
    <cellStyle name="40% - Accent6 9" xfId="345"/>
    <cellStyle name="40% - Accent6 9 2" xfId="346"/>
    <cellStyle name="60% - Accent1" xfId="347" builtinId="32" customBuiltin="1"/>
    <cellStyle name="60% - Accent1 2" xfId="348"/>
    <cellStyle name="60% - Accent1 2 10" xfId="349"/>
    <cellStyle name="60% - Accent1 2 11" xfId="350"/>
    <cellStyle name="60% - Accent1 2 2" xfId="351"/>
    <cellStyle name="60% - Accent1 2 3" xfId="352"/>
    <cellStyle name="60% - Accent1 2 4" xfId="353"/>
    <cellStyle name="60% - Accent1 2 5" xfId="354"/>
    <cellStyle name="60% - Accent1 2 6" xfId="355"/>
    <cellStyle name="60% - Accent1 2 7" xfId="356"/>
    <cellStyle name="60% - Accent1 2 8" xfId="357"/>
    <cellStyle name="60% - Accent1 2 9" xfId="358"/>
    <cellStyle name="60% - Accent1 3" xfId="359"/>
    <cellStyle name="60% - Accent1 4" xfId="360"/>
    <cellStyle name="60% - Accent1 4 2" xfId="361"/>
    <cellStyle name="60% - Accent1 5" xfId="362"/>
    <cellStyle name="60% - Accent1 5 2" xfId="363"/>
    <cellStyle name="60% - Accent1 6" xfId="364"/>
    <cellStyle name="60% - Accent1 6 2" xfId="365"/>
    <cellStyle name="60% - Accent2" xfId="366" builtinId="36" customBuiltin="1"/>
    <cellStyle name="60% - Accent2 2" xfId="367"/>
    <cellStyle name="60% - Accent2 2 10" xfId="368"/>
    <cellStyle name="60% - Accent2 2 11" xfId="369"/>
    <cellStyle name="60% - Accent2 2 2" xfId="370"/>
    <cellStyle name="60% - Accent2 2 3" xfId="371"/>
    <cellStyle name="60% - Accent2 2 4" xfId="372"/>
    <cellStyle name="60% - Accent2 2 5" xfId="373"/>
    <cellStyle name="60% - Accent2 2 6" xfId="374"/>
    <cellStyle name="60% - Accent2 2 7" xfId="375"/>
    <cellStyle name="60% - Accent2 2 8" xfId="376"/>
    <cellStyle name="60% - Accent2 2 9" xfId="377"/>
    <cellStyle name="60% - Accent2 3" xfId="378"/>
    <cellStyle name="60% - Accent2 4" xfId="379"/>
    <cellStyle name="60% - Accent2 4 2" xfId="380"/>
    <cellStyle name="60% - Accent2 5" xfId="381"/>
    <cellStyle name="60% - Accent2 5 2" xfId="382"/>
    <cellStyle name="60% - Accent2 6" xfId="383"/>
    <cellStyle name="60% - Accent2 6 2" xfId="384"/>
    <cellStyle name="60% - Accent3" xfId="385" builtinId="40" customBuiltin="1"/>
    <cellStyle name="60% - Accent3 2" xfId="386"/>
    <cellStyle name="60% - Accent3 2 10" xfId="387"/>
    <cellStyle name="60% - Accent3 2 11" xfId="388"/>
    <cellStyle name="60% - Accent3 2 2" xfId="389"/>
    <cellStyle name="60% - Accent3 2 3" xfId="390"/>
    <cellStyle name="60% - Accent3 2 4" xfId="391"/>
    <cellStyle name="60% - Accent3 2 5" xfId="392"/>
    <cellStyle name="60% - Accent3 2 6" xfId="393"/>
    <cellStyle name="60% - Accent3 2 7" xfId="394"/>
    <cellStyle name="60% - Accent3 2 8" xfId="395"/>
    <cellStyle name="60% - Accent3 2 9" xfId="396"/>
    <cellStyle name="60% - Accent3 3" xfId="397"/>
    <cellStyle name="60% - Accent3 4" xfId="398"/>
    <cellStyle name="60% - Accent3 4 2" xfId="399"/>
    <cellStyle name="60% - Accent3 5" xfId="400"/>
    <cellStyle name="60% - Accent3 5 2" xfId="401"/>
    <cellStyle name="60% - Accent3 6" xfId="402"/>
    <cellStyle name="60% - Accent3 6 2" xfId="403"/>
    <cellStyle name="60% - Accent4" xfId="404" builtinId="44" customBuiltin="1"/>
    <cellStyle name="60% - Accent4 2" xfId="405"/>
    <cellStyle name="60% - Accent4 2 10" xfId="406"/>
    <cellStyle name="60% - Accent4 2 11" xfId="407"/>
    <cellStyle name="60% - Accent4 2 2" xfId="408"/>
    <cellStyle name="60% - Accent4 2 3" xfId="409"/>
    <cellStyle name="60% - Accent4 2 4" xfId="410"/>
    <cellStyle name="60% - Accent4 2 5" xfId="411"/>
    <cellStyle name="60% - Accent4 2 6" xfId="412"/>
    <cellStyle name="60% - Accent4 2 7" xfId="413"/>
    <cellStyle name="60% - Accent4 2 8" xfId="414"/>
    <cellStyle name="60% - Accent4 2 9" xfId="415"/>
    <cellStyle name="60% - Accent4 3" xfId="416"/>
    <cellStyle name="60% - Accent4 4" xfId="417"/>
    <cellStyle name="60% - Accent4 4 2" xfId="418"/>
    <cellStyle name="60% - Accent4 5" xfId="419"/>
    <cellStyle name="60% - Accent4 5 2" xfId="420"/>
    <cellStyle name="60% - Accent4 6" xfId="421"/>
    <cellStyle name="60% - Accent4 6 2" xfId="422"/>
    <cellStyle name="60% - Accent4 7" xfId="423"/>
    <cellStyle name="60% - Accent5" xfId="424" builtinId="48" customBuiltin="1"/>
    <cellStyle name="60% - Accent5 2" xfId="425"/>
    <cellStyle name="60% - Accent5 2 10" xfId="426"/>
    <cellStyle name="60% - Accent5 2 11" xfId="427"/>
    <cellStyle name="60% - Accent5 2 2" xfId="428"/>
    <cellStyle name="60% - Accent5 2 3" xfId="429"/>
    <cellStyle name="60% - Accent5 2 4" xfId="430"/>
    <cellStyle name="60% - Accent5 2 5" xfId="431"/>
    <cellStyle name="60% - Accent5 2 6" xfId="432"/>
    <cellStyle name="60% - Accent5 2 7" xfId="433"/>
    <cellStyle name="60% - Accent5 2 8" xfId="434"/>
    <cellStyle name="60% - Accent5 2 9" xfId="435"/>
    <cellStyle name="60% - Accent5 3" xfId="436"/>
    <cellStyle name="60% - Accent5 4" xfId="437"/>
    <cellStyle name="60% - Accent5 4 2" xfId="438"/>
    <cellStyle name="60% - Accent5 5" xfId="439"/>
    <cellStyle name="60% - Accent5 5 2" xfId="440"/>
    <cellStyle name="60% - Accent5 6" xfId="441"/>
    <cellStyle name="60% - Accent5 6 2" xfId="442"/>
    <cellStyle name="60% - Accent6" xfId="443" builtinId="52" customBuiltin="1"/>
    <cellStyle name="60% - Accent6 2" xfId="444"/>
    <cellStyle name="60% - Accent6 2 10" xfId="445"/>
    <cellStyle name="60% - Accent6 2 11" xfId="446"/>
    <cellStyle name="60% - Accent6 2 2" xfId="447"/>
    <cellStyle name="60% - Accent6 2 3" xfId="448"/>
    <cellStyle name="60% - Accent6 2 4" xfId="449"/>
    <cellStyle name="60% - Accent6 2 5" xfId="450"/>
    <cellStyle name="60% - Accent6 2 6" xfId="451"/>
    <cellStyle name="60% - Accent6 2 7" xfId="452"/>
    <cellStyle name="60% - Accent6 2 8" xfId="453"/>
    <cellStyle name="60% - Accent6 2 9" xfId="454"/>
    <cellStyle name="60% - Accent6 3" xfId="455"/>
    <cellStyle name="60% - Accent6 4" xfId="456"/>
    <cellStyle name="60% - Accent6 4 2" xfId="457"/>
    <cellStyle name="60% - Accent6 5" xfId="458"/>
    <cellStyle name="60% - Accent6 5 2" xfId="459"/>
    <cellStyle name="60% - Accent6 6" xfId="460"/>
    <cellStyle name="60% - Accent6 6 2" xfId="461"/>
    <cellStyle name="Accent1" xfId="462" builtinId="29" customBuiltin="1"/>
    <cellStyle name="Accent1 2" xfId="463"/>
    <cellStyle name="Accent1 2 10" xfId="464"/>
    <cellStyle name="Accent1 2 11" xfId="465"/>
    <cellStyle name="Accent1 2 2" xfId="466"/>
    <cellStyle name="Accent1 2 3" xfId="467"/>
    <cellStyle name="Accent1 2 4" xfId="468"/>
    <cellStyle name="Accent1 2 5" xfId="469"/>
    <cellStyle name="Accent1 2 6" xfId="470"/>
    <cellStyle name="Accent1 2 7" xfId="471"/>
    <cellStyle name="Accent1 2 8" xfId="472"/>
    <cellStyle name="Accent1 2 9" xfId="473"/>
    <cellStyle name="Accent1 3" xfId="474"/>
    <cellStyle name="Accent1 4" xfId="475"/>
    <cellStyle name="Accent1 4 2" xfId="476"/>
    <cellStyle name="Accent1 5" xfId="477"/>
    <cellStyle name="Accent1 5 2" xfId="478"/>
    <cellStyle name="Accent1 6" xfId="479"/>
    <cellStyle name="Accent1 6 2" xfId="480"/>
    <cellStyle name="Accent2" xfId="481" builtinId="33" customBuiltin="1"/>
    <cellStyle name="Accent2 2" xfId="482"/>
    <cellStyle name="Accent2 2 10" xfId="483"/>
    <cellStyle name="Accent2 2 11" xfId="484"/>
    <cellStyle name="Accent2 2 2" xfId="485"/>
    <cellStyle name="Accent2 2 3" xfId="486"/>
    <cellStyle name="Accent2 2 4" xfId="487"/>
    <cellStyle name="Accent2 2 5" xfId="488"/>
    <cellStyle name="Accent2 2 6" xfId="489"/>
    <cellStyle name="Accent2 2 7" xfId="490"/>
    <cellStyle name="Accent2 2 8" xfId="491"/>
    <cellStyle name="Accent2 2 9" xfId="492"/>
    <cellStyle name="Accent2 3" xfId="493"/>
    <cellStyle name="Accent2 4" xfId="494"/>
    <cellStyle name="Accent2 4 2" xfId="495"/>
    <cellStyle name="Accent2 5" xfId="496"/>
    <cellStyle name="Accent2 5 2" xfId="497"/>
    <cellStyle name="Accent2 6" xfId="498"/>
    <cellStyle name="Accent2 6 2" xfId="499"/>
    <cellStyle name="Accent3" xfId="500" builtinId="37" customBuiltin="1"/>
    <cellStyle name="Accent3 2" xfId="501"/>
    <cellStyle name="Accent3 2 10" xfId="502"/>
    <cellStyle name="Accent3 2 11" xfId="503"/>
    <cellStyle name="Accent3 2 2" xfId="504"/>
    <cellStyle name="Accent3 2 3" xfId="505"/>
    <cellStyle name="Accent3 2 4" xfId="506"/>
    <cellStyle name="Accent3 2 5" xfId="507"/>
    <cellStyle name="Accent3 2 6" xfId="508"/>
    <cellStyle name="Accent3 2 7" xfId="509"/>
    <cellStyle name="Accent3 2 8" xfId="510"/>
    <cellStyle name="Accent3 2 9" xfId="511"/>
    <cellStyle name="Accent3 3" xfId="512"/>
    <cellStyle name="Accent3 4" xfId="513"/>
    <cellStyle name="Accent3 4 2" xfId="514"/>
    <cellStyle name="Accent3 5" xfId="515"/>
    <cellStyle name="Accent3 5 2" xfId="516"/>
    <cellStyle name="Accent3 6" xfId="517"/>
    <cellStyle name="Accent3 6 2" xfId="518"/>
    <cellStyle name="Accent4" xfId="519" builtinId="41" customBuiltin="1"/>
    <cellStyle name="Accent4 2" xfId="520"/>
    <cellStyle name="Accent4 2 10" xfId="521"/>
    <cellStyle name="Accent4 2 11" xfId="522"/>
    <cellStyle name="Accent4 2 2" xfId="523"/>
    <cellStyle name="Accent4 2 3" xfId="524"/>
    <cellStyle name="Accent4 2 4" xfId="525"/>
    <cellStyle name="Accent4 2 5" xfId="526"/>
    <cellStyle name="Accent4 2 6" xfId="527"/>
    <cellStyle name="Accent4 2 7" xfId="528"/>
    <cellStyle name="Accent4 2 8" xfId="529"/>
    <cellStyle name="Accent4 2 9" xfId="530"/>
    <cellStyle name="Accent4 3" xfId="531"/>
    <cellStyle name="Accent4 4" xfId="532"/>
    <cellStyle name="Accent4 4 2" xfId="533"/>
    <cellStyle name="Accent4 5" xfId="534"/>
    <cellStyle name="Accent4 5 2" xfId="535"/>
    <cellStyle name="Accent4 6" xfId="536"/>
    <cellStyle name="Accent4 6 2" xfId="537"/>
    <cellStyle name="Accent5" xfId="538" builtinId="45" customBuiltin="1"/>
    <cellStyle name="Accent5 2" xfId="539"/>
    <cellStyle name="Accent5 2 10" xfId="540"/>
    <cellStyle name="Accent5 2 2" xfId="541"/>
    <cellStyle name="Accent5 2 3" xfId="542"/>
    <cellStyle name="Accent5 2 4" xfId="543"/>
    <cellStyle name="Accent5 2 5" xfId="544"/>
    <cellStyle name="Accent5 2 6" xfId="545"/>
    <cellStyle name="Accent5 2 7" xfId="546"/>
    <cellStyle name="Accent5 2 8" xfId="547"/>
    <cellStyle name="Accent5 2 9" xfId="548"/>
    <cellStyle name="Accent5 3" xfId="549"/>
    <cellStyle name="Accent5 4" xfId="550"/>
    <cellStyle name="Accent5 4 2" xfId="551"/>
    <cellStyle name="Accent5 5" xfId="552"/>
    <cellStyle name="Accent5 5 2" xfId="553"/>
    <cellStyle name="Accent5 6" xfId="554"/>
    <cellStyle name="Accent5 6 2" xfId="555"/>
    <cellStyle name="Accent6" xfId="556" builtinId="49" customBuiltin="1"/>
    <cellStyle name="Accent6 2" xfId="557"/>
    <cellStyle name="Accent6 2 10" xfId="558"/>
    <cellStyle name="Accent6 2 11" xfId="559"/>
    <cellStyle name="Accent6 2 2" xfId="560"/>
    <cellStyle name="Accent6 2 3" xfId="561"/>
    <cellStyle name="Accent6 2 4" xfId="562"/>
    <cellStyle name="Accent6 2 5" xfId="563"/>
    <cellStyle name="Accent6 2 6" xfId="564"/>
    <cellStyle name="Accent6 2 7" xfId="565"/>
    <cellStyle name="Accent6 2 8" xfId="566"/>
    <cellStyle name="Accent6 2 9" xfId="567"/>
    <cellStyle name="Accent6 3" xfId="568"/>
    <cellStyle name="Accent6 4" xfId="569"/>
    <cellStyle name="Accent6 4 2" xfId="570"/>
    <cellStyle name="Accent6 5" xfId="571"/>
    <cellStyle name="Accent6 5 2" xfId="572"/>
    <cellStyle name="Accent6 6" xfId="573"/>
    <cellStyle name="Accent6 6 2" xfId="574"/>
    <cellStyle name="Bad" xfId="575" builtinId="27"/>
    <cellStyle name="Bad 2" xfId="576"/>
    <cellStyle name="Bad 2 10" xfId="577"/>
    <cellStyle name="Bad 2 11" xfId="578"/>
    <cellStyle name="Bad 2 2" xfId="579"/>
    <cellStyle name="Bad 2 3" xfId="580"/>
    <cellStyle name="Bad 2 4" xfId="581"/>
    <cellStyle name="Bad 2 5" xfId="582"/>
    <cellStyle name="Bad 2 6" xfId="583"/>
    <cellStyle name="Bad 2 7" xfId="584"/>
    <cellStyle name="Bad 2 8" xfId="585"/>
    <cellStyle name="Bad 2 9" xfId="586"/>
    <cellStyle name="Bad 3" xfId="587"/>
    <cellStyle name="Bad 4" xfId="588"/>
    <cellStyle name="Bad 4 2" xfId="589"/>
    <cellStyle name="Bad 5" xfId="590"/>
    <cellStyle name="Bad 5 2" xfId="591"/>
    <cellStyle name="Bad 6" xfId="592"/>
    <cellStyle name="Bad 6 2" xfId="593"/>
    <cellStyle name="Bad 7" xfId="594"/>
    <cellStyle name="Calculation 2" xfId="595"/>
    <cellStyle name="Calculation 2 10" xfId="596"/>
    <cellStyle name="Calculation 2 11" xfId="597"/>
    <cellStyle name="Calculation 2 2" xfId="598"/>
    <cellStyle name="Calculation 2 3" xfId="599"/>
    <cellStyle name="Calculation 2 4" xfId="600"/>
    <cellStyle name="Calculation 2 5" xfId="601"/>
    <cellStyle name="Calculation 2 6" xfId="602"/>
    <cellStyle name="Calculation 2 7" xfId="603"/>
    <cellStyle name="Calculation 2 8" xfId="604"/>
    <cellStyle name="Calculation 2 9" xfId="605"/>
    <cellStyle name="Calculation 3" xfId="606"/>
    <cellStyle name="Calculation 4" xfId="607"/>
    <cellStyle name="Calculation 4 2" xfId="608"/>
    <cellStyle name="Calculation 5" xfId="609"/>
    <cellStyle name="Calculation 5 2" xfId="610"/>
    <cellStyle name="Calculation 6" xfId="611"/>
    <cellStyle name="Calculation 6 2" xfId="612"/>
    <cellStyle name="Check Cell 2" xfId="613"/>
    <cellStyle name="Check Cell 2 10" xfId="614"/>
    <cellStyle name="Check Cell 2 2" xfId="615"/>
    <cellStyle name="Check Cell 2 3" xfId="616"/>
    <cellStyle name="Check Cell 2 4" xfId="617"/>
    <cellStyle name="Check Cell 2 5" xfId="618"/>
    <cellStyle name="Check Cell 2 6" xfId="619"/>
    <cellStyle name="Check Cell 2 7" xfId="620"/>
    <cellStyle name="Check Cell 2 8" xfId="621"/>
    <cellStyle name="Check Cell 2 9" xfId="622"/>
    <cellStyle name="Check Cell 3" xfId="623"/>
    <cellStyle name="Check Cell 4" xfId="624"/>
    <cellStyle name="Check Cell 4 2" xfId="625"/>
    <cellStyle name="Check Cell 5" xfId="626"/>
    <cellStyle name="Check Cell 5 2" xfId="627"/>
    <cellStyle name="Check Cell 6" xfId="628"/>
    <cellStyle name="Check Cell 6 2" xfId="629"/>
    <cellStyle name="Comma [0] 2 10" xfId="630"/>
    <cellStyle name="Comma [0] 2 10 2" xfId="2143"/>
    <cellStyle name="Comma [0] 2 2" xfId="631"/>
    <cellStyle name="Comma [0] 2 2 2" xfId="2144"/>
    <cellStyle name="Comma [0] 2 3" xfId="632"/>
    <cellStyle name="Comma [0] 2 3 2" xfId="2145"/>
    <cellStyle name="Comma [0] 2 4" xfId="633"/>
    <cellStyle name="Comma [0] 2 4 2" xfId="2146"/>
    <cellStyle name="Comma [0] 2 5" xfId="634"/>
    <cellStyle name="Comma [0] 2 5 2" xfId="2147"/>
    <cellStyle name="Comma [0] 2 6" xfId="635"/>
    <cellStyle name="Comma [0] 2 6 2" xfId="2148"/>
    <cellStyle name="Comma [0] 2 7" xfId="636"/>
    <cellStyle name="Comma [0] 2 7 2" xfId="2149"/>
    <cellStyle name="Comma [0] 2 8" xfId="637"/>
    <cellStyle name="Comma [0] 2 8 2" xfId="2150"/>
    <cellStyle name="Comma [0] 2 9" xfId="638"/>
    <cellStyle name="Comma [0] 2 9 2" xfId="2151"/>
    <cellStyle name="Comma 10 2" xfId="639"/>
    <cellStyle name="Comma 10 2 10" xfId="640"/>
    <cellStyle name="Comma 10 2 10 2" xfId="2153"/>
    <cellStyle name="Comma 10 2 11" xfId="641"/>
    <cellStyle name="Comma 10 2 11 2" xfId="2154"/>
    <cellStyle name="Comma 10 2 12" xfId="642"/>
    <cellStyle name="Comma 10 2 12 2" xfId="2155"/>
    <cellStyle name="Comma 10 2 13" xfId="643"/>
    <cellStyle name="Comma 10 2 13 2" xfId="2156"/>
    <cellStyle name="Comma 10 2 14" xfId="644"/>
    <cellStyle name="Comma 10 2 14 2" xfId="2157"/>
    <cellStyle name="Comma 10 2 15" xfId="645"/>
    <cellStyle name="Comma 10 2 15 2" xfId="2158"/>
    <cellStyle name="Comma 10 2 16" xfId="646"/>
    <cellStyle name="Comma 10 2 16 2" xfId="2159"/>
    <cellStyle name="Comma 10 2 17" xfId="647"/>
    <cellStyle name="Comma 10 2 17 2" xfId="2160"/>
    <cellStyle name="Comma 10 2 18" xfId="2152"/>
    <cellStyle name="Comma 10 2 2" xfId="648"/>
    <cellStyle name="Comma 10 2 2 2" xfId="2161"/>
    <cellStyle name="Comma 10 2 3" xfId="649"/>
    <cellStyle name="Comma 10 2 3 2" xfId="2162"/>
    <cellStyle name="Comma 10 2 4" xfId="650"/>
    <cellStyle name="Comma 10 2 4 2" xfId="2163"/>
    <cellStyle name="Comma 10 2 5" xfId="651"/>
    <cellStyle name="Comma 10 2 5 2" xfId="2164"/>
    <cellStyle name="Comma 10 2 6" xfId="652"/>
    <cellStyle name="Comma 10 2 6 2" xfId="2165"/>
    <cellStyle name="Comma 10 2 7" xfId="653"/>
    <cellStyle name="Comma 10 2 7 2" xfId="2166"/>
    <cellStyle name="Comma 10 2 8" xfId="654"/>
    <cellStyle name="Comma 10 2 8 2" xfId="2167"/>
    <cellStyle name="Comma 10 2 9" xfId="655"/>
    <cellStyle name="Comma 10 2 9 2" xfId="2168"/>
    <cellStyle name="Comma 10 3" xfId="656"/>
    <cellStyle name="Comma 10 3 10" xfId="657"/>
    <cellStyle name="Comma 10 3 10 2" xfId="2170"/>
    <cellStyle name="Comma 10 3 11" xfId="658"/>
    <cellStyle name="Comma 10 3 11 2" xfId="2171"/>
    <cellStyle name="Comma 10 3 12" xfId="659"/>
    <cellStyle name="Comma 10 3 12 2" xfId="2172"/>
    <cellStyle name="Comma 10 3 13" xfId="660"/>
    <cellStyle name="Comma 10 3 13 2" xfId="2173"/>
    <cellStyle name="Comma 10 3 14" xfId="661"/>
    <cellStyle name="Comma 10 3 14 2" xfId="2174"/>
    <cellStyle name="Comma 10 3 15" xfId="662"/>
    <cellStyle name="Comma 10 3 15 2" xfId="2175"/>
    <cellStyle name="Comma 10 3 16" xfId="663"/>
    <cellStyle name="Comma 10 3 16 2" xfId="2176"/>
    <cellStyle name="Comma 10 3 17" xfId="664"/>
    <cellStyle name="Comma 10 3 17 2" xfId="2177"/>
    <cellStyle name="Comma 10 3 18" xfId="2169"/>
    <cellStyle name="Comma 10 3 2" xfId="665"/>
    <cellStyle name="Comma 10 3 2 2" xfId="2178"/>
    <cellStyle name="Comma 10 3 3" xfId="666"/>
    <cellStyle name="Comma 10 3 3 2" xfId="2179"/>
    <cellStyle name="Comma 10 3 4" xfId="667"/>
    <cellStyle name="Comma 10 3 4 2" xfId="2180"/>
    <cellStyle name="Comma 10 3 5" xfId="668"/>
    <cellStyle name="Comma 10 3 5 2" xfId="2181"/>
    <cellStyle name="Comma 10 3 6" xfId="669"/>
    <cellStyle name="Comma 10 3 6 2" xfId="2182"/>
    <cellStyle name="Comma 10 3 7" xfId="670"/>
    <cellStyle name="Comma 10 3 7 2" xfId="2183"/>
    <cellStyle name="Comma 10 3 8" xfId="671"/>
    <cellStyle name="Comma 10 3 8 2" xfId="2184"/>
    <cellStyle name="Comma 10 3 9" xfId="672"/>
    <cellStyle name="Comma 10 3 9 2" xfId="2185"/>
    <cellStyle name="Comma 10 4" xfId="673"/>
    <cellStyle name="Comma 10 4 10" xfId="674"/>
    <cellStyle name="Comma 10 4 10 2" xfId="2187"/>
    <cellStyle name="Comma 10 4 11" xfId="675"/>
    <cellStyle name="Comma 10 4 11 2" xfId="2188"/>
    <cellStyle name="Comma 10 4 12" xfId="676"/>
    <cellStyle name="Comma 10 4 12 2" xfId="2189"/>
    <cellStyle name="Comma 10 4 13" xfId="677"/>
    <cellStyle name="Comma 10 4 13 2" xfId="2190"/>
    <cellStyle name="Comma 10 4 14" xfId="678"/>
    <cellStyle name="Comma 10 4 14 2" xfId="2191"/>
    <cellStyle name="Comma 10 4 15" xfId="679"/>
    <cellStyle name="Comma 10 4 15 2" xfId="2192"/>
    <cellStyle name="Comma 10 4 16" xfId="680"/>
    <cellStyle name="Comma 10 4 16 2" xfId="2193"/>
    <cellStyle name="Comma 10 4 17" xfId="681"/>
    <cellStyle name="Comma 10 4 17 2" xfId="2194"/>
    <cellStyle name="Comma 10 4 18" xfId="2186"/>
    <cellStyle name="Comma 10 4 2" xfId="682"/>
    <cellStyle name="Comma 10 4 2 2" xfId="2195"/>
    <cellStyle name="Comma 10 4 3" xfId="683"/>
    <cellStyle name="Comma 10 4 3 2" xfId="2196"/>
    <cellStyle name="Comma 10 4 4" xfId="684"/>
    <cellStyle name="Comma 10 4 4 2" xfId="2197"/>
    <cellStyle name="Comma 10 4 5" xfId="685"/>
    <cellStyle name="Comma 10 4 5 2" xfId="2198"/>
    <cellStyle name="Comma 10 4 6" xfId="686"/>
    <cellStyle name="Comma 10 4 6 2" xfId="2199"/>
    <cellStyle name="Comma 10 4 7" xfId="687"/>
    <cellStyle name="Comma 10 4 7 2" xfId="2200"/>
    <cellStyle name="Comma 10 4 8" xfId="688"/>
    <cellStyle name="Comma 10 4 8 2" xfId="2201"/>
    <cellStyle name="Comma 10 4 9" xfId="689"/>
    <cellStyle name="Comma 10 4 9 2" xfId="2202"/>
    <cellStyle name="Comma 10 5" xfId="690"/>
    <cellStyle name="Comma 10 5 10" xfId="691"/>
    <cellStyle name="Comma 10 5 10 2" xfId="2204"/>
    <cellStyle name="Comma 10 5 11" xfId="692"/>
    <cellStyle name="Comma 10 5 11 2" xfId="2205"/>
    <cellStyle name="Comma 10 5 12" xfId="693"/>
    <cellStyle name="Comma 10 5 12 2" xfId="2206"/>
    <cellStyle name="Comma 10 5 13" xfId="694"/>
    <cellStyle name="Comma 10 5 13 2" xfId="2207"/>
    <cellStyle name="Comma 10 5 14" xfId="695"/>
    <cellStyle name="Comma 10 5 14 2" xfId="2208"/>
    <cellStyle name="Comma 10 5 15" xfId="696"/>
    <cellStyle name="Comma 10 5 15 2" xfId="2209"/>
    <cellStyle name="Comma 10 5 16" xfId="697"/>
    <cellStyle name="Comma 10 5 16 2" xfId="2210"/>
    <cellStyle name="Comma 10 5 17" xfId="698"/>
    <cellStyle name="Comma 10 5 17 2" xfId="2211"/>
    <cellStyle name="Comma 10 5 18" xfId="2203"/>
    <cellStyle name="Comma 10 5 2" xfId="699"/>
    <cellStyle name="Comma 10 5 2 2" xfId="2212"/>
    <cellStyle name="Comma 10 5 3" xfId="700"/>
    <cellStyle name="Comma 10 5 3 2" xfId="2213"/>
    <cellStyle name="Comma 10 5 4" xfId="701"/>
    <cellStyle name="Comma 10 5 4 2" xfId="2214"/>
    <cellStyle name="Comma 10 5 5" xfId="702"/>
    <cellStyle name="Comma 10 5 5 2" xfId="2215"/>
    <cellStyle name="Comma 10 5 6" xfId="703"/>
    <cellStyle name="Comma 10 5 6 2" xfId="2216"/>
    <cellStyle name="Comma 10 5 7" xfId="704"/>
    <cellStyle name="Comma 10 5 7 2" xfId="2217"/>
    <cellStyle name="Comma 10 5 8" xfId="705"/>
    <cellStyle name="Comma 10 5 8 2" xfId="2218"/>
    <cellStyle name="Comma 10 5 9" xfId="706"/>
    <cellStyle name="Comma 10 5 9 2" xfId="2219"/>
    <cellStyle name="Comma 10 6" xfId="707"/>
    <cellStyle name="Comma 10 6 10" xfId="708"/>
    <cellStyle name="Comma 10 6 10 2" xfId="2221"/>
    <cellStyle name="Comma 10 6 11" xfId="709"/>
    <cellStyle name="Comma 10 6 11 2" xfId="2222"/>
    <cellStyle name="Comma 10 6 12" xfId="710"/>
    <cellStyle name="Comma 10 6 12 2" xfId="2223"/>
    <cellStyle name="Comma 10 6 13" xfId="711"/>
    <cellStyle name="Comma 10 6 13 2" xfId="2224"/>
    <cellStyle name="Comma 10 6 14" xfId="712"/>
    <cellStyle name="Comma 10 6 14 2" xfId="2225"/>
    <cellStyle name="Comma 10 6 15" xfId="713"/>
    <cellStyle name="Comma 10 6 15 2" xfId="2226"/>
    <cellStyle name="Comma 10 6 16" xfId="714"/>
    <cellStyle name="Comma 10 6 16 2" xfId="2227"/>
    <cellStyle name="Comma 10 6 17" xfId="715"/>
    <cellStyle name="Comma 10 6 17 2" xfId="2228"/>
    <cellStyle name="Comma 10 6 18" xfId="2220"/>
    <cellStyle name="Comma 10 6 2" xfId="716"/>
    <cellStyle name="Comma 10 6 2 2" xfId="2229"/>
    <cellStyle name="Comma 10 6 3" xfId="717"/>
    <cellStyle name="Comma 10 6 3 2" xfId="2230"/>
    <cellStyle name="Comma 10 6 4" xfId="718"/>
    <cellStyle name="Comma 10 6 4 2" xfId="2231"/>
    <cellStyle name="Comma 10 6 5" xfId="719"/>
    <cellStyle name="Comma 10 6 5 2" xfId="2232"/>
    <cellStyle name="Comma 10 6 6" xfId="720"/>
    <cellStyle name="Comma 10 6 6 2" xfId="2233"/>
    <cellStyle name="Comma 10 6 7" xfId="721"/>
    <cellStyle name="Comma 10 6 7 2" xfId="2234"/>
    <cellStyle name="Comma 10 6 8" xfId="722"/>
    <cellStyle name="Comma 10 6 8 2" xfId="2235"/>
    <cellStyle name="Comma 10 6 9" xfId="723"/>
    <cellStyle name="Comma 10 6 9 2" xfId="2236"/>
    <cellStyle name="Comma 10 7" xfId="724"/>
    <cellStyle name="Comma 10 7 10" xfId="725"/>
    <cellStyle name="Comma 10 7 10 2" xfId="2238"/>
    <cellStyle name="Comma 10 7 11" xfId="726"/>
    <cellStyle name="Comma 10 7 11 2" xfId="2239"/>
    <cellStyle name="Comma 10 7 12" xfId="727"/>
    <cellStyle name="Comma 10 7 12 2" xfId="2240"/>
    <cellStyle name="Comma 10 7 13" xfId="728"/>
    <cellStyle name="Comma 10 7 13 2" xfId="2241"/>
    <cellStyle name="Comma 10 7 14" xfId="729"/>
    <cellStyle name="Comma 10 7 14 2" xfId="2242"/>
    <cellStyle name="Comma 10 7 15" xfId="730"/>
    <cellStyle name="Comma 10 7 15 2" xfId="2243"/>
    <cellStyle name="Comma 10 7 16" xfId="731"/>
    <cellStyle name="Comma 10 7 16 2" xfId="2244"/>
    <cellStyle name="Comma 10 7 17" xfId="732"/>
    <cellStyle name="Comma 10 7 17 2" xfId="2245"/>
    <cellStyle name="Comma 10 7 18" xfId="2237"/>
    <cellStyle name="Comma 10 7 2" xfId="733"/>
    <cellStyle name="Comma 10 7 2 2" xfId="2246"/>
    <cellStyle name="Comma 10 7 3" xfId="734"/>
    <cellStyle name="Comma 10 7 3 2" xfId="2247"/>
    <cellStyle name="Comma 10 7 4" xfId="735"/>
    <cellStyle name="Comma 10 7 4 2" xfId="2248"/>
    <cellStyle name="Comma 10 7 5" xfId="736"/>
    <cellStyle name="Comma 10 7 5 2" xfId="2249"/>
    <cellStyle name="Comma 10 7 6" xfId="737"/>
    <cellStyle name="Comma 10 7 6 2" xfId="2250"/>
    <cellStyle name="Comma 10 7 7" xfId="738"/>
    <cellStyle name="Comma 10 7 7 2" xfId="2251"/>
    <cellStyle name="Comma 10 7 8" xfId="739"/>
    <cellStyle name="Comma 10 7 8 2" xfId="2252"/>
    <cellStyle name="Comma 10 7 9" xfId="740"/>
    <cellStyle name="Comma 10 7 9 2" xfId="2253"/>
    <cellStyle name="Comma 10 8" xfId="741"/>
    <cellStyle name="Comma 10 8 10" xfId="742"/>
    <cellStyle name="Comma 10 8 10 2" xfId="2255"/>
    <cellStyle name="Comma 10 8 11" xfId="743"/>
    <cellStyle name="Comma 10 8 11 2" xfId="2256"/>
    <cellStyle name="Comma 10 8 12" xfId="744"/>
    <cellStyle name="Comma 10 8 12 2" xfId="2257"/>
    <cellStyle name="Comma 10 8 13" xfId="745"/>
    <cellStyle name="Comma 10 8 13 2" xfId="2258"/>
    <cellStyle name="Comma 10 8 14" xfId="746"/>
    <cellStyle name="Comma 10 8 14 2" xfId="2259"/>
    <cellStyle name="Comma 10 8 15" xfId="747"/>
    <cellStyle name="Comma 10 8 15 2" xfId="2260"/>
    <cellStyle name="Comma 10 8 16" xfId="748"/>
    <cellStyle name="Comma 10 8 16 2" xfId="2261"/>
    <cellStyle name="Comma 10 8 17" xfId="749"/>
    <cellStyle name="Comma 10 8 17 2" xfId="2262"/>
    <cellStyle name="Comma 10 8 18" xfId="2254"/>
    <cellStyle name="Comma 10 8 2" xfId="750"/>
    <cellStyle name="Comma 10 8 2 2" xfId="2263"/>
    <cellStyle name="Comma 10 8 3" xfId="751"/>
    <cellStyle name="Comma 10 8 3 2" xfId="2264"/>
    <cellStyle name="Comma 10 8 4" xfId="752"/>
    <cellStyle name="Comma 10 8 4 2" xfId="2265"/>
    <cellStyle name="Comma 10 8 5" xfId="753"/>
    <cellStyle name="Comma 10 8 5 2" xfId="2266"/>
    <cellStyle name="Comma 10 8 6" xfId="754"/>
    <cellStyle name="Comma 10 8 6 2" xfId="2267"/>
    <cellStyle name="Comma 10 8 7" xfId="755"/>
    <cellStyle name="Comma 10 8 7 2" xfId="2268"/>
    <cellStyle name="Comma 10 8 8" xfId="756"/>
    <cellStyle name="Comma 10 8 8 2" xfId="2269"/>
    <cellStyle name="Comma 10 8 9" xfId="757"/>
    <cellStyle name="Comma 10 8 9 2" xfId="2270"/>
    <cellStyle name="Comma 2" xfId="758"/>
    <cellStyle name="Comma 2 10" xfId="759"/>
    <cellStyle name="Comma 2 10 2" xfId="2272"/>
    <cellStyle name="Comma 2 11" xfId="760"/>
    <cellStyle name="Comma 2 11 2" xfId="2273"/>
    <cellStyle name="Comma 2 12" xfId="761"/>
    <cellStyle name="Comma 2 12 2" xfId="2274"/>
    <cellStyle name="Comma 2 13" xfId="762"/>
    <cellStyle name="Comma 2 13 2" xfId="2275"/>
    <cellStyle name="Comma 2 14" xfId="763"/>
    <cellStyle name="Comma 2 14 2" xfId="2276"/>
    <cellStyle name="Comma 2 15" xfId="764"/>
    <cellStyle name="Comma 2 15 2" xfId="2277"/>
    <cellStyle name="Comma 2 16" xfId="765"/>
    <cellStyle name="Comma 2 16 2" xfId="2278"/>
    <cellStyle name="Comma 2 17" xfId="766"/>
    <cellStyle name="Comma 2 17 2" xfId="2279"/>
    <cellStyle name="Comma 2 18" xfId="2271"/>
    <cellStyle name="Comma 2 2" xfId="767"/>
    <cellStyle name="Comma 2 2 2" xfId="2280"/>
    <cellStyle name="Comma 2 3" xfId="768"/>
    <cellStyle name="Comma 2 3 2" xfId="2281"/>
    <cellStyle name="Comma 2 4" xfId="769"/>
    <cellStyle name="Comma 2 4 2" xfId="2282"/>
    <cellStyle name="Comma 2 5" xfId="770"/>
    <cellStyle name="Comma 2 5 2" xfId="2283"/>
    <cellStyle name="Comma 2 6" xfId="771"/>
    <cellStyle name="Comma 2 6 2" xfId="2284"/>
    <cellStyle name="Comma 2 7" xfId="772"/>
    <cellStyle name="Comma 2 7 2" xfId="2285"/>
    <cellStyle name="Comma 2 8" xfId="773"/>
    <cellStyle name="Comma 2 8 2" xfId="2286"/>
    <cellStyle name="Comma 2 9" xfId="774"/>
    <cellStyle name="Comma 2 9 2" xfId="2287"/>
    <cellStyle name="Comma 3" xfId="775"/>
    <cellStyle name="Comma 3 2" xfId="776"/>
    <cellStyle name="Comma 3 2 2" xfId="2289"/>
    <cellStyle name="Comma 3 3" xfId="777"/>
    <cellStyle name="Comma 3 3 2" xfId="2290"/>
    <cellStyle name="Comma 3 4" xfId="778"/>
    <cellStyle name="Comma 3 4 2" xfId="2291"/>
    <cellStyle name="Comma 3 5" xfId="779"/>
    <cellStyle name="Comma 3 5 2" xfId="2292"/>
    <cellStyle name="Comma 3 6" xfId="780"/>
    <cellStyle name="Comma 3 6 2" xfId="2293"/>
    <cellStyle name="Comma 3 7" xfId="781"/>
    <cellStyle name="Comma 3 7 2" xfId="2294"/>
    <cellStyle name="Comma 3 8" xfId="782"/>
    <cellStyle name="Comma 3 8 2" xfId="2295"/>
    <cellStyle name="Comma 3 9" xfId="2288"/>
    <cellStyle name="Comma 4" xfId="783"/>
    <cellStyle name="Comma 4 2" xfId="784"/>
    <cellStyle name="Comma 4 2 2" xfId="2297"/>
    <cellStyle name="Comma 4 3" xfId="785"/>
    <cellStyle name="Comma 4 3 2" xfId="2298"/>
    <cellStyle name="Comma 4 4" xfId="786"/>
    <cellStyle name="Comma 4 4 2" xfId="2299"/>
    <cellStyle name="Comma 4 5" xfId="787"/>
    <cellStyle name="Comma 4 5 2" xfId="2300"/>
    <cellStyle name="Comma 4 6" xfId="788"/>
    <cellStyle name="Comma 4 6 2" xfId="2301"/>
    <cellStyle name="Comma 4 7" xfId="789"/>
    <cellStyle name="Comma 4 7 2" xfId="2302"/>
    <cellStyle name="Comma 4 8" xfId="790"/>
    <cellStyle name="Comma 4 8 2" xfId="2303"/>
    <cellStyle name="Comma 4 9" xfId="2296"/>
    <cellStyle name="Comma 5" xfId="791"/>
    <cellStyle name="Comma 5 2" xfId="792"/>
    <cellStyle name="Comma 5 2 2" xfId="2305"/>
    <cellStyle name="Comma 5 3" xfId="793"/>
    <cellStyle name="Comma 5 3 2" xfId="2306"/>
    <cellStyle name="Comma 5 4" xfId="794"/>
    <cellStyle name="Comma 5 4 2" xfId="2307"/>
    <cellStyle name="Comma 5 5" xfId="795"/>
    <cellStyle name="Comma 5 5 2" xfId="2308"/>
    <cellStyle name="Comma 5 6" xfId="796"/>
    <cellStyle name="Comma 5 6 2" xfId="2309"/>
    <cellStyle name="Comma 5 7" xfId="797"/>
    <cellStyle name="Comma 5 7 2" xfId="2310"/>
    <cellStyle name="Comma 5 8" xfId="798"/>
    <cellStyle name="Comma 5 8 2" xfId="2311"/>
    <cellStyle name="Comma 5 9" xfId="2304"/>
    <cellStyle name="Comma 6" xfId="799"/>
    <cellStyle name="Comma 6 2" xfId="800"/>
    <cellStyle name="Comma 6 2 2" xfId="2313"/>
    <cellStyle name="Comma 6 3" xfId="801"/>
    <cellStyle name="Comma 6 3 2" xfId="2314"/>
    <cellStyle name="Comma 6 4" xfId="802"/>
    <cellStyle name="Comma 6 4 2" xfId="2315"/>
    <cellStyle name="Comma 6 5" xfId="803"/>
    <cellStyle name="Comma 6 5 2" xfId="2316"/>
    <cellStyle name="Comma 6 6" xfId="804"/>
    <cellStyle name="Comma 6 6 2" xfId="2317"/>
    <cellStyle name="Comma 6 7" xfId="805"/>
    <cellStyle name="Comma 6 7 2" xfId="2318"/>
    <cellStyle name="Comma 6 8" xfId="806"/>
    <cellStyle name="Comma 6 8 2" xfId="2319"/>
    <cellStyle name="Comma 6 9" xfId="2312"/>
    <cellStyle name="Comma 7" xfId="807"/>
    <cellStyle name="Comma 7 10" xfId="808"/>
    <cellStyle name="Comma 7 10 2" xfId="2320"/>
    <cellStyle name="Comma 7 11" xfId="809"/>
    <cellStyle name="Comma 7 11 2" xfId="2321"/>
    <cellStyle name="Comma 7 12" xfId="810"/>
    <cellStyle name="Comma 7 12 2" xfId="2322"/>
    <cellStyle name="Comma 7 13" xfId="811"/>
    <cellStyle name="Comma 7 13 2" xfId="2323"/>
    <cellStyle name="Comma 7 14" xfId="812"/>
    <cellStyle name="Comma 7 14 2" xfId="2324"/>
    <cellStyle name="Comma 7 15" xfId="813"/>
    <cellStyle name="Comma 7 15 2" xfId="2325"/>
    <cellStyle name="Comma 7 16" xfId="814"/>
    <cellStyle name="Comma 7 16 2" xfId="2326"/>
    <cellStyle name="Comma 7 17" xfId="815"/>
    <cellStyle name="Comma 7 17 2" xfId="2327"/>
    <cellStyle name="Comma 7 18" xfId="816"/>
    <cellStyle name="Comma 7 18 2" xfId="2328"/>
    <cellStyle name="Comma 7 19" xfId="817"/>
    <cellStyle name="Comma 7 19 2" xfId="2329"/>
    <cellStyle name="Comma 7 2" xfId="818"/>
    <cellStyle name="Comma 7 2 2" xfId="2330"/>
    <cellStyle name="Comma 7 20" xfId="819"/>
    <cellStyle name="Comma 7 20 2" xfId="2331"/>
    <cellStyle name="Comma 7 21" xfId="820"/>
    <cellStyle name="Comma 7 21 2" xfId="2332"/>
    <cellStyle name="Comma 7 3" xfId="821"/>
    <cellStyle name="Comma 7 3 10" xfId="822"/>
    <cellStyle name="Comma 7 3 10 2" xfId="2334"/>
    <cellStyle name="Comma 7 3 11" xfId="823"/>
    <cellStyle name="Comma 7 3 11 2" xfId="2335"/>
    <cellStyle name="Comma 7 3 12" xfId="824"/>
    <cellStyle name="Comma 7 3 12 2" xfId="2336"/>
    <cellStyle name="Comma 7 3 13" xfId="825"/>
    <cellStyle name="Comma 7 3 13 2" xfId="2337"/>
    <cellStyle name="Comma 7 3 14" xfId="826"/>
    <cellStyle name="Comma 7 3 14 2" xfId="2338"/>
    <cellStyle name="Comma 7 3 15" xfId="827"/>
    <cellStyle name="Comma 7 3 15 2" xfId="2339"/>
    <cellStyle name="Comma 7 3 16" xfId="2333"/>
    <cellStyle name="Comma 7 3 2" xfId="828"/>
    <cellStyle name="Comma 7 3 2 2" xfId="2340"/>
    <cellStyle name="Comma 7 3 3" xfId="829"/>
    <cellStyle name="Comma 7 3 3 2" xfId="2341"/>
    <cellStyle name="Comma 7 3 4" xfId="830"/>
    <cellStyle name="Comma 7 3 4 2" xfId="2342"/>
    <cellStyle name="Comma 7 3 5" xfId="831"/>
    <cellStyle name="Comma 7 3 5 2" xfId="2343"/>
    <cellStyle name="Comma 7 3 6" xfId="832"/>
    <cellStyle name="Comma 7 3 6 2" xfId="2344"/>
    <cellStyle name="Comma 7 3 7" xfId="833"/>
    <cellStyle name="Comma 7 3 7 2" xfId="2345"/>
    <cellStyle name="Comma 7 3 8" xfId="834"/>
    <cellStyle name="Comma 7 3 8 2" xfId="2346"/>
    <cellStyle name="Comma 7 3 9" xfId="835"/>
    <cellStyle name="Comma 7 3 9 2" xfId="2347"/>
    <cellStyle name="Comma 7 4" xfId="836"/>
    <cellStyle name="Comma 7 4 2" xfId="2348"/>
    <cellStyle name="Comma 7 5" xfId="837"/>
    <cellStyle name="Comma 7 5 2" xfId="2349"/>
    <cellStyle name="Comma 7 6" xfId="838"/>
    <cellStyle name="Comma 7 6 2" xfId="2350"/>
    <cellStyle name="Comma 7 7" xfId="839"/>
    <cellStyle name="Comma 7 7 2" xfId="2351"/>
    <cellStyle name="Comma 7 8" xfId="840"/>
    <cellStyle name="Comma 7 8 2" xfId="2352"/>
    <cellStyle name="Comma 7 9" xfId="841"/>
    <cellStyle name="Comma 7 9 2" xfId="2353"/>
    <cellStyle name="Comma 8" xfId="842"/>
    <cellStyle name="Comma 8 2" xfId="843"/>
    <cellStyle name="Comma 8 2 2" xfId="2354"/>
    <cellStyle name="Comma 8 3" xfId="844"/>
    <cellStyle name="Comma 8 3 2" xfId="2355"/>
    <cellStyle name="Comma 8 4" xfId="845"/>
    <cellStyle name="Comma 8 4 2" xfId="2356"/>
    <cellStyle name="Comma 8 5" xfId="846"/>
    <cellStyle name="Comma 8 5 2" xfId="2357"/>
    <cellStyle name="Comma 8 6" xfId="847"/>
    <cellStyle name="Comma 8 6 2" xfId="2358"/>
    <cellStyle name="Comma 8 7" xfId="848"/>
    <cellStyle name="Comma 8 7 2" xfId="2359"/>
    <cellStyle name="Comma 8 8" xfId="849"/>
    <cellStyle name="Comma 8 8 2" xfId="2360"/>
    <cellStyle name="Comma 9" xfId="850"/>
    <cellStyle name="Comma 9 10" xfId="851"/>
    <cellStyle name="Comma 9 10 2" xfId="2362"/>
    <cellStyle name="Comma 9 11" xfId="2361"/>
    <cellStyle name="Comma 9 2" xfId="852"/>
    <cellStyle name="Comma 9 2 2" xfId="2363"/>
    <cellStyle name="Comma 9 3" xfId="853"/>
    <cellStyle name="Comma 9 4" xfId="854"/>
    <cellStyle name="Comma 9 5" xfId="855"/>
    <cellStyle name="Comma 9 6" xfId="856"/>
    <cellStyle name="Comma 9 7" xfId="857"/>
    <cellStyle name="Comma 9 8" xfId="858"/>
    <cellStyle name="Comma 9 9" xfId="859"/>
    <cellStyle name="Currency 2 2" xfId="860"/>
    <cellStyle name="Currency 2 2 2" xfId="2364"/>
    <cellStyle name="Euro" xfId="861"/>
    <cellStyle name="Euro 2" xfId="862"/>
    <cellStyle name="Euro 2 2" xfId="863"/>
    <cellStyle name="Euro 2 2 2" xfId="864"/>
    <cellStyle name="Euro 2 2 2 2" xfId="865"/>
    <cellStyle name="Euro 2 2 2 2 2" xfId="2366"/>
    <cellStyle name="Euro 2 2 2 3" xfId="866"/>
    <cellStyle name="Euro 3" xfId="867"/>
    <cellStyle name="Euro 3 2" xfId="868"/>
    <cellStyle name="Euro 3 2 2" xfId="2367"/>
    <cellStyle name="Euro 3 3" xfId="869"/>
    <cellStyle name="Euro 4" xfId="870"/>
    <cellStyle name="Euro 4 2" xfId="871"/>
    <cellStyle name="Euro 4 2 2" xfId="2368"/>
    <cellStyle name="Euro 4 3" xfId="872"/>
    <cellStyle name="Euro 5" xfId="873"/>
    <cellStyle name="Euro 5 2" xfId="874"/>
    <cellStyle name="Euro 5 2 2" xfId="2369"/>
    <cellStyle name="Euro 5 3" xfId="875"/>
    <cellStyle name="Euro 6" xfId="876"/>
    <cellStyle name="Euro 6 2" xfId="877"/>
    <cellStyle name="Euro 6 2 2" xfId="2370"/>
    <cellStyle name="Euro 6 3" xfId="878"/>
    <cellStyle name="Euro 7" xfId="2365"/>
    <cellStyle name="Explanatory Text 2" xfId="879"/>
    <cellStyle name="Explanatory Text 2 10" xfId="880"/>
    <cellStyle name="Explanatory Text 2 2" xfId="881"/>
    <cellStyle name="Explanatory Text 2 3" xfId="882"/>
    <cellStyle name="Explanatory Text 2 4" xfId="883"/>
    <cellStyle name="Explanatory Text 2 5" xfId="884"/>
    <cellStyle name="Explanatory Text 2 6" xfId="885"/>
    <cellStyle name="Explanatory Text 2 7" xfId="886"/>
    <cellStyle name="Explanatory Text 2 8" xfId="887"/>
    <cellStyle name="Explanatory Text 2 9" xfId="888"/>
    <cellStyle name="Explanatory Text 3" xfId="889"/>
    <cellStyle name="Explanatory Text 4" xfId="890"/>
    <cellStyle name="Explanatory Text 4 2" xfId="891"/>
    <cellStyle name="Explanatory Text 5" xfId="892"/>
    <cellStyle name="Explanatory Text 5 2" xfId="893"/>
    <cellStyle name="Explanatory Text 6" xfId="894"/>
    <cellStyle name="Explanatory Text 6 2" xfId="895"/>
    <cellStyle name="Good 2" xfId="896"/>
    <cellStyle name="Good 2 10" xfId="897"/>
    <cellStyle name="Good 2 11" xfId="898"/>
    <cellStyle name="Good 2 2" xfId="899"/>
    <cellStyle name="Good 2 3" xfId="900"/>
    <cellStyle name="Good 2 4" xfId="901"/>
    <cellStyle name="Good 2 5" xfId="902"/>
    <cellStyle name="Good 2 6" xfId="903"/>
    <cellStyle name="Good 2 7" xfId="904"/>
    <cellStyle name="Good 2 8" xfId="905"/>
    <cellStyle name="Good 2 9" xfId="906"/>
    <cellStyle name="Good 3" xfId="907"/>
    <cellStyle name="Good 4" xfId="908"/>
    <cellStyle name="Good 4 2" xfId="909"/>
    <cellStyle name="Good 5" xfId="910"/>
    <cellStyle name="Good 5 2" xfId="911"/>
    <cellStyle name="Good 6" xfId="912"/>
    <cellStyle name="Good 6 2" xfId="913"/>
    <cellStyle name="Good 7" xfId="914"/>
    <cellStyle name="Heading 1 2" xfId="915"/>
    <cellStyle name="Heading 1 2 10" xfId="916"/>
    <cellStyle name="Heading 1 2 11" xfId="917"/>
    <cellStyle name="Heading 1 2 2" xfId="918"/>
    <cellStyle name="Heading 1 2 3" xfId="919"/>
    <cellStyle name="Heading 1 2 4" xfId="920"/>
    <cellStyle name="Heading 1 2 5" xfId="921"/>
    <cellStyle name="Heading 1 2 6" xfId="922"/>
    <cellStyle name="Heading 1 2 7" xfId="923"/>
    <cellStyle name="Heading 1 2 8" xfId="924"/>
    <cellStyle name="Heading 1 2 9" xfId="925"/>
    <cellStyle name="Heading 1 3" xfId="926"/>
    <cellStyle name="Heading 1 4" xfId="927"/>
    <cellStyle name="Heading 1 4 2" xfId="928"/>
    <cellStyle name="Heading 1 5" xfId="929"/>
    <cellStyle name="Heading 1 5 2" xfId="930"/>
    <cellStyle name="Heading 1 6" xfId="931"/>
    <cellStyle name="Heading 1 6 2" xfId="932"/>
    <cellStyle name="Heading 2 2" xfId="933"/>
    <cellStyle name="Heading 2 2 10" xfId="934"/>
    <cellStyle name="Heading 2 2 11" xfId="935"/>
    <cellStyle name="Heading 2 2 2" xfId="936"/>
    <cellStyle name="Heading 2 2 3" xfId="937"/>
    <cellStyle name="Heading 2 2 4" xfId="938"/>
    <cellStyle name="Heading 2 2 5" xfId="939"/>
    <cellStyle name="Heading 2 2 6" xfId="940"/>
    <cellStyle name="Heading 2 2 7" xfId="941"/>
    <cellStyle name="Heading 2 2 8" xfId="942"/>
    <cellStyle name="Heading 2 2 9" xfId="943"/>
    <cellStyle name="Heading 2 3" xfId="944"/>
    <cellStyle name="Heading 2 4" xfId="945"/>
    <cellStyle name="Heading 2 4 2" xfId="946"/>
    <cellStyle name="Heading 2 5" xfId="947"/>
    <cellStyle name="Heading 2 5 2" xfId="948"/>
    <cellStyle name="Heading 2 6" xfId="949"/>
    <cellStyle name="Heading 2 6 2" xfId="950"/>
    <cellStyle name="Heading 3 2" xfId="951"/>
    <cellStyle name="Heading 3 2 10" xfId="952"/>
    <cellStyle name="Heading 3 2 11" xfId="953"/>
    <cellStyle name="Heading 3 2 2" xfId="954"/>
    <cellStyle name="Heading 3 2 3" xfId="955"/>
    <cellStyle name="Heading 3 2 4" xfId="956"/>
    <cellStyle name="Heading 3 2 5" xfId="957"/>
    <cellStyle name="Heading 3 2 6" xfId="958"/>
    <cellStyle name="Heading 3 2 7" xfId="959"/>
    <cellStyle name="Heading 3 2 8" xfId="960"/>
    <cellStyle name="Heading 3 2 9" xfId="961"/>
    <cellStyle name="Heading 3 3" xfId="962"/>
    <cellStyle name="Heading 3 4" xfId="963"/>
    <cellStyle name="Heading 3 4 2" xfId="964"/>
    <cellStyle name="Heading 3 5" xfId="965"/>
    <cellStyle name="Heading 3 5 2" xfId="966"/>
    <cellStyle name="Heading 3 6" xfId="967"/>
    <cellStyle name="Heading 3 6 2" xfId="968"/>
    <cellStyle name="Heading 4 2" xfId="969"/>
    <cellStyle name="Heading 4 2 10" xfId="970"/>
    <cellStyle name="Heading 4 2 11" xfId="971"/>
    <cellStyle name="Heading 4 2 2" xfId="972"/>
    <cellStyle name="Heading 4 2 3" xfId="973"/>
    <cellStyle name="Heading 4 2 4" xfId="974"/>
    <cellStyle name="Heading 4 2 5" xfId="975"/>
    <cellStyle name="Heading 4 2 6" xfId="976"/>
    <cellStyle name="Heading 4 2 7" xfId="977"/>
    <cellStyle name="Heading 4 2 8" xfId="978"/>
    <cellStyle name="Heading 4 2 9" xfId="979"/>
    <cellStyle name="Heading 4 3" xfId="980"/>
    <cellStyle name="Heading 4 4" xfId="981"/>
    <cellStyle name="Heading 4 4 2" xfId="982"/>
    <cellStyle name="Heading 4 5" xfId="983"/>
    <cellStyle name="Heading 4 5 2" xfId="984"/>
    <cellStyle name="Heading 4 6" xfId="985"/>
    <cellStyle name="Heading 4 6 2" xfId="986"/>
    <cellStyle name="Hyperlink" xfId="987" builtinId="8"/>
    <cellStyle name="Input 2" xfId="988"/>
    <cellStyle name="Input 2 10" xfId="989"/>
    <cellStyle name="Input 2 11" xfId="990"/>
    <cellStyle name="Input 2 2" xfId="991"/>
    <cellStyle name="Input 2 3" xfId="992"/>
    <cellStyle name="Input 2 4" xfId="993"/>
    <cellStyle name="Input 2 5" xfId="994"/>
    <cellStyle name="Input 2 6" xfId="995"/>
    <cellStyle name="Input 2 7" xfId="996"/>
    <cellStyle name="Input 2 8" xfId="997"/>
    <cellStyle name="Input 2 9" xfId="998"/>
    <cellStyle name="Input 3" xfId="999"/>
    <cellStyle name="Input 4" xfId="1000"/>
    <cellStyle name="Input 4 2" xfId="1001"/>
    <cellStyle name="Input 5" xfId="1002"/>
    <cellStyle name="Input 5 2" xfId="1003"/>
    <cellStyle name="Input 6" xfId="1004"/>
    <cellStyle name="Input 6 2" xfId="1005"/>
    <cellStyle name="Linked Cell 2" xfId="1006"/>
    <cellStyle name="Linked Cell 2 10" xfId="1007"/>
    <cellStyle name="Linked Cell 2 11" xfId="1008"/>
    <cellStyle name="Linked Cell 2 2" xfId="1009"/>
    <cellStyle name="Linked Cell 2 3" xfId="1010"/>
    <cellStyle name="Linked Cell 2 4" xfId="1011"/>
    <cellStyle name="Linked Cell 2 5" xfId="1012"/>
    <cellStyle name="Linked Cell 2 6" xfId="1013"/>
    <cellStyle name="Linked Cell 2 7" xfId="1014"/>
    <cellStyle name="Linked Cell 2 8" xfId="1015"/>
    <cellStyle name="Linked Cell 2 9" xfId="1016"/>
    <cellStyle name="Linked Cell 3" xfId="1017"/>
    <cellStyle name="Linked Cell 4" xfId="1018"/>
    <cellStyle name="Linked Cell 4 2" xfId="1019"/>
    <cellStyle name="Linked Cell 5" xfId="1020"/>
    <cellStyle name="Linked Cell 5 2" xfId="1021"/>
    <cellStyle name="Linked Cell 6" xfId="1022"/>
    <cellStyle name="Linked Cell 6 2" xfId="1023"/>
    <cellStyle name="Neutral 2" xfId="1024"/>
    <cellStyle name="Neutral 2 10" xfId="1025"/>
    <cellStyle name="Neutral 2 11" xfId="1026"/>
    <cellStyle name="Neutral 2 2" xfId="1027"/>
    <cellStyle name="Neutral 2 3" xfId="1028"/>
    <cellStyle name="Neutral 2 4" xfId="1029"/>
    <cellStyle name="Neutral 2 5" xfId="1030"/>
    <cellStyle name="Neutral 2 6" xfId="1031"/>
    <cellStyle name="Neutral 2 7" xfId="1032"/>
    <cellStyle name="Neutral 2 8" xfId="1033"/>
    <cellStyle name="Neutral 2 9" xfId="1034"/>
    <cellStyle name="Neutral 3" xfId="1035"/>
    <cellStyle name="Neutral 4" xfId="1036"/>
    <cellStyle name="Neutral 4 2" xfId="1037"/>
    <cellStyle name="Neutral 5" xfId="1038"/>
    <cellStyle name="Neutral 5 2" xfId="1039"/>
    <cellStyle name="Neutral 6" xfId="1040"/>
    <cellStyle name="Neutral 6 2" xfId="1041"/>
    <cellStyle name="Normaali_SAVE-CHP Statistics - Results" xfId="1042"/>
    <cellStyle name="Normal" xfId="0" builtinId="0"/>
    <cellStyle name="Normal 10" xfId="1043"/>
    <cellStyle name="Normal 10 2" xfId="1044"/>
    <cellStyle name="Normal 10 2 2" xfId="2372"/>
    <cellStyle name="Normal 10 3" xfId="1045"/>
    <cellStyle name="Normal 10 3 2" xfId="2373"/>
    <cellStyle name="Normal 10 4" xfId="1046"/>
    <cellStyle name="Normal 10 4 2" xfId="2374"/>
    <cellStyle name="Normal 10 5" xfId="1047"/>
    <cellStyle name="Normal 10 5 2" xfId="2375"/>
    <cellStyle name="Normal 10 6" xfId="1048"/>
    <cellStyle name="Normal 10 6 2" xfId="2376"/>
    <cellStyle name="Normal 10 7" xfId="1049"/>
    <cellStyle name="Normal 10 7 2" xfId="2377"/>
    <cellStyle name="Normal 10 8" xfId="1050"/>
    <cellStyle name="Normal 10 8 2" xfId="2378"/>
    <cellStyle name="Normal 10 9" xfId="2371"/>
    <cellStyle name="Normal 11" xfId="1051"/>
    <cellStyle name="Normal 11 2" xfId="1052"/>
    <cellStyle name="Normal 11 2 2" xfId="2380"/>
    <cellStyle name="Normal 11 3" xfId="1053"/>
    <cellStyle name="Normal 11 3 2" xfId="2381"/>
    <cellStyle name="Normal 11 4" xfId="1054"/>
    <cellStyle name="Normal 11 4 2" xfId="2382"/>
    <cellStyle name="Normal 11 5" xfId="1055"/>
    <cellStyle name="Normal 11 5 2" xfId="2383"/>
    <cellStyle name="Normal 11 6" xfId="1056"/>
    <cellStyle name="Normal 11 6 2" xfId="2384"/>
    <cellStyle name="Normal 11 7" xfId="1057"/>
    <cellStyle name="Normal 11 7 2" xfId="2385"/>
    <cellStyle name="Normal 11 8" xfId="1058"/>
    <cellStyle name="Normal 11 8 2" xfId="2386"/>
    <cellStyle name="Normal 11 9" xfId="2379"/>
    <cellStyle name="Normal 12" xfId="1059"/>
    <cellStyle name="Normal 12 2" xfId="1060"/>
    <cellStyle name="Normal 12 2 2" xfId="2388"/>
    <cellStyle name="Normal 12 3" xfId="1061"/>
    <cellStyle name="Normal 12 3 2" xfId="2389"/>
    <cellStyle name="Normal 12 4" xfId="1062"/>
    <cellStyle name="Normal 12 4 2" xfId="2390"/>
    <cellStyle name="Normal 12 5" xfId="1063"/>
    <cellStyle name="Normal 12 5 2" xfId="2391"/>
    <cellStyle name="Normal 12 6" xfId="1064"/>
    <cellStyle name="Normal 12 6 2" xfId="2392"/>
    <cellStyle name="Normal 12 7" xfId="1065"/>
    <cellStyle name="Normal 12 7 2" xfId="2393"/>
    <cellStyle name="Normal 12 8" xfId="1066"/>
    <cellStyle name="Normal 12 8 2" xfId="2394"/>
    <cellStyle name="Normal 12 9" xfId="2387"/>
    <cellStyle name="Normal 13" xfId="1067"/>
    <cellStyle name="Normal 13 10" xfId="1068"/>
    <cellStyle name="Normal 13 10 2" xfId="1069"/>
    <cellStyle name="Normal 13 10 3" xfId="2396"/>
    <cellStyle name="Normal 13 11" xfId="1070"/>
    <cellStyle name="Normal 13 11 2" xfId="1071"/>
    <cellStyle name="Normal 13 11 3" xfId="2397"/>
    <cellStyle name="Normal 13 12" xfId="1072"/>
    <cellStyle name="Normal 13 13" xfId="1073"/>
    <cellStyle name="Normal 13 13 2" xfId="1074"/>
    <cellStyle name="Normal 13 13 3" xfId="2398"/>
    <cellStyle name="Normal 13 14" xfId="1075"/>
    <cellStyle name="Normal 13 14 2" xfId="1076"/>
    <cellStyle name="Normal 13 14 3" xfId="2399"/>
    <cellStyle name="Normal 13 15" xfId="1077"/>
    <cellStyle name="Normal 13 15 2" xfId="1078"/>
    <cellStyle name="Normal 13 15 3" xfId="2400"/>
    <cellStyle name="Normal 13 16" xfId="1079"/>
    <cellStyle name="Normal 13 16 2" xfId="1080"/>
    <cellStyle name="Normal 13 16 3" xfId="2401"/>
    <cellStyle name="Normal 13 17" xfId="1081"/>
    <cellStyle name="Normal 13 18" xfId="1082"/>
    <cellStyle name="Normal 13 19" xfId="1083"/>
    <cellStyle name="Normal 13 2" xfId="1084"/>
    <cellStyle name="Normal 13 2 2" xfId="1085"/>
    <cellStyle name="Normal 13 2 2 2" xfId="1086"/>
    <cellStyle name="Normal 13 2 2 3" xfId="2402"/>
    <cellStyle name="Normal 13 2 3" xfId="1087"/>
    <cellStyle name="Normal 13 2 3 2" xfId="1088"/>
    <cellStyle name="Normal 13 2 3 3" xfId="2403"/>
    <cellStyle name="Normal 13 2 4" xfId="1089"/>
    <cellStyle name="Normal 13 2 4 2" xfId="1090"/>
    <cellStyle name="Normal 13 2 4 3" xfId="2404"/>
    <cellStyle name="Normal 13 2 5" xfId="1091"/>
    <cellStyle name="Normal 13 2 5 2" xfId="1092"/>
    <cellStyle name="Normal 13 2 5 3" xfId="2405"/>
    <cellStyle name="Normal 13 2 6" xfId="1093"/>
    <cellStyle name="Normal 13 2 6 2" xfId="1094"/>
    <cellStyle name="Normal 13 2 6 3" xfId="2406"/>
    <cellStyle name="Normal 13 2 7" xfId="1095"/>
    <cellStyle name="Normal 13 2 7 2" xfId="1096"/>
    <cellStyle name="Normal 13 2 7 3" xfId="2407"/>
    <cellStyle name="Normal 13 2 8" xfId="1097"/>
    <cellStyle name="Normal 13 2 8 2" xfId="1098"/>
    <cellStyle name="Normal 13 2 8 3" xfId="2408"/>
    <cellStyle name="Normal 13 20" xfId="1099"/>
    <cellStyle name="Normal 13 21" xfId="1100"/>
    <cellStyle name="Normal 13 22" xfId="1101"/>
    <cellStyle name="Normal 13 23" xfId="1102"/>
    <cellStyle name="Normal 13 23 2" xfId="2409"/>
    <cellStyle name="Normal 13 24" xfId="1103"/>
    <cellStyle name="Normal 13 24 2" xfId="2410"/>
    <cellStyle name="Normal 13 25" xfId="1104"/>
    <cellStyle name="Normal 13 25 2" xfId="2411"/>
    <cellStyle name="Normal 13 26" xfId="1105"/>
    <cellStyle name="Normal 13 26 2" xfId="2412"/>
    <cellStyle name="Normal 13 27" xfId="1106"/>
    <cellStyle name="Normal 13 27 2" xfId="2413"/>
    <cellStyle name="Normal 13 28" xfId="1107"/>
    <cellStyle name="Normal 13 28 2" xfId="2414"/>
    <cellStyle name="Normal 13 29" xfId="1108"/>
    <cellStyle name="Normal 13 29 2" xfId="2415"/>
    <cellStyle name="Normal 13 3" xfId="1109"/>
    <cellStyle name="Normal 13 3 2" xfId="1110"/>
    <cellStyle name="Normal 13 3 3" xfId="2416"/>
    <cellStyle name="Normal 13 30" xfId="1111"/>
    <cellStyle name="Normal 13 30 2" xfId="2417"/>
    <cellStyle name="Normal 13 31" xfId="1112"/>
    <cellStyle name="Normal 13 31 2" xfId="2418"/>
    <cellStyle name="Normal 13 32" xfId="1113"/>
    <cellStyle name="Normal 13 32 2" xfId="2419"/>
    <cellStyle name="Normal 13 33" xfId="1114"/>
    <cellStyle name="Normal 13 33 2" xfId="2420"/>
    <cellStyle name="Normal 13 34" xfId="1115"/>
    <cellStyle name="Normal 13 34 2" xfId="2421"/>
    <cellStyle name="Normal 13 35" xfId="1116"/>
    <cellStyle name="Normal 13 35 2" xfId="2422"/>
    <cellStyle name="Normal 13 36" xfId="1117"/>
    <cellStyle name="Normal 13 36 2" xfId="2423"/>
    <cellStyle name="Normal 13 37" xfId="1118"/>
    <cellStyle name="Normal 13 37 2" xfId="2424"/>
    <cellStyle name="Normal 13 38" xfId="1119"/>
    <cellStyle name="Normal 13 38 2" xfId="2425"/>
    <cellStyle name="Normal 13 39" xfId="2395"/>
    <cellStyle name="Normal 13 4" xfId="1120"/>
    <cellStyle name="Normal 13 4 2" xfId="1121"/>
    <cellStyle name="Normal 13 4 3" xfId="2426"/>
    <cellStyle name="Normal 13 5" xfId="1122"/>
    <cellStyle name="Normal 13 6" xfId="1123"/>
    <cellStyle name="Normal 13 7" xfId="1124"/>
    <cellStyle name="Normal 13 8" xfId="1125"/>
    <cellStyle name="Normal 13 9" xfId="1126"/>
    <cellStyle name="Normal 13 9 2" xfId="1127"/>
    <cellStyle name="Normal 13 9 3" xfId="2427"/>
    <cellStyle name="Normal 14" xfId="1128"/>
    <cellStyle name="Normal 14 10" xfId="1129"/>
    <cellStyle name="Normal 14 10 2" xfId="1130"/>
    <cellStyle name="Normal 14 10 3" xfId="2428"/>
    <cellStyle name="Normal 14 11" xfId="1131"/>
    <cellStyle name="Normal 14 11 2" xfId="1132"/>
    <cellStyle name="Normal 14 11 3" xfId="2429"/>
    <cellStyle name="Normal 14 12" xfId="1133"/>
    <cellStyle name="Normal 14 12 2" xfId="1134"/>
    <cellStyle name="Normal 14 12 3" xfId="2430"/>
    <cellStyle name="Normal 14 13" xfId="1135"/>
    <cellStyle name="Normal 14 13 2" xfId="1136"/>
    <cellStyle name="Normal 14 13 3" xfId="2431"/>
    <cellStyle name="Normal 14 14" xfId="1137"/>
    <cellStyle name="Normal 14 14 2" xfId="1138"/>
    <cellStyle name="Normal 14 14 3" xfId="2432"/>
    <cellStyle name="Normal 14 15" xfId="1139"/>
    <cellStyle name="Normal 14 15 2" xfId="1140"/>
    <cellStyle name="Normal 14 15 3" xfId="2433"/>
    <cellStyle name="Normal 14 2" xfId="1141"/>
    <cellStyle name="Normal 14 2 2" xfId="1142"/>
    <cellStyle name="Normal 14 2 2 2" xfId="2435"/>
    <cellStyle name="Normal 14 2 3" xfId="1143"/>
    <cellStyle name="Normal 14 2 3 2" xfId="2436"/>
    <cellStyle name="Normal 14 2 4" xfId="1144"/>
    <cellStyle name="Normal 14 2 4 2" xfId="2437"/>
    <cellStyle name="Normal 14 2 5" xfId="1145"/>
    <cellStyle name="Normal 14 2 5 2" xfId="2438"/>
    <cellStyle name="Normal 14 2 6" xfId="1146"/>
    <cellStyle name="Normal 14 2 6 2" xfId="2439"/>
    <cellStyle name="Normal 14 2 7" xfId="1147"/>
    <cellStyle name="Normal 14 2 7 2" xfId="2440"/>
    <cellStyle name="Normal 14 2 8" xfId="1148"/>
    <cellStyle name="Normal 14 2 9" xfId="2434"/>
    <cellStyle name="Normal 14 3" xfId="1149"/>
    <cellStyle name="Normal 14 3 2" xfId="2441"/>
    <cellStyle name="Normal 14 4" xfId="1150"/>
    <cellStyle name="Normal 14 4 2" xfId="1151"/>
    <cellStyle name="Normal 14 4 3" xfId="2442"/>
    <cellStyle name="Normal 14 5" xfId="1152"/>
    <cellStyle name="Normal 14 5 2" xfId="1153"/>
    <cellStyle name="Normal 14 5 3" xfId="2443"/>
    <cellStyle name="Normal 14 6" xfId="1154"/>
    <cellStyle name="Normal 14 6 2" xfId="2444"/>
    <cellStyle name="Normal 14 7" xfId="1155"/>
    <cellStyle name="Normal 14 7 2" xfId="2445"/>
    <cellStyle name="Normal 14 8" xfId="1156"/>
    <cellStyle name="Normal 14 8 2" xfId="2446"/>
    <cellStyle name="Normal 14 9" xfId="1157"/>
    <cellStyle name="Normal 14 9 2" xfId="2447"/>
    <cellStyle name="Normal 15" xfId="1158"/>
    <cellStyle name="Normal 15 2" xfId="1159"/>
    <cellStyle name="Normal 15 2 2" xfId="2448"/>
    <cellStyle name="Normal 15 3" xfId="1160"/>
    <cellStyle name="Normal 15 3 2" xfId="2449"/>
    <cellStyle name="Normal 15 4" xfId="1161"/>
    <cellStyle name="Normal 15 4 2" xfId="2450"/>
    <cellStyle name="Normal 15 5" xfId="1162"/>
    <cellStyle name="Normal 15 5 2" xfId="2451"/>
    <cellStyle name="Normal 15 6" xfId="1163"/>
    <cellStyle name="Normal 15 6 2" xfId="2452"/>
    <cellStyle name="Normal 16" xfId="1164"/>
    <cellStyle name="Normal 16 2" xfId="1165"/>
    <cellStyle name="Normal 16 2 2" xfId="2454"/>
    <cellStyle name="Normal 16 3" xfId="1166"/>
    <cellStyle name="Normal 16 3 2" xfId="2455"/>
    <cellStyle name="Normal 16 4" xfId="1167"/>
    <cellStyle name="Normal 16 4 2" xfId="2456"/>
    <cellStyle name="Normal 16 5" xfId="1168"/>
    <cellStyle name="Normal 16 5 2" xfId="2457"/>
    <cellStyle name="Normal 16 6" xfId="1169"/>
    <cellStyle name="Normal 16 6 2" xfId="2458"/>
    <cellStyle name="Normal 16 7" xfId="1170"/>
    <cellStyle name="Normal 16 8" xfId="2453"/>
    <cellStyle name="Normal 17" xfId="1171"/>
    <cellStyle name="Normal 17 10" xfId="1172"/>
    <cellStyle name="Normal 17 10 2" xfId="2460"/>
    <cellStyle name="Normal 17 11" xfId="1173"/>
    <cellStyle name="Normal 17 11 2" xfId="2461"/>
    <cellStyle name="Normal 17 12" xfId="1174"/>
    <cellStyle name="Normal 17 12 2" xfId="2462"/>
    <cellStyle name="Normal 17 13" xfId="1175"/>
    <cellStyle name="Normal 17 13 2" xfId="2463"/>
    <cellStyle name="Normal 17 14" xfId="1176"/>
    <cellStyle name="Normal 17 15" xfId="2459"/>
    <cellStyle name="Normal 17 2" xfId="1177"/>
    <cellStyle name="Normal 17 2 2" xfId="2464"/>
    <cellStyle name="Normal 17 3" xfId="1178"/>
    <cellStyle name="Normal 17 3 2" xfId="2465"/>
    <cellStyle name="Normal 17 4" xfId="1179"/>
    <cellStyle name="Normal 17 4 2" xfId="2466"/>
    <cellStyle name="Normal 17 5" xfId="1180"/>
    <cellStyle name="Normal 17 5 2" xfId="2467"/>
    <cellStyle name="Normal 17 6" xfId="1181"/>
    <cellStyle name="Normal 17 6 2" xfId="2468"/>
    <cellStyle name="Normal 17 7" xfId="1182"/>
    <cellStyle name="Normal 17 7 2" xfId="2469"/>
    <cellStyle name="Normal 17 8" xfId="1183"/>
    <cellStyle name="Normal 17 8 2" xfId="2470"/>
    <cellStyle name="Normal 17 9" xfId="1184"/>
    <cellStyle name="Normal 17 9 2" xfId="2471"/>
    <cellStyle name="Normal 18" xfId="1185"/>
    <cellStyle name="Normal 18 2" xfId="1186"/>
    <cellStyle name="Normal 18 3" xfId="2472"/>
    <cellStyle name="Normal 19" xfId="1187"/>
    <cellStyle name="Normal 19 2" xfId="1188"/>
    <cellStyle name="Normal 19 2 2" xfId="2473"/>
    <cellStyle name="Normal 19 3" xfId="1189"/>
    <cellStyle name="Normal 2" xfId="1190"/>
    <cellStyle name="Normal 2 10" xfId="1191"/>
    <cellStyle name="Normal 2 10 2" xfId="2475"/>
    <cellStyle name="Normal 2 11" xfId="1192"/>
    <cellStyle name="Normal 2 11 2" xfId="2476"/>
    <cellStyle name="Normal 2 12" xfId="1193"/>
    <cellStyle name="Normal 2 12 2" xfId="2477"/>
    <cellStyle name="Normal 2 13" xfId="1194"/>
    <cellStyle name="Normal 2 13 2" xfId="2478"/>
    <cellStyle name="Normal 2 14" xfId="1195"/>
    <cellStyle name="Normal 2 14 2" xfId="2479"/>
    <cellStyle name="Normal 2 15" xfId="1196"/>
    <cellStyle name="Normal 2 15 2" xfId="2480"/>
    <cellStyle name="Normal 2 16" xfId="1197"/>
    <cellStyle name="Normal 2 16 2" xfId="2481"/>
    <cellStyle name="Normal 2 17" xfId="1198"/>
    <cellStyle name="Normal 2 17 2" xfId="2482"/>
    <cellStyle name="Normal 2 18" xfId="1199"/>
    <cellStyle name="Normal 2 19" xfId="2474"/>
    <cellStyle name="Normal 2 2" xfId="1200"/>
    <cellStyle name="Normal 2 2 10" xfId="1201"/>
    <cellStyle name="Normal 2 2 10 2" xfId="1202"/>
    <cellStyle name="Normal 2 2 10 3" xfId="2484"/>
    <cellStyle name="Normal 2 2 11" xfId="1203"/>
    <cellStyle name="Normal 2 2 11 2" xfId="1204"/>
    <cellStyle name="Normal 2 2 11 3" xfId="2485"/>
    <cellStyle name="Normal 2 2 12" xfId="1205"/>
    <cellStyle name="Normal 2 2 12 2" xfId="1206"/>
    <cellStyle name="Normal 2 2 12 3" xfId="2486"/>
    <cellStyle name="Normal 2 2 13" xfId="1207"/>
    <cellStyle name="Normal 2 2 13 2" xfId="1208"/>
    <cellStyle name="Normal 2 2 13 3" xfId="2487"/>
    <cellStyle name="Normal 2 2 14" xfId="2483"/>
    <cellStyle name="Normal 2 2 2" xfId="1209"/>
    <cellStyle name="Normal 2 2 2 2" xfId="1210"/>
    <cellStyle name="Normal 2 2 2 3" xfId="2488"/>
    <cellStyle name="Normal 2 2 3" xfId="1211"/>
    <cellStyle name="Normal 2 2 3 2" xfId="1212"/>
    <cellStyle name="Normal 2 2 3 3" xfId="2489"/>
    <cellStyle name="Normal 2 2 4" xfId="1213"/>
    <cellStyle name="Normal 2 2 4 2" xfId="1214"/>
    <cellStyle name="Normal 2 2 4 3" xfId="2490"/>
    <cellStyle name="Normal 2 2 5" xfId="1215"/>
    <cellStyle name="Normal 2 2 5 2" xfId="1216"/>
    <cellStyle name="Normal 2 2 5 3" xfId="2491"/>
    <cellStyle name="Normal 2 2 6" xfId="1217"/>
    <cellStyle name="Normal 2 2 6 2" xfId="1218"/>
    <cellStyle name="Normal 2 2 6 3" xfId="2492"/>
    <cellStyle name="Normal 2 2 7" xfId="1219"/>
    <cellStyle name="Normal 2 2 7 2" xfId="1220"/>
    <cellStyle name="Normal 2 2 7 3" xfId="2493"/>
    <cellStyle name="Normal 2 2 8" xfId="1221"/>
    <cellStyle name="Normal 2 2 8 2" xfId="1222"/>
    <cellStyle name="Normal 2 2 8 3" xfId="2494"/>
    <cellStyle name="Normal 2 2 9" xfId="1223"/>
    <cellStyle name="Normal 2 2 9 2" xfId="1224"/>
    <cellStyle name="Normal 2 2 9 3" xfId="2495"/>
    <cellStyle name="Normal 2 3" xfId="1225"/>
    <cellStyle name="Normal 2 3 10" xfId="1226"/>
    <cellStyle name="Normal 2 3 10 2" xfId="1227"/>
    <cellStyle name="Normal 2 3 10 3" xfId="2497"/>
    <cellStyle name="Normal 2 3 11" xfId="1228"/>
    <cellStyle name="Normal 2 3 11 2" xfId="1229"/>
    <cellStyle name="Normal 2 3 11 3" xfId="2498"/>
    <cellStyle name="Normal 2 3 12" xfId="1230"/>
    <cellStyle name="Normal 2 3 12 2" xfId="1231"/>
    <cellStyle name="Normal 2 3 12 3" xfId="2499"/>
    <cellStyle name="Normal 2 3 13" xfId="1232"/>
    <cellStyle name="Normal 2 3 13 2" xfId="1233"/>
    <cellStyle name="Normal 2 3 13 3" xfId="2500"/>
    <cellStyle name="Normal 2 3 14" xfId="2496"/>
    <cellStyle name="Normal 2 3 2" xfId="1234"/>
    <cellStyle name="Normal 2 3 2 2" xfId="1235"/>
    <cellStyle name="Normal 2 3 2 3" xfId="2501"/>
    <cellStyle name="Normal 2 3 3" xfId="1236"/>
    <cellStyle name="Normal 2 3 3 2" xfId="1237"/>
    <cellStyle name="Normal 2 3 3 3" xfId="2502"/>
    <cellStyle name="Normal 2 3 4" xfId="1238"/>
    <cellStyle name="Normal 2 3 4 2" xfId="1239"/>
    <cellStyle name="Normal 2 3 4 3" xfId="2503"/>
    <cellStyle name="Normal 2 3 5" xfId="1240"/>
    <cellStyle name="Normal 2 3 5 2" xfId="1241"/>
    <cellStyle name="Normal 2 3 5 3" xfId="2504"/>
    <cellStyle name="Normal 2 3 6" xfId="1242"/>
    <cellStyle name="Normal 2 3 6 2" xfId="1243"/>
    <cellStyle name="Normal 2 3 6 3" xfId="2505"/>
    <cellStyle name="Normal 2 3 7" xfId="1244"/>
    <cellStyle name="Normal 2 3 7 2" xfId="1245"/>
    <cellStyle name="Normal 2 3 7 3" xfId="2506"/>
    <cellStyle name="Normal 2 3 8" xfId="1246"/>
    <cellStyle name="Normal 2 3 8 2" xfId="1247"/>
    <cellStyle name="Normal 2 3 8 3" xfId="2507"/>
    <cellStyle name="Normal 2 3 9" xfId="1248"/>
    <cellStyle name="Normal 2 3 9 2" xfId="1249"/>
    <cellStyle name="Normal 2 3 9 3" xfId="2508"/>
    <cellStyle name="Normal 2 4" xfId="1250"/>
    <cellStyle name="Normal 2 4 10" xfId="1251"/>
    <cellStyle name="Normal 2 4 10 2" xfId="1252"/>
    <cellStyle name="Normal 2 4 10 3" xfId="2510"/>
    <cellStyle name="Normal 2 4 11" xfId="1253"/>
    <cellStyle name="Normal 2 4 11 2" xfId="1254"/>
    <cellStyle name="Normal 2 4 11 3" xfId="2511"/>
    <cellStyle name="Normal 2 4 12" xfId="1255"/>
    <cellStyle name="Normal 2 4 12 2" xfId="1256"/>
    <cellStyle name="Normal 2 4 12 3" xfId="2512"/>
    <cellStyle name="Normal 2 4 13" xfId="1257"/>
    <cellStyle name="Normal 2 4 13 2" xfId="1258"/>
    <cellStyle name="Normal 2 4 13 3" xfId="2513"/>
    <cellStyle name="Normal 2 4 14" xfId="2509"/>
    <cellStyle name="Normal 2 4 2" xfId="1259"/>
    <cellStyle name="Normal 2 4 2 2" xfId="1260"/>
    <cellStyle name="Normal 2 4 2 3" xfId="2514"/>
    <cellStyle name="Normal 2 4 3" xfId="1261"/>
    <cellStyle name="Normal 2 4 3 2" xfId="1262"/>
    <cellStyle name="Normal 2 4 3 3" xfId="2515"/>
    <cellStyle name="Normal 2 4 4" xfId="1263"/>
    <cellStyle name="Normal 2 4 4 2" xfId="1264"/>
    <cellStyle name="Normal 2 4 4 3" xfId="2516"/>
    <cellStyle name="Normal 2 4 5" xfId="1265"/>
    <cellStyle name="Normal 2 4 5 2" xfId="1266"/>
    <cellStyle name="Normal 2 4 5 3" xfId="2517"/>
    <cellStyle name="Normal 2 4 6" xfId="1267"/>
    <cellStyle name="Normal 2 4 6 2" xfId="1268"/>
    <cellStyle name="Normal 2 4 6 3" xfId="2518"/>
    <cellStyle name="Normal 2 4 7" xfId="1269"/>
    <cellStyle name="Normal 2 4 7 2" xfId="1270"/>
    <cellStyle name="Normal 2 4 7 3" xfId="2519"/>
    <cellStyle name="Normal 2 4 8" xfId="1271"/>
    <cellStyle name="Normal 2 4 8 2" xfId="1272"/>
    <cellStyle name="Normal 2 4 8 3" xfId="2520"/>
    <cellStyle name="Normal 2 4 9" xfId="1273"/>
    <cellStyle name="Normal 2 4 9 2" xfId="1274"/>
    <cellStyle name="Normal 2 4 9 3" xfId="2521"/>
    <cellStyle name="Normal 2 5" xfId="1275"/>
    <cellStyle name="Normal 2 5 2" xfId="2522"/>
    <cellStyle name="Normal 2 6" xfId="1276"/>
    <cellStyle name="Normal 2 6 2" xfId="2523"/>
    <cellStyle name="Normal 2 7" xfId="1277"/>
    <cellStyle name="Normal 2 7 2" xfId="2524"/>
    <cellStyle name="Normal 2 8" xfId="1278"/>
    <cellStyle name="Normal 2 8 2" xfId="2525"/>
    <cellStyle name="Normal 2 9" xfId="1279"/>
    <cellStyle name="Normal 2 9 2" xfId="2526"/>
    <cellStyle name="Normal 20" xfId="1280"/>
    <cellStyle name="Normal 21" xfId="1281"/>
    <cellStyle name="Normal 21 2" xfId="1282"/>
    <cellStyle name="Normal 21 2 2" xfId="2527"/>
    <cellStyle name="Normal 21 3" xfId="1283"/>
    <cellStyle name="Normal 22" xfId="1284"/>
    <cellStyle name="Normal 22 2" xfId="1285"/>
    <cellStyle name="Normal 22 2 2" xfId="2528"/>
    <cellStyle name="Normal 22 3" xfId="1286"/>
    <cellStyle name="Normal 23" xfId="1287"/>
    <cellStyle name="Normal 24" xfId="1288"/>
    <cellStyle name="Normal 25" xfId="1289"/>
    <cellStyle name="Normal 25 2" xfId="1290"/>
    <cellStyle name="Normal 25 2 2" xfId="2530"/>
    <cellStyle name="Normal 25 3" xfId="2529"/>
    <cellStyle name="Normal 26" xfId="1291"/>
    <cellStyle name="Normal 26 2" xfId="1292"/>
    <cellStyle name="Normal 26 2 2" xfId="2531"/>
    <cellStyle name="Normal 26 3" xfId="1293"/>
    <cellStyle name="Normal 27" xfId="1294"/>
    <cellStyle name="Normal 28" xfId="1295"/>
    <cellStyle name="Normal 29" xfId="2142"/>
    <cellStyle name="Normal 3" xfId="1296"/>
    <cellStyle name="Normal 3 10" xfId="1297"/>
    <cellStyle name="Normal 3 10 2" xfId="2533"/>
    <cellStyle name="Normal 3 11" xfId="1298"/>
    <cellStyle name="Normal 3 11 2" xfId="2534"/>
    <cellStyle name="Normal 3 12" xfId="1299"/>
    <cellStyle name="Normal 3 12 2" xfId="2535"/>
    <cellStyle name="Normal 3 13" xfId="2532"/>
    <cellStyle name="Normal 3 2" xfId="1300"/>
    <cellStyle name="Normal 3 2 2" xfId="1301"/>
    <cellStyle name="Normal 3 2 2 2" xfId="2537"/>
    <cellStyle name="Normal 3 2 3" xfId="1302"/>
    <cellStyle name="Normal 3 2 3 2" xfId="2538"/>
    <cellStyle name="Normal 3 2 4" xfId="1303"/>
    <cellStyle name="Normal 3 2 4 2" xfId="2539"/>
    <cellStyle name="Normal 3 2 5" xfId="1304"/>
    <cellStyle name="Normal 3 2 5 2" xfId="2540"/>
    <cellStyle name="Normal 3 2 6" xfId="1305"/>
    <cellStyle name="Normal 3 2 6 2" xfId="2541"/>
    <cellStyle name="Normal 3 2 7" xfId="1306"/>
    <cellStyle name="Normal 3 2 7 2" xfId="2542"/>
    <cellStyle name="Normal 3 2 8" xfId="1307"/>
    <cellStyle name="Normal 3 2 8 2" xfId="2543"/>
    <cellStyle name="Normal 3 2 9" xfId="2536"/>
    <cellStyle name="Normal 3 3" xfId="1308"/>
    <cellStyle name="Normal 3 3 2" xfId="1309"/>
    <cellStyle name="Normal 3 3 2 2" xfId="2545"/>
    <cellStyle name="Normal 3 3 3" xfId="1310"/>
    <cellStyle name="Normal 3 3 3 2" xfId="2546"/>
    <cellStyle name="Normal 3 3 4" xfId="1311"/>
    <cellStyle name="Normal 3 3 4 2" xfId="2547"/>
    <cellStyle name="Normal 3 3 5" xfId="1312"/>
    <cellStyle name="Normal 3 3 5 2" xfId="2548"/>
    <cellStyle name="Normal 3 3 6" xfId="1313"/>
    <cellStyle name="Normal 3 3 6 2" xfId="2549"/>
    <cellStyle name="Normal 3 3 7" xfId="1314"/>
    <cellStyle name="Normal 3 3 7 2" xfId="2550"/>
    <cellStyle name="Normal 3 3 8" xfId="1315"/>
    <cellStyle name="Normal 3 3 8 2" xfId="2551"/>
    <cellStyle name="Normal 3 3 9" xfId="2544"/>
    <cellStyle name="Normal 3 4" xfId="1316"/>
    <cellStyle name="Normal 3 4 2" xfId="1317"/>
    <cellStyle name="Normal 3 4 2 2" xfId="2553"/>
    <cellStyle name="Normal 3 4 3" xfId="1318"/>
    <cellStyle name="Normal 3 4 3 2" xfId="2554"/>
    <cellStyle name="Normal 3 4 4" xfId="1319"/>
    <cellStyle name="Normal 3 4 4 2" xfId="2555"/>
    <cellStyle name="Normal 3 4 5" xfId="1320"/>
    <cellStyle name="Normal 3 4 5 2" xfId="2556"/>
    <cellStyle name="Normal 3 4 6" xfId="1321"/>
    <cellStyle name="Normal 3 4 6 2" xfId="2557"/>
    <cellStyle name="Normal 3 4 7" xfId="1322"/>
    <cellStyle name="Normal 3 4 7 2" xfId="2558"/>
    <cellStyle name="Normal 3 4 8" xfId="1323"/>
    <cellStyle name="Normal 3 4 8 2" xfId="2559"/>
    <cellStyle name="Normal 3 4 9" xfId="2552"/>
    <cellStyle name="Normal 3 5" xfId="1324"/>
    <cellStyle name="Normal 3 5 2" xfId="1325"/>
    <cellStyle name="Normal 3 5 2 2" xfId="2561"/>
    <cellStyle name="Normal 3 5 3" xfId="1326"/>
    <cellStyle name="Normal 3 5 3 2" xfId="2562"/>
    <cellStyle name="Normal 3 5 4" xfId="1327"/>
    <cellStyle name="Normal 3 5 4 2" xfId="2563"/>
    <cellStyle name="Normal 3 5 5" xfId="1328"/>
    <cellStyle name="Normal 3 5 5 2" xfId="2564"/>
    <cellStyle name="Normal 3 5 6" xfId="1329"/>
    <cellStyle name="Normal 3 5 6 2" xfId="2565"/>
    <cellStyle name="Normal 3 5 7" xfId="1330"/>
    <cellStyle name="Normal 3 5 7 2" xfId="2566"/>
    <cellStyle name="Normal 3 5 8" xfId="1331"/>
    <cellStyle name="Normal 3 5 8 2" xfId="2567"/>
    <cellStyle name="Normal 3 5 9" xfId="2560"/>
    <cellStyle name="Normal 3 6" xfId="1332"/>
    <cellStyle name="Normal 3 6 2" xfId="2568"/>
    <cellStyle name="Normal 3 7" xfId="1333"/>
    <cellStyle name="Normal 3 7 2" xfId="2569"/>
    <cellStyle name="Normal 3 8" xfId="1334"/>
    <cellStyle name="Normal 3 8 2" xfId="2570"/>
    <cellStyle name="Normal 3 9" xfId="1335"/>
    <cellStyle name="Normal 3 9 2" xfId="2571"/>
    <cellStyle name="Normal 30" xfId="3228"/>
    <cellStyle name="Normal 4" xfId="1336"/>
    <cellStyle name="Normal 4 10" xfId="1337"/>
    <cellStyle name="Normal 4 10 2" xfId="2573"/>
    <cellStyle name="Normal 4 11" xfId="1338"/>
    <cellStyle name="Normal 4 11 2" xfId="2574"/>
    <cellStyle name="Normal 4 12" xfId="1339"/>
    <cellStyle name="Normal 4 12 2" xfId="2575"/>
    <cellStyle name="Normal 4 13" xfId="2572"/>
    <cellStyle name="Normal 4 2" xfId="1340"/>
    <cellStyle name="Normal 4 2 2" xfId="1341"/>
    <cellStyle name="Normal 4 2 2 10" xfId="1342"/>
    <cellStyle name="Normal 4 2 2 10 2" xfId="1343"/>
    <cellStyle name="Normal 4 2 2 10 3" xfId="2578"/>
    <cellStyle name="Normal 4 2 2 11" xfId="1344"/>
    <cellStyle name="Normal 4 2 2 11 2" xfId="1345"/>
    <cellStyle name="Normal 4 2 2 11 3" xfId="2579"/>
    <cellStyle name="Normal 4 2 2 12" xfId="1346"/>
    <cellStyle name="Normal 4 2 2 12 2" xfId="1347"/>
    <cellStyle name="Normal 4 2 2 12 3" xfId="2580"/>
    <cellStyle name="Normal 4 2 2 13" xfId="1348"/>
    <cellStyle name="Normal 4 2 2 13 2" xfId="1349"/>
    <cellStyle name="Normal 4 2 2 13 3" xfId="2581"/>
    <cellStyle name="Normal 4 2 2 14" xfId="2577"/>
    <cellStyle name="Normal 4 2 2 2" xfId="1350"/>
    <cellStyle name="Normal 4 2 2 2 10" xfId="1351"/>
    <cellStyle name="Normal 4 2 2 2 10 2" xfId="2583"/>
    <cellStyle name="Normal 4 2 2 2 11" xfId="1352"/>
    <cellStyle name="Normal 4 2 2 2 11 2" xfId="2584"/>
    <cellStyle name="Normal 4 2 2 2 12" xfId="1353"/>
    <cellStyle name="Normal 4 2 2 2 12 2" xfId="2585"/>
    <cellStyle name="Normal 4 2 2 2 13" xfId="1354"/>
    <cellStyle name="Normal 4 2 2 2 13 2" xfId="2586"/>
    <cellStyle name="Normal 4 2 2 2 14" xfId="1355"/>
    <cellStyle name="Normal 4 2 2 2 15" xfId="2582"/>
    <cellStyle name="Normal 4 2 2 2 2" xfId="1356"/>
    <cellStyle name="Normal 4 2 2 2 2 2" xfId="2587"/>
    <cellStyle name="Normal 4 2 2 2 3" xfId="1357"/>
    <cellStyle name="Normal 4 2 2 2 3 2" xfId="2588"/>
    <cellStyle name="Normal 4 2 2 2 4" xfId="1358"/>
    <cellStyle name="Normal 4 2 2 2 4 2" xfId="2589"/>
    <cellStyle name="Normal 4 2 2 2 5" xfId="1359"/>
    <cellStyle name="Normal 4 2 2 2 5 2" xfId="2590"/>
    <cellStyle name="Normal 4 2 2 2 6" xfId="1360"/>
    <cellStyle name="Normal 4 2 2 2 6 2" xfId="2591"/>
    <cellStyle name="Normal 4 2 2 2 7" xfId="1361"/>
    <cellStyle name="Normal 4 2 2 2 7 2" xfId="2592"/>
    <cellStyle name="Normal 4 2 2 2 8" xfId="1362"/>
    <cellStyle name="Normal 4 2 2 2 8 2" xfId="2593"/>
    <cellStyle name="Normal 4 2 2 2 9" xfId="1363"/>
    <cellStyle name="Normal 4 2 2 2 9 2" xfId="2594"/>
    <cellStyle name="Normal 4 2 2 3" xfId="1364"/>
    <cellStyle name="Normal 4 2 2 3 2" xfId="1365"/>
    <cellStyle name="Normal 4 2 2 3 3" xfId="2595"/>
    <cellStyle name="Normal 4 2 2 4" xfId="1366"/>
    <cellStyle name="Normal 4 2 2 4 2" xfId="1367"/>
    <cellStyle name="Normal 4 2 2 4 3" xfId="2596"/>
    <cellStyle name="Normal 4 2 2 5" xfId="1368"/>
    <cellStyle name="Normal 4 2 2 5 2" xfId="1369"/>
    <cellStyle name="Normal 4 2 2 5 3" xfId="2597"/>
    <cellStyle name="Normal 4 2 2 6" xfId="1370"/>
    <cellStyle name="Normal 4 2 2 6 2" xfId="1371"/>
    <cellStyle name="Normal 4 2 2 6 3" xfId="2598"/>
    <cellStyle name="Normal 4 2 2 7" xfId="1372"/>
    <cellStyle name="Normal 4 2 2 7 2" xfId="1373"/>
    <cellStyle name="Normal 4 2 2 7 3" xfId="2599"/>
    <cellStyle name="Normal 4 2 2 8" xfId="1374"/>
    <cellStyle name="Normal 4 2 2 8 2" xfId="1375"/>
    <cellStyle name="Normal 4 2 2 8 3" xfId="2600"/>
    <cellStyle name="Normal 4 2 2 9" xfId="1376"/>
    <cellStyle name="Normal 4 2 2 9 2" xfId="1377"/>
    <cellStyle name="Normal 4 2 2 9 3" xfId="2601"/>
    <cellStyle name="Normal 4 2 3" xfId="1378"/>
    <cellStyle name="Normal 4 2 3 2" xfId="2602"/>
    <cellStyle name="Normal 4 2 4" xfId="1379"/>
    <cellStyle name="Normal 4 2 4 2" xfId="2603"/>
    <cellStyle name="Normal 4 2 5" xfId="1380"/>
    <cellStyle name="Normal 4 2 5 2" xfId="2604"/>
    <cellStyle name="Normal 4 2 6" xfId="1381"/>
    <cellStyle name="Normal 4 2 6 2" xfId="2605"/>
    <cellStyle name="Normal 4 2 7" xfId="1382"/>
    <cellStyle name="Normal 4 2 7 2" xfId="2606"/>
    <cellStyle name="Normal 4 2 8" xfId="1383"/>
    <cellStyle name="Normal 4 2 8 2" xfId="2607"/>
    <cellStyle name="Normal 4 2 9" xfId="2576"/>
    <cellStyle name="Normal 4 3" xfId="1384"/>
    <cellStyle name="Normal 4 3 2" xfId="1385"/>
    <cellStyle name="Normal 4 3 2 2" xfId="2609"/>
    <cellStyle name="Normal 4 3 3" xfId="1386"/>
    <cellStyle name="Normal 4 3 3 2" xfId="2610"/>
    <cellStyle name="Normal 4 3 4" xfId="1387"/>
    <cellStyle name="Normal 4 3 4 2" xfId="2611"/>
    <cellStyle name="Normal 4 3 5" xfId="1388"/>
    <cellStyle name="Normal 4 3 5 2" xfId="2612"/>
    <cellStyle name="Normal 4 3 6" xfId="1389"/>
    <cellStyle name="Normal 4 3 6 2" xfId="2613"/>
    <cellStyle name="Normal 4 3 7" xfId="1390"/>
    <cellStyle name="Normal 4 3 7 2" xfId="2614"/>
    <cellStyle name="Normal 4 3 8" xfId="1391"/>
    <cellStyle name="Normal 4 3 8 2" xfId="2615"/>
    <cellStyle name="Normal 4 3 9" xfId="2608"/>
    <cellStyle name="Normal 4 4" xfId="1392"/>
    <cellStyle name="Normal 4 4 2" xfId="1393"/>
    <cellStyle name="Normal 4 4 2 2" xfId="2617"/>
    <cellStyle name="Normal 4 4 3" xfId="1394"/>
    <cellStyle name="Normal 4 4 3 2" xfId="2618"/>
    <cellStyle name="Normal 4 4 4" xfId="1395"/>
    <cellStyle name="Normal 4 4 4 2" xfId="2619"/>
    <cellStyle name="Normal 4 4 5" xfId="1396"/>
    <cellStyle name="Normal 4 4 5 2" xfId="2620"/>
    <cellStyle name="Normal 4 4 6" xfId="1397"/>
    <cellStyle name="Normal 4 4 6 2" xfId="2621"/>
    <cellStyle name="Normal 4 4 7" xfId="1398"/>
    <cellStyle name="Normal 4 4 7 2" xfId="2622"/>
    <cellStyle name="Normal 4 4 8" xfId="1399"/>
    <cellStyle name="Normal 4 4 8 2" xfId="2623"/>
    <cellStyle name="Normal 4 4 9" xfId="2616"/>
    <cellStyle name="Normal 4 5" xfId="1400"/>
    <cellStyle name="Normal 4 5 2" xfId="1401"/>
    <cellStyle name="Normal 4 5 2 2" xfId="2625"/>
    <cellStyle name="Normal 4 5 3" xfId="1402"/>
    <cellStyle name="Normal 4 5 3 2" xfId="2626"/>
    <cellStyle name="Normal 4 5 4" xfId="1403"/>
    <cellStyle name="Normal 4 5 4 2" xfId="2627"/>
    <cellStyle name="Normal 4 5 5" xfId="1404"/>
    <cellStyle name="Normal 4 5 5 2" xfId="2628"/>
    <cellStyle name="Normal 4 5 6" xfId="1405"/>
    <cellStyle name="Normal 4 5 6 2" xfId="2629"/>
    <cellStyle name="Normal 4 5 7" xfId="1406"/>
    <cellStyle name="Normal 4 5 7 2" xfId="2630"/>
    <cellStyle name="Normal 4 5 8" xfId="1407"/>
    <cellStyle name="Normal 4 5 8 2" xfId="2631"/>
    <cellStyle name="Normal 4 5 9" xfId="2624"/>
    <cellStyle name="Normal 4 6" xfId="1408"/>
    <cellStyle name="Normal 4 6 2" xfId="2632"/>
    <cellStyle name="Normal 4 7" xfId="1409"/>
    <cellStyle name="Normal 4 7 2" xfId="2633"/>
    <cellStyle name="Normal 4 8" xfId="1410"/>
    <cellStyle name="Normal 4 8 2" xfId="2634"/>
    <cellStyle name="Normal 4 9" xfId="1411"/>
    <cellStyle name="Normal 4 9 2" xfId="2635"/>
    <cellStyle name="Normal 5" xfId="1412"/>
    <cellStyle name="Normal 5 10" xfId="1413"/>
    <cellStyle name="Normal 5 10 2" xfId="2637"/>
    <cellStyle name="Normal 5 11" xfId="1414"/>
    <cellStyle name="Normal 5 11 2" xfId="2638"/>
    <cellStyle name="Normal 5 12" xfId="1415"/>
    <cellStyle name="Normal 5 12 2" xfId="2639"/>
    <cellStyle name="Normal 5 13" xfId="2636"/>
    <cellStyle name="Normal 5 2" xfId="1416"/>
    <cellStyle name="Normal 5 2 2" xfId="1417"/>
    <cellStyle name="Normal 5 2 2 10" xfId="1418"/>
    <cellStyle name="Normal 5 2 2 10 2" xfId="1419"/>
    <cellStyle name="Normal 5 2 2 10 3" xfId="2642"/>
    <cellStyle name="Normal 5 2 2 11" xfId="1420"/>
    <cellStyle name="Normal 5 2 2 11 2" xfId="1421"/>
    <cellStyle name="Normal 5 2 2 11 3" xfId="2643"/>
    <cellStyle name="Normal 5 2 2 12" xfId="1422"/>
    <cellStyle name="Normal 5 2 2 12 2" xfId="1423"/>
    <cellStyle name="Normal 5 2 2 12 3" xfId="2644"/>
    <cellStyle name="Normal 5 2 2 13" xfId="1424"/>
    <cellStyle name="Normal 5 2 2 13 2" xfId="1425"/>
    <cellStyle name="Normal 5 2 2 13 3" xfId="2645"/>
    <cellStyle name="Normal 5 2 2 14" xfId="2641"/>
    <cellStyle name="Normal 5 2 2 2" xfId="1426"/>
    <cellStyle name="Normal 5 2 2 2 10" xfId="1427"/>
    <cellStyle name="Normal 5 2 2 2 10 2" xfId="2647"/>
    <cellStyle name="Normal 5 2 2 2 11" xfId="1428"/>
    <cellStyle name="Normal 5 2 2 2 11 2" xfId="2648"/>
    <cellStyle name="Normal 5 2 2 2 12" xfId="1429"/>
    <cellStyle name="Normal 5 2 2 2 12 2" xfId="2649"/>
    <cellStyle name="Normal 5 2 2 2 13" xfId="1430"/>
    <cellStyle name="Normal 5 2 2 2 13 2" xfId="2650"/>
    <cellStyle name="Normal 5 2 2 2 14" xfId="1431"/>
    <cellStyle name="Normal 5 2 2 2 15" xfId="2646"/>
    <cellStyle name="Normal 5 2 2 2 2" xfId="1432"/>
    <cellStyle name="Normal 5 2 2 2 2 2" xfId="2651"/>
    <cellStyle name="Normal 5 2 2 2 3" xfId="1433"/>
    <cellStyle name="Normal 5 2 2 2 3 2" xfId="2652"/>
    <cellStyle name="Normal 5 2 2 2 4" xfId="1434"/>
    <cellStyle name="Normal 5 2 2 2 4 2" xfId="2653"/>
    <cellStyle name="Normal 5 2 2 2 5" xfId="1435"/>
    <cellStyle name="Normal 5 2 2 2 5 2" xfId="2654"/>
    <cellStyle name="Normal 5 2 2 2 6" xfId="1436"/>
    <cellStyle name="Normal 5 2 2 2 6 2" xfId="2655"/>
    <cellStyle name="Normal 5 2 2 2 7" xfId="1437"/>
    <cellStyle name="Normal 5 2 2 2 7 2" xfId="2656"/>
    <cellStyle name="Normal 5 2 2 2 8" xfId="1438"/>
    <cellStyle name="Normal 5 2 2 2 8 2" xfId="2657"/>
    <cellStyle name="Normal 5 2 2 2 9" xfId="1439"/>
    <cellStyle name="Normal 5 2 2 2 9 2" xfId="2658"/>
    <cellStyle name="Normal 5 2 2 3" xfId="1440"/>
    <cellStyle name="Normal 5 2 2 3 2" xfId="1441"/>
    <cellStyle name="Normal 5 2 2 3 3" xfId="2659"/>
    <cellStyle name="Normal 5 2 2 4" xfId="1442"/>
    <cellStyle name="Normal 5 2 2 4 2" xfId="1443"/>
    <cellStyle name="Normal 5 2 2 4 3" xfId="2660"/>
    <cellStyle name="Normal 5 2 2 5" xfId="1444"/>
    <cellStyle name="Normal 5 2 2 5 2" xfId="1445"/>
    <cellStyle name="Normal 5 2 2 5 3" xfId="2661"/>
    <cellStyle name="Normal 5 2 2 6" xfId="1446"/>
    <cellStyle name="Normal 5 2 2 6 2" xfId="1447"/>
    <cellStyle name="Normal 5 2 2 6 3" xfId="2662"/>
    <cellStyle name="Normal 5 2 2 7" xfId="1448"/>
    <cellStyle name="Normal 5 2 2 7 2" xfId="1449"/>
    <cellStyle name="Normal 5 2 2 7 3" xfId="2663"/>
    <cellStyle name="Normal 5 2 2 8" xfId="1450"/>
    <cellStyle name="Normal 5 2 2 8 2" xfId="1451"/>
    <cellStyle name="Normal 5 2 2 8 3" xfId="2664"/>
    <cellStyle name="Normal 5 2 2 9" xfId="1452"/>
    <cellStyle name="Normal 5 2 2 9 2" xfId="1453"/>
    <cellStyle name="Normal 5 2 2 9 3" xfId="2665"/>
    <cellStyle name="Normal 5 2 3" xfId="1454"/>
    <cellStyle name="Normal 5 2 3 2" xfId="2666"/>
    <cellStyle name="Normal 5 2 4" xfId="1455"/>
    <cellStyle name="Normal 5 2 4 2" xfId="2667"/>
    <cellStyle name="Normal 5 2 5" xfId="1456"/>
    <cellStyle name="Normal 5 2 5 2" xfId="2668"/>
    <cellStyle name="Normal 5 2 6" xfId="1457"/>
    <cellStyle name="Normal 5 2 6 2" xfId="2669"/>
    <cellStyle name="Normal 5 2 7" xfId="1458"/>
    <cellStyle name="Normal 5 2 7 2" xfId="2670"/>
    <cellStyle name="Normal 5 2 8" xfId="1459"/>
    <cellStyle name="Normal 5 2 8 2" xfId="2671"/>
    <cellStyle name="Normal 5 2 9" xfId="2640"/>
    <cellStyle name="Normal 5 3" xfId="1460"/>
    <cellStyle name="Normal 5 3 2" xfId="1461"/>
    <cellStyle name="Normal 5 3 2 2" xfId="2673"/>
    <cellStyle name="Normal 5 3 3" xfId="1462"/>
    <cellStyle name="Normal 5 3 3 2" xfId="2674"/>
    <cellStyle name="Normal 5 3 4" xfId="1463"/>
    <cellStyle name="Normal 5 3 4 2" xfId="2675"/>
    <cellStyle name="Normal 5 3 5" xfId="1464"/>
    <cellStyle name="Normal 5 3 5 2" xfId="2676"/>
    <cellStyle name="Normal 5 3 6" xfId="1465"/>
    <cellStyle name="Normal 5 3 6 2" xfId="2677"/>
    <cellStyle name="Normal 5 3 7" xfId="1466"/>
    <cellStyle name="Normal 5 3 7 2" xfId="2678"/>
    <cellStyle name="Normal 5 3 8" xfId="1467"/>
    <cellStyle name="Normal 5 3 8 2" xfId="2679"/>
    <cellStyle name="Normal 5 3 9" xfId="2672"/>
    <cellStyle name="Normal 5 4" xfId="1468"/>
    <cellStyle name="Normal 5 4 2" xfId="1469"/>
    <cellStyle name="Normal 5 4 2 2" xfId="2681"/>
    <cellStyle name="Normal 5 4 3" xfId="1470"/>
    <cellStyle name="Normal 5 4 3 2" xfId="2682"/>
    <cellStyle name="Normal 5 4 4" xfId="1471"/>
    <cellStyle name="Normal 5 4 4 2" xfId="2683"/>
    <cellStyle name="Normal 5 4 5" xfId="1472"/>
    <cellStyle name="Normal 5 4 5 2" xfId="2684"/>
    <cellStyle name="Normal 5 4 6" xfId="1473"/>
    <cellStyle name="Normal 5 4 6 2" xfId="2685"/>
    <cellStyle name="Normal 5 4 7" xfId="1474"/>
    <cellStyle name="Normal 5 4 7 2" xfId="2686"/>
    <cellStyle name="Normal 5 4 8" xfId="1475"/>
    <cellStyle name="Normal 5 4 8 2" xfId="2687"/>
    <cellStyle name="Normal 5 4 9" xfId="2680"/>
    <cellStyle name="Normal 5 5" xfId="1476"/>
    <cellStyle name="Normal 5 5 2" xfId="1477"/>
    <cellStyle name="Normal 5 5 2 2" xfId="2689"/>
    <cellStyle name="Normal 5 5 3" xfId="1478"/>
    <cellStyle name="Normal 5 5 3 2" xfId="2690"/>
    <cellStyle name="Normal 5 5 4" xfId="1479"/>
    <cellStyle name="Normal 5 5 4 2" xfId="2691"/>
    <cellStyle name="Normal 5 5 5" xfId="1480"/>
    <cellStyle name="Normal 5 5 5 2" xfId="2692"/>
    <cellStyle name="Normal 5 5 6" xfId="1481"/>
    <cellStyle name="Normal 5 5 6 2" xfId="2693"/>
    <cellStyle name="Normal 5 5 7" xfId="1482"/>
    <cellStyle name="Normal 5 5 7 2" xfId="2694"/>
    <cellStyle name="Normal 5 5 8" xfId="1483"/>
    <cellStyle name="Normal 5 5 8 2" xfId="2695"/>
    <cellStyle name="Normal 5 5 9" xfId="2688"/>
    <cellStyle name="Normal 5 6" xfId="1484"/>
    <cellStyle name="Normal 5 6 2" xfId="2696"/>
    <cellStyle name="Normal 5 7" xfId="1485"/>
    <cellStyle name="Normal 5 7 2" xfId="2697"/>
    <cellStyle name="Normal 5 8" xfId="1486"/>
    <cellStyle name="Normal 5 8 2" xfId="2698"/>
    <cellStyle name="Normal 5 9" xfId="1487"/>
    <cellStyle name="Normal 5 9 2" xfId="2699"/>
    <cellStyle name="Normal 6" xfId="1488"/>
    <cellStyle name="Normal 6 10" xfId="1489"/>
    <cellStyle name="Normal 6 10 2" xfId="2701"/>
    <cellStyle name="Normal 6 11" xfId="1490"/>
    <cellStyle name="Normal 6 11 2" xfId="2702"/>
    <cellStyle name="Normal 6 12" xfId="1491"/>
    <cellStyle name="Normal 6 12 2" xfId="2703"/>
    <cellStyle name="Normal 6 13" xfId="2700"/>
    <cellStyle name="Normal 6 2" xfId="1492"/>
    <cellStyle name="Normal 6 2 2" xfId="1493"/>
    <cellStyle name="Normal 6 2 2 10" xfId="1494"/>
    <cellStyle name="Normal 6 2 2 10 2" xfId="1495"/>
    <cellStyle name="Normal 6 2 2 10 3" xfId="2706"/>
    <cellStyle name="Normal 6 2 2 11" xfId="1496"/>
    <cellStyle name="Normal 6 2 2 11 2" xfId="1497"/>
    <cellStyle name="Normal 6 2 2 11 3" xfId="2707"/>
    <cellStyle name="Normal 6 2 2 12" xfId="1498"/>
    <cellStyle name="Normal 6 2 2 12 2" xfId="1499"/>
    <cellStyle name="Normal 6 2 2 12 3" xfId="2708"/>
    <cellStyle name="Normal 6 2 2 13" xfId="1500"/>
    <cellStyle name="Normal 6 2 2 13 2" xfId="1501"/>
    <cellStyle name="Normal 6 2 2 13 3" xfId="2709"/>
    <cellStyle name="Normal 6 2 2 14" xfId="2705"/>
    <cellStyle name="Normal 6 2 2 2" xfId="1502"/>
    <cellStyle name="Normal 6 2 2 2 2" xfId="1503"/>
    <cellStyle name="Normal 6 2 2 2 3" xfId="2710"/>
    <cellStyle name="Normal 6 2 2 3" xfId="1504"/>
    <cellStyle name="Normal 6 2 2 3 2" xfId="1505"/>
    <cellStyle name="Normal 6 2 2 3 3" xfId="2711"/>
    <cellStyle name="Normal 6 2 2 4" xfId="1506"/>
    <cellStyle name="Normal 6 2 2 4 2" xfId="1507"/>
    <cellStyle name="Normal 6 2 2 4 3" xfId="2712"/>
    <cellStyle name="Normal 6 2 2 5" xfId="1508"/>
    <cellStyle name="Normal 6 2 2 5 2" xfId="1509"/>
    <cellStyle name="Normal 6 2 2 5 3" xfId="2713"/>
    <cellStyle name="Normal 6 2 2 6" xfId="1510"/>
    <cellStyle name="Normal 6 2 2 6 2" xfId="1511"/>
    <cellStyle name="Normal 6 2 2 6 3" xfId="2714"/>
    <cellStyle name="Normal 6 2 2 7" xfId="1512"/>
    <cellStyle name="Normal 6 2 2 7 2" xfId="1513"/>
    <cellStyle name="Normal 6 2 2 7 3" xfId="2715"/>
    <cellStyle name="Normal 6 2 2 8" xfId="1514"/>
    <cellStyle name="Normal 6 2 2 8 2" xfId="1515"/>
    <cellStyle name="Normal 6 2 2 8 3" xfId="2716"/>
    <cellStyle name="Normal 6 2 2 9" xfId="1516"/>
    <cellStyle name="Normal 6 2 2 9 2" xfId="1517"/>
    <cellStyle name="Normal 6 2 2 9 3" xfId="2717"/>
    <cellStyle name="Normal 6 2 3" xfId="1518"/>
    <cellStyle name="Normal 6 2 3 2" xfId="2718"/>
    <cellStyle name="Normal 6 2 4" xfId="1519"/>
    <cellStyle name="Normal 6 2 4 2" xfId="2719"/>
    <cellStyle name="Normal 6 2 5" xfId="1520"/>
    <cellStyle name="Normal 6 2 5 2" xfId="2720"/>
    <cellStyle name="Normal 6 2 6" xfId="1521"/>
    <cellStyle name="Normal 6 2 6 2" xfId="2721"/>
    <cellStyle name="Normal 6 2 7" xfId="1522"/>
    <cellStyle name="Normal 6 2 7 2" xfId="2722"/>
    <cellStyle name="Normal 6 2 8" xfId="1523"/>
    <cellStyle name="Normal 6 2 8 2" xfId="2723"/>
    <cellStyle name="Normal 6 2 9" xfId="2704"/>
    <cellStyle name="Normal 6 3" xfId="1524"/>
    <cellStyle name="Normal 6 3 2" xfId="1525"/>
    <cellStyle name="Normal 6 3 2 2" xfId="2725"/>
    <cellStyle name="Normal 6 3 3" xfId="1526"/>
    <cellStyle name="Normal 6 3 3 2" xfId="2726"/>
    <cellStyle name="Normal 6 3 4" xfId="1527"/>
    <cellStyle name="Normal 6 3 4 2" xfId="2727"/>
    <cellStyle name="Normal 6 3 5" xfId="1528"/>
    <cellStyle name="Normal 6 3 5 2" xfId="2728"/>
    <cellStyle name="Normal 6 3 6" xfId="1529"/>
    <cellStyle name="Normal 6 3 6 2" xfId="2729"/>
    <cellStyle name="Normal 6 3 7" xfId="1530"/>
    <cellStyle name="Normal 6 3 7 2" xfId="2730"/>
    <cellStyle name="Normal 6 3 8" xfId="1531"/>
    <cellStyle name="Normal 6 3 8 2" xfId="2731"/>
    <cellStyle name="Normal 6 3 9" xfId="2724"/>
    <cellStyle name="Normal 6 4" xfId="1532"/>
    <cellStyle name="Normal 6 4 2" xfId="1533"/>
    <cellStyle name="Normal 6 4 2 2" xfId="2733"/>
    <cellStyle name="Normal 6 4 3" xfId="1534"/>
    <cellStyle name="Normal 6 4 3 2" xfId="2734"/>
    <cellStyle name="Normal 6 4 4" xfId="1535"/>
    <cellStyle name="Normal 6 4 4 2" xfId="2735"/>
    <cellStyle name="Normal 6 4 5" xfId="1536"/>
    <cellStyle name="Normal 6 4 5 2" xfId="2736"/>
    <cellStyle name="Normal 6 4 6" xfId="1537"/>
    <cellStyle name="Normal 6 4 6 2" xfId="2737"/>
    <cellStyle name="Normal 6 4 7" xfId="1538"/>
    <cellStyle name="Normal 6 4 7 2" xfId="2738"/>
    <cellStyle name="Normal 6 4 8" xfId="1539"/>
    <cellStyle name="Normal 6 4 8 2" xfId="2739"/>
    <cellStyle name="Normal 6 4 9" xfId="2732"/>
    <cellStyle name="Normal 6 5" xfId="1540"/>
    <cellStyle name="Normal 6 5 2" xfId="1541"/>
    <cellStyle name="Normal 6 5 2 2" xfId="2741"/>
    <cellStyle name="Normal 6 5 3" xfId="1542"/>
    <cellStyle name="Normal 6 5 3 2" xfId="2742"/>
    <cellStyle name="Normal 6 5 4" xfId="1543"/>
    <cellStyle name="Normal 6 5 4 2" xfId="2743"/>
    <cellStyle name="Normal 6 5 5" xfId="1544"/>
    <cellStyle name="Normal 6 5 5 2" xfId="2744"/>
    <cellStyle name="Normal 6 5 6" xfId="1545"/>
    <cellStyle name="Normal 6 5 6 2" xfId="2745"/>
    <cellStyle name="Normal 6 5 7" xfId="1546"/>
    <cellStyle name="Normal 6 5 7 2" xfId="2746"/>
    <cellStyle name="Normal 6 5 8" xfId="1547"/>
    <cellStyle name="Normal 6 5 8 2" xfId="2747"/>
    <cellStyle name="Normal 6 5 9" xfId="2740"/>
    <cellStyle name="Normal 6 6" xfId="1548"/>
    <cellStyle name="Normal 6 6 2" xfId="2748"/>
    <cellStyle name="Normal 6 7" xfId="1549"/>
    <cellStyle name="Normal 6 7 2" xfId="2749"/>
    <cellStyle name="Normal 6 8" xfId="1550"/>
    <cellStyle name="Normal 6 8 2" xfId="2750"/>
    <cellStyle name="Normal 6 9" xfId="1551"/>
    <cellStyle name="Normal 6 9 2" xfId="2751"/>
    <cellStyle name="Normal 7" xfId="1552"/>
    <cellStyle name="Normal 7 10" xfId="1553"/>
    <cellStyle name="Normal 7 10 2" xfId="2753"/>
    <cellStyle name="Normal 7 11" xfId="1554"/>
    <cellStyle name="Normal 7 11 2" xfId="2754"/>
    <cellStyle name="Normal 7 12" xfId="1555"/>
    <cellStyle name="Normal 7 12 2" xfId="2755"/>
    <cellStyle name="Normal 7 13" xfId="2752"/>
    <cellStyle name="Normal 7 2" xfId="1556"/>
    <cellStyle name="Normal 7 2 2" xfId="1557"/>
    <cellStyle name="Normal 7 2 2 2" xfId="2757"/>
    <cellStyle name="Normal 7 2 3" xfId="1558"/>
    <cellStyle name="Normal 7 2 3 2" xfId="2758"/>
    <cellStyle name="Normal 7 2 4" xfId="1559"/>
    <cellStyle name="Normal 7 2 4 2" xfId="2759"/>
    <cellStyle name="Normal 7 2 5" xfId="1560"/>
    <cellStyle name="Normal 7 2 5 2" xfId="2760"/>
    <cellStyle name="Normal 7 2 6" xfId="1561"/>
    <cellStyle name="Normal 7 2 6 2" xfId="2761"/>
    <cellStyle name="Normal 7 2 7" xfId="1562"/>
    <cellStyle name="Normal 7 2 7 2" xfId="2762"/>
    <cellStyle name="Normal 7 2 8" xfId="1563"/>
    <cellStyle name="Normal 7 2 8 2" xfId="2763"/>
    <cellStyle name="Normal 7 2 9" xfId="2756"/>
    <cellStyle name="Normal 7 3" xfId="1564"/>
    <cellStyle name="Normal 7 3 2" xfId="1565"/>
    <cellStyle name="Normal 7 3 2 2" xfId="2765"/>
    <cellStyle name="Normal 7 3 3" xfId="1566"/>
    <cellStyle name="Normal 7 3 3 2" xfId="2766"/>
    <cellStyle name="Normal 7 3 4" xfId="1567"/>
    <cellStyle name="Normal 7 3 4 2" xfId="2767"/>
    <cellStyle name="Normal 7 3 5" xfId="1568"/>
    <cellStyle name="Normal 7 3 5 2" xfId="2768"/>
    <cellStyle name="Normal 7 3 6" xfId="1569"/>
    <cellStyle name="Normal 7 3 6 2" xfId="2769"/>
    <cellStyle name="Normal 7 3 7" xfId="1570"/>
    <cellStyle name="Normal 7 3 7 2" xfId="2770"/>
    <cellStyle name="Normal 7 3 8" xfId="1571"/>
    <cellStyle name="Normal 7 3 8 2" xfId="2771"/>
    <cellStyle name="Normal 7 3 9" xfId="2764"/>
    <cellStyle name="Normal 7 4" xfId="1572"/>
    <cellStyle name="Normal 7 4 2" xfId="1573"/>
    <cellStyle name="Normal 7 4 2 2" xfId="2773"/>
    <cellStyle name="Normal 7 4 3" xfId="1574"/>
    <cellStyle name="Normal 7 4 3 2" xfId="2774"/>
    <cellStyle name="Normal 7 4 4" xfId="1575"/>
    <cellStyle name="Normal 7 4 4 2" xfId="2775"/>
    <cellStyle name="Normal 7 4 5" xfId="1576"/>
    <cellStyle name="Normal 7 4 5 2" xfId="2776"/>
    <cellStyle name="Normal 7 4 6" xfId="1577"/>
    <cellStyle name="Normal 7 4 6 2" xfId="2777"/>
    <cellStyle name="Normal 7 4 7" xfId="1578"/>
    <cellStyle name="Normal 7 4 7 2" xfId="2778"/>
    <cellStyle name="Normal 7 4 8" xfId="1579"/>
    <cellStyle name="Normal 7 4 8 2" xfId="2779"/>
    <cellStyle name="Normal 7 4 9" xfId="2772"/>
    <cellStyle name="Normal 7 5" xfId="1580"/>
    <cellStyle name="Normal 7 5 2" xfId="1581"/>
    <cellStyle name="Normal 7 5 2 2" xfId="2781"/>
    <cellStyle name="Normal 7 5 3" xfId="1582"/>
    <cellStyle name="Normal 7 5 3 2" xfId="2782"/>
    <cellStyle name="Normal 7 5 4" xfId="1583"/>
    <cellStyle name="Normal 7 5 4 2" xfId="2783"/>
    <cellStyle name="Normal 7 5 5" xfId="1584"/>
    <cellStyle name="Normal 7 5 5 2" xfId="2784"/>
    <cellStyle name="Normal 7 5 6" xfId="1585"/>
    <cellStyle name="Normal 7 5 6 2" xfId="2785"/>
    <cellStyle name="Normal 7 5 7" xfId="1586"/>
    <cellStyle name="Normal 7 5 7 2" xfId="2786"/>
    <cellStyle name="Normal 7 5 8" xfId="1587"/>
    <cellStyle name="Normal 7 5 8 2" xfId="2787"/>
    <cellStyle name="Normal 7 5 9" xfId="2780"/>
    <cellStyle name="Normal 7 6" xfId="1588"/>
    <cellStyle name="Normal 7 6 2" xfId="2788"/>
    <cellStyle name="Normal 7 7" xfId="1589"/>
    <cellStyle name="Normal 7 7 2" xfId="2789"/>
    <cellStyle name="Normal 7 8" xfId="1590"/>
    <cellStyle name="Normal 7 8 2" xfId="2790"/>
    <cellStyle name="Normal 7 9" xfId="1591"/>
    <cellStyle name="Normal 7 9 2" xfId="2791"/>
    <cellStyle name="Normal 8" xfId="1592"/>
    <cellStyle name="Normal 8 10" xfId="1593"/>
    <cellStyle name="Normal 8 10 2" xfId="2793"/>
    <cellStyle name="Normal 8 11" xfId="1594"/>
    <cellStyle name="Normal 8 11 2" xfId="2794"/>
    <cellStyle name="Normal 8 12" xfId="1595"/>
    <cellStyle name="Normal 8 12 2" xfId="2795"/>
    <cellStyle name="Normal 8 13" xfId="2792"/>
    <cellStyle name="Normal 8 2" xfId="1596"/>
    <cellStyle name="Normal 8 2 2" xfId="1597"/>
    <cellStyle name="Normal 8 2 2 2" xfId="2797"/>
    <cellStyle name="Normal 8 2 3" xfId="1598"/>
    <cellStyle name="Normal 8 2 3 2" xfId="2798"/>
    <cellStyle name="Normal 8 2 4" xfId="1599"/>
    <cellStyle name="Normal 8 2 4 2" xfId="2799"/>
    <cellStyle name="Normal 8 2 5" xfId="1600"/>
    <cellStyle name="Normal 8 2 5 2" xfId="2800"/>
    <cellStyle name="Normal 8 2 6" xfId="1601"/>
    <cellStyle name="Normal 8 2 6 2" xfId="2801"/>
    <cellStyle name="Normal 8 2 7" xfId="1602"/>
    <cellStyle name="Normal 8 2 7 2" xfId="2802"/>
    <cellStyle name="Normal 8 2 8" xfId="1603"/>
    <cellStyle name="Normal 8 2 8 2" xfId="2803"/>
    <cellStyle name="Normal 8 2 9" xfId="2796"/>
    <cellStyle name="Normal 8 3" xfId="1604"/>
    <cellStyle name="Normal 8 3 2" xfId="1605"/>
    <cellStyle name="Normal 8 3 2 2" xfId="2805"/>
    <cellStyle name="Normal 8 3 3" xfId="1606"/>
    <cellStyle name="Normal 8 3 3 2" xfId="2806"/>
    <cellStyle name="Normal 8 3 4" xfId="1607"/>
    <cellStyle name="Normal 8 3 4 2" xfId="2807"/>
    <cellStyle name="Normal 8 3 5" xfId="1608"/>
    <cellStyle name="Normal 8 3 5 2" xfId="2808"/>
    <cellStyle name="Normal 8 3 6" xfId="1609"/>
    <cellStyle name="Normal 8 3 6 2" xfId="2809"/>
    <cellStyle name="Normal 8 3 7" xfId="1610"/>
    <cellStyle name="Normal 8 3 7 2" xfId="2810"/>
    <cellStyle name="Normal 8 3 8" xfId="1611"/>
    <cellStyle name="Normal 8 3 8 2" xfId="2811"/>
    <cellStyle name="Normal 8 3 9" xfId="2804"/>
    <cellStyle name="Normal 8 4" xfId="1612"/>
    <cellStyle name="Normal 8 4 2" xfId="1613"/>
    <cellStyle name="Normal 8 4 2 2" xfId="2813"/>
    <cellStyle name="Normal 8 4 3" xfId="1614"/>
    <cellStyle name="Normal 8 4 3 2" xfId="2814"/>
    <cellStyle name="Normal 8 4 4" xfId="1615"/>
    <cellStyle name="Normal 8 4 4 2" xfId="2815"/>
    <cellStyle name="Normal 8 4 5" xfId="1616"/>
    <cellStyle name="Normal 8 4 5 2" xfId="2816"/>
    <cellStyle name="Normal 8 4 6" xfId="1617"/>
    <cellStyle name="Normal 8 4 6 2" xfId="2817"/>
    <cellStyle name="Normal 8 4 7" xfId="1618"/>
    <cellStyle name="Normal 8 4 7 2" xfId="2818"/>
    <cellStyle name="Normal 8 4 8" xfId="1619"/>
    <cellStyle name="Normal 8 4 8 2" xfId="2819"/>
    <cellStyle name="Normal 8 4 9" xfId="2812"/>
    <cellStyle name="Normal 8 5" xfId="1620"/>
    <cellStyle name="Normal 8 5 2" xfId="1621"/>
    <cellStyle name="Normal 8 5 2 2" xfId="2821"/>
    <cellStyle name="Normal 8 5 3" xfId="1622"/>
    <cellStyle name="Normal 8 5 3 2" xfId="2822"/>
    <cellStyle name="Normal 8 5 4" xfId="1623"/>
    <cellStyle name="Normal 8 5 4 2" xfId="2823"/>
    <cellStyle name="Normal 8 5 5" xfId="1624"/>
    <cellStyle name="Normal 8 5 5 2" xfId="2824"/>
    <cellStyle name="Normal 8 5 6" xfId="1625"/>
    <cellStyle name="Normal 8 5 6 2" xfId="2825"/>
    <cellStyle name="Normal 8 5 7" xfId="1626"/>
    <cellStyle name="Normal 8 5 7 2" xfId="2826"/>
    <cellStyle name="Normal 8 5 8" xfId="1627"/>
    <cellStyle name="Normal 8 5 8 2" xfId="2827"/>
    <cellStyle name="Normal 8 5 9" xfId="2820"/>
    <cellStyle name="Normal 8 6" xfId="1628"/>
    <cellStyle name="Normal 8 6 2" xfId="2828"/>
    <cellStyle name="Normal 8 7" xfId="1629"/>
    <cellStyle name="Normal 8 7 2" xfId="2829"/>
    <cellStyle name="Normal 8 8" xfId="1630"/>
    <cellStyle name="Normal 8 8 2" xfId="2830"/>
    <cellStyle name="Normal 8 9" xfId="1631"/>
    <cellStyle name="Normal 8 9 2" xfId="2831"/>
    <cellStyle name="Normal 9" xfId="1632"/>
    <cellStyle name="Normal 9 2" xfId="1633"/>
    <cellStyle name="Normal 9 2 2" xfId="2833"/>
    <cellStyle name="Normal 9 3" xfId="1634"/>
    <cellStyle name="Normal 9 3 2" xfId="2834"/>
    <cellStyle name="Normal 9 4" xfId="1635"/>
    <cellStyle name="Normal 9 4 2" xfId="2835"/>
    <cellStyle name="Normal 9 5" xfId="1636"/>
    <cellStyle name="Normal 9 5 2" xfId="2836"/>
    <cellStyle name="Normal 9 6" xfId="1637"/>
    <cellStyle name="Normal 9 6 2" xfId="2837"/>
    <cellStyle name="Normal 9 7" xfId="1638"/>
    <cellStyle name="Normal 9 7 2" xfId="2838"/>
    <cellStyle name="Normal 9 8" xfId="1639"/>
    <cellStyle name="Normal 9 8 2" xfId="2839"/>
    <cellStyle name="Normal 9 9" xfId="2832"/>
    <cellStyle name="Normal_by_cycle" xfId="1640"/>
    <cellStyle name="Normal_ProdandConsbyCHP" xfId="1641"/>
    <cellStyle name="Normal_SUBRES_B-NTech-BE" xfId="1642"/>
    <cellStyle name="Normale_B2020" xfId="1643"/>
    <cellStyle name="Note 10" xfId="1644"/>
    <cellStyle name="Note 10 2" xfId="1645"/>
    <cellStyle name="Note 10 2 2" xfId="2840"/>
    <cellStyle name="Note 10 3" xfId="1646"/>
    <cellStyle name="Note 11" xfId="1647"/>
    <cellStyle name="Note 11 2" xfId="1648"/>
    <cellStyle name="Note 11 2 2" xfId="2841"/>
    <cellStyle name="Note 11 3" xfId="1649"/>
    <cellStyle name="Note 2" xfId="1650"/>
    <cellStyle name="Note 2 10" xfId="1651"/>
    <cellStyle name="Note 2 10 2" xfId="2842"/>
    <cellStyle name="Note 2 11" xfId="1652"/>
    <cellStyle name="Note 2 11 2" xfId="2843"/>
    <cellStyle name="Note 2 12" xfId="1653"/>
    <cellStyle name="Note 2 12 2" xfId="2844"/>
    <cellStyle name="Note 2 13" xfId="1654"/>
    <cellStyle name="Note 2 13 2" xfId="2845"/>
    <cellStyle name="Note 2 14" xfId="1655"/>
    <cellStyle name="Note 2 14 2" xfId="2846"/>
    <cellStyle name="Note 2 15" xfId="1656"/>
    <cellStyle name="Note 2 15 2" xfId="2847"/>
    <cellStyle name="Note 2 2" xfId="1657"/>
    <cellStyle name="Note 2 2 2" xfId="2848"/>
    <cellStyle name="Note 2 3" xfId="1658"/>
    <cellStyle name="Note 2 3 2" xfId="2849"/>
    <cellStyle name="Note 2 4" xfId="1659"/>
    <cellStyle name="Note 2 4 2" xfId="2850"/>
    <cellStyle name="Note 2 5" xfId="1660"/>
    <cellStyle name="Note 2 5 2" xfId="2851"/>
    <cellStyle name="Note 2 6" xfId="1661"/>
    <cellStyle name="Note 2 6 2" xfId="2852"/>
    <cellStyle name="Note 2 7" xfId="1662"/>
    <cellStyle name="Note 2 7 2" xfId="2853"/>
    <cellStyle name="Note 2 8" xfId="1663"/>
    <cellStyle name="Note 2 8 2" xfId="2854"/>
    <cellStyle name="Note 2 9" xfId="1664"/>
    <cellStyle name="Note 2 9 2" xfId="2855"/>
    <cellStyle name="Note 3" xfId="1665"/>
    <cellStyle name="Note 3 2" xfId="2856"/>
    <cellStyle name="Note 4" xfId="1666"/>
    <cellStyle name="Note 4 2" xfId="2857"/>
    <cellStyle name="Note 5" xfId="1667"/>
    <cellStyle name="Note 5 2" xfId="2858"/>
    <cellStyle name="Note 6" xfId="1668"/>
    <cellStyle name="Note 6 2" xfId="2859"/>
    <cellStyle name="Note 7" xfId="1669"/>
    <cellStyle name="Note 7 2" xfId="2860"/>
    <cellStyle name="Note 8" xfId="1670"/>
    <cellStyle name="Note 8 2" xfId="2861"/>
    <cellStyle name="Note 9" xfId="1671"/>
    <cellStyle name="Note 9 2" xfId="1672"/>
    <cellStyle name="Note 9 2 2" xfId="2862"/>
    <cellStyle name="Note 9 3" xfId="1673"/>
    <cellStyle name="Output 2" xfId="1674"/>
    <cellStyle name="Output 2 10" xfId="1675"/>
    <cellStyle name="Output 2 11" xfId="1676"/>
    <cellStyle name="Output 2 2" xfId="1677"/>
    <cellStyle name="Output 2 3" xfId="1678"/>
    <cellStyle name="Output 2 4" xfId="1679"/>
    <cellStyle name="Output 2 5" xfId="1680"/>
    <cellStyle name="Output 2 6" xfId="1681"/>
    <cellStyle name="Output 2 7" xfId="1682"/>
    <cellStyle name="Output 2 8" xfId="1683"/>
    <cellStyle name="Output 2 9" xfId="1684"/>
    <cellStyle name="Output 3" xfId="1685"/>
    <cellStyle name="Output 4" xfId="1686"/>
    <cellStyle name="Output 4 2" xfId="1687"/>
    <cellStyle name="Output 5" xfId="1688"/>
    <cellStyle name="Output 5 2" xfId="1689"/>
    <cellStyle name="Output 6" xfId="1690"/>
    <cellStyle name="Output 6 2" xfId="1691"/>
    <cellStyle name="Percent" xfId="1692" builtinId="5"/>
    <cellStyle name="Percent 10" xfId="1693"/>
    <cellStyle name="Percent 10 2" xfId="1694"/>
    <cellStyle name="Percent 10 2 2" xfId="2865"/>
    <cellStyle name="Percent 10 3" xfId="1695"/>
    <cellStyle name="Percent 10 3 2" xfId="2866"/>
    <cellStyle name="Percent 10 4" xfId="1696"/>
    <cellStyle name="Percent 10 4 2" xfId="2867"/>
    <cellStyle name="Percent 10 5" xfId="1697"/>
    <cellStyle name="Percent 10 5 2" xfId="2868"/>
    <cellStyle name="Percent 10 6" xfId="1698"/>
    <cellStyle name="Percent 10 6 2" xfId="2869"/>
    <cellStyle name="Percent 10 7" xfId="1699"/>
    <cellStyle name="Percent 10 7 2" xfId="2870"/>
    <cellStyle name="Percent 10 8" xfId="1700"/>
    <cellStyle name="Percent 10 8 2" xfId="2871"/>
    <cellStyle name="Percent 10 9" xfId="2864"/>
    <cellStyle name="Percent 11" xfId="1701"/>
    <cellStyle name="Percent 11 2" xfId="1702"/>
    <cellStyle name="Percent 11 2 2" xfId="2873"/>
    <cellStyle name="Percent 11 3" xfId="1703"/>
    <cellStyle name="Percent 11 3 2" xfId="2874"/>
    <cellStyle name="Percent 11 4" xfId="1704"/>
    <cellStyle name="Percent 11 4 2" xfId="2875"/>
    <cellStyle name="Percent 11 5" xfId="1705"/>
    <cellStyle name="Percent 11 5 2" xfId="2876"/>
    <cellStyle name="Percent 11 6" xfId="1706"/>
    <cellStyle name="Percent 11 6 2" xfId="2877"/>
    <cellStyle name="Percent 11 7" xfId="1707"/>
    <cellStyle name="Percent 11 7 2" xfId="2878"/>
    <cellStyle name="Percent 11 8" xfId="1708"/>
    <cellStyle name="Percent 11 8 2" xfId="2879"/>
    <cellStyle name="Percent 11 9" xfId="2872"/>
    <cellStyle name="Percent 12" xfId="1709"/>
    <cellStyle name="Percent 12 2" xfId="1710"/>
    <cellStyle name="Percent 12 2 2" xfId="2881"/>
    <cellStyle name="Percent 12 3" xfId="1711"/>
    <cellStyle name="Percent 12 3 2" xfId="2882"/>
    <cellStyle name="Percent 12 4" xfId="1712"/>
    <cellStyle name="Percent 12 4 2" xfId="2883"/>
    <cellStyle name="Percent 12 5" xfId="1713"/>
    <cellStyle name="Percent 12 5 2" xfId="2884"/>
    <cellStyle name="Percent 12 6" xfId="1714"/>
    <cellStyle name="Percent 12 6 2" xfId="2885"/>
    <cellStyle name="Percent 12 7" xfId="1715"/>
    <cellStyle name="Percent 12 7 2" xfId="2886"/>
    <cellStyle name="Percent 12 8" xfId="1716"/>
    <cellStyle name="Percent 12 8 2" xfId="2887"/>
    <cellStyle name="Percent 12 9" xfId="2880"/>
    <cellStyle name="Percent 13" xfId="1717"/>
    <cellStyle name="Percent 13 2" xfId="1718"/>
    <cellStyle name="Percent 13 2 2" xfId="2889"/>
    <cellStyle name="Percent 13 3" xfId="1719"/>
    <cellStyle name="Percent 13 3 2" xfId="2890"/>
    <cellStyle name="Percent 13 4" xfId="1720"/>
    <cellStyle name="Percent 13 4 2" xfId="2891"/>
    <cellStyle name="Percent 13 5" xfId="1721"/>
    <cellStyle name="Percent 13 5 2" xfId="2892"/>
    <cellStyle name="Percent 13 6" xfId="1722"/>
    <cellStyle name="Percent 13 6 2" xfId="2893"/>
    <cellStyle name="Percent 13 7" xfId="1723"/>
    <cellStyle name="Percent 13 7 2" xfId="2894"/>
    <cellStyle name="Percent 13 8" xfId="1724"/>
    <cellStyle name="Percent 13 8 2" xfId="2895"/>
    <cellStyle name="Percent 13 9" xfId="2888"/>
    <cellStyle name="Percent 14" xfId="1725"/>
    <cellStyle name="Percent 14 2" xfId="1726"/>
    <cellStyle name="Percent 14 2 2" xfId="2897"/>
    <cellStyle name="Percent 14 3" xfId="1727"/>
    <cellStyle name="Percent 14 3 2" xfId="2898"/>
    <cellStyle name="Percent 14 4" xfId="1728"/>
    <cellStyle name="Percent 14 4 2" xfId="2899"/>
    <cellStyle name="Percent 14 5" xfId="1729"/>
    <cellStyle name="Percent 14 5 2" xfId="2900"/>
    <cellStyle name="Percent 14 6" xfId="1730"/>
    <cellStyle name="Percent 14 6 2" xfId="2901"/>
    <cellStyle name="Percent 14 7" xfId="1731"/>
    <cellStyle name="Percent 14 7 2" xfId="2902"/>
    <cellStyle name="Percent 14 8" xfId="1732"/>
    <cellStyle name="Percent 14 8 2" xfId="2903"/>
    <cellStyle name="Percent 14 9" xfId="2896"/>
    <cellStyle name="Percent 15" xfId="1733"/>
    <cellStyle name="Percent 15 10" xfId="1734"/>
    <cellStyle name="Percent 15 10 2" xfId="2904"/>
    <cellStyle name="Percent 15 11" xfId="1735"/>
    <cellStyle name="Percent 15 11 2" xfId="2905"/>
    <cellStyle name="Percent 15 12" xfId="1736"/>
    <cellStyle name="Percent 15 12 2" xfId="2906"/>
    <cellStyle name="Percent 15 13" xfId="1737"/>
    <cellStyle name="Percent 15 13 2" xfId="2907"/>
    <cellStyle name="Percent 15 14" xfId="1738"/>
    <cellStyle name="Percent 15 14 2" xfId="2908"/>
    <cellStyle name="Percent 15 2" xfId="1739"/>
    <cellStyle name="Percent 15 2 2" xfId="1740"/>
    <cellStyle name="Percent 15 2 2 2" xfId="1741"/>
    <cellStyle name="Percent 15 2 2 3" xfId="1742"/>
    <cellStyle name="Percent 15 2 2 4" xfId="2910"/>
    <cellStyle name="Percent 15 2 3" xfId="1743"/>
    <cellStyle name="Percent 15 2 3 2" xfId="1744"/>
    <cellStyle name="Percent 15 2 3 3" xfId="1745"/>
    <cellStyle name="Percent 15 2 3 4" xfId="2911"/>
    <cellStyle name="Percent 15 2 4" xfId="1746"/>
    <cellStyle name="Percent 15 2 4 2" xfId="1747"/>
    <cellStyle name="Percent 15 2 4 3" xfId="1748"/>
    <cellStyle name="Percent 15 2 4 4" xfId="2912"/>
    <cellStyle name="Percent 15 2 5" xfId="1749"/>
    <cellStyle name="Percent 15 2 5 2" xfId="1750"/>
    <cellStyle name="Percent 15 2 5 3" xfId="1751"/>
    <cellStyle name="Percent 15 2 5 4" xfId="2913"/>
    <cellStyle name="Percent 15 2 6" xfId="1752"/>
    <cellStyle name="Percent 15 2 6 2" xfId="1753"/>
    <cellStyle name="Percent 15 2 6 3" xfId="1754"/>
    <cellStyle name="Percent 15 2 6 4" xfId="2914"/>
    <cellStyle name="Percent 15 2 7" xfId="1755"/>
    <cellStyle name="Percent 15 2 7 2" xfId="1756"/>
    <cellStyle name="Percent 15 2 7 3" xfId="1757"/>
    <cellStyle name="Percent 15 2 7 4" xfId="2915"/>
    <cellStyle name="Percent 15 2 8" xfId="2909"/>
    <cellStyle name="Percent 15 3" xfId="1758"/>
    <cellStyle name="Percent 15 3 2" xfId="1759"/>
    <cellStyle name="Percent 15 3 3" xfId="1760"/>
    <cellStyle name="Percent 15 3 4" xfId="2916"/>
    <cellStyle name="Percent 15 4" xfId="1761"/>
    <cellStyle name="Percent 15 4 2" xfId="2917"/>
    <cellStyle name="Percent 15 5" xfId="1762"/>
    <cellStyle name="Percent 15 5 2" xfId="1763"/>
    <cellStyle name="Percent 15 5 3" xfId="1764"/>
    <cellStyle name="Percent 15 5 4" xfId="2918"/>
    <cellStyle name="Percent 15 6" xfId="1765"/>
    <cellStyle name="Percent 15 6 2" xfId="1766"/>
    <cellStyle name="Percent 15 6 3" xfId="1767"/>
    <cellStyle name="Percent 15 6 4" xfId="2919"/>
    <cellStyle name="Percent 15 7" xfId="1768"/>
    <cellStyle name="Percent 15 7 2" xfId="1769"/>
    <cellStyle name="Percent 15 7 3" xfId="1770"/>
    <cellStyle name="Percent 15 7 4" xfId="2920"/>
    <cellStyle name="Percent 15 8" xfId="1771"/>
    <cellStyle name="Percent 15 8 2" xfId="1772"/>
    <cellStyle name="Percent 15 8 3" xfId="1773"/>
    <cellStyle name="Percent 15 8 4" xfId="2921"/>
    <cellStyle name="Percent 15 9" xfId="1774"/>
    <cellStyle name="Percent 15 9 2" xfId="2922"/>
    <cellStyle name="Percent 16" xfId="1775"/>
    <cellStyle name="Percent 16 2" xfId="1776"/>
    <cellStyle name="Percent 16 3" xfId="1777"/>
    <cellStyle name="Percent 16 3 10" xfId="1778"/>
    <cellStyle name="Percent 16 3 10 2" xfId="2924"/>
    <cellStyle name="Percent 16 3 11" xfId="1779"/>
    <cellStyle name="Percent 16 3 11 2" xfId="2925"/>
    <cellStyle name="Percent 16 3 12" xfId="1780"/>
    <cellStyle name="Percent 16 3 12 2" xfId="2926"/>
    <cellStyle name="Percent 16 3 13" xfId="1781"/>
    <cellStyle name="Percent 16 3 13 2" xfId="2927"/>
    <cellStyle name="Percent 16 3 14" xfId="1782"/>
    <cellStyle name="Percent 16 3 14 2" xfId="2928"/>
    <cellStyle name="Percent 16 3 15" xfId="1783"/>
    <cellStyle name="Percent 16 3 15 2" xfId="2929"/>
    <cellStyle name="Percent 16 3 16" xfId="1784"/>
    <cellStyle name="Percent 16 3 16 2" xfId="2930"/>
    <cellStyle name="Percent 16 3 17" xfId="1785"/>
    <cellStyle name="Percent 16 3 17 2" xfId="2931"/>
    <cellStyle name="Percent 16 3 18" xfId="2923"/>
    <cellStyle name="Percent 16 3 2" xfId="1786"/>
    <cellStyle name="Percent 16 3 2 2" xfId="2932"/>
    <cellStyle name="Percent 16 3 3" xfId="1787"/>
    <cellStyle name="Percent 16 3 3 2" xfId="2933"/>
    <cellStyle name="Percent 16 3 4" xfId="1788"/>
    <cellStyle name="Percent 16 3 4 2" xfId="2934"/>
    <cellStyle name="Percent 16 3 5" xfId="1789"/>
    <cellStyle name="Percent 16 3 5 2" xfId="2935"/>
    <cellStyle name="Percent 16 3 6" xfId="1790"/>
    <cellStyle name="Percent 16 3 6 2" xfId="2936"/>
    <cellStyle name="Percent 16 3 7" xfId="1791"/>
    <cellStyle name="Percent 16 3 7 2" xfId="2937"/>
    <cellStyle name="Percent 16 3 8" xfId="1792"/>
    <cellStyle name="Percent 16 3 8 2" xfId="2938"/>
    <cellStyle name="Percent 16 3 9" xfId="1793"/>
    <cellStyle name="Percent 16 3 9 2" xfId="2939"/>
    <cellStyle name="Percent 16 4" xfId="1794"/>
    <cellStyle name="Percent 16 4 10" xfId="1795"/>
    <cellStyle name="Percent 16 4 10 2" xfId="2941"/>
    <cellStyle name="Percent 16 4 11" xfId="1796"/>
    <cellStyle name="Percent 16 4 11 2" xfId="2942"/>
    <cellStyle name="Percent 16 4 12" xfId="1797"/>
    <cellStyle name="Percent 16 4 12 2" xfId="2943"/>
    <cellStyle name="Percent 16 4 13" xfId="1798"/>
    <cellStyle name="Percent 16 4 13 2" xfId="2944"/>
    <cellStyle name="Percent 16 4 14" xfId="1799"/>
    <cellStyle name="Percent 16 4 14 2" xfId="2945"/>
    <cellStyle name="Percent 16 4 15" xfId="1800"/>
    <cellStyle name="Percent 16 4 15 2" xfId="2946"/>
    <cellStyle name="Percent 16 4 16" xfId="1801"/>
    <cellStyle name="Percent 16 4 16 2" xfId="2947"/>
    <cellStyle name="Percent 16 4 17" xfId="1802"/>
    <cellStyle name="Percent 16 4 17 2" xfId="2948"/>
    <cellStyle name="Percent 16 4 18" xfId="2940"/>
    <cellStyle name="Percent 16 4 2" xfId="1803"/>
    <cellStyle name="Percent 16 4 2 2" xfId="2949"/>
    <cellStyle name="Percent 16 4 3" xfId="1804"/>
    <cellStyle name="Percent 16 4 3 2" xfId="2950"/>
    <cellStyle name="Percent 16 4 4" xfId="1805"/>
    <cellStyle name="Percent 16 4 4 2" xfId="2951"/>
    <cellStyle name="Percent 16 4 5" xfId="1806"/>
    <cellStyle name="Percent 16 4 5 2" xfId="2952"/>
    <cellStyle name="Percent 16 4 6" xfId="1807"/>
    <cellStyle name="Percent 16 4 6 2" xfId="2953"/>
    <cellStyle name="Percent 16 4 7" xfId="1808"/>
    <cellStyle name="Percent 16 4 7 2" xfId="2954"/>
    <cellStyle name="Percent 16 4 8" xfId="1809"/>
    <cellStyle name="Percent 16 4 8 2" xfId="2955"/>
    <cellStyle name="Percent 16 4 9" xfId="1810"/>
    <cellStyle name="Percent 16 4 9 2" xfId="2956"/>
    <cellStyle name="Percent 16 5" xfId="1811"/>
    <cellStyle name="Percent 16 5 10" xfId="1812"/>
    <cellStyle name="Percent 16 5 10 2" xfId="2958"/>
    <cellStyle name="Percent 16 5 11" xfId="1813"/>
    <cellStyle name="Percent 16 5 11 2" xfId="2959"/>
    <cellStyle name="Percent 16 5 12" xfId="1814"/>
    <cellStyle name="Percent 16 5 12 2" xfId="2960"/>
    <cellStyle name="Percent 16 5 13" xfId="1815"/>
    <cellStyle name="Percent 16 5 13 2" xfId="2961"/>
    <cellStyle name="Percent 16 5 14" xfId="1816"/>
    <cellStyle name="Percent 16 5 14 2" xfId="2962"/>
    <cellStyle name="Percent 16 5 15" xfId="1817"/>
    <cellStyle name="Percent 16 5 15 2" xfId="2963"/>
    <cellStyle name="Percent 16 5 16" xfId="1818"/>
    <cellStyle name="Percent 16 5 16 2" xfId="2964"/>
    <cellStyle name="Percent 16 5 17" xfId="1819"/>
    <cellStyle name="Percent 16 5 17 2" xfId="2965"/>
    <cellStyle name="Percent 16 5 18" xfId="2957"/>
    <cellStyle name="Percent 16 5 2" xfId="1820"/>
    <cellStyle name="Percent 16 5 2 2" xfId="2966"/>
    <cellStyle name="Percent 16 5 3" xfId="1821"/>
    <cellStyle name="Percent 16 5 3 2" xfId="2967"/>
    <cellStyle name="Percent 16 5 4" xfId="1822"/>
    <cellStyle name="Percent 16 5 4 2" xfId="2968"/>
    <cellStyle name="Percent 16 5 5" xfId="1823"/>
    <cellStyle name="Percent 16 5 5 2" xfId="2969"/>
    <cellStyle name="Percent 16 5 6" xfId="1824"/>
    <cellStyle name="Percent 16 5 6 2" xfId="2970"/>
    <cellStyle name="Percent 16 5 7" xfId="1825"/>
    <cellStyle name="Percent 16 5 7 2" xfId="2971"/>
    <cellStyle name="Percent 16 5 8" xfId="1826"/>
    <cellStyle name="Percent 16 5 8 2" xfId="2972"/>
    <cellStyle name="Percent 16 5 9" xfId="1827"/>
    <cellStyle name="Percent 16 5 9 2" xfId="2973"/>
    <cellStyle name="Percent 16 6" xfId="1828"/>
    <cellStyle name="Percent 16 6 10" xfId="1829"/>
    <cellStyle name="Percent 16 6 10 2" xfId="2975"/>
    <cellStyle name="Percent 16 6 11" xfId="1830"/>
    <cellStyle name="Percent 16 6 11 2" xfId="2976"/>
    <cellStyle name="Percent 16 6 12" xfId="1831"/>
    <cellStyle name="Percent 16 6 12 2" xfId="2977"/>
    <cellStyle name="Percent 16 6 13" xfId="1832"/>
    <cellStyle name="Percent 16 6 13 2" xfId="2978"/>
    <cellStyle name="Percent 16 6 14" xfId="1833"/>
    <cellStyle name="Percent 16 6 14 2" xfId="2979"/>
    <cellStyle name="Percent 16 6 15" xfId="1834"/>
    <cellStyle name="Percent 16 6 15 2" xfId="2980"/>
    <cellStyle name="Percent 16 6 16" xfId="1835"/>
    <cellStyle name="Percent 16 6 16 2" xfId="2981"/>
    <cellStyle name="Percent 16 6 17" xfId="1836"/>
    <cellStyle name="Percent 16 6 17 2" xfId="2982"/>
    <cellStyle name="Percent 16 6 18" xfId="2974"/>
    <cellStyle name="Percent 16 6 2" xfId="1837"/>
    <cellStyle name="Percent 16 6 2 2" xfId="2983"/>
    <cellStyle name="Percent 16 6 3" xfId="1838"/>
    <cellStyle name="Percent 16 6 3 2" xfId="2984"/>
    <cellStyle name="Percent 16 6 4" xfId="1839"/>
    <cellStyle name="Percent 16 6 4 2" xfId="2985"/>
    <cellStyle name="Percent 16 6 5" xfId="1840"/>
    <cellStyle name="Percent 16 6 5 2" xfId="2986"/>
    <cellStyle name="Percent 16 6 6" xfId="1841"/>
    <cellStyle name="Percent 16 6 6 2" xfId="2987"/>
    <cellStyle name="Percent 16 6 7" xfId="1842"/>
    <cellStyle name="Percent 16 6 7 2" xfId="2988"/>
    <cellStyle name="Percent 16 6 8" xfId="1843"/>
    <cellStyle name="Percent 16 6 8 2" xfId="2989"/>
    <cellStyle name="Percent 16 6 9" xfId="1844"/>
    <cellStyle name="Percent 16 6 9 2" xfId="2990"/>
    <cellStyle name="Percent 16 7" xfId="1845"/>
    <cellStyle name="Percent 16 7 10" xfId="1846"/>
    <cellStyle name="Percent 16 7 10 2" xfId="2992"/>
    <cellStyle name="Percent 16 7 11" xfId="1847"/>
    <cellStyle name="Percent 16 7 11 2" xfId="2993"/>
    <cellStyle name="Percent 16 7 12" xfId="1848"/>
    <cellStyle name="Percent 16 7 12 2" xfId="2994"/>
    <cellStyle name="Percent 16 7 13" xfId="1849"/>
    <cellStyle name="Percent 16 7 13 2" xfId="2995"/>
    <cellStyle name="Percent 16 7 14" xfId="1850"/>
    <cellStyle name="Percent 16 7 14 2" xfId="2996"/>
    <cellStyle name="Percent 16 7 15" xfId="1851"/>
    <cellStyle name="Percent 16 7 15 2" xfId="2997"/>
    <cellStyle name="Percent 16 7 16" xfId="1852"/>
    <cellStyle name="Percent 16 7 16 2" xfId="2998"/>
    <cellStyle name="Percent 16 7 17" xfId="1853"/>
    <cellStyle name="Percent 16 7 17 2" xfId="2999"/>
    <cellStyle name="Percent 16 7 18" xfId="2991"/>
    <cellStyle name="Percent 16 7 2" xfId="1854"/>
    <cellStyle name="Percent 16 7 2 2" xfId="3000"/>
    <cellStyle name="Percent 16 7 3" xfId="1855"/>
    <cellStyle name="Percent 16 7 3 2" xfId="3001"/>
    <cellStyle name="Percent 16 7 4" xfId="1856"/>
    <cellStyle name="Percent 16 7 4 2" xfId="3002"/>
    <cellStyle name="Percent 16 7 5" xfId="1857"/>
    <cellStyle name="Percent 16 7 5 2" xfId="3003"/>
    <cellStyle name="Percent 16 7 6" xfId="1858"/>
    <cellStyle name="Percent 16 7 6 2" xfId="3004"/>
    <cellStyle name="Percent 16 7 7" xfId="1859"/>
    <cellStyle name="Percent 16 7 7 2" xfId="3005"/>
    <cellStyle name="Percent 16 7 8" xfId="1860"/>
    <cellStyle name="Percent 16 7 8 2" xfId="3006"/>
    <cellStyle name="Percent 16 7 9" xfId="1861"/>
    <cellStyle name="Percent 16 7 9 2" xfId="3007"/>
    <cellStyle name="Percent 16 8" xfId="1862"/>
    <cellStyle name="Percent 16 8 10" xfId="1863"/>
    <cellStyle name="Percent 16 8 10 2" xfId="3009"/>
    <cellStyle name="Percent 16 8 11" xfId="1864"/>
    <cellStyle name="Percent 16 8 11 2" xfId="3010"/>
    <cellStyle name="Percent 16 8 12" xfId="1865"/>
    <cellStyle name="Percent 16 8 12 2" xfId="3011"/>
    <cellStyle name="Percent 16 8 13" xfId="1866"/>
    <cellStyle name="Percent 16 8 13 2" xfId="3012"/>
    <cellStyle name="Percent 16 8 14" xfId="1867"/>
    <cellStyle name="Percent 16 8 14 2" xfId="3013"/>
    <cellStyle name="Percent 16 8 15" xfId="1868"/>
    <cellStyle name="Percent 16 8 15 2" xfId="3014"/>
    <cellStyle name="Percent 16 8 16" xfId="1869"/>
    <cellStyle name="Percent 16 8 16 2" xfId="3015"/>
    <cellStyle name="Percent 16 8 17" xfId="1870"/>
    <cellStyle name="Percent 16 8 17 2" xfId="3016"/>
    <cellStyle name="Percent 16 8 18" xfId="3008"/>
    <cellStyle name="Percent 16 8 2" xfId="1871"/>
    <cellStyle name="Percent 16 8 2 2" xfId="3017"/>
    <cellStyle name="Percent 16 8 3" xfId="1872"/>
    <cellStyle name="Percent 16 8 3 2" xfId="3018"/>
    <cellStyle name="Percent 16 8 4" xfId="1873"/>
    <cellStyle name="Percent 16 8 4 2" xfId="3019"/>
    <cellStyle name="Percent 16 8 5" xfId="1874"/>
    <cellStyle name="Percent 16 8 5 2" xfId="3020"/>
    <cellStyle name="Percent 16 8 6" xfId="1875"/>
    <cellStyle name="Percent 16 8 6 2" xfId="3021"/>
    <cellStyle name="Percent 16 8 7" xfId="1876"/>
    <cellStyle name="Percent 16 8 7 2" xfId="3022"/>
    <cellStyle name="Percent 16 8 8" xfId="1877"/>
    <cellStyle name="Percent 16 8 8 2" xfId="3023"/>
    <cellStyle name="Percent 16 8 9" xfId="1878"/>
    <cellStyle name="Percent 16 8 9 2" xfId="3024"/>
    <cellStyle name="Percent 16 9" xfId="1879"/>
    <cellStyle name="Percent 16 9 10" xfId="1880"/>
    <cellStyle name="Percent 16 9 10 2" xfId="3026"/>
    <cellStyle name="Percent 16 9 11" xfId="1881"/>
    <cellStyle name="Percent 16 9 11 2" xfId="3027"/>
    <cellStyle name="Percent 16 9 12" xfId="1882"/>
    <cellStyle name="Percent 16 9 12 2" xfId="3028"/>
    <cellStyle name="Percent 16 9 13" xfId="1883"/>
    <cellStyle name="Percent 16 9 13 2" xfId="3029"/>
    <cellStyle name="Percent 16 9 14" xfId="1884"/>
    <cellStyle name="Percent 16 9 14 2" xfId="3030"/>
    <cellStyle name="Percent 16 9 15" xfId="1885"/>
    <cellStyle name="Percent 16 9 15 2" xfId="3031"/>
    <cellStyle name="Percent 16 9 16" xfId="1886"/>
    <cellStyle name="Percent 16 9 16 2" xfId="3032"/>
    <cellStyle name="Percent 16 9 17" xfId="1887"/>
    <cellStyle name="Percent 16 9 17 2" xfId="3033"/>
    <cellStyle name="Percent 16 9 18" xfId="3025"/>
    <cellStyle name="Percent 16 9 2" xfId="1888"/>
    <cellStyle name="Percent 16 9 2 2" xfId="3034"/>
    <cellStyle name="Percent 16 9 3" xfId="1889"/>
    <cellStyle name="Percent 16 9 3 2" xfId="3035"/>
    <cellStyle name="Percent 16 9 4" xfId="1890"/>
    <cellStyle name="Percent 16 9 4 2" xfId="3036"/>
    <cellStyle name="Percent 16 9 5" xfId="1891"/>
    <cellStyle name="Percent 16 9 5 2" xfId="3037"/>
    <cellStyle name="Percent 16 9 6" xfId="1892"/>
    <cellStyle name="Percent 16 9 6 2" xfId="3038"/>
    <cellStyle name="Percent 16 9 7" xfId="1893"/>
    <cellStyle name="Percent 16 9 7 2" xfId="3039"/>
    <cellStyle name="Percent 16 9 8" xfId="1894"/>
    <cellStyle name="Percent 16 9 8 2" xfId="3040"/>
    <cellStyle name="Percent 16 9 9" xfId="1895"/>
    <cellStyle name="Percent 16 9 9 2" xfId="3041"/>
    <cellStyle name="Percent 17" xfId="1896"/>
    <cellStyle name="Percent 18" xfId="1897"/>
    <cellStyle name="Percent 19" xfId="1898"/>
    <cellStyle name="Percent 2" xfId="1899"/>
    <cellStyle name="Percent 2 10" xfId="1900"/>
    <cellStyle name="Percent 2 10 2" xfId="1901"/>
    <cellStyle name="Percent 2 10 2 2" xfId="3044"/>
    <cellStyle name="Percent 2 10 3" xfId="1902"/>
    <cellStyle name="Percent 2 10 3 2" xfId="3045"/>
    <cellStyle name="Percent 2 10 4" xfId="1903"/>
    <cellStyle name="Percent 2 10 4 2" xfId="3046"/>
    <cellStyle name="Percent 2 10 5" xfId="1904"/>
    <cellStyle name="Percent 2 10 5 2" xfId="3047"/>
    <cellStyle name="Percent 2 10 6" xfId="1905"/>
    <cellStyle name="Percent 2 10 6 2" xfId="3048"/>
    <cellStyle name="Percent 2 10 7" xfId="1906"/>
    <cellStyle name="Percent 2 10 7 2" xfId="3049"/>
    <cellStyle name="Percent 2 10 8" xfId="1907"/>
    <cellStyle name="Percent 2 10 8 2" xfId="3050"/>
    <cellStyle name="Percent 2 10 9" xfId="3043"/>
    <cellStyle name="Percent 2 11" xfId="1908"/>
    <cellStyle name="Percent 2 11 2" xfId="1909"/>
    <cellStyle name="Percent 2 11 2 2" xfId="3052"/>
    <cellStyle name="Percent 2 11 3" xfId="1910"/>
    <cellStyle name="Percent 2 11 3 2" xfId="3053"/>
    <cellStyle name="Percent 2 11 4" xfId="1911"/>
    <cellStyle name="Percent 2 11 4 2" xfId="3054"/>
    <cellStyle name="Percent 2 11 5" xfId="1912"/>
    <cellStyle name="Percent 2 11 5 2" xfId="3055"/>
    <cellStyle name="Percent 2 11 6" xfId="1913"/>
    <cellStyle name="Percent 2 11 6 2" xfId="3056"/>
    <cellStyle name="Percent 2 11 7" xfId="1914"/>
    <cellStyle name="Percent 2 11 7 2" xfId="3057"/>
    <cellStyle name="Percent 2 11 8" xfId="1915"/>
    <cellStyle name="Percent 2 11 8 2" xfId="3058"/>
    <cellStyle name="Percent 2 11 9" xfId="3051"/>
    <cellStyle name="Percent 2 12" xfId="1916"/>
    <cellStyle name="Percent 2 12 2" xfId="3059"/>
    <cellStyle name="Percent 2 13" xfId="1917"/>
    <cellStyle name="Percent 2 13 2" xfId="3060"/>
    <cellStyle name="Percent 2 14" xfId="1918"/>
    <cellStyle name="Percent 2 14 2" xfId="3061"/>
    <cellStyle name="Percent 2 15" xfId="1919"/>
    <cellStyle name="Percent 2 15 2" xfId="3062"/>
    <cellStyle name="Percent 2 16" xfId="1920"/>
    <cellStyle name="Percent 2 16 2" xfId="3063"/>
    <cellStyle name="Percent 2 17" xfId="1921"/>
    <cellStyle name="Percent 2 17 2" xfId="3064"/>
    <cellStyle name="Percent 2 18" xfId="1922"/>
    <cellStyle name="Percent 2 18 2" xfId="3065"/>
    <cellStyle name="Percent 2 19" xfId="3042"/>
    <cellStyle name="Percent 2 2" xfId="1923"/>
    <cellStyle name="Percent 2 2 2" xfId="1924"/>
    <cellStyle name="Percent 2 2 2 2" xfId="3067"/>
    <cellStyle name="Percent 2 2 3" xfId="1925"/>
    <cellStyle name="Percent 2 2 3 2" xfId="3068"/>
    <cellStyle name="Percent 2 2 4" xfId="1926"/>
    <cellStyle name="Percent 2 2 4 2" xfId="3069"/>
    <cellStyle name="Percent 2 2 5" xfId="1927"/>
    <cellStyle name="Percent 2 2 5 2" xfId="3070"/>
    <cellStyle name="Percent 2 2 6" xfId="1928"/>
    <cellStyle name="Percent 2 2 6 2" xfId="3071"/>
    <cellStyle name="Percent 2 2 7" xfId="1929"/>
    <cellStyle name="Percent 2 2 7 2" xfId="3072"/>
    <cellStyle name="Percent 2 2 8" xfId="1930"/>
    <cellStyle name="Percent 2 2 8 2" xfId="3073"/>
    <cellStyle name="Percent 2 2 9" xfId="3066"/>
    <cellStyle name="Percent 2 3" xfId="1931"/>
    <cellStyle name="Percent 2 3 2" xfId="1932"/>
    <cellStyle name="Percent 2 3 2 2" xfId="3075"/>
    <cellStyle name="Percent 2 3 3" xfId="1933"/>
    <cellStyle name="Percent 2 3 3 2" xfId="3076"/>
    <cellStyle name="Percent 2 3 4" xfId="1934"/>
    <cellStyle name="Percent 2 3 4 2" xfId="3077"/>
    <cellStyle name="Percent 2 3 5" xfId="1935"/>
    <cellStyle name="Percent 2 3 5 2" xfId="3078"/>
    <cellStyle name="Percent 2 3 6" xfId="1936"/>
    <cellStyle name="Percent 2 3 6 2" xfId="3079"/>
    <cellStyle name="Percent 2 3 7" xfId="1937"/>
    <cellStyle name="Percent 2 3 7 2" xfId="3080"/>
    <cellStyle name="Percent 2 3 8" xfId="1938"/>
    <cellStyle name="Percent 2 3 8 2" xfId="3081"/>
    <cellStyle name="Percent 2 3 9" xfId="3074"/>
    <cellStyle name="Percent 2 4" xfId="1939"/>
    <cellStyle name="Percent 2 4 2" xfId="1940"/>
    <cellStyle name="Percent 2 4 2 2" xfId="3083"/>
    <cellStyle name="Percent 2 4 3" xfId="1941"/>
    <cellStyle name="Percent 2 4 3 2" xfId="3084"/>
    <cellStyle name="Percent 2 4 4" xfId="1942"/>
    <cellStyle name="Percent 2 4 4 2" xfId="3085"/>
    <cellStyle name="Percent 2 4 5" xfId="1943"/>
    <cellStyle name="Percent 2 4 5 2" xfId="3086"/>
    <cellStyle name="Percent 2 4 6" xfId="1944"/>
    <cellStyle name="Percent 2 4 6 2" xfId="3087"/>
    <cellStyle name="Percent 2 4 7" xfId="1945"/>
    <cellStyle name="Percent 2 4 7 2" xfId="3088"/>
    <cellStyle name="Percent 2 4 8" xfId="1946"/>
    <cellStyle name="Percent 2 4 8 2" xfId="3089"/>
    <cellStyle name="Percent 2 4 9" xfId="3082"/>
    <cellStyle name="Percent 2 5" xfId="1947"/>
    <cellStyle name="Percent 2 5 2" xfId="1948"/>
    <cellStyle name="Percent 2 5 2 2" xfId="3091"/>
    <cellStyle name="Percent 2 5 3" xfId="1949"/>
    <cellStyle name="Percent 2 5 3 2" xfId="3092"/>
    <cellStyle name="Percent 2 5 4" xfId="1950"/>
    <cellStyle name="Percent 2 5 4 2" xfId="3093"/>
    <cellStyle name="Percent 2 5 5" xfId="1951"/>
    <cellStyle name="Percent 2 5 5 2" xfId="3094"/>
    <cellStyle name="Percent 2 5 6" xfId="1952"/>
    <cellStyle name="Percent 2 5 6 2" xfId="3095"/>
    <cellStyle name="Percent 2 5 7" xfId="1953"/>
    <cellStyle name="Percent 2 5 7 2" xfId="3096"/>
    <cellStyle name="Percent 2 5 8" xfId="1954"/>
    <cellStyle name="Percent 2 5 8 2" xfId="3097"/>
    <cellStyle name="Percent 2 5 9" xfId="3090"/>
    <cellStyle name="Percent 2 6" xfId="1955"/>
    <cellStyle name="Percent 2 6 2" xfId="1956"/>
    <cellStyle name="Percent 2 6 2 2" xfId="3099"/>
    <cellStyle name="Percent 2 6 3" xfId="1957"/>
    <cellStyle name="Percent 2 6 3 2" xfId="3100"/>
    <cellStyle name="Percent 2 6 4" xfId="1958"/>
    <cellStyle name="Percent 2 6 4 2" xfId="3101"/>
    <cellStyle name="Percent 2 6 5" xfId="1959"/>
    <cellStyle name="Percent 2 6 5 2" xfId="3102"/>
    <cellStyle name="Percent 2 6 6" xfId="1960"/>
    <cellStyle name="Percent 2 6 6 2" xfId="3103"/>
    <cellStyle name="Percent 2 6 7" xfId="1961"/>
    <cellStyle name="Percent 2 6 7 2" xfId="3104"/>
    <cellStyle name="Percent 2 6 8" xfId="1962"/>
    <cellStyle name="Percent 2 6 8 2" xfId="3105"/>
    <cellStyle name="Percent 2 6 9" xfId="3098"/>
    <cellStyle name="Percent 2 7" xfId="1963"/>
    <cellStyle name="Percent 2 7 2" xfId="1964"/>
    <cellStyle name="Percent 2 7 2 2" xfId="3107"/>
    <cellStyle name="Percent 2 7 3" xfId="1965"/>
    <cellStyle name="Percent 2 7 3 2" xfId="3108"/>
    <cellStyle name="Percent 2 7 4" xfId="1966"/>
    <cellStyle name="Percent 2 7 4 2" xfId="3109"/>
    <cellStyle name="Percent 2 7 5" xfId="1967"/>
    <cellStyle name="Percent 2 7 5 2" xfId="3110"/>
    <cellStyle name="Percent 2 7 6" xfId="1968"/>
    <cellStyle name="Percent 2 7 6 2" xfId="3111"/>
    <cellStyle name="Percent 2 7 7" xfId="1969"/>
    <cellStyle name="Percent 2 7 7 2" xfId="3112"/>
    <cellStyle name="Percent 2 7 8" xfId="1970"/>
    <cellStyle name="Percent 2 7 8 2" xfId="3113"/>
    <cellStyle name="Percent 2 7 9" xfId="3106"/>
    <cellStyle name="Percent 2 8" xfId="1971"/>
    <cellStyle name="Percent 2 8 2" xfId="1972"/>
    <cellStyle name="Percent 2 8 2 2" xfId="3115"/>
    <cellStyle name="Percent 2 8 3" xfId="1973"/>
    <cellStyle name="Percent 2 8 3 2" xfId="3116"/>
    <cellStyle name="Percent 2 8 4" xfId="1974"/>
    <cellStyle name="Percent 2 8 4 2" xfId="3117"/>
    <cellStyle name="Percent 2 8 5" xfId="1975"/>
    <cellStyle name="Percent 2 8 5 2" xfId="3118"/>
    <cellStyle name="Percent 2 8 6" xfId="1976"/>
    <cellStyle name="Percent 2 8 6 2" xfId="3119"/>
    <cellStyle name="Percent 2 8 7" xfId="1977"/>
    <cellStyle name="Percent 2 8 7 2" xfId="3120"/>
    <cellStyle name="Percent 2 8 8" xfId="1978"/>
    <cellStyle name="Percent 2 8 8 2" xfId="3121"/>
    <cellStyle name="Percent 2 8 9" xfId="3114"/>
    <cellStyle name="Percent 2 9" xfId="1979"/>
    <cellStyle name="Percent 2 9 2" xfId="1980"/>
    <cellStyle name="Percent 2 9 2 2" xfId="3123"/>
    <cellStyle name="Percent 2 9 3" xfId="1981"/>
    <cellStyle name="Percent 2 9 3 2" xfId="3124"/>
    <cellStyle name="Percent 2 9 4" xfId="1982"/>
    <cellStyle name="Percent 2 9 4 2" xfId="3125"/>
    <cellStyle name="Percent 2 9 5" xfId="1983"/>
    <cellStyle name="Percent 2 9 5 2" xfId="3126"/>
    <cellStyle name="Percent 2 9 6" xfId="1984"/>
    <cellStyle name="Percent 2 9 6 2" xfId="3127"/>
    <cellStyle name="Percent 2 9 7" xfId="1985"/>
    <cellStyle name="Percent 2 9 7 2" xfId="3128"/>
    <cellStyle name="Percent 2 9 8" xfId="1986"/>
    <cellStyle name="Percent 2 9 8 2" xfId="3129"/>
    <cellStyle name="Percent 2 9 9" xfId="3122"/>
    <cellStyle name="Percent 20" xfId="1987"/>
    <cellStyle name="Percent 20 2" xfId="1988"/>
    <cellStyle name="Percent 20 2 2" xfId="3131"/>
    <cellStyle name="Percent 20 3" xfId="3130"/>
    <cellStyle name="Percent 21" xfId="1989"/>
    <cellStyle name="Percent 22" xfId="1990"/>
    <cellStyle name="Percent 23" xfId="1991"/>
    <cellStyle name="Percent 24" xfId="2863"/>
    <cellStyle name="Percent 3" xfId="1992"/>
    <cellStyle name="Percent 3 2" xfId="1993"/>
    <cellStyle name="Percent 3 2 2" xfId="3133"/>
    <cellStyle name="Percent 3 3" xfId="1994"/>
    <cellStyle name="Percent 3 3 2" xfId="3134"/>
    <cellStyle name="Percent 3 4" xfId="1995"/>
    <cellStyle name="Percent 3 4 2" xfId="3135"/>
    <cellStyle name="Percent 3 5" xfId="1996"/>
    <cellStyle name="Percent 3 5 2" xfId="3136"/>
    <cellStyle name="Percent 3 6" xfId="1997"/>
    <cellStyle name="Percent 3 6 2" xfId="3137"/>
    <cellStyle name="Percent 3 7" xfId="1998"/>
    <cellStyle name="Percent 3 7 2" xfId="3138"/>
    <cellStyle name="Percent 3 8" xfId="1999"/>
    <cellStyle name="Percent 3 8 2" xfId="3139"/>
    <cellStyle name="Percent 3 9" xfId="3132"/>
    <cellStyle name="Percent 4" xfId="2000"/>
    <cellStyle name="Percent 4 10" xfId="2001"/>
    <cellStyle name="Percent 4 10 2" xfId="3141"/>
    <cellStyle name="Percent 4 11" xfId="2002"/>
    <cellStyle name="Percent 4 11 2" xfId="3142"/>
    <cellStyle name="Percent 4 12" xfId="2003"/>
    <cellStyle name="Percent 4 12 2" xfId="3143"/>
    <cellStyle name="Percent 4 13" xfId="2004"/>
    <cellStyle name="Percent 4 13 2" xfId="3144"/>
    <cellStyle name="Percent 4 14" xfId="3140"/>
    <cellStyle name="Percent 4 2" xfId="2005"/>
    <cellStyle name="Percent 4 2 2" xfId="2006"/>
    <cellStyle name="Percent 4 2 2 2" xfId="3146"/>
    <cellStyle name="Percent 4 2 3" xfId="2007"/>
    <cellStyle name="Percent 4 2 3 2" xfId="3147"/>
    <cellStyle name="Percent 4 2 4" xfId="2008"/>
    <cellStyle name="Percent 4 2 4 2" xfId="3148"/>
    <cellStyle name="Percent 4 2 5" xfId="2009"/>
    <cellStyle name="Percent 4 2 5 2" xfId="3149"/>
    <cellStyle name="Percent 4 2 6" xfId="2010"/>
    <cellStyle name="Percent 4 2 6 2" xfId="3150"/>
    <cellStyle name="Percent 4 2 7" xfId="2011"/>
    <cellStyle name="Percent 4 2 7 2" xfId="3151"/>
    <cellStyle name="Percent 4 2 8" xfId="2012"/>
    <cellStyle name="Percent 4 2 8 2" xfId="3152"/>
    <cellStyle name="Percent 4 2 9" xfId="3145"/>
    <cellStyle name="Percent 4 3" xfId="2013"/>
    <cellStyle name="Percent 4 3 2" xfId="2014"/>
    <cellStyle name="Percent 4 3 2 2" xfId="3154"/>
    <cellStyle name="Percent 4 3 3" xfId="2015"/>
    <cellStyle name="Percent 4 3 3 2" xfId="3155"/>
    <cellStyle name="Percent 4 3 4" xfId="2016"/>
    <cellStyle name="Percent 4 3 4 2" xfId="3156"/>
    <cellStyle name="Percent 4 3 5" xfId="2017"/>
    <cellStyle name="Percent 4 3 5 2" xfId="3157"/>
    <cellStyle name="Percent 4 3 6" xfId="2018"/>
    <cellStyle name="Percent 4 3 6 2" xfId="3158"/>
    <cellStyle name="Percent 4 3 7" xfId="2019"/>
    <cellStyle name="Percent 4 3 7 2" xfId="3159"/>
    <cellStyle name="Percent 4 3 8" xfId="2020"/>
    <cellStyle name="Percent 4 3 8 2" xfId="3160"/>
    <cellStyle name="Percent 4 3 9" xfId="3153"/>
    <cellStyle name="Percent 4 4" xfId="2021"/>
    <cellStyle name="Percent 4 4 2" xfId="2022"/>
    <cellStyle name="Percent 4 4 2 2" xfId="3162"/>
    <cellStyle name="Percent 4 4 3" xfId="2023"/>
    <cellStyle name="Percent 4 4 3 2" xfId="3163"/>
    <cellStyle name="Percent 4 4 4" xfId="2024"/>
    <cellStyle name="Percent 4 4 4 2" xfId="3164"/>
    <cellStyle name="Percent 4 4 5" xfId="2025"/>
    <cellStyle name="Percent 4 4 5 2" xfId="3165"/>
    <cellStyle name="Percent 4 4 6" xfId="2026"/>
    <cellStyle name="Percent 4 4 6 2" xfId="3166"/>
    <cellStyle name="Percent 4 4 7" xfId="2027"/>
    <cellStyle name="Percent 4 4 7 2" xfId="3167"/>
    <cellStyle name="Percent 4 4 8" xfId="2028"/>
    <cellStyle name="Percent 4 4 8 2" xfId="3168"/>
    <cellStyle name="Percent 4 4 9" xfId="3161"/>
    <cellStyle name="Percent 4 5" xfId="2029"/>
    <cellStyle name="Percent 4 5 2" xfId="2030"/>
    <cellStyle name="Percent 4 5 2 2" xfId="3170"/>
    <cellStyle name="Percent 4 5 3" xfId="2031"/>
    <cellStyle name="Percent 4 5 3 2" xfId="3171"/>
    <cellStyle name="Percent 4 5 4" xfId="2032"/>
    <cellStyle name="Percent 4 5 4 2" xfId="3172"/>
    <cellStyle name="Percent 4 5 5" xfId="2033"/>
    <cellStyle name="Percent 4 5 5 2" xfId="3173"/>
    <cellStyle name="Percent 4 5 6" xfId="2034"/>
    <cellStyle name="Percent 4 5 6 2" xfId="3174"/>
    <cellStyle name="Percent 4 5 7" xfId="2035"/>
    <cellStyle name="Percent 4 5 7 2" xfId="3175"/>
    <cellStyle name="Percent 4 5 8" xfId="2036"/>
    <cellStyle name="Percent 4 5 8 2" xfId="3176"/>
    <cellStyle name="Percent 4 5 9" xfId="3169"/>
    <cellStyle name="Percent 4 6" xfId="2037"/>
    <cellStyle name="Percent 4 6 2" xfId="2038"/>
    <cellStyle name="Percent 4 6 2 2" xfId="3178"/>
    <cellStyle name="Percent 4 6 3" xfId="2039"/>
    <cellStyle name="Percent 4 6 3 2" xfId="3179"/>
    <cellStyle name="Percent 4 6 4" xfId="2040"/>
    <cellStyle name="Percent 4 6 4 2" xfId="3180"/>
    <cellStyle name="Percent 4 6 5" xfId="2041"/>
    <cellStyle name="Percent 4 6 5 2" xfId="3181"/>
    <cellStyle name="Percent 4 6 6" xfId="2042"/>
    <cellStyle name="Percent 4 6 6 2" xfId="3182"/>
    <cellStyle name="Percent 4 6 7" xfId="2043"/>
    <cellStyle name="Percent 4 6 7 2" xfId="3183"/>
    <cellStyle name="Percent 4 6 8" xfId="2044"/>
    <cellStyle name="Percent 4 6 8 2" xfId="3184"/>
    <cellStyle name="Percent 4 6 9" xfId="3177"/>
    <cellStyle name="Percent 4 7" xfId="2045"/>
    <cellStyle name="Percent 4 7 2" xfId="3185"/>
    <cellStyle name="Percent 4 8" xfId="2046"/>
    <cellStyle name="Percent 4 8 2" xfId="3186"/>
    <cellStyle name="Percent 4 9" xfId="2047"/>
    <cellStyle name="Percent 4 9 2" xfId="3187"/>
    <cellStyle name="Percent 5" xfId="2048"/>
    <cellStyle name="Percent 5 2" xfId="2049"/>
    <cellStyle name="Percent 5 2 2" xfId="3189"/>
    <cellStyle name="Percent 5 3" xfId="2050"/>
    <cellStyle name="Percent 5 3 2" xfId="3190"/>
    <cellStyle name="Percent 5 4" xfId="2051"/>
    <cellStyle name="Percent 5 4 2" xfId="3191"/>
    <cellStyle name="Percent 5 5" xfId="2052"/>
    <cellStyle name="Percent 5 5 2" xfId="3192"/>
    <cellStyle name="Percent 5 6" xfId="2053"/>
    <cellStyle name="Percent 5 6 2" xfId="3193"/>
    <cellStyle name="Percent 5 7" xfId="2054"/>
    <cellStyle name="Percent 5 7 2" xfId="3194"/>
    <cellStyle name="Percent 5 8" xfId="2055"/>
    <cellStyle name="Percent 5 8 2" xfId="3195"/>
    <cellStyle name="Percent 5 9" xfId="3188"/>
    <cellStyle name="Percent 6" xfId="2056"/>
    <cellStyle name="Percent 6 2" xfId="2057"/>
    <cellStyle name="Percent 6 2 2" xfId="3197"/>
    <cellStyle name="Percent 6 3" xfId="2058"/>
    <cellStyle name="Percent 6 3 2" xfId="3198"/>
    <cellStyle name="Percent 6 4" xfId="2059"/>
    <cellStyle name="Percent 6 4 2" xfId="3199"/>
    <cellStyle name="Percent 6 5" xfId="2060"/>
    <cellStyle name="Percent 6 5 2" xfId="3200"/>
    <cellStyle name="Percent 6 6" xfId="2061"/>
    <cellStyle name="Percent 6 6 2" xfId="3201"/>
    <cellStyle name="Percent 6 7" xfId="2062"/>
    <cellStyle name="Percent 6 7 2" xfId="3202"/>
    <cellStyle name="Percent 6 8" xfId="2063"/>
    <cellStyle name="Percent 6 8 2" xfId="3203"/>
    <cellStyle name="Percent 6 9" xfId="3196"/>
    <cellStyle name="Percent 7" xfId="2064"/>
    <cellStyle name="Percent 7 2" xfId="2065"/>
    <cellStyle name="Percent 7 2 2" xfId="3205"/>
    <cellStyle name="Percent 7 3" xfId="2066"/>
    <cellStyle name="Percent 7 3 2" xfId="3206"/>
    <cellStyle name="Percent 7 4" xfId="2067"/>
    <cellStyle name="Percent 7 4 2" xfId="3207"/>
    <cellStyle name="Percent 7 5" xfId="2068"/>
    <cellStyle name="Percent 7 5 2" xfId="3208"/>
    <cellStyle name="Percent 7 6" xfId="2069"/>
    <cellStyle name="Percent 7 6 2" xfId="3209"/>
    <cellStyle name="Percent 7 7" xfId="2070"/>
    <cellStyle name="Percent 7 7 2" xfId="3210"/>
    <cellStyle name="Percent 7 8" xfId="2071"/>
    <cellStyle name="Percent 7 8 2" xfId="3211"/>
    <cellStyle name="Percent 7 9" xfId="3204"/>
    <cellStyle name="Percent 8" xfId="2072"/>
    <cellStyle name="Percent 8 2" xfId="2073"/>
    <cellStyle name="Percent 8 2 2" xfId="3213"/>
    <cellStyle name="Percent 8 3" xfId="2074"/>
    <cellStyle name="Percent 8 3 2" xfId="3214"/>
    <cellStyle name="Percent 8 4" xfId="2075"/>
    <cellStyle name="Percent 8 4 2" xfId="3215"/>
    <cellStyle name="Percent 8 5" xfId="2076"/>
    <cellStyle name="Percent 8 5 2" xfId="3216"/>
    <cellStyle name="Percent 8 6" xfId="2077"/>
    <cellStyle name="Percent 8 6 2" xfId="3217"/>
    <cellStyle name="Percent 8 7" xfId="2078"/>
    <cellStyle name="Percent 8 7 2" xfId="3218"/>
    <cellStyle name="Percent 8 8" xfId="2079"/>
    <cellStyle name="Percent 8 8 2" xfId="3219"/>
    <cellStyle name="Percent 8 9" xfId="3212"/>
    <cellStyle name="Percent 9" xfId="2080"/>
    <cellStyle name="Percent 9 2" xfId="2081"/>
    <cellStyle name="Percent 9 2 2" xfId="3221"/>
    <cellStyle name="Percent 9 3" xfId="2082"/>
    <cellStyle name="Percent 9 3 2" xfId="3222"/>
    <cellStyle name="Percent 9 4" xfId="2083"/>
    <cellStyle name="Percent 9 4 2" xfId="3223"/>
    <cellStyle name="Percent 9 5" xfId="2084"/>
    <cellStyle name="Percent 9 5 2" xfId="3224"/>
    <cellStyle name="Percent 9 6" xfId="2085"/>
    <cellStyle name="Percent 9 6 2" xfId="3225"/>
    <cellStyle name="Percent 9 7" xfId="2086"/>
    <cellStyle name="Percent 9 7 2" xfId="3226"/>
    <cellStyle name="Percent 9 8" xfId="2087"/>
    <cellStyle name="Percent 9 8 2" xfId="3227"/>
    <cellStyle name="Percent 9 9" xfId="3220"/>
    <cellStyle name="Title 2" xfId="2088"/>
    <cellStyle name="Title 2 10" xfId="2089"/>
    <cellStyle name="Title 2 11" xfId="2090"/>
    <cellStyle name="Title 2 2" xfId="2091"/>
    <cellStyle name="Title 2 3" xfId="2092"/>
    <cellStyle name="Title 2 4" xfId="2093"/>
    <cellStyle name="Title 2 5" xfId="2094"/>
    <cellStyle name="Title 2 6" xfId="2095"/>
    <cellStyle name="Title 2 7" xfId="2096"/>
    <cellStyle name="Title 2 8" xfId="2097"/>
    <cellStyle name="Title 2 9" xfId="2098"/>
    <cellStyle name="Title 3" xfId="2099"/>
    <cellStyle name="Title 4" xfId="2100"/>
    <cellStyle name="Title 4 2" xfId="2101"/>
    <cellStyle name="Title 5" xfId="2102"/>
    <cellStyle name="Title 5 2" xfId="2103"/>
    <cellStyle name="Title 6" xfId="2104"/>
    <cellStyle name="Title 6 2" xfId="2105"/>
    <cellStyle name="Total 2" xfId="2106"/>
    <cellStyle name="Total 2 10" xfId="2107"/>
    <cellStyle name="Total 2 11" xfId="2108"/>
    <cellStyle name="Total 2 2" xfId="2109"/>
    <cellStyle name="Total 2 3" xfId="2110"/>
    <cellStyle name="Total 2 4" xfId="2111"/>
    <cellStyle name="Total 2 5" xfId="2112"/>
    <cellStyle name="Total 2 6" xfId="2113"/>
    <cellStyle name="Total 2 7" xfId="2114"/>
    <cellStyle name="Total 2 8" xfId="2115"/>
    <cellStyle name="Total 2 9" xfId="2116"/>
    <cellStyle name="Total 3" xfId="2117"/>
    <cellStyle name="Total 4" xfId="2118"/>
    <cellStyle name="Total 4 2" xfId="2119"/>
    <cellStyle name="Total 5" xfId="2120"/>
    <cellStyle name="Total 5 2" xfId="2121"/>
    <cellStyle name="Total 6" xfId="2122"/>
    <cellStyle name="Total 6 2" xfId="2123"/>
    <cellStyle name="Warning Text 2" xfId="2124"/>
    <cellStyle name="Warning Text 2 10" xfId="2125"/>
    <cellStyle name="Warning Text 2 2" xfId="2126"/>
    <cellStyle name="Warning Text 2 3" xfId="2127"/>
    <cellStyle name="Warning Text 2 4" xfId="2128"/>
    <cellStyle name="Warning Text 2 5" xfId="2129"/>
    <cellStyle name="Warning Text 2 6" xfId="2130"/>
    <cellStyle name="Warning Text 2 7" xfId="2131"/>
    <cellStyle name="Warning Text 2 8" xfId="2132"/>
    <cellStyle name="Warning Text 2 9" xfId="2133"/>
    <cellStyle name="Warning Text 3" xfId="2134"/>
    <cellStyle name="Warning Text 4" xfId="2135"/>
    <cellStyle name="Warning Text 4 2" xfId="2136"/>
    <cellStyle name="Warning Text 5" xfId="2137"/>
    <cellStyle name="Warning Text 5 2" xfId="2138"/>
    <cellStyle name="Warning Text 6" xfId="2139"/>
    <cellStyle name="Warning Text 6 2" xfId="2140"/>
    <cellStyle name="已访问的超链接" xfId="2141"/>
  </cellStyles>
  <dxfs count="20">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dxf>
    <dxf>
      <font>
        <condense val="0"/>
        <extend val="0"/>
        <color indexed="10"/>
      </font>
    </dxf>
    <dxf>
      <font>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00B0F0"/>
        </patternFill>
      </fill>
    </dxf>
    <dxf>
      <font>
        <color theme="0"/>
      </font>
      <fill>
        <patternFill>
          <bgColor theme="3" tint="0.39994506668294322"/>
        </patternFill>
      </fill>
    </dxf>
    <dxf>
      <font>
        <color theme="0"/>
      </font>
      <fill>
        <patternFill>
          <bgColor theme="5"/>
        </patternFill>
      </fill>
    </dxf>
    <dxf>
      <font>
        <condense val="0"/>
        <extend val="0"/>
        <color indexed="10"/>
      </font>
    </dxf>
    <dxf>
      <font>
        <condense val="0"/>
        <extend val="0"/>
        <color indexed="10"/>
      </font>
    </dxf>
    <dxf>
      <font>
        <color theme="0"/>
      </font>
      <fill>
        <patternFill>
          <bgColor theme="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107949</xdr:colOff>
      <xdr:row>65</xdr:row>
      <xdr:rowOff>172914</xdr:rowOff>
    </xdr:from>
    <xdr:to>
      <xdr:col>7</xdr:col>
      <xdr:colOff>463526</xdr:colOff>
      <xdr:row>68</xdr:row>
      <xdr:rowOff>196857</xdr:rowOff>
    </xdr:to>
    <xdr:sp macro="" textlink="">
      <xdr:nvSpPr>
        <xdr:cNvPr id="2" name="Rectangle 1"/>
        <xdr:cNvSpPr/>
      </xdr:nvSpPr>
      <xdr:spPr>
        <a:xfrm>
          <a:off x="4524374" y="11390189"/>
          <a:ext cx="1571625" cy="63988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Autoproducer</a:t>
          </a:r>
          <a:r>
            <a:rPr lang="en-GB" sz="1100" baseline="0"/>
            <a:t> CHP: 0.56</a:t>
          </a:r>
          <a:endParaRPr lang="en-GB" sz="1100"/>
        </a:p>
      </xdr:txBody>
    </xdr:sp>
    <xdr:clientData/>
  </xdr:twoCellAnchor>
  <xdr:twoCellAnchor>
    <xdr:from>
      <xdr:col>1</xdr:col>
      <xdr:colOff>17145</xdr:colOff>
      <xdr:row>64</xdr:row>
      <xdr:rowOff>37230</xdr:rowOff>
    </xdr:from>
    <xdr:to>
      <xdr:col>1</xdr:col>
      <xdr:colOff>20208</xdr:colOff>
      <xdr:row>95</xdr:row>
      <xdr:rowOff>1270</xdr:rowOff>
    </xdr:to>
    <xdr:cxnSp macro="">
      <xdr:nvCxnSpPr>
        <xdr:cNvPr id="4" name="Straight Connector 6"/>
        <xdr:cNvCxnSpPr/>
      </xdr:nvCxnSpPr>
      <xdr:spPr>
        <a:xfrm flipH="1">
          <a:off x="617220" y="110830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1162050</xdr:colOff>
      <xdr:row>65</xdr:row>
      <xdr:rowOff>168910</xdr:rowOff>
    </xdr:from>
    <xdr:to>
      <xdr:col>3</xdr:col>
      <xdr:colOff>195509</xdr:colOff>
      <xdr:row>68</xdr:row>
      <xdr:rowOff>11936</xdr:rowOff>
    </xdr:to>
    <xdr:sp macro="" textlink="">
      <xdr:nvSpPr>
        <xdr:cNvPr id="7" name="Rectangle 23"/>
        <xdr:cNvSpPr/>
      </xdr:nvSpPr>
      <xdr:spPr>
        <a:xfrm>
          <a:off x="1752600" y="11395710"/>
          <a:ext cx="1649730" cy="4495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Fuel: </a:t>
          </a:r>
        </a:p>
        <a:p>
          <a:pPr algn="ctr"/>
          <a:r>
            <a:rPr lang="en-GB" sz="1100"/>
            <a:t>11 PJ </a:t>
          </a:r>
          <a:r>
            <a:rPr lang="en-GB" sz="1100" baseline="0"/>
            <a:t> + 5 PJ for heat sold</a:t>
          </a:r>
          <a:endParaRPr lang="en-GB" sz="1100"/>
        </a:p>
      </xdr:txBody>
    </xdr:sp>
    <xdr:clientData/>
  </xdr:twoCellAnchor>
  <xdr:twoCellAnchor>
    <xdr:from>
      <xdr:col>1</xdr:col>
      <xdr:colOff>1082675</xdr:colOff>
      <xdr:row>70</xdr:row>
      <xdr:rowOff>89535</xdr:rowOff>
    </xdr:from>
    <xdr:to>
      <xdr:col>3</xdr:col>
      <xdr:colOff>159317</xdr:colOff>
      <xdr:row>72</xdr:row>
      <xdr:rowOff>98033</xdr:rowOff>
    </xdr:to>
    <xdr:sp macro="" textlink="">
      <xdr:nvSpPr>
        <xdr:cNvPr id="8" name="Rectangle 24"/>
        <xdr:cNvSpPr/>
      </xdr:nvSpPr>
      <xdr:spPr>
        <a:xfrm>
          <a:off x="1676400" y="12338685"/>
          <a:ext cx="1699260" cy="4876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Fuel</a:t>
          </a:r>
        </a:p>
      </xdr:txBody>
    </xdr:sp>
    <xdr:clientData/>
  </xdr:twoCellAnchor>
  <xdr:twoCellAnchor>
    <xdr:from>
      <xdr:col>2</xdr:col>
      <xdr:colOff>567055</xdr:colOff>
      <xdr:row>67</xdr:row>
      <xdr:rowOff>69850</xdr:rowOff>
    </xdr:from>
    <xdr:to>
      <xdr:col>5</xdr:col>
      <xdr:colOff>98458</xdr:colOff>
      <xdr:row>67</xdr:row>
      <xdr:rowOff>88900</xdr:rowOff>
    </xdr:to>
    <xdr:cxnSp macro="">
      <xdr:nvCxnSpPr>
        <xdr:cNvPr id="10" name="Straight Arrow Connector 26"/>
        <xdr:cNvCxnSpPr/>
      </xdr:nvCxnSpPr>
      <xdr:spPr>
        <a:xfrm flipV="1">
          <a:off x="3192780" y="11677650"/>
          <a:ext cx="1312545"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159385</xdr:colOff>
      <xdr:row>71</xdr:row>
      <xdr:rowOff>100868</xdr:rowOff>
    </xdr:from>
    <xdr:to>
      <xdr:col>5</xdr:col>
      <xdr:colOff>142877</xdr:colOff>
      <xdr:row>71</xdr:row>
      <xdr:rowOff>100868</xdr:rowOff>
    </xdr:to>
    <xdr:cxnSp macro="">
      <xdr:nvCxnSpPr>
        <xdr:cNvPr id="11" name="Straight Arrow Connector 27"/>
        <xdr:cNvCxnSpPr>
          <a:stCxn id="8" idx="3"/>
          <a:endCxn id="68" idx="1"/>
        </xdr:cNvCxnSpPr>
      </xdr:nvCxnSpPr>
      <xdr:spPr>
        <a:xfrm flipV="1">
          <a:off x="3375660" y="12578618"/>
          <a:ext cx="1177290" cy="3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139065</xdr:colOff>
      <xdr:row>62</xdr:row>
      <xdr:rowOff>61595</xdr:rowOff>
    </xdr:from>
    <xdr:ext cx="1544473" cy="244963"/>
    <xdr:sp macro="" textlink="">
      <xdr:nvSpPr>
        <xdr:cNvPr id="17" name="TextBox 46"/>
        <xdr:cNvSpPr txBox="1"/>
      </xdr:nvSpPr>
      <xdr:spPr>
        <a:xfrm>
          <a:off x="4748418" y="10520419"/>
          <a:ext cx="16640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rgbClr val="FF0000"/>
              </a:solidFill>
            </a:rPr>
            <a:t>Total CAPACITY: 0.56 GW</a:t>
          </a:r>
        </a:p>
      </xdr:txBody>
    </xdr:sp>
    <xdr:clientData/>
  </xdr:oneCellAnchor>
  <xdr:twoCellAnchor>
    <xdr:from>
      <xdr:col>7</xdr:col>
      <xdr:colOff>460375</xdr:colOff>
      <xdr:row>66</xdr:row>
      <xdr:rowOff>115032</xdr:rowOff>
    </xdr:from>
    <xdr:to>
      <xdr:col>9</xdr:col>
      <xdr:colOff>174716</xdr:colOff>
      <xdr:row>66</xdr:row>
      <xdr:rowOff>135223</xdr:rowOff>
    </xdr:to>
    <xdr:cxnSp macro="">
      <xdr:nvCxnSpPr>
        <xdr:cNvPr id="18" name="Straight Arrow Connector 47"/>
        <xdr:cNvCxnSpPr/>
      </xdr:nvCxnSpPr>
      <xdr:spPr>
        <a:xfrm>
          <a:off x="6086475" y="11538682"/>
          <a:ext cx="933450" cy="151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164788</xdr:colOff>
      <xdr:row>64</xdr:row>
      <xdr:rowOff>39558</xdr:rowOff>
    </xdr:from>
    <xdr:to>
      <xdr:col>9</xdr:col>
      <xdr:colOff>181199</xdr:colOff>
      <xdr:row>95</xdr:row>
      <xdr:rowOff>36198</xdr:rowOff>
    </xdr:to>
    <xdr:cxnSp macro="">
      <xdr:nvCxnSpPr>
        <xdr:cNvPr id="20" name="Straight Connector 52"/>
        <xdr:cNvCxnSpPr/>
      </xdr:nvCxnSpPr>
      <xdr:spPr>
        <a:xfrm>
          <a:off x="7013263" y="11085383"/>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8</xdr:col>
      <xdr:colOff>529179</xdr:colOff>
      <xdr:row>61</xdr:row>
      <xdr:rowOff>132715</xdr:rowOff>
    </xdr:from>
    <xdr:ext cx="1042598" cy="244963"/>
    <xdr:sp macro="" textlink="">
      <xdr:nvSpPr>
        <xdr:cNvPr id="21" name="TextBox 53"/>
        <xdr:cNvSpPr txBox="1"/>
      </xdr:nvSpPr>
      <xdr:spPr>
        <a:xfrm>
          <a:off x="7084994" y="10434656"/>
          <a:ext cx="11235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rgbClr val="FF0000"/>
              </a:solidFill>
            </a:rPr>
            <a:t>Total</a:t>
          </a:r>
          <a:r>
            <a:rPr lang="en-GB" sz="1100" b="1" baseline="0">
              <a:solidFill>
                <a:srgbClr val="FF0000"/>
              </a:solidFill>
            </a:rPr>
            <a:t> </a:t>
          </a:r>
          <a:r>
            <a:rPr lang="en-GB" sz="1100" b="1">
              <a:solidFill>
                <a:srgbClr val="FF0000"/>
              </a:solidFill>
            </a:rPr>
            <a:t>ELC: 8.5 PJ</a:t>
          </a:r>
        </a:p>
      </xdr:txBody>
    </xdr:sp>
    <xdr:clientData/>
  </xdr:oneCellAnchor>
  <xdr:oneCellAnchor>
    <xdr:from>
      <xdr:col>0</xdr:col>
      <xdr:colOff>329981</xdr:colOff>
      <xdr:row>61</xdr:row>
      <xdr:rowOff>53341</xdr:rowOff>
    </xdr:from>
    <xdr:ext cx="2247284" cy="449074"/>
    <xdr:sp macro="" textlink="">
      <xdr:nvSpPr>
        <xdr:cNvPr id="22" name="TextBox 87"/>
        <xdr:cNvSpPr txBox="1"/>
      </xdr:nvSpPr>
      <xdr:spPr>
        <a:xfrm>
          <a:off x="336331" y="10302241"/>
          <a:ext cx="232011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FUEL: </a:t>
          </a:r>
        </a:p>
        <a:p>
          <a:r>
            <a:rPr lang="en-GB" sz="1100" b="1">
              <a:solidFill>
                <a:srgbClr val="FF0000"/>
              </a:solidFill>
            </a:rPr>
            <a:t>15.6 PJ for ELE and heat sold</a:t>
          </a:r>
        </a:p>
      </xdr:txBody>
    </xdr:sp>
    <xdr:clientData/>
  </xdr:oneCellAnchor>
  <xdr:twoCellAnchor>
    <xdr:from>
      <xdr:col>10</xdr:col>
      <xdr:colOff>325288</xdr:colOff>
      <xdr:row>66</xdr:row>
      <xdr:rowOff>76520</xdr:rowOff>
    </xdr:from>
    <xdr:to>
      <xdr:col>11</xdr:col>
      <xdr:colOff>577844</xdr:colOff>
      <xdr:row>68</xdr:row>
      <xdr:rowOff>160010</xdr:rowOff>
    </xdr:to>
    <xdr:sp macro="" textlink="">
      <xdr:nvSpPr>
        <xdr:cNvPr id="44" name="Rectangle 43"/>
        <xdr:cNvSpPr/>
      </xdr:nvSpPr>
      <xdr:spPr>
        <a:xfrm>
          <a:off x="7783363" y="11496995"/>
          <a:ext cx="855811" cy="496147"/>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GB" sz="1100"/>
            <a:t>Heat: 0 PJ</a:t>
          </a:r>
        </a:p>
      </xdr:txBody>
    </xdr:sp>
    <xdr:clientData/>
  </xdr:twoCellAnchor>
  <xdr:twoCellAnchor>
    <xdr:from>
      <xdr:col>5</xdr:col>
      <xdr:colOff>142875</xdr:colOff>
      <xdr:row>70</xdr:row>
      <xdr:rowOff>76200</xdr:rowOff>
    </xdr:from>
    <xdr:to>
      <xdr:col>7</xdr:col>
      <xdr:colOff>507946</xdr:colOff>
      <xdr:row>72</xdr:row>
      <xdr:rowOff>93942</xdr:rowOff>
    </xdr:to>
    <xdr:sp macro="" textlink="">
      <xdr:nvSpPr>
        <xdr:cNvPr id="68" name="Rectangle 67"/>
        <xdr:cNvSpPr/>
      </xdr:nvSpPr>
      <xdr:spPr>
        <a:xfrm>
          <a:off x="4552950" y="12334875"/>
          <a:ext cx="1581150" cy="48748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Autoproducer</a:t>
          </a:r>
          <a:r>
            <a:rPr lang="en-GB" sz="1100" baseline="0"/>
            <a:t>  ELE only: 0</a:t>
          </a:r>
          <a:endParaRPr lang="en-GB" sz="1100"/>
        </a:p>
      </xdr:txBody>
    </xdr:sp>
    <xdr:clientData/>
  </xdr:twoCellAnchor>
  <xdr:twoCellAnchor>
    <xdr:from>
      <xdr:col>7</xdr:col>
      <xdr:colOff>508000</xdr:colOff>
      <xdr:row>71</xdr:row>
      <xdr:rowOff>76200</xdr:rowOff>
    </xdr:from>
    <xdr:to>
      <xdr:col>9</xdr:col>
      <xdr:colOff>219018</xdr:colOff>
      <xdr:row>71</xdr:row>
      <xdr:rowOff>116581</xdr:rowOff>
    </xdr:to>
    <xdr:cxnSp macro="">
      <xdr:nvCxnSpPr>
        <xdr:cNvPr id="79" name="Straight Arrow Connector 47"/>
        <xdr:cNvCxnSpPr/>
      </xdr:nvCxnSpPr>
      <xdr:spPr>
        <a:xfrm>
          <a:off x="6134100" y="12563475"/>
          <a:ext cx="933450" cy="151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463549</xdr:colOff>
      <xdr:row>67</xdr:row>
      <xdr:rowOff>108682</xdr:rowOff>
    </xdr:from>
    <xdr:to>
      <xdr:col>10</xdr:col>
      <xdr:colOff>325301</xdr:colOff>
      <xdr:row>67</xdr:row>
      <xdr:rowOff>146894</xdr:rowOff>
    </xdr:to>
    <xdr:cxnSp macro="">
      <xdr:nvCxnSpPr>
        <xdr:cNvPr id="80" name="Straight Arrow Connector 47"/>
        <xdr:cNvCxnSpPr>
          <a:stCxn id="2" idx="3"/>
          <a:endCxn id="44" idx="1"/>
        </xdr:cNvCxnSpPr>
      </xdr:nvCxnSpPr>
      <xdr:spPr>
        <a:xfrm>
          <a:off x="6095999" y="11710132"/>
          <a:ext cx="1687364" cy="349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479425</xdr:colOff>
      <xdr:row>68</xdr:row>
      <xdr:rowOff>76200</xdr:rowOff>
    </xdr:from>
    <xdr:to>
      <xdr:col>13</xdr:col>
      <xdr:colOff>165142</xdr:colOff>
      <xdr:row>68</xdr:row>
      <xdr:rowOff>99060</xdr:rowOff>
    </xdr:to>
    <xdr:cxnSp macro="">
      <xdr:nvCxnSpPr>
        <xdr:cNvPr id="84" name="Straight Arrow Connector 47"/>
        <xdr:cNvCxnSpPr/>
      </xdr:nvCxnSpPr>
      <xdr:spPr>
        <a:xfrm>
          <a:off x="6105525" y="11915775"/>
          <a:ext cx="3343275" cy="285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126999</xdr:colOff>
      <xdr:row>67</xdr:row>
      <xdr:rowOff>88900</xdr:rowOff>
    </xdr:from>
    <xdr:to>
      <xdr:col>15</xdr:col>
      <xdr:colOff>101641</xdr:colOff>
      <xdr:row>69</xdr:row>
      <xdr:rowOff>112091</xdr:rowOff>
    </xdr:to>
    <xdr:sp macro="" textlink="">
      <xdr:nvSpPr>
        <xdr:cNvPr id="88" name="Rectangle 87"/>
        <xdr:cNvSpPr/>
      </xdr:nvSpPr>
      <xdr:spPr>
        <a:xfrm>
          <a:off x="9420224" y="11696700"/>
          <a:ext cx="1190625" cy="496147"/>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GB" sz="1100"/>
            <a:t>Heat sold: </a:t>
          </a:r>
          <a:r>
            <a:rPr lang="en-GB" sz="1100" b="1">
              <a:solidFill>
                <a:srgbClr val="FF0000"/>
              </a:solidFill>
            </a:rPr>
            <a:t>2.1 PJ</a:t>
          </a:r>
        </a:p>
      </xdr:txBody>
    </xdr:sp>
    <xdr:clientData/>
  </xdr:twoCellAnchor>
  <xdr:twoCellAnchor>
    <xdr:from>
      <xdr:col>1</xdr:col>
      <xdr:colOff>3810</xdr:colOff>
      <xdr:row>71</xdr:row>
      <xdr:rowOff>56418</xdr:rowOff>
    </xdr:from>
    <xdr:to>
      <xdr:col>1</xdr:col>
      <xdr:colOff>1180217</xdr:colOff>
      <xdr:row>71</xdr:row>
      <xdr:rowOff>60325</xdr:rowOff>
    </xdr:to>
    <xdr:cxnSp macro="">
      <xdr:nvCxnSpPr>
        <xdr:cNvPr id="92" name="Straight Arrow Connector 27"/>
        <xdr:cNvCxnSpPr/>
      </xdr:nvCxnSpPr>
      <xdr:spPr>
        <a:xfrm flipV="1">
          <a:off x="594360" y="12550043"/>
          <a:ext cx="1177290" cy="3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581660</xdr:colOff>
      <xdr:row>67</xdr:row>
      <xdr:rowOff>37368</xdr:rowOff>
    </xdr:from>
    <xdr:to>
      <xdr:col>1</xdr:col>
      <xdr:colOff>1162043</xdr:colOff>
      <xdr:row>67</xdr:row>
      <xdr:rowOff>41275</xdr:rowOff>
    </xdr:to>
    <xdr:cxnSp macro="">
      <xdr:nvCxnSpPr>
        <xdr:cNvPr id="93" name="Straight Arrow Connector 27"/>
        <xdr:cNvCxnSpPr/>
      </xdr:nvCxnSpPr>
      <xdr:spPr>
        <a:xfrm flipV="1">
          <a:off x="575310" y="11654693"/>
          <a:ext cx="1177290" cy="3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554579</xdr:colOff>
      <xdr:row>64</xdr:row>
      <xdr:rowOff>135890</xdr:rowOff>
    </xdr:from>
    <xdr:ext cx="723105" cy="228069"/>
    <xdr:sp macro="" textlink="">
      <xdr:nvSpPr>
        <xdr:cNvPr id="95" name="TextBox 53"/>
        <xdr:cNvSpPr txBox="1"/>
      </xdr:nvSpPr>
      <xdr:spPr>
        <a:xfrm>
          <a:off x="6477448" y="10938361"/>
          <a:ext cx="7859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 8.5 PJ</a:t>
          </a:r>
        </a:p>
      </xdr:txBody>
    </xdr:sp>
    <xdr:clientData/>
  </xdr:oneCellAnchor>
  <xdr:oneCellAnchor>
    <xdr:from>
      <xdr:col>7</xdr:col>
      <xdr:colOff>573629</xdr:colOff>
      <xdr:row>70</xdr:row>
      <xdr:rowOff>15240</xdr:rowOff>
    </xdr:from>
    <xdr:ext cx="615257" cy="226766"/>
    <xdr:sp macro="" textlink="">
      <xdr:nvSpPr>
        <xdr:cNvPr id="96" name="TextBox 53"/>
        <xdr:cNvSpPr txBox="1"/>
      </xdr:nvSpPr>
      <xdr:spPr>
        <a:xfrm>
          <a:off x="6496498" y="12003480"/>
          <a:ext cx="678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 0 PJ</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4</xdr:row>
      <xdr:rowOff>0</xdr:rowOff>
    </xdr:from>
    <xdr:to>
      <xdr:col>27</xdr:col>
      <xdr:colOff>104775</xdr:colOff>
      <xdr:row>57</xdr:row>
      <xdr:rowOff>47625</xdr:rowOff>
    </xdr:to>
    <xdr:pic>
      <xdr:nvPicPr>
        <xdr:cNvPr id="573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734675" y="647700"/>
          <a:ext cx="6886575" cy="8886825"/>
        </a:xfrm>
        <a:prstGeom prst="rect">
          <a:avLst/>
        </a:prstGeom>
        <a:noFill/>
        <a:ln w="9525">
          <a:noFill/>
          <a:miter lim="800000"/>
          <a:headEnd/>
          <a:tailEnd/>
        </a:ln>
      </xdr:spPr>
    </xdr:pic>
    <xdr:clientData/>
  </xdr:twoCellAnchor>
  <xdr:twoCellAnchor editAs="oneCell">
    <xdr:from>
      <xdr:col>16</xdr:col>
      <xdr:colOff>57150</xdr:colOff>
      <xdr:row>58</xdr:row>
      <xdr:rowOff>104775</xdr:rowOff>
    </xdr:from>
    <xdr:to>
      <xdr:col>28</xdr:col>
      <xdr:colOff>485775</xdr:colOff>
      <xdr:row>86</xdr:row>
      <xdr:rowOff>19050</xdr:rowOff>
    </xdr:to>
    <xdr:pic>
      <xdr:nvPicPr>
        <xdr:cNvPr id="573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0791825" y="9753600"/>
          <a:ext cx="7820025" cy="4448175"/>
        </a:xfrm>
        <a:prstGeom prst="rect">
          <a:avLst/>
        </a:prstGeom>
        <a:noFill/>
        <a:ln w="9525">
          <a:noFill/>
          <a:miter lim="800000"/>
          <a:headEnd/>
          <a:tailEnd/>
        </a:ln>
      </xdr:spPr>
    </xdr:pic>
    <xdr:clientData/>
  </xdr:twoCellAnchor>
  <xdr:twoCellAnchor>
    <xdr:from>
      <xdr:col>8</xdr:col>
      <xdr:colOff>428625</xdr:colOff>
      <xdr:row>52</xdr:row>
      <xdr:rowOff>3174</xdr:rowOff>
    </xdr:from>
    <xdr:to>
      <xdr:col>13</xdr:col>
      <xdr:colOff>400050</xdr:colOff>
      <xdr:row>55</xdr:row>
      <xdr:rowOff>57185</xdr:rowOff>
    </xdr:to>
    <xdr:sp macro="" textlink="">
      <xdr:nvSpPr>
        <xdr:cNvPr id="4" name="Curved Down Arrow 3"/>
        <xdr:cNvSpPr/>
      </xdr:nvSpPr>
      <xdr:spPr>
        <a:xfrm rot="10800000">
          <a:off x="5695950" y="8486774"/>
          <a:ext cx="2676525" cy="600075"/>
        </a:xfrm>
        <a:prstGeom prst="curved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nl-B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0</xdr:colOff>
      <xdr:row>82</xdr:row>
      <xdr:rowOff>0</xdr:rowOff>
    </xdr:from>
    <xdr:to>
      <xdr:col>39</xdr:col>
      <xdr:colOff>338666</xdr:colOff>
      <xdr:row>87</xdr:row>
      <xdr:rowOff>52917</xdr:rowOff>
    </xdr:to>
    <xdr:sp macro="" textlink="">
      <xdr:nvSpPr>
        <xdr:cNvPr id="3" name="Oval 2"/>
        <xdr:cNvSpPr/>
      </xdr:nvSpPr>
      <xdr:spPr>
        <a:xfrm>
          <a:off x="27283833" y="12033250"/>
          <a:ext cx="2794000" cy="84666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No</a:t>
          </a:r>
          <a:r>
            <a:rPr lang="en-GB" sz="1400" b="1" baseline="0"/>
            <a:t> data from 2002 for NO/IS/CH</a:t>
          </a:r>
          <a:endParaRPr lang="en-GB"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illian\groups\SAGE\saic_technology\ResCOM\New%20Microsoft%20Excel%20Work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rillian\groups\VEDA_Models\NEEDS_SE\SUBRES_TMPL\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rillian\groups\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icrosoft Excel Worksheet"/>
      <sheetName val="AGR_Fuels"/>
      <sheetName val="TechRep-Doc"/>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_Emi"/>
      <sheetName val="AGR"/>
      <sheetName val="RES_Fuels"/>
      <sheetName val="RES_Emi"/>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OM_Emi"/>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s>
    <sheetDataSet>
      <sheetData sheetId="0" refreshError="1"/>
      <sheetData sheetId="1" refreshError="1"/>
      <sheetData sheetId="2">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epp.eurostat.ec.europa.eu/portal/page/portal/product_results/search_results?mo=containsall&amp;ms=combined+heat&amp;saa=&amp;p_action=SUBMIT&amp;l=us&amp;co=equal&amp;_ci=,&amp;po=equal&amp;_pi=,&amp;gisco=inclu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T121"/>
  <sheetViews>
    <sheetView tabSelected="1" zoomScale="115" zoomScaleNormal="115" workbookViewId="0">
      <selection activeCell="B12" sqref="B12"/>
    </sheetView>
  </sheetViews>
  <sheetFormatPr defaultColWidth="9.140625" defaultRowHeight="12.75"/>
  <cols>
    <col min="1" max="1" width="8.85546875" style="185" customWidth="1"/>
    <col min="2" max="2" width="30.42578125" bestFit="1" customWidth="1"/>
    <col min="3" max="4" width="8.85546875" style="185" customWidth="1"/>
    <col min="5" max="16384" width="9.140625" style="185"/>
  </cols>
  <sheetData>
    <row r="1" spans="2:2">
      <c r="B1" s="185"/>
    </row>
    <row r="2" spans="2:2">
      <c r="B2" s="185"/>
    </row>
    <row r="3" spans="2:2">
      <c r="B3" s="185"/>
    </row>
    <row r="4" spans="2:2">
      <c r="B4" s="192" t="s">
        <v>464</v>
      </c>
    </row>
    <row r="5" spans="2:2" ht="18">
      <c r="B5" s="168" t="s">
        <v>457</v>
      </c>
    </row>
    <row r="6" spans="2:2" ht="18">
      <c r="B6" s="169" t="s">
        <v>458</v>
      </c>
    </row>
    <row r="7" spans="2:2" ht="18">
      <c r="B7" s="170" t="s">
        <v>459</v>
      </c>
    </row>
    <row r="8" spans="2:2">
      <c r="B8" s="185"/>
    </row>
    <row r="9" spans="2:2">
      <c r="B9" s="185"/>
    </row>
    <row r="10" spans="2:2">
      <c r="B10" s="185"/>
    </row>
    <row r="11" spans="2:2">
      <c r="B11" s="185"/>
    </row>
    <row r="12" spans="2:2">
      <c r="B12" s="185"/>
    </row>
    <row r="13" spans="2:2">
      <c r="B13" s="192" t="s">
        <v>460</v>
      </c>
    </row>
    <row r="14" spans="2:2" ht="18">
      <c r="B14" s="169" t="s">
        <v>458</v>
      </c>
    </row>
    <row r="15" spans="2:2">
      <c r="B15" s="185"/>
    </row>
    <row r="16" spans="2:2">
      <c r="B16" s="185"/>
    </row>
    <row r="17" spans="2:8">
      <c r="B17" s="185"/>
    </row>
    <row r="18" spans="2:8">
      <c r="B18" s="185"/>
    </row>
    <row r="19" spans="2:8">
      <c r="B19" s="185"/>
    </row>
    <row r="20" spans="2:8">
      <c r="B20" s="185"/>
    </row>
    <row r="21" spans="2:8">
      <c r="B21" s="185"/>
    </row>
    <row r="22" spans="2:8">
      <c r="B22" s="185"/>
    </row>
    <row r="23" spans="2:8">
      <c r="B23" s="185"/>
    </row>
    <row r="24" spans="2:8">
      <c r="B24" s="192" t="s">
        <v>465</v>
      </c>
    </row>
    <row r="25" spans="2:8" ht="18">
      <c r="B25" s="170" t="s">
        <v>459</v>
      </c>
    </row>
    <row r="26" spans="2:8">
      <c r="B26" s="185"/>
    </row>
    <row r="27" spans="2:8" ht="15">
      <c r="B27" s="187" t="s">
        <v>449</v>
      </c>
    </row>
    <row r="28" spans="2:8" ht="15">
      <c r="B28" s="185"/>
      <c r="C28" s="187" t="s">
        <v>440</v>
      </c>
    </row>
    <row r="29" spans="2:8" ht="15">
      <c r="B29" s="188"/>
      <c r="C29" s="189"/>
      <c r="D29" s="189"/>
      <c r="E29" s="189"/>
      <c r="F29" s="189"/>
      <c r="G29" s="189"/>
      <c r="H29" s="189"/>
    </row>
    <row r="30" spans="2:8" ht="15">
      <c r="B30" s="185"/>
      <c r="C30" s="188" t="s">
        <v>443</v>
      </c>
      <c r="D30" s="189"/>
      <c r="E30" s="189"/>
      <c r="F30" s="189"/>
      <c r="G30" s="189"/>
      <c r="H30" s="189"/>
    </row>
    <row r="31" spans="2:8" ht="15">
      <c r="B31" s="185"/>
      <c r="C31" s="188" t="s">
        <v>442</v>
      </c>
      <c r="D31" s="190" t="s">
        <v>441</v>
      </c>
      <c r="E31" s="189"/>
      <c r="F31" s="189"/>
      <c r="G31" s="189"/>
      <c r="H31" s="189"/>
    </row>
    <row r="32" spans="2:8" ht="15">
      <c r="B32" s="185"/>
      <c r="C32" s="189"/>
      <c r="D32" s="189"/>
      <c r="E32" s="189"/>
      <c r="F32" s="189"/>
      <c r="G32" s="189"/>
      <c r="H32" s="189"/>
    </row>
    <row r="33" spans="2:8" ht="15">
      <c r="B33" s="185"/>
      <c r="D33" s="191" t="s">
        <v>446</v>
      </c>
      <c r="E33" s="189"/>
      <c r="F33" s="189"/>
      <c r="G33" s="189"/>
      <c r="H33" s="189"/>
    </row>
    <row r="34" spans="2:8" ht="15">
      <c r="B34" s="185"/>
      <c r="D34" s="189"/>
      <c r="E34" s="188" t="s">
        <v>444</v>
      </c>
      <c r="F34" s="189"/>
      <c r="G34" s="189"/>
      <c r="H34" s="189"/>
    </row>
    <row r="35" spans="2:8" ht="15">
      <c r="B35" s="185"/>
      <c r="D35" s="189"/>
      <c r="E35" s="188" t="s">
        <v>445</v>
      </c>
      <c r="F35" s="189"/>
      <c r="G35" s="189"/>
      <c r="H35" s="189"/>
    </row>
    <row r="36" spans="2:8" ht="15">
      <c r="B36" s="185"/>
      <c r="D36" s="189"/>
      <c r="E36" s="188"/>
      <c r="F36" s="189"/>
      <c r="G36" s="189"/>
      <c r="H36" s="189"/>
    </row>
    <row r="37" spans="2:8" ht="15">
      <c r="B37" s="185"/>
      <c r="D37" s="191" t="s">
        <v>447</v>
      </c>
      <c r="E37" s="189"/>
      <c r="F37" s="189"/>
      <c r="G37" s="189"/>
      <c r="H37" s="189"/>
    </row>
    <row r="38" spans="2:8" ht="15">
      <c r="B38" s="185"/>
      <c r="D38" s="189"/>
      <c r="E38" s="191" t="s">
        <v>444</v>
      </c>
      <c r="F38" s="189"/>
      <c r="G38" s="189"/>
      <c r="H38" s="189"/>
    </row>
    <row r="39" spans="2:8" ht="15">
      <c r="B39" s="185"/>
      <c r="D39" s="189"/>
      <c r="E39" s="191" t="s">
        <v>448</v>
      </c>
      <c r="F39" s="189"/>
      <c r="G39" s="189"/>
      <c r="H39" s="189"/>
    </row>
    <row r="40" spans="2:8" ht="15">
      <c r="B40" s="189"/>
      <c r="C40" s="191"/>
      <c r="D40" s="189"/>
      <c r="E40" s="189"/>
      <c r="F40" s="189"/>
      <c r="G40" s="189"/>
      <c r="H40" s="189"/>
    </row>
    <row r="41" spans="2:8" ht="15">
      <c r="B41" s="188" t="s">
        <v>454</v>
      </c>
      <c r="C41" s="189"/>
      <c r="D41" s="189"/>
      <c r="E41" s="189"/>
      <c r="F41" s="189"/>
      <c r="G41" s="189"/>
      <c r="H41" s="189"/>
    </row>
    <row r="42" spans="2:8" ht="15">
      <c r="B42" s="188"/>
      <c r="C42" s="189" t="s">
        <v>453</v>
      </c>
      <c r="D42" s="189"/>
      <c r="E42" s="189"/>
      <c r="F42" s="189"/>
      <c r="G42" s="189"/>
      <c r="H42" s="189"/>
    </row>
    <row r="43" spans="2:8" ht="15">
      <c r="B43" s="189"/>
      <c r="C43" s="191"/>
      <c r="D43" s="189"/>
      <c r="E43" s="189"/>
      <c r="F43" s="189"/>
      <c r="G43" s="189"/>
      <c r="H43" s="189"/>
    </row>
    <row r="44" spans="2:8" ht="15">
      <c r="B44" s="188" t="s">
        <v>434</v>
      </c>
      <c r="C44" s="189"/>
      <c r="D44" s="189"/>
      <c r="E44" s="189"/>
      <c r="F44" s="189"/>
      <c r="G44" s="189"/>
      <c r="H44" s="189"/>
    </row>
    <row r="45" spans="2:8" ht="15">
      <c r="B45" s="187" t="s">
        <v>435</v>
      </c>
    </row>
    <row r="46" spans="2:8" ht="15">
      <c r="B46" s="187" t="s">
        <v>436</v>
      </c>
    </row>
    <row r="47" spans="2:8" ht="15">
      <c r="B47" s="187"/>
    </row>
    <row r="48" spans="2:8" ht="15">
      <c r="B48" s="187" t="s">
        <v>437</v>
      </c>
    </row>
    <row r="49" spans="2:15" ht="15">
      <c r="B49" s="187"/>
    </row>
    <row r="50" spans="2:15" ht="15">
      <c r="B50" s="187" t="s">
        <v>1078</v>
      </c>
    </row>
    <row r="51" spans="2:15" ht="15">
      <c r="B51" s="187" t="s">
        <v>1077</v>
      </c>
    </row>
    <row r="52" spans="2:15" ht="15">
      <c r="B52" s="187"/>
    </row>
    <row r="53" spans="2:15" ht="15">
      <c r="B53" s="187"/>
    </row>
    <row r="54" spans="2:15" ht="30.75" customHeight="1">
      <c r="B54" s="187" t="s">
        <v>1076</v>
      </c>
    </row>
    <row r="55" spans="2:15" ht="15">
      <c r="B55" s="187"/>
    </row>
    <row r="56" spans="2:15" ht="15">
      <c r="B56" s="187"/>
    </row>
    <row r="57" spans="2:15" ht="15">
      <c r="B57" s="187" t="s">
        <v>438</v>
      </c>
    </row>
    <row r="58" spans="2:15" ht="15">
      <c r="B58" s="187" t="s">
        <v>450</v>
      </c>
    </row>
    <row r="59" spans="2:15" ht="15">
      <c r="B59" s="187" t="s">
        <v>439</v>
      </c>
    </row>
    <row r="60" spans="2:15">
      <c r="B60" s="185"/>
    </row>
    <row r="61" spans="2:15">
      <c r="B61" s="185"/>
    </row>
    <row r="62" spans="2:15">
      <c r="B62" s="185"/>
    </row>
    <row r="63" spans="2:15">
      <c r="B63" s="185"/>
    </row>
    <row r="64" spans="2:15" ht="15">
      <c r="B64" s="193"/>
      <c r="C64" s="193"/>
      <c r="D64" s="193"/>
      <c r="E64" s="193"/>
      <c r="F64" s="193"/>
      <c r="G64" s="193"/>
      <c r="H64" s="193"/>
      <c r="I64" s="193"/>
      <c r="J64" s="193"/>
      <c r="K64" s="193"/>
      <c r="L64" s="193"/>
      <c r="M64" s="193"/>
      <c r="N64" s="193"/>
      <c r="O64" s="193"/>
    </row>
    <row r="65" spans="2:20" ht="15">
      <c r="B65" s="193"/>
      <c r="C65" s="193"/>
      <c r="D65" s="193"/>
      <c r="E65" s="193"/>
      <c r="F65" s="193"/>
      <c r="G65" s="193"/>
      <c r="H65" s="193"/>
      <c r="I65" s="193"/>
      <c r="J65" s="193"/>
      <c r="K65" s="193"/>
      <c r="L65" s="193"/>
      <c r="M65" s="193"/>
      <c r="N65" s="193"/>
      <c r="O65" s="193"/>
    </row>
    <row r="66" spans="2:20" ht="15">
      <c r="B66" s="193"/>
      <c r="C66" s="193"/>
      <c r="D66" s="193"/>
      <c r="E66" s="193"/>
      <c r="F66" s="193"/>
      <c r="G66" s="193"/>
      <c r="H66" s="193"/>
      <c r="I66" s="193"/>
      <c r="J66" s="193"/>
      <c r="K66" s="193"/>
      <c r="L66" s="193"/>
      <c r="M66" s="193"/>
      <c r="N66" s="193"/>
      <c r="O66" s="193"/>
    </row>
    <row r="67" spans="2:20" ht="15">
      <c r="B67" s="193"/>
      <c r="C67" s="193"/>
      <c r="D67" s="193"/>
      <c r="E67" s="193"/>
      <c r="F67" s="193"/>
      <c r="G67" s="193"/>
      <c r="H67" s="193"/>
      <c r="I67" s="193"/>
      <c r="J67" s="193"/>
      <c r="K67" s="193"/>
      <c r="L67" s="193"/>
      <c r="M67" s="193"/>
      <c r="N67" s="193"/>
      <c r="O67" s="193"/>
    </row>
    <row r="68" spans="2:20" ht="18">
      <c r="B68" s="193"/>
      <c r="C68" s="193"/>
      <c r="D68" s="193"/>
      <c r="E68" s="193"/>
      <c r="F68" s="193"/>
      <c r="G68" s="193"/>
      <c r="H68" s="193"/>
      <c r="I68" s="193"/>
      <c r="J68" s="193"/>
      <c r="K68" s="193"/>
      <c r="L68" s="193"/>
      <c r="M68" s="193"/>
      <c r="N68" s="193"/>
      <c r="O68" s="194"/>
    </row>
    <row r="69" spans="2:20" ht="18">
      <c r="B69" s="193"/>
      <c r="C69" s="193"/>
      <c r="D69" s="193"/>
      <c r="E69" s="193"/>
      <c r="F69" s="193"/>
      <c r="G69" s="193"/>
      <c r="H69" s="193"/>
      <c r="I69" s="193"/>
      <c r="J69" s="193"/>
      <c r="K69" s="193"/>
      <c r="L69" s="193"/>
      <c r="M69" s="193"/>
      <c r="N69" s="193"/>
      <c r="O69" s="194"/>
    </row>
    <row r="70" spans="2:20" ht="15">
      <c r="B70" s="193"/>
      <c r="C70" s="193"/>
      <c r="D70" s="193"/>
      <c r="E70" s="193"/>
      <c r="F70" s="193"/>
      <c r="G70" s="193"/>
      <c r="H70" s="193"/>
      <c r="I70" s="193"/>
      <c r="J70" s="193"/>
      <c r="K70" s="193"/>
      <c r="L70" s="193"/>
      <c r="M70" s="193"/>
      <c r="N70" s="193"/>
      <c r="O70" s="193"/>
    </row>
    <row r="71" spans="2:20" ht="18">
      <c r="B71" s="193"/>
      <c r="C71" s="193"/>
      <c r="D71" s="193"/>
      <c r="E71" s="193"/>
      <c r="F71" s="193"/>
      <c r="G71" s="193"/>
      <c r="H71" s="193"/>
      <c r="I71" s="193"/>
      <c r="J71" s="193"/>
      <c r="K71" s="193"/>
      <c r="L71" s="193"/>
      <c r="M71" s="193"/>
      <c r="N71" s="193"/>
      <c r="O71" s="194"/>
    </row>
    <row r="72" spans="2:20" ht="18">
      <c r="B72" s="193"/>
      <c r="C72" s="193"/>
      <c r="D72" s="193"/>
      <c r="E72" s="193"/>
      <c r="F72" s="193"/>
      <c r="G72" s="193"/>
      <c r="H72" s="193"/>
      <c r="I72" s="193"/>
      <c r="J72" s="193"/>
      <c r="K72" s="193"/>
      <c r="L72" s="193"/>
      <c r="M72" s="193"/>
      <c r="N72" s="193" t="s">
        <v>11</v>
      </c>
      <c r="O72" s="186" t="s">
        <v>468</v>
      </c>
      <c r="P72" s="186" t="s">
        <v>469</v>
      </c>
      <c r="Q72" s="186" t="s">
        <v>149</v>
      </c>
      <c r="R72" s="194" t="s">
        <v>390</v>
      </c>
      <c r="S72" s="186" t="s">
        <v>406</v>
      </c>
      <c r="T72" s="186" t="s">
        <v>470</v>
      </c>
    </row>
    <row r="73" spans="2:20" ht="15">
      <c r="B73" s="193"/>
      <c r="C73" s="193"/>
      <c r="D73" s="193"/>
      <c r="E73" s="193"/>
      <c r="F73" s="193"/>
      <c r="G73" s="193"/>
      <c r="H73" s="193"/>
      <c r="I73" s="193"/>
      <c r="J73" s="193"/>
      <c r="K73" s="193"/>
      <c r="L73" s="193" t="s">
        <v>466</v>
      </c>
      <c r="M73" s="193"/>
      <c r="N73" s="198">
        <v>0.17637120328061187</v>
      </c>
      <c r="O73" s="185">
        <v>0.4</v>
      </c>
      <c r="P73" s="185">
        <v>0.4</v>
      </c>
      <c r="Q73" s="185">
        <v>0</v>
      </c>
      <c r="R73" s="196">
        <f>N73*Q73*8760*3.6/1000</f>
        <v>0</v>
      </c>
      <c r="S73" s="197">
        <f>R73*P73/O73</f>
        <v>0</v>
      </c>
      <c r="T73" s="197">
        <f>R73/O73</f>
        <v>0</v>
      </c>
    </row>
    <row r="74" spans="2:20" ht="15">
      <c r="B74" s="193"/>
      <c r="C74" s="193"/>
      <c r="D74" s="193"/>
      <c r="E74" s="193"/>
      <c r="F74" s="193"/>
      <c r="G74" s="193"/>
      <c r="H74" s="193"/>
      <c r="I74" s="193"/>
      <c r="J74" s="193"/>
      <c r="K74" s="193"/>
      <c r="L74" s="193" t="s">
        <v>467</v>
      </c>
      <c r="M74" s="193"/>
      <c r="N74" s="193">
        <f>0.56-N73</f>
        <v>0.38362879671938821</v>
      </c>
      <c r="O74" s="185">
        <v>0.45</v>
      </c>
      <c r="Q74" s="184">
        <v>0.58025582881397653</v>
      </c>
      <c r="R74" s="196">
        <f>N74*Q74*8760*3.6/1000</f>
        <v>7.020003332449793</v>
      </c>
      <c r="S74" s="185">
        <v>0</v>
      </c>
      <c r="T74" s="197">
        <f>R74/O74</f>
        <v>15.600007405443984</v>
      </c>
    </row>
    <row r="75" spans="2:20" ht="15">
      <c r="B75" s="193"/>
      <c r="C75" s="193"/>
      <c r="D75" s="193"/>
      <c r="E75" s="193"/>
      <c r="F75" s="193"/>
      <c r="G75" s="193"/>
      <c r="H75" s="193"/>
      <c r="I75" s="193"/>
      <c r="J75" s="193"/>
      <c r="K75" s="193"/>
      <c r="L75" s="186" t="s">
        <v>169</v>
      </c>
      <c r="N75" s="193"/>
      <c r="O75" s="193"/>
      <c r="R75" s="197">
        <f>R73+R74</f>
        <v>7.020003332449793</v>
      </c>
      <c r="S75" s="197"/>
      <c r="T75" s="197">
        <f>T73+T74</f>
        <v>15.600007405443984</v>
      </c>
    </row>
    <row r="76" spans="2:20" ht="15">
      <c r="B76" s="193"/>
      <c r="C76" s="193"/>
      <c r="D76" s="193"/>
      <c r="E76" s="193"/>
      <c r="F76" s="193"/>
      <c r="G76" s="193"/>
      <c r="H76" s="193"/>
      <c r="I76" s="193"/>
      <c r="J76" s="193"/>
      <c r="K76" s="193"/>
      <c r="N76" s="193"/>
      <c r="O76" s="193"/>
      <c r="R76" s="185">
        <v>8.5</v>
      </c>
      <c r="T76" s="185">
        <v>15.6</v>
      </c>
    </row>
    <row r="77" spans="2:20" ht="15">
      <c r="B77" s="193"/>
      <c r="C77" s="193"/>
      <c r="D77" s="193"/>
      <c r="E77" s="193"/>
      <c r="F77" s="193"/>
      <c r="G77" s="193"/>
      <c r="H77" s="193"/>
      <c r="I77" s="193"/>
      <c r="J77" s="193"/>
      <c r="K77" s="193"/>
      <c r="N77" s="193"/>
      <c r="O77" s="193"/>
    </row>
    <row r="78" spans="2:20" ht="15">
      <c r="B78" s="193"/>
      <c r="C78" s="193"/>
      <c r="D78" s="193"/>
      <c r="E78" s="193"/>
      <c r="F78" s="193"/>
      <c r="G78" s="193"/>
      <c r="H78" s="193"/>
      <c r="I78" s="193"/>
      <c r="J78" s="193"/>
      <c r="K78" s="193"/>
      <c r="N78" s="193"/>
      <c r="O78" s="193"/>
    </row>
    <row r="79" spans="2:20" ht="15">
      <c r="B79" s="193"/>
      <c r="C79" s="193"/>
      <c r="D79" s="193"/>
      <c r="E79" s="193"/>
      <c r="F79" s="193"/>
      <c r="G79" s="193"/>
      <c r="H79" s="193"/>
      <c r="I79" s="193"/>
      <c r="J79" s="193"/>
      <c r="K79" s="193"/>
      <c r="L79" s="193"/>
      <c r="M79" s="193"/>
      <c r="N79" s="193"/>
      <c r="O79" s="193"/>
    </row>
    <row r="80" spans="2:20" ht="15">
      <c r="B80" s="193"/>
      <c r="C80" s="193"/>
      <c r="D80" s="193"/>
      <c r="E80" s="193"/>
      <c r="F80" s="193"/>
      <c r="G80" s="193"/>
      <c r="H80" s="193"/>
      <c r="I80" s="193"/>
      <c r="J80" s="193"/>
      <c r="K80" s="193"/>
      <c r="L80" s="193"/>
      <c r="M80" s="193"/>
      <c r="N80" s="193"/>
      <c r="O80" s="193"/>
    </row>
    <row r="81" spans="2:15" ht="15">
      <c r="B81" s="193"/>
      <c r="C81" s="193"/>
      <c r="D81" s="193"/>
      <c r="E81" s="193"/>
      <c r="F81" s="193"/>
      <c r="G81" s="193"/>
      <c r="H81" s="193"/>
      <c r="I81" s="193"/>
      <c r="J81" s="193"/>
      <c r="K81" s="193"/>
      <c r="L81" s="193"/>
      <c r="M81" s="193"/>
      <c r="N81" s="193"/>
      <c r="O81" s="193"/>
    </row>
    <row r="82" spans="2:15" ht="15">
      <c r="B82" s="193"/>
      <c r="C82" s="193"/>
      <c r="D82" s="193"/>
      <c r="E82" s="193"/>
      <c r="F82" s="193"/>
      <c r="G82" s="193"/>
      <c r="H82" s="193"/>
      <c r="I82" s="193"/>
      <c r="J82" s="193"/>
      <c r="K82" s="193"/>
      <c r="L82" s="195"/>
      <c r="M82" s="193"/>
      <c r="N82" s="193"/>
      <c r="O82" s="193"/>
    </row>
    <row r="83" spans="2:15" ht="15">
      <c r="B83" s="193"/>
      <c r="C83" s="193"/>
      <c r="D83" s="193"/>
      <c r="E83" s="193"/>
      <c r="F83" s="193"/>
      <c r="G83" s="193"/>
      <c r="H83" s="193"/>
      <c r="I83" s="193"/>
      <c r="J83" s="193"/>
      <c r="K83" s="193"/>
      <c r="L83" s="193"/>
      <c r="M83" s="193"/>
      <c r="N83" s="193"/>
      <c r="O83" s="193"/>
    </row>
    <row r="84" spans="2:15" ht="15">
      <c r="B84" s="193"/>
      <c r="C84" s="193"/>
      <c r="D84" s="193"/>
      <c r="E84" s="193"/>
      <c r="F84" s="193"/>
      <c r="G84" s="193"/>
      <c r="H84" s="193"/>
      <c r="I84" s="193"/>
      <c r="J84" s="193"/>
      <c r="K84" s="193"/>
      <c r="L84" s="193"/>
      <c r="M84" s="193"/>
      <c r="N84" s="193"/>
      <c r="O84" s="193"/>
    </row>
    <row r="85" spans="2:15" ht="15">
      <c r="B85" s="193"/>
      <c r="C85" s="193"/>
      <c r="D85" s="193"/>
      <c r="E85" s="193"/>
      <c r="F85" s="193"/>
      <c r="G85" s="193"/>
      <c r="H85" s="193"/>
      <c r="I85" s="193"/>
      <c r="J85" s="193"/>
      <c r="K85" s="193"/>
      <c r="L85" s="193"/>
      <c r="M85" s="193"/>
      <c r="N85" s="193"/>
      <c r="O85" s="193"/>
    </row>
    <row r="86" spans="2:15" ht="15">
      <c r="B86" s="193"/>
      <c r="C86" s="193"/>
      <c r="D86" s="193"/>
      <c r="E86" s="193"/>
      <c r="F86" s="193"/>
      <c r="G86" s="193"/>
      <c r="H86" s="193"/>
      <c r="I86" s="193"/>
      <c r="J86" s="193"/>
      <c r="K86" s="193"/>
      <c r="L86" s="193"/>
      <c r="M86" s="193"/>
      <c r="N86" s="193"/>
      <c r="O86" s="193"/>
    </row>
    <row r="87" spans="2:15" ht="15">
      <c r="B87" s="193"/>
      <c r="C87" s="193"/>
      <c r="D87" s="193"/>
      <c r="E87" s="193"/>
      <c r="F87" s="193"/>
      <c r="G87" s="193"/>
      <c r="H87" s="193"/>
      <c r="I87" s="193"/>
      <c r="J87" s="193"/>
      <c r="K87" s="193"/>
      <c r="L87" s="193"/>
      <c r="M87" s="193"/>
      <c r="N87" s="193"/>
      <c r="O87" s="193"/>
    </row>
    <row r="88" spans="2:15" ht="15">
      <c r="B88" s="193"/>
      <c r="C88" s="193"/>
      <c r="D88" s="193"/>
      <c r="E88" s="193"/>
      <c r="F88" s="193"/>
      <c r="G88" s="193"/>
      <c r="H88" s="193"/>
      <c r="I88" s="193"/>
      <c r="J88" s="193"/>
      <c r="K88" s="193"/>
      <c r="L88" s="193"/>
      <c r="M88" s="193"/>
      <c r="N88" s="193"/>
      <c r="O88" s="193"/>
    </row>
    <row r="89" spans="2:15" ht="15">
      <c r="B89" s="193"/>
      <c r="C89" s="193"/>
      <c r="D89" s="193"/>
      <c r="E89" s="193"/>
      <c r="F89" s="193"/>
      <c r="G89" s="193"/>
      <c r="H89" s="193"/>
      <c r="I89" s="193"/>
      <c r="J89" s="193"/>
      <c r="K89" s="193"/>
      <c r="L89" s="193"/>
      <c r="M89" s="193"/>
      <c r="N89" s="193"/>
      <c r="O89" s="193"/>
    </row>
    <row r="90" spans="2:15" ht="15">
      <c r="B90" s="193"/>
      <c r="C90" s="193"/>
      <c r="D90" s="193"/>
      <c r="E90" s="193"/>
      <c r="F90" s="193"/>
      <c r="G90" s="193"/>
      <c r="H90" s="193"/>
      <c r="I90" s="193"/>
      <c r="J90" s="193"/>
      <c r="K90" s="193"/>
      <c r="L90" s="193"/>
      <c r="M90" s="193"/>
      <c r="N90" s="193"/>
      <c r="O90" s="193"/>
    </row>
    <row r="91" spans="2:15" ht="15">
      <c r="B91" s="193"/>
      <c r="C91" s="193"/>
      <c r="D91" s="193"/>
      <c r="E91" s="193"/>
      <c r="F91" s="193"/>
      <c r="G91" s="193"/>
      <c r="H91" s="193"/>
      <c r="I91" s="193"/>
      <c r="J91" s="193"/>
      <c r="K91" s="193"/>
      <c r="L91" s="193"/>
      <c r="M91" s="193"/>
      <c r="N91" s="193"/>
      <c r="O91" s="193"/>
    </row>
    <row r="92" spans="2:15" ht="15">
      <c r="B92" s="193"/>
      <c r="C92" s="193"/>
      <c r="D92" s="193"/>
      <c r="E92" s="193"/>
      <c r="F92" s="193"/>
      <c r="G92" s="193"/>
      <c r="H92" s="193"/>
      <c r="I92" s="193"/>
      <c r="J92" s="193"/>
      <c r="K92" s="193"/>
      <c r="L92" s="193"/>
      <c r="M92" s="193"/>
      <c r="N92" s="193"/>
      <c r="O92" s="193"/>
    </row>
    <row r="93" spans="2:15" ht="15">
      <c r="B93" s="193"/>
      <c r="C93" s="193"/>
      <c r="D93" s="193"/>
      <c r="E93" s="193"/>
      <c r="F93" s="193"/>
      <c r="G93" s="193"/>
      <c r="H93" s="193"/>
      <c r="I93" s="193"/>
      <c r="J93" s="193"/>
      <c r="K93" s="193"/>
      <c r="L93" s="193"/>
      <c r="M93" s="193"/>
      <c r="N93" s="193"/>
      <c r="O93" s="193"/>
    </row>
    <row r="94" spans="2:15" ht="15">
      <c r="B94" s="193"/>
      <c r="C94" s="193"/>
      <c r="D94" s="193"/>
      <c r="E94" s="193"/>
      <c r="F94" s="193"/>
      <c r="G94" s="193"/>
      <c r="H94" s="193"/>
      <c r="I94" s="193"/>
      <c r="J94" s="193"/>
      <c r="K94" s="193"/>
      <c r="L94" s="193"/>
      <c r="M94" s="193"/>
      <c r="N94" s="193"/>
      <c r="O94" s="193"/>
    </row>
    <row r="95" spans="2:15" ht="15">
      <c r="B95" s="193"/>
      <c r="C95" s="193"/>
      <c r="D95" s="193"/>
      <c r="E95" s="193"/>
      <c r="F95" s="193"/>
      <c r="G95" s="193"/>
      <c r="H95" s="193"/>
      <c r="I95" s="193"/>
      <c r="J95" s="193"/>
      <c r="K95" s="193"/>
      <c r="L95" s="193"/>
      <c r="M95" s="193"/>
      <c r="N95" s="193"/>
      <c r="O95" s="193"/>
    </row>
    <row r="96" spans="2:15" ht="15">
      <c r="B96" s="193"/>
      <c r="C96" s="193"/>
      <c r="D96" s="193"/>
      <c r="E96" s="193"/>
      <c r="F96" s="193"/>
      <c r="G96" s="193"/>
      <c r="H96" s="193"/>
      <c r="I96" s="193"/>
      <c r="J96" s="193"/>
      <c r="K96" s="193"/>
      <c r="L96" s="193"/>
      <c r="M96" s="193"/>
      <c r="N96" s="193"/>
      <c r="O96" s="193"/>
    </row>
    <row r="97" spans="2:15" ht="15">
      <c r="B97" s="193"/>
      <c r="C97" s="193"/>
      <c r="D97" s="193"/>
      <c r="E97" s="193"/>
      <c r="F97" s="193"/>
      <c r="G97" s="193"/>
      <c r="H97" s="193"/>
      <c r="I97" s="193"/>
      <c r="J97" s="193"/>
      <c r="K97" s="193"/>
      <c r="L97" s="193"/>
      <c r="M97" s="193"/>
      <c r="N97" s="193"/>
      <c r="O97" s="193"/>
    </row>
    <row r="98" spans="2:15" ht="15">
      <c r="B98" s="193"/>
      <c r="C98" s="193"/>
      <c r="D98" s="193"/>
      <c r="E98" s="193"/>
      <c r="F98" s="193"/>
      <c r="G98" s="193"/>
      <c r="H98" s="193"/>
      <c r="I98" s="193"/>
      <c r="J98" s="193"/>
      <c r="K98" s="193"/>
      <c r="L98" s="193"/>
      <c r="M98" s="193"/>
      <c r="N98" s="193"/>
      <c r="O98" s="193"/>
    </row>
    <row r="99" spans="2:15" ht="15">
      <c r="B99" s="193"/>
      <c r="C99" s="193"/>
      <c r="D99" s="193"/>
      <c r="E99" s="193"/>
      <c r="F99" s="193"/>
      <c r="G99" s="193"/>
      <c r="H99" s="193"/>
      <c r="I99" s="193"/>
      <c r="J99" s="193"/>
      <c r="K99" s="193"/>
      <c r="L99" s="193"/>
      <c r="M99" s="193"/>
      <c r="N99" s="193"/>
      <c r="O99" s="193"/>
    </row>
    <row r="100" spans="2:15">
      <c r="B100" s="185"/>
    </row>
    <row r="101" spans="2:15">
      <c r="B101" s="185"/>
    </row>
    <row r="102" spans="2:15">
      <c r="B102" s="185"/>
    </row>
    <row r="103" spans="2:15">
      <c r="B103" s="185"/>
    </row>
    <row r="104" spans="2:15">
      <c r="B104" s="185"/>
    </row>
    <row r="105" spans="2:15">
      <c r="B105" s="185"/>
    </row>
    <row r="106" spans="2:15">
      <c r="B106" s="185"/>
    </row>
    <row r="107" spans="2:15">
      <c r="B107" s="185"/>
    </row>
    <row r="108" spans="2:15">
      <c r="B108" s="185"/>
    </row>
    <row r="109" spans="2:15">
      <c r="B109" s="185"/>
    </row>
    <row r="110" spans="2:15">
      <c r="B110" s="185"/>
    </row>
    <row r="111" spans="2:15">
      <c r="B111" s="185"/>
    </row>
    <row r="112" spans="2:15">
      <c r="B112" s="185"/>
    </row>
    <row r="113" spans="2:2">
      <c r="B113" s="185"/>
    </row>
    <row r="114" spans="2:2">
      <c r="B114" s="185"/>
    </row>
    <row r="115" spans="2:2">
      <c r="B115" s="185"/>
    </row>
    <row r="116" spans="2:2">
      <c r="B116" s="185"/>
    </row>
    <row r="117" spans="2:2">
      <c r="B117" s="185"/>
    </row>
    <row r="118" spans="2:2">
      <c r="B118" s="185"/>
    </row>
    <row r="119" spans="2:2">
      <c r="B119" s="185"/>
    </row>
    <row r="120" spans="2:2">
      <c r="B120" s="185"/>
    </row>
    <row r="121" spans="2:2">
      <c r="B121" s="18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00B0F0"/>
  </sheetPr>
  <dimension ref="A1:AV85"/>
  <sheetViews>
    <sheetView zoomScale="85" zoomScaleNormal="85" workbookViewId="0">
      <selection activeCell="K49" sqref="K49:L49"/>
    </sheetView>
  </sheetViews>
  <sheetFormatPr defaultRowHeight="12.75"/>
  <cols>
    <col min="1" max="1" width="6.140625" customWidth="1"/>
    <col min="2" max="2" width="44.7109375" customWidth="1"/>
    <col min="3" max="3" width="12.140625" bestFit="1" customWidth="1"/>
    <col min="4" max="22" width="10.28515625" customWidth="1"/>
    <col min="23" max="23" width="10.42578125" style="32" customWidth="1"/>
    <col min="24" max="24" width="13.85546875" style="32" customWidth="1"/>
    <col min="25" max="25" width="10.42578125" style="32" customWidth="1"/>
    <col min="26" max="48" width="10.28515625" customWidth="1"/>
  </cols>
  <sheetData>
    <row r="1" spans="1:41">
      <c r="B1" t="s">
        <v>418</v>
      </c>
      <c r="Y1" s="32" t="s">
        <v>134</v>
      </c>
    </row>
    <row r="3" spans="1:41" ht="18">
      <c r="B3" s="29" t="s">
        <v>85</v>
      </c>
      <c r="C3" s="30"/>
      <c r="D3" s="30"/>
      <c r="E3" s="30"/>
      <c r="F3" s="30"/>
      <c r="G3" s="31"/>
      <c r="H3" s="31"/>
      <c r="I3" s="31"/>
      <c r="J3" s="31"/>
      <c r="K3" s="31"/>
      <c r="L3" s="31"/>
      <c r="M3" s="31"/>
      <c r="N3" s="31"/>
      <c r="O3" s="31"/>
      <c r="P3" s="31"/>
      <c r="Q3" s="31"/>
      <c r="R3" s="31"/>
      <c r="S3" s="31"/>
      <c r="T3" s="31"/>
      <c r="U3" s="31"/>
      <c r="V3" s="31"/>
      <c r="Y3" s="33"/>
      <c r="Z3" t="s">
        <v>86</v>
      </c>
    </row>
    <row r="4" spans="1:41" ht="39" thickBot="1">
      <c r="B4" s="34"/>
      <c r="C4" s="35" t="s">
        <v>87</v>
      </c>
      <c r="D4" s="36" t="s">
        <v>88</v>
      </c>
      <c r="E4" s="36" t="s">
        <v>34</v>
      </c>
      <c r="F4" s="36" t="s">
        <v>89</v>
      </c>
      <c r="G4" s="36" t="s">
        <v>90</v>
      </c>
      <c r="H4" s="36" t="s">
        <v>91</v>
      </c>
      <c r="I4" s="36" t="s">
        <v>92</v>
      </c>
      <c r="J4" s="36" t="s">
        <v>93</v>
      </c>
      <c r="K4" s="36" t="s">
        <v>94</v>
      </c>
      <c r="L4" s="36" t="s">
        <v>71</v>
      </c>
      <c r="M4" s="36" t="s">
        <v>95</v>
      </c>
      <c r="N4" s="36" t="s">
        <v>96</v>
      </c>
      <c r="O4" s="36" t="s">
        <v>97</v>
      </c>
      <c r="P4" s="36" t="s">
        <v>98</v>
      </c>
      <c r="Q4" s="36" t="s">
        <v>99</v>
      </c>
      <c r="R4" s="36" t="s">
        <v>100</v>
      </c>
      <c r="S4" s="36" t="s">
        <v>101</v>
      </c>
      <c r="T4" s="36" t="s">
        <v>102</v>
      </c>
      <c r="U4" s="36" t="s">
        <v>103</v>
      </c>
      <c r="V4" s="37" t="s">
        <v>104</v>
      </c>
      <c r="X4" s="38"/>
    </row>
    <row r="5" spans="1:41">
      <c r="B5" s="39"/>
      <c r="C5" s="39"/>
      <c r="D5" s="40" t="s">
        <v>105</v>
      </c>
      <c r="E5" s="40" t="s">
        <v>106</v>
      </c>
      <c r="F5" s="40" t="s">
        <v>107</v>
      </c>
      <c r="G5" s="40" t="s">
        <v>108</v>
      </c>
      <c r="H5" s="40" t="s">
        <v>109</v>
      </c>
      <c r="I5" s="40" t="s">
        <v>110</v>
      </c>
      <c r="J5" s="40" t="s">
        <v>111</v>
      </c>
      <c r="K5" s="40" t="s">
        <v>112</v>
      </c>
      <c r="L5" s="40" t="s">
        <v>113</v>
      </c>
      <c r="M5" s="40" t="s">
        <v>114</v>
      </c>
      <c r="N5" s="40" t="s">
        <v>115</v>
      </c>
      <c r="O5" s="40" t="s">
        <v>116</v>
      </c>
      <c r="P5" s="40" t="s">
        <v>117</v>
      </c>
      <c r="Q5" s="40" t="s">
        <v>118</v>
      </c>
      <c r="R5" s="40" t="s">
        <v>119</v>
      </c>
      <c r="S5" s="40" t="s">
        <v>120</v>
      </c>
      <c r="T5" s="40" t="s">
        <v>121</v>
      </c>
      <c r="U5" s="40" t="s">
        <v>122</v>
      </c>
      <c r="V5" s="40"/>
      <c r="Y5" s="40" t="str">
        <f>F5</f>
        <v>INDCOA</v>
      </c>
      <c r="Z5" s="40" t="str">
        <f t="shared" ref="Z5:AN5" si="0">G5</f>
        <v>INDCOL</v>
      </c>
      <c r="AA5" s="40" t="str">
        <f t="shared" si="0"/>
        <v>INDCOB</v>
      </c>
      <c r="AB5" s="40" t="str">
        <f t="shared" si="0"/>
        <v>INDRFG</v>
      </c>
      <c r="AC5" s="40" t="str">
        <f t="shared" si="0"/>
        <v>INDLFO</v>
      </c>
      <c r="AD5" s="40" t="str">
        <f t="shared" si="0"/>
        <v>INDHFO</v>
      </c>
      <c r="AE5" s="40" t="str">
        <f t="shared" si="0"/>
        <v>INDGAS</v>
      </c>
      <c r="AF5" s="40" t="str">
        <f t="shared" si="0"/>
        <v>INDCOG</v>
      </c>
      <c r="AG5" s="40" t="str">
        <f t="shared" si="0"/>
        <v>INDBFG</v>
      </c>
      <c r="AH5" s="40" t="str">
        <f t="shared" si="0"/>
        <v>INDBIO</v>
      </c>
      <c r="AI5" s="40" t="str">
        <f t="shared" si="0"/>
        <v>INDMUN</v>
      </c>
      <c r="AJ5" s="40" t="str">
        <f t="shared" si="0"/>
        <v>INDSLU</v>
      </c>
      <c r="AK5" s="40" t="str">
        <f t="shared" si="0"/>
        <v>INDSOL</v>
      </c>
      <c r="AL5" s="40" t="str">
        <f t="shared" si="0"/>
        <v>INDGEO</v>
      </c>
      <c r="AM5" s="40" t="str">
        <f t="shared" si="0"/>
        <v>INDHYD</v>
      </c>
      <c r="AN5" s="40" t="str">
        <f t="shared" si="0"/>
        <v>INDWIN</v>
      </c>
    </row>
    <row r="6" spans="1:41" ht="15">
      <c r="A6" s="41" t="s">
        <v>56</v>
      </c>
      <c r="B6" s="42" t="s">
        <v>124</v>
      </c>
      <c r="C6" s="39"/>
      <c r="D6" s="47"/>
      <c r="E6" s="47"/>
      <c r="F6" s="43">
        <v>1.172304</v>
      </c>
      <c r="G6" s="43">
        <v>0.16747200000000001</v>
      </c>
      <c r="H6" s="43">
        <v>0</v>
      </c>
      <c r="I6" s="43">
        <v>0</v>
      </c>
      <c r="J6" s="43">
        <v>0</v>
      </c>
      <c r="K6" s="43">
        <v>0.46054800000000001</v>
      </c>
      <c r="L6" s="48">
        <v>20.389716</v>
      </c>
      <c r="M6" s="48">
        <v>2.0933999999999999</v>
      </c>
      <c r="N6" s="48">
        <v>12.099852</v>
      </c>
      <c r="O6" s="49">
        <v>16.412256000000003</v>
      </c>
      <c r="P6" s="49">
        <v>0.46054800000000001</v>
      </c>
      <c r="Q6" s="49">
        <v>1.172304</v>
      </c>
      <c r="R6" s="44">
        <v>0</v>
      </c>
      <c r="S6" s="44">
        <v>0</v>
      </c>
      <c r="T6" s="44">
        <v>7.524</v>
      </c>
      <c r="U6" s="44">
        <v>0</v>
      </c>
      <c r="V6" s="45">
        <f>SUM(F6:U6)</f>
        <v>61.952399999999997</v>
      </c>
      <c r="X6" s="50"/>
      <c r="Y6" s="46">
        <f>F6/$V$6</f>
        <v>1.8922656749375329E-2</v>
      </c>
      <c r="Z6" s="46">
        <f t="shared" ref="Z6:AN6" si="1">G6/$V$6</f>
        <v>2.7032366784821896E-3</v>
      </c>
      <c r="AA6" s="46">
        <f t="shared" si="1"/>
        <v>0</v>
      </c>
      <c r="AB6" s="46">
        <f t="shared" si="1"/>
        <v>0</v>
      </c>
      <c r="AC6" s="46">
        <f t="shared" si="1"/>
        <v>0</v>
      </c>
      <c r="AD6" s="46">
        <f t="shared" si="1"/>
        <v>7.4339008658260222E-3</v>
      </c>
      <c r="AE6" s="46">
        <f t="shared" si="1"/>
        <v>0.3291190656052066</v>
      </c>
      <c r="AF6" s="46">
        <f t="shared" si="1"/>
        <v>3.3790458481027373E-2</v>
      </c>
      <c r="AG6" s="46">
        <f t="shared" si="1"/>
        <v>0.19530885002033821</v>
      </c>
      <c r="AH6" s="46">
        <f t="shared" si="1"/>
        <v>0.26491719449125462</v>
      </c>
      <c r="AI6" s="46">
        <f t="shared" si="1"/>
        <v>7.4339008658260222E-3</v>
      </c>
      <c r="AJ6" s="46">
        <f t="shared" si="1"/>
        <v>1.8922656749375329E-2</v>
      </c>
      <c r="AK6" s="46">
        <f t="shared" si="1"/>
        <v>0</v>
      </c>
      <c r="AL6" s="46">
        <f t="shared" si="1"/>
        <v>0</v>
      </c>
      <c r="AM6" s="46">
        <f t="shared" si="1"/>
        <v>0.1214480794932884</v>
      </c>
      <c r="AN6" s="46">
        <f t="shared" si="1"/>
        <v>0</v>
      </c>
      <c r="AO6" s="2">
        <f t="shared" ref="AO6:AO32" si="2">SUM(Y6:AN6)</f>
        <v>1</v>
      </c>
    </row>
    <row r="7" spans="1:41" ht="15">
      <c r="A7" s="41" t="s">
        <v>39</v>
      </c>
      <c r="B7" s="42" t="s">
        <v>124</v>
      </c>
      <c r="C7" s="39"/>
      <c r="D7" s="47"/>
      <c r="E7" s="47"/>
      <c r="F7" s="43">
        <v>0</v>
      </c>
      <c r="G7" s="43">
        <v>0</v>
      </c>
      <c r="H7" s="43">
        <v>0</v>
      </c>
      <c r="I7" s="43">
        <v>0</v>
      </c>
      <c r="J7" s="43">
        <v>0</v>
      </c>
      <c r="K7" s="43">
        <v>0</v>
      </c>
      <c r="L7" s="51">
        <v>5.6103120000000004</v>
      </c>
      <c r="M7" s="51">
        <v>0.62802000000000002</v>
      </c>
      <c r="N7" s="51">
        <v>2.30274</v>
      </c>
      <c r="O7" s="49">
        <v>2.1352679999999999</v>
      </c>
      <c r="P7" s="49">
        <v>0</v>
      </c>
      <c r="Q7" s="49">
        <v>0</v>
      </c>
      <c r="R7" s="44">
        <v>0</v>
      </c>
      <c r="S7" s="44">
        <v>0</v>
      </c>
      <c r="T7" s="44">
        <v>0</v>
      </c>
      <c r="U7" s="44">
        <v>0</v>
      </c>
      <c r="V7" s="45">
        <v>10.67634</v>
      </c>
      <c r="X7" s="50"/>
      <c r="Y7" s="46">
        <f>F7/$V$7</f>
        <v>0</v>
      </c>
      <c r="Z7" s="46">
        <f t="shared" ref="Z7:AN7" si="3">G7/$V$7</f>
        <v>0</v>
      </c>
      <c r="AA7" s="46">
        <f t="shared" si="3"/>
        <v>0</v>
      </c>
      <c r="AB7" s="46">
        <f t="shared" si="3"/>
        <v>0</v>
      </c>
      <c r="AC7" s="46">
        <f t="shared" si="3"/>
        <v>0</v>
      </c>
      <c r="AD7" s="46">
        <f t="shared" si="3"/>
        <v>0</v>
      </c>
      <c r="AE7" s="46">
        <f t="shared" si="3"/>
        <v>0.52549019607843139</v>
      </c>
      <c r="AF7" s="46">
        <f t="shared" si="3"/>
        <v>5.8823529411764712E-2</v>
      </c>
      <c r="AG7" s="46">
        <f t="shared" si="3"/>
        <v>0.21568627450980393</v>
      </c>
      <c r="AH7" s="46">
        <f t="shared" si="3"/>
        <v>0.2</v>
      </c>
      <c r="AI7" s="46">
        <f t="shared" si="3"/>
        <v>0</v>
      </c>
      <c r="AJ7" s="46">
        <f t="shared" si="3"/>
        <v>0</v>
      </c>
      <c r="AK7" s="46">
        <f t="shared" si="3"/>
        <v>0</v>
      </c>
      <c r="AL7" s="46">
        <f t="shared" si="3"/>
        <v>0</v>
      </c>
      <c r="AM7" s="46">
        <f t="shared" si="3"/>
        <v>0</v>
      </c>
      <c r="AN7" s="46">
        <f t="shared" si="3"/>
        <v>0</v>
      </c>
      <c r="AO7" s="2">
        <f t="shared" si="2"/>
        <v>1</v>
      </c>
    </row>
    <row r="8" spans="1:41" ht="15">
      <c r="A8" s="41" t="s">
        <v>40</v>
      </c>
      <c r="B8" s="42" t="s">
        <v>124</v>
      </c>
      <c r="C8" s="39"/>
      <c r="D8" s="47"/>
      <c r="E8" s="47"/>
      <c r="F8" s="43">
        <v>5.1497640000000002</v>
      </c>
      <c r="G8" s="43">
        <v>0</v>
      </c>
      <c r="H8" s="43">
        <v>0</v>
      </c>
      <c r="I8" s="43">
        <v>0.46054800000000001</v>
      </c>
      <c r="J8" s="43">
        <v>3.8937240000000002</v>
      </c>
      <c r="K8" s="43">
        <v>0</v>
      </c>
      <c r="L8" s="48">
        <v>5.4009720000000003</v>
      </c>
      <c r="M8" s="48">
        <v>0.37681200000000004</v>
      </c>
      <c r="N8" s="48">
        <v>1.0048319999999999</v>
      </c>
      <c r="O8" s="49">
        <v>0</v>
      </c>
      <c r="P8" s="49">
        <v>0</v>
      </c>
      <c r="Q8" s="49">
        <v>8.3736000000000005E-2</v>
      </c>
      <c r="R8" s="52">
        <v>0</v>
      </c>
      <c r="S8" s="52">
        <v>0</v>
      </c>
      <c r="T8" s="52">
        <v>0</v>
      </c>
      <c r="U8" s="52">
        <v>0</v>
      </c>
      <c r="V8" s="45">
        <v>16.370387999999998</v>
      </c>
      <c r="Y8" s="46">
        <f>F8/$V$8</f>
        <v>0.31457800511508954</v>
      </c>
      <c r="Z8" s="46">
        <f t="shared" ref="Z8:AN8" si="4">G8/$V$8</f>
        <v>0</v>
      </c>
      <c r="AA8" s="46">
        <f t="shared" si="4"/>
        <v>0</v>
      </c>
      <c r="AB8" s="46">
        <f t="shared" si="4"/>
        <v>2.8132992327365731E-2</v>
      </c>
      <c r="AC8" s="46">
        <f t="shared" si="4"/>
        <v>0.23785166240409211</v>
      </c>
      <c r="AD8" s="46">
        <f t="shared" si="4"/>
        <v>0</v>
      </c>
      <c r="AE8" s="46">
        <f t="shared" si="4"/>
        <v>0.32992327365728907</v>
      </c>
      <c r="AF8" s="46">
        <f t="shared" si="4"/>
        <v>2.3017902813299237E-2</v>
      </c>
      <c r="AG8" s="46">
        <f t="shared" si="4"/>
        <v>6.1381074168797956E-2</v>
      </c>
      <c r="AH8" s="46">
        <f t="shared" si="4"/>
        <v>0</v>
      </c>
      <c r="AI8" s="46">
        <f t="shared" si="4"/>
        <v>0</v>
      </c>
      <c r="AJ8" s="46">
        <f t="shared" si="4"/>
        <v>5.1150895140664966E-3</v>
      </c>
      <c r="AK8" s="46">
        <f t="shared" si="4"/>
        <v>0</v>
      </c>
      <c r="AL8" s="46">
        <f t="shared" si="4"/>
        <v>0</v>
      </c>
      <c r="AM8" s="46">
        <f t="shared" si="4"/>
        <v>0</v>
      </c>
      <c r="AN8" s="46">
        <f t="shared" si="4"/>
        <v>0</v>
      </c>
      <c r="AO8" s="2">
        <f t="shared" si="2"/>
        <v>1.0000000000000002</v>
      </c>
    </row>
    <row r="9" spans="1:41" ht="15">
      <c r="A9" s="41" t="s">
        <v>49</v>
      </c>
      <c r="B9" s="42" t="s">
        <v>124</v>
      </c>
      <c r="C9" s="39"/>
      <c r="D9" s="47"/>
      <c r="E9" s="47"/>
      <c r="F9" s="43">
        <v>0</v>
      </c>
      <c r="G9" s="43">
        <v>0</v>
      </c>
      <c r="H9" s="43">
        <v>0</v>
      </c>
      <c r="I9" s="43">
        <v>0</v>
      </c>
      <c r="J9" s="43">
        <v>0</v>
      </c>
      <c r="K9" s="43">
        <v>0</v>
      </c>
      <c r="L9" s="48">
        <v>0</v>
      </c>
      <c r="M9" s="48">
        <v>0</v>
      </c>
      <c r="N9" s="48">
        <v>0</v>
      </c>
      <c r="O9" s="49">
        <v>0</v>
      </c>
      <c r="P9" s="49">
        <v>0</v>
      </c>
      <c r="Q9" s="49">
        <v>0</v>
      </c>
      <c r="R9" s="52">
        <v>0</v>
      </c>
      <c r="S9" s="52">
        <v>0</v>
      </c>
      <c r="T9" s="52">
        <v>0</v>
      </c>
      <c r="U9" s="52">
        <v>0</v>
      </c>
      <c r="V9" s="45">
        <v>0</v>
      </c>
      <c r="X9" s="53"/>
      <c r="Y9" s="46"/>
      <c r="Z9" s="46"/>
      <c r="AA9" s="46"/>
      <c r="AB9" s="46"/>
      <c r="AC9" s="46"/>
      <c r="AD9" s="46"/>
      <c r="AE9" s="46"/>
      <c r="AF9" s="46"/>
      <c r="AG9" s="46"/>
      <c r="AH9" s="46"/>
      <c r="AI9" s="46"/>
      <c r="AJ9" s="46"/>
      <c r="AK9" s="46"/>
      <c r="AL9" s="46"/>
      <c r="AM9" s="46"/>
      <c r="AN9" s="46"/>
      <c r="AO9" s="2">
        <f t="shared" si="2"/>
        <v>0</v>
      </c>
    </row>
    <row r="10" spans="1:41" ht="15">
      <c r="A10" s="41" t="s">
        <v>41</v>
      </c>
      <c r="B10" s="42" t="s">
        <v>124</v>
      </c>
      <c r="C10" s="39"/>
      <c r="D10" s="47"/>
      <c r="E10" s="47"/>
      <c r="F10" s="43">
        <v>0</v>
      </c>
      <c r="G10" s="43">
        <v>47.017764</v>
      </c>
      <c r="H10" s="43">
        <v>0</v>
      </c>
      <c r="I10" s="43">
        <v>0</v>
      </c>
      <c r="J10" s="43">
        <v>1.0467</v>
      </c>
      <c r="K10" s="43">
        <v>1.25604</v>
      </c>
      <c r="L10" s="48">
        <v>20.850264000000003</v>
      </c>
      <c r="M10" s="48">
        <v>1.3397760000000001</v>
      </c>
      <c r="N10" s="48">
        <v>3.0982320000000003</v>
      </c>
      <c r="O10" s="49">
        <v>4.647348</v>
      </c>
      <c r="P10" s="49">
        <v>0.79549200000000009</v>
      </c>
      <c r="Q10" s="49">
        <v>4.1868000000000002E-2</v>
      </c>
      <c r="R10" s="52">
        <v>0</v>
      </c>
      <c r="S10" s="52">
        <v>0</v>
      </c>
      <c r="T10" s="52">
        <v>0</v>
      </c>
      <c r="U10" s="52">
        <v>0</v>
      </c>
      <c r="V10" s="45">
        <v>80.093483999999989</v>
      </c>
      <c r="X10" s="50"/>
      <c r="Y10" s="46">
        <f>F10/$V$10</f>
        <v>0</v>
      </c>
      <c r="Z10" s="46">
        <f t="shared" ref="Z10:AN10" si="5">G10/$V$10</f>
        <v>0.58703606900156824</v>
      </c>
      <c r="AA10" s="46">
        <f t="shared" si="5"/>
        <v>0</v>
      </c>
      <c r="AB10" s="46">
        <f t="shared" si="5"/>
        <v>0</v>
      </c>
      <c r="AC10" s="46">
        <f t="shared" si="5"/>
        <v>1.3068478829064298E-2</v>
      </c>
      <c r="AD10" s="46">
        <f t="shared" si="5"/>
        <v>1.5682174594877158E-2</v>
      </c>
      <c r="AE10" s="46">
        <f t="shared" si="5"/>
        <v>0.26032409827496089</v>
      </c>
      <c r="AF10" s="46">
        <f t="shared" si="5"/>
        <v>1.6727652901202303E-2</v>
      </c>
      <c r="AG10" s="46">
        <f t="shared" si="5"/>
        <v>3.8682697334030326E-2</v>
      </c>
      <c r="AH10" s="46">
        <f t="shared" si="5"/>
        <v>5.8024046001045486E-2</v>
      </c>
      <c r="AI10" s="46">
        <f t="shared" si="5"/>
        <v>9.9320439100888686E-3</v>
      </c>
      <c r="AJ10" s="46">
        <f t="shared" si="5"/>
        <v>5.2273915316257196E-4</v>
      </c>
      <c r="AK10" s="46">
        <f t="shared" si="5"/>
        <v>0</v>
      </c>
      <c r="AL10" s="46">
        <f t="shared" si="5"/>
        <v>0</v>
      </c>
      <c r="AM10" s="46">
        <f t="shared" si="5"/>
        <v>0</v>
      </c>
      <c r="AN10" s="46">
        <f t="shared" si="5"/>
        <v>0</v>
      </c>
      <c r="AO10" s="2">
        <f t="shared" si="2"/>
        <v>1</v>
      </c>
    </row>
    <row r="11" spans="1:41" ht="15">
      <c r="A11" s="41" t="s">
        <v>43</v>
      </c>
      <c r="B11" s="42" t="s">
        <v>124</v>
      </c>
      <c r="C11" s="39"/>
      <c r="D11" s="47"/>
      <c r="E11" s="47"/>
      <c r="F11" s="43">
        <v>104.33505600000001</v>
      </c>
      <c r="G11" s="43">
        <v>17.793900000000001</v>
      </c>
      <c r="H11" s="43">
        <v>3.3494400000000004</v>
      </c>
      <c r="I11" s="43">
        <v>5.8615200000000005</v>
      </c>
      <c r="J11" s="43">
        <v>3.8518560000000002</v>
      </c>
      <c r="K11" s="43">
        <v>36.969444000000003</v>
      </c>
      <c r="L11" s="48">
        <v>258.49303200000003</v>
      </c>
      <c r="M11" s="48">
        <v>9.7971120000000003</v>
      </c>
      <c r="N11" s="48">
        <v>42.663492000000005</v>
      </c>
      <c r="O11" s="49">
        <v>38.811636</v>
      </c>
      <c r="P11" s="49">
        <v>0</v>
      </c>
      <c r="Q11" s="49">
        <v>0.20934000000000003</v>
      </c>
      <c r="R11" s="52">
        <v>0</v>
      </c>
      <c r="S11" s="52">
        <v>0</v>
      </c>
      <c r="T11" s="52">
        <v>0</v>
      </c>
      <c r="U11" s="52">
        <v>0</v>
      </c>
      <c r="V11" s="45">
        <f>SUM(F11:U11)</f>
        <v>522.13582800000006</v>
      </c>
      <c r="X11" s="50"/>
      <c r="Y11" s="46">
        <f>F11/$V$11</f>
        <v>0.19982359073049474</v>
      </c>
      <c r="Z11" s="46">
        <f t="shared" ref="Z11:AN11" si="6">G11/$V$11</f>
        <v>3.4079063427150988E-2</v>
      </c>
      <c r="AA11" s="46">
        <f t="shared" si="6"/>
        <v>6.4148825274637162E-3</v>
      </c>
      <c r="AB11" s="46">
        <f t="shared" si="6"/>
        <v>1.1226044423061502E-2</v>
      </c>
      <c r="AC11" s="46">
        <f t="shared" si="6"/>
        <v>7.3771149065832726E-3</v>
      </c>
      <c r="AD11" s="46">
        <f t="shared" si="6"/>
        <v>7.0804265896880755E-2</v>
      </c>
      <c r="AE11" s="46">
        <f t="shared" si="6"/>
        <v>0.49506855905701225</v>
      </c>
      <c r="AF11" s="46">
        <f t="shared" si="6"/>
        <v>1.8763531392831368E-2</v>
      </c>
      <c r="AG11" s="46">
        <f t="shared" si="6"/>
        <v>8.1709566193569075E-2</v>
      </c>
      <c r="AH11" s="46">
        <f t="shared" si="6"/>
        <v>7.4332451286985804E-2</v>
      </c>
      <c r="AI11" s="46">
        <f t="shared" si="6"/>
        <v>0</v>
      </c>
      <c r="AJ11" s="46">
        <f t="shared" si="6"/>
        <v>4.0093015796648226E-4</v>
      </c>
      <c r="AK11" s="46">
        <f t="shared" si="6"/>
        <v>0</v>
      </c>
      <c r="AL11" s="46">
        <f t="shared" si="6"/>
        <v>0</v>
      </c>
      <c r="AM11" s="46">
        <f t="shared" si="6"/>
        <v>0</v>
      </c>
      <c r="AN11" s="46">
        <f t="shared" si="6"/>
        <v>0</v>
      </c>
      <c r="AO11" s="2">
        <f t="shared" si="2"/>
        <v>1</v>
      </c>
    </row>
    <row r="12" spans="1:41" ht="15">
      <c r="A12" s="41" t="s">
        <v>42</v>
      </c>
      <c r="B12" s="42" t="s">
        <v>124</v>
      </c>
      <c r="C12" s="39"/>
      <c r="D12" s="47"/>
      <c r="E12" s="47"/>
      <c r="F12" s="43">
        <v>0.12560399999999999</v>
      </c>
      <c r="G12" s="43">
        <v>0</v>
      </c>
      <c r="H12" s="43">
        <v>0</v>
      </c>
      <c r="I12" s="43">
        <v>1.4653800000000001</v>
      </c>
      <c r="J12" s="43">
        <v>4.1868000000000002E-2</v>
      </c>
      <c r="K12" s="43">
        <v>0.62802000000000002</v>
      </c>
      <c r="L12" s="48">
        <v>11.597436</v>
      </c>
      <c r="M12" s="48">
        <v>0</v>
      </c>
      <c r="N12" s="48">
        <v>0</v>
      </c>
      <c r="O12" s="49">
        <v>1.6747200000000002</v>
      </c>
      <c r="P12" s="49">
        <v>19.929168000000001</v>
      </c>
      <c r="Q12" s="49">
        <v>0</v>
      </c>
      <c r="R12" s="52">
        <v>0</v>
      </c>
      <c r="S12" s="52">
        <v>0</v>
      </c>
      <c r="T12" s="52">
        <v>0</v>
      </c>
      <c r="U12" s="52">
        <v>0</v>
      </c>
      <c r="V12" s="45">
        <v>35.462196000000006</v>
      </c>
      <c r="X12" s="50"/>
      <c r="Y12" s="46">
        <f>F12/$V$12</f>
        <v>3.5419126328217229E-3</v>
      </c>
      <c r="Z12" s="46">
        <f t="shared" ref="Z12:AN12" si="7">G12/$V$12</f>
        <v>0</v>
      </c>
      <c r="AA12" s="46">
        <f t="shared" si="7"/>
        <v>0</v>
      </c>
      <c r="AB12" s="46">
        <f t="shared" si="7"/>
        <v>4.1322314049586771E-2</v>
      </c>
      <c r="AC12" s="46">
        <f t="shared" si="7"/>
        <v>1.1806375442739079E-3</v>
      </c>
      <c r="AD12" s="46">
        <f t="shared" si="7"/>
        <v>1.7709563164108617E-2</v>
      </c>
      <c r="AE12" s="46">
        <f t="shared" si="7"/>
        <v>0.32703659976387245</v>
      </c>
      <c r="AF12" s="46">
        <f t="shared" si="7"/>
        <v>0</v>
      </c>
      <c r="AG12" s="46">
        <f t="shared" si="7"/>
        <v>0</v>
      </c>
      <c r="AH12" s="46">
        <f t="shared" si="7"/>
        <v>4.7225501770956316E-2</v>
      </c>
      <c r="AI12" s="46">
        <f t="shared" si="7"/>
        <v>0.56198347107438007</v>
      </c>
      <c r="AJ12" s="46">
        <f t="shared" si="7"/>
        <v>0</v>
      </c>
      <c r="AK12" s="46">
        <f t="shared" si="7"/>
        <v>0</v>
      </c>
      <c r="AL12" s="46">
        <f t="shared" si="7"/>
        <v>0</v>
      </c>
      <c r="AM12" s="46">
        <f t="shared" si="7"/>
        <v>0</v>
      </c>
      <c r="AN12" s="46">
        <f t="shared" si="7"/>
        <v>0</v>
      </c>
      <c r="AO12" s="2">
        <f t="shared" si="2"/>
        <v>0.99999999999999978</v>
      </c>
    </row>
    <row r="13" spans="1:41" ht="15">
      <c r="A13" s="41" t="s">
        <v>44</v>
      </c>
      <c r="B13" s="42" t="s">
        <v>124</v>
      </c>
      <c r="C13" s="39"/>
      <c r="D13" s="47"/>
      <c r="E13" s="47"/>
      <c r="F13" s="43">
        <v>0</v>
      </c>
      <c r="G13" s="43">
        <v>0.20934000000000003</v>
      </c>
      <c r="H13" s="43">
        <v>0</v>
      </c>
      <c r="I13" s="43">
        <v>0</v>
      </c>
      <c r="J13" s="43">
        <v>0</v>
      </c>
      <c r="K13" s="43">
        <v>0</v>
      </c>
      <c r="L13" s="48">
        <v>0.66988800000000004</v>
      </c>
      <c r="M13" s="48">
        <v>0</v>
      </c>
      <c r="N13" s="48">
        <v>0</v>
      </c>
      <c r="O13" s="49">
        <v>0.20934000000000003</v>
      </c>
      <c r="P13" s="49">
        <v>0</v>
      </c>
      <c r="Q13" s="49">
        <v>0</v>
      </c>
      <c r="R13" s="52">
        <v>0</v>
      </c>
      <c r="S13" s="52">
        <v>0</v>
      </c>
      <c r="T13" s="52">
        <v>0</v>
      </c>
      <c r="U13" s="52">
        <v>0</v>
      </c>
      <c r="V13" s="45">
        <v>1.0885680000000002</v>
      </c>
      <c r="X13" s="50"/>
      <c r="Y13" s="46">
        <f>F13/$V$13</f>
        <v>0</v>
      </c>
      <c r="Z13" s="46">
        <f t="shared" ref="Z13:AN13" si="8">G13/$V$13</f>
        <v>0.19230769230769229</v>
      </c>
      <c r="AA13" s="46">
        <f t="shared" si="8"/>
        <v>0</v>
      </c>
      <c r="AB13" s="46">
        <f t="shared" si="8"/>
        <v>0</v>
      </c>
      <c r="AC13" s="46">
        <f t="shared" si="8"/>
        <v>0</v>
      </c>
      <c r="AD13" s="46">
        <f t="shared" si="8"/>
        <v>0</v>
      </c>
      <c r="AE13" s="46">
        <f t="shared" si="8"/>
        <v>0.61538461538461531</v>
      </c>
      <c r="AF13" s="46">
        <f t="shared" si="8"/>
        <v>0</v>
      </c>
      <c r="AG13" s="46">
        <f t="shared" si="8"/>
        <v>0</v>
      </c>
      <c r="AH13" s="46">
        <f t="shared" si="8"/>
        <v>0.19230769230769229</v>
      </c>
      <c r="AI13" s="46">
        <f t="shared" si="8"/>
        <v>0</v>
      </c>
      <c r="AJ13" s="46">
        <f t="shared" si="8"/>
        <v>0</v>
      </c>
      <c r="AK13" s="46">
        <f t="shared" si="8"/>
        <v>0</v>
      </c>
      <c r="AL13" s="46">
        <f t="shared" si="8"/>
        <v>0</v>
      </c>
      <c r="AM13" s="46">
        <f t="shared" si="8"/>
        <v>0</v>
      </c>
      <c r="AN13" s="46">
        <f t="shared" si="8"/>
        <v>0</v>
      </c>
      <c r="AO13" s="2">
        <f t="shared" si="2"/>
        <v>0.99999999999999989</v>
      </c>
    </row>
    <row r="14" spans="1:41" ht="15">
      <c r="A14" s="41" t="s">
        <v>45</v>
      </c>
      <c r="B14" s="42" t="s">
        <v>124</v>
      </c>
      <c r="C14" s="39"/>
      <c r="D14" s="47"/>
      <c r="E14" s="47"/>
      <c r="F14" s="43">
        <v>2.30274</v>
      </c>
      <c r="G14" s="43">
        <v>0</v>
      </c>
      <c r="H14" s="43">
        <v>0</v>
      </c>
      <c r="I14" s="43">
        <v>0</v>
      </c>
      <c r="J14" s="43">
        <v>0</v>
      </c>
      <c r="K14" s="43">
        <v>42.07734</v>
      </c>
      <c r="L14" s="48">
        <v>112.917996</v>
      </c>
      <c r="M14" s="48">
        <v>3.0563640000000003</v>
      </c>
      <c r="N14" s="48">
        <v>0</v>
      </c>
      <c r="O14" s="49">
        <v>28.805184000000004</v>
      </c>
      <c r="P14" s="49">
        <v>0</v>
      </c>
      <c r="Q14" s="49">
        <v>0</v>
      </c>
      <c r="R14" s="52">
        <v>0</v>
      </c>
      <c r="S14" s="52">
        <v>0</v>
      </c>
      <c r="T14" s="52">
        <v>14.704921440000001</v>
      </c>
      <c r="U14" s="52">
        <v>0.15399438767999998</v>
      </c>
      <c r="V14" s="45">
        <v>204.01853982768</v>
      </c>
      <c r="X14" s="50"/>
      <c r="Y14" s="46">
        <f>F14/$V$14</f>
        <v>1.1286915404575297E-2</v>
      </c>
      <c r="Z14" s="46">
        <f t="shared" ref="Z14:AN14" si="9">G14/$V$14</f>
        <v>0</v>
      </c>
      <c r="AA14" s="46">
        <f t="shared" si="9"/>
        <v>0</v>
      </c>
      <c r="AB14" s="46">
        <f t="shared" si="9"/>
        <v>0</v>
      </c>
      <c r="AC14" s="46">
        <f t="shared" si="9"/>
        <v>0</v>
      </c>
      <c r="AD14" s="46">
        <f t="shared" si="9"/>
        <v>0.2062427269381486</v>
      </c>
      <c r="AE14" s="46">
        <f t="shared" si="9"/>
        <v>0.55346928811162865</v>
      </c>
      <c r="AF14" s="46">
        <f t="shared" si="9"/>
        <v>1.4980814991527213E-2</v>
      </c>
      <c r="AG14" s="46">
        <f t="shared" si="9"/>
        <v>0</v>
      </c>
      <c r="AH14" s="46">
        <f t="shared" si="9"/>
        <v>0.14118905087905101</v>
      </c>
      <c r="AI14" s="46">
        <f t="shared" si="9"/>
        <v>0</v>
      </c>
      <c r="AJ14" s="46">
        <f t="shared" si="9"/>
        <v>0</v>
      </c>
      <c r="AK14" s="46">
        <f t="shared" si="9"/>
        <v>0</v>
      </c>
      <c r="AL14" s="46">
        <f t="shared" si="9"/>
        <v>0</v>
      </c>
      <c r="AM14" s="46">
        <f t="shared" si="9"/>
        <v>7.2076397823551755E-2</v>
      </c>
      <c r="AN14" s="46">
        <f t="shared" si="9"/>
        <v>7.5480585151755384E-4</v>
      </c>
      <c r="AO14" s="2">
        <f t="shared" si="2"/>
        <v>1.0000000000000002</v>
      </c>
    </row>
    <row r="15" spans="1:41" ht="15">
      <c r="A15" s="41" t="s">
        <v>62</v>
      </c>
      <c r="B15" s="42" t="s">
        <v>124</v>
      </c>
      <c r="C15" s="39"/>
      <c r="D15" s="47"/>
      <c r="E15" s="47"/>
      <c r="F15" s="43">
        <v>0.46054800000000001</v>
      </c>
      <c r="G15" s="43">
        <v>2.5958160000000001</v>
      </c>
      <c r="H15" s="43">
        <v>0</v>
      </c>
      <c r="I15" s="43">
        <v>0</v>
      </c>
      <c r="J15" s="43">
        <v>8.3736000000000005E-2</v>
      </c>
      <c r="K15" s="43">
        <v>1.172304</v>
      </c>
      <c r="L15" s="48">
        <v>13.020948000000001</v>
      </c>
      <c r="M15" s="48">
        <v>0.25120799999999999</v>
      </c>
      <c r="N15" s="48">
        <v>7.7455800000000004</v>
      </c>
      <c r="O15" s="49">
        <v>35.294724000000002</v>
      </c>
      <c r="P15" s="49">
        <v>0.46054800000000001</v>
      </c>
      <c r="Q15" s="49">
        <v>1.214172</v>
      </c>
      <c r="R15" s="52">
        <v>0</v>
      </c>
      <c r="S15" s="52">
        <v>0</v>
      </c>
      <c r="T15" s="52">
        <v>0</v>
      </c>
      <c r="U15" s="52">
        <v>0</v>
      </c>
      <c r="V15" s="45">
        <v>62.299584000000003</v>
      </c>
      <c r="X15" s="50"/>
      <c r="Y15" s="46">
        <f>F15/$V$15</f>
        <v>7.3924731182795694E-3</v>
      </c>
      <c r="Z15" s="46">
        <f t="shared" ref="Z15:AN15" si="10">G15/$V$15</f>
        <v>4.1666666666666664E-2</v>
      </c>
      <c r="AA15" s="46">
        <f t="shared" si="10"/>
        <v>0</v>
      </c>
      <c r="AB15" s="46">
        <f t="shared" si="10"/>
        <v>0</v>
      </c>
      <c r="AC15" s="46">
        <f t="shared" si="10"/>
        <v>1.3440860215053765E-3</v>
      </c>
      <c r="AD15" s="46">
        <f t="shared" si="10"/>
        <v>1.8817204301075269E-2</v>
      </c>
      <c r="AE15" s="46">
        <f t="shared" si="10"/>
        <v>0.20900537634408603</v>
      </c>
      <c r="AF15" s="46">
        <f t="shared" si="10"/>
        <v>4.0322580645161289E-3</v>
      </c>
      <c r="AG15" s="46">
        <f t="shared" si="10"/>
        <v>0.12432795698924731</v>
      </c>
      <c r="AH15" s="46">
        <f t="shared" si="10"/>
        <v>0.56653225806451613</v>
      </c>
      <c r="AI15" s="46">
        <f t="shared" si="10"/>
        <v>7.3924731182795694E-3</v>
      </c>
      <c r="AJ15" s="46">
        <f t="shared" si="10"/>
        <v>1.9489247311827957E-2</v>
      </c>
      <c r="AK15" s="46">
        <f t="shared" si="10"/>
        <v>0</v>
      </c>
      <c r="AL15" s="46">
        <f t="shared" si="10"/>
        <v>0</v>
      </c>
      <c r="AM15" s="46">
        <f t="shared" si="10"/>
        <v>0</v>
      </c>
      <c r="AN15" s="46">
        <f t="shared" si="10"/>
        <v>0</v>
      </c>
      <c r="AO15" s="2">
        <f t="shared" si="2"/>
        <v>1</v>
      </c>
    </row>
    <row r="16" spans="1:41" ht="15">
      <c r="A16" s="41" t="s">
        <v>46</v>
      </c>
      <c r="B16" s="42" t="s">
        <v>124</v>
      </c>
      <c r="C16" s="39"/>
      <c r="D16" s="47"/>
      <c r="E16" s="47"/>
      <c r="F16" s="43">
        <v>0</v>
      </c>
      <c r="G16" s="43">
        <v>0</v>
      </c>
      <c r="H16" s="43">
        <v>0</v>
      </c>
      <c r="I16" s="43">
        <v>1.5072480000000001</v>
      </c>
      <c r="J16" s="43">
        <v>7.3269000000000002</v>
      </c>
      <c r="K16" s="43">
        <v>10.425132000000001</v>
      </c>
      <c r="L16" s="48">
        <v>121.375332</v>
      </c>
      <c r="M16" s="48">
        <v>0</v>
      </c>
      <c r="N16" s="48">
        <v>0</v>
      </c>
      <c r="O16" s="49">
        <v>15.491160000000001</v>
      </c>
      <c r="P16" s="49">
        <v>47.980728000000006</v>
      </c>
      <c r="Q16" s="49">
        <v>0</v>
      </c>
      <c r="R16" s="52">
        <v>0</v>
      </c>
      <c r="S16" s="52">
        <v>0</v>
      </c>
      <c r="T16" s="52">
        <v>0</v>
      </c>
      <c r="U16" s="52">
        <v>0</v>
      </c>
      <c r="V16" s="45">
        <v>204.10650000000001</v>
      </c>
      <c r="X16" s="50"/>
      <c r="Y16" s="46">
        <f>F16/$V$16</f>
        <v>0</v>
      </c>
      <c r="Z16" s="46">
        <f t="shared" ref="Z16:AN16" si="11">G16/$V$16</f>
        <v>0</v>
      </c>
      <c r="AA16" s="46">
        <f t="shared" si="11"/>
        <v>0</v>
      </c>
      <c r="AB16" s="46">
        <f t="shared" si="11"/>
        <v>7.3846153846153853E-3</v>
      </c>
      <c r="AC16" s="46">
        <f t="shared" si="11"/>
        <v>3.5897435897435895E-2</v>
      </c>
      <c r="AD16" s="46">
        <f t="shared" si="11"/>
        <v>5.1076923076923082E-2</v>
      </c>
      <c r="AE16" s="46">
        <f t="shared" si="11"/>
        <v>0.59466666666666668</v>
      </c>
      <c r="AF16" s="46">
        <f t="shared" si="11"/>
        <v>0</v>
      </c>
      <c r="AG16" s="46">
        <f t="shared" si="11"/>
        <v>0</v>
      </c>
      <c r="AH16" s="46">
        <f t="shared" si="11"/>
        <v>7.5897435897435903E-2</v>
      </c>
      <c r="AI16" s="46">
        <f t="shared" si="11"/>
        <v>0.2350769230769231</v>
      </c>
      <c r="AJ16" s="46">
        <f t="shared" si="11"/>
        <v>0</v>
      </c>
      <c r="AK16" s="46">
        <f t="shared" si="11"/>
        <v>0</v>
      </c>
      <c r="AL16" s="46">
        <f t="shared" si="11"/>
        <v>0</v>
      </c>
      <c r="AM16" s="46">
        <f t="shared" si="11"/>
        <v>0</v>
      </c>
      <c r="AN16" s="46">
        <f t="shared" si="11"/>
        <v>0</v>
      </c>
      <c r="AO16" s="2">
        <f t="shared" si="2"/>
        <v>1</v>
      </c>
    </row>
    <row r="17" spans="1:41" ht="15">
      <c r="A17" s="41" t="s">
        <v>82</v>
      </c>
      <c r="B17" s="42" t="s">
        <v>124</v>
      </c>
      <c r="C17" s="39"/>
      <c r="D17" s="47"/>
      <c r="E17" s="47"/>
      <c r="F17" s="43">
        <v>0</v>
      </c>
      <c r="G17" s="43">
        <v>0</v>
      </c>
      <c r="H17" s="43">
        <v>0</v>
      </c>
      <c r="I17" s="43">
        <v>0</v>
      </c>
      <c r="J17" s="43">
        <v>0</v>
      </c>
      <c r="K17" s="43">
        <v>0.25120799999999999</v>
      </c>
      <c r="L17" s="48">
        <v>0.96296400000000004</v>
      </c>
      <c r="M17" s="48">
        <v>0</v>
      </c>
      <c r="N17" s="48">
        <v>0</v>
      </c>
      <c r="O17" s="49">
        <v>0</v>
      </c>
      <c r="P17" s="49">
        <v>0</v>
      </c>
      <c r="Q17" s="49">
        <v>1.0467</v>
      </c>
      <c r="R17" s="52">
        <v>0</v>
      </c>
      <c r="S17" s="52">
        <v>0</v>
      </c>
      <c r="T17" s="52">
        <v>0</v>
      </c>
      <c r="U17" s="52">
        <v>0</v>
      </c>
      <c r="V17" s="45">
        <v>2.260872</v>
      </c>
      <c r="X17" s="50"/>
      <c r="Y17" s="46">
        <f>F17/$V$17</f>
        <v>0</v>
      </c>
      <c r="Z17" s="46">
        <f t="shared" ref="Z17:AN17" si="12">G17/$V$17</f>
        <v>0</v>
      </c>
      <c r="AA17" s="46">
        <f t="shared" si="12"/>
        <v>0</v>
      </c>
      <c r="AB17" s="46">
        <f t="shared" si="12"/>
        <v>0</v>
      </c>
      <c r="AC17" s="46">
        <f t="shared" si="12"/>
        <v>0</v>
      </c>
      <c r="AD17" s="46">
        <f t="shared" si="12"/>
        <v>0.1111111111111111</v>
      </c>
      <c r="AE17" s="46">
        <f t="shared" si="12"/>
        <v>0.42592592592592593</v>
      </c>
      <c r="AF17" s="46">
        <f t="shared" si="12"/>
        <v>0</v>
      </c>
      <c r="AG17" s="46">
        <f t="shared" si="12"/>
        <v>0</v>
      </c>
      <c r="AH17" s="46">
        <f t="shared" si="12"/>
        <v>0</v>
      </c>
      <c r="AI17" s="46">
        <f t="shared" si="12"/>
        <v>0</v>
      </c>
      <c r="AJ17" s="46">
        <f t="shared" si="12"/>
        <v>0.46296296296296297</v>
      </c>
      <c r="AK17" s="46">
        <f t="shared" si="12"/>
        <v>0</v>
      </c>
      <c r="AL17" s="46">
        <f t="shared" si="12"/>
        <v>0</v>
      </c>
      <c r="AM17" s="46">
        <f t="shared" si="12"/>
        <v>0</v>
      </c>
      <c r="AN17" s="46">
        <f t="shared" si="12"/>
        <v>0</v>
      </c>
      <c r="AO17" s="2">
        <f t="shared" si="2"/>
        <v>1</v>
      </c>
    </row>
    <row r="18" spans="1:41" ht="15">
      <c r="A18" s="41" t="s">
        <v>53</v>
      </c>
      <c r="B18" s="42" t="s">
        <v>124</v>
      </c>
      <c r="C18" s="39"/>
      <c r="D18" s="47"/>
      <c r="E18" s="47"/>
      <c r="F18" s="43">
        <v>0</v>
      </c>
      <c r="G18" s="43">
        <v>0</v>
      </c>
      <c r="H18" s="43">
        <v>0</v>
      </c>
      <c r="I18" s="43">
        <v>0</v>
      </c>
      <c r="J18" s="43">
        <v>0</v>
      </c>
      <c r="K18" s="43">
        <v>0.20934000000000003</v>
      </c>
      <c r="L18" s="48">
        <v>2.7632880000000002</v>
      </c>
      <c r="M18" s="48">
        <v>0</v>
      </c>
      <c r="N18" s="48">
        <v>0</v>
      </c>
      <c r="O18" s="49">
        <v>0.16747200000000001</v>
      </c>
      <c r="P18" s="49">
        <v>0</v>
      </c>
      <c r="Q18" s="49">
        <v>0</v>
      </c>
      <c r="R18" s="52">
        <v>0</v>
      </c>
      <c r="S18" s="52">
        <v>0</v>
      </c>
      <c r="T18" s="52">
        <v>0</v>
      </c>
      <c r="U18" s="52">
        <v>0</v>
      </c>
      <c r="V18" s="45">
        <v>3.1401000000000003</v>
      </c>
      <c r="X18" s="50"/>
      <c r="Y18" s="46">
        <f>F18/$V$18</f>
        <v>0</v>
      </c>
      <c r="Z18" s="46">
        <f t="shared" ref="Z18:AN18" si="13">G18/$V$18</f>
        <v>0</v>
      </c>
      <c r="AA18" s="46">
        <f t="shared" si="13"/>
        <v>0</v>
      </c>
      <c r="AB18" s="46">
        <f t="shared" si="13"/>
        <v>0</v>
      </c>
      <c r="AC18" s="46">
        <f t="shared" si="13"/>
        <v>0</v>
      </c>
      <c r="AD18" s="46">
        <f t="shared" si="13"/>
        <v>6.6666666666666666E-2</v>
      </c>
      <c r="AE18" s="46">
        <f t="shared" si="13"/>
        <v>0.88</v>
      </c>
      <c r="AF18" s="46">
        <f t="shared" si="13"/>
        <v>0</v>
      </c>
      <c r="AG18" s="46">
        <f t="shared" si="13"/>
        <v>0</v>
      </c>
      <c r="AH18" s="46">
        <f t="shared" si="13"/>
        <v>5.333333333333333E-2</v>
      </c>
      <c r="AI18" s="46">
        <f t="shared" si="13"/>
        <v>0</v>
      </c>
      <c r="AJ18" s="46">
        <f t="shared" si="13"/>
        <v>0</v>
      </c>
      <c r="AK18" s="46">
        <f t="shared" si="13"/>
        <v>0</v>
      </c>
      <c r="AL18" s="46">
        <f t="shared" si="13"/>
        <v>0</v>
      </c>
      <c r="AM18" s="46">
        <f t="shared" si="13"/>
        <v>0</v>
      </c>
      <c r="AN18" s="46">
        <f t="shared" si="13"/>
        <v>0</v>
      </c>
      <c r="AO18" s="2">
        <f t="shared" si="2"/>
        <v>1</v>
      </c>
    </row>
    <row r="19" spans="1:41" ht="15">
      <c r="A19" s="41" t="s">
        <v>47</v>
      </c>
      <c r="B19" s="42" t="s">
        <v>124</v>
      </c>
      <c r="C19" s="39"/>
      <c r="D19" s="47"/>
      <c r="E19" s="47"/>
      <c r="F19" s="43">
        <v>0.25120799999999999</v>
      </c>
      <c r="G19" s="43">
        <v>0.293076</v>
      </c>
      <c r="H19" s="43">
        <v>0</v>
      </c>
      <c r="I19" s="43">
        <v>0.33494400000000002</v>
      </c>
      <c r="J19" s="43">
        <v>0</v>
      </c>
      <c r="K19" s="43">
        <v>0</v>
      </c>
      <c r="L19" s="48">
        <v>3.5587800000000001</v>
      </c>
      <c r="M19" s="48">
        <v>0</v>
      </c>
      <c r="N19" s="48">
        <v>0</v>
      </c>
      <c r="O19" s="49">
        <v>0.16747200000000001</v>
      </c>
      <c r="P19" s="49">
        <v>0</v>
      </c>
      <c r="Q19" s="49">
        <v>0</v>
      </c>
      <c r="R19" s="52">
        <v>0</v>
      </c>
      <c r="S19" s="52">
        <v>0</v>
      </c>
      <c r="T19" s="52">
        <v>0</v>
      </c>
      <c r="U19" s="52">
        <v>0</v>
      </c>
      <c r="V19" s="45">
        <v>4.60548</v>
      </c>
      <c r="X19" s="50"/>
      <c r="Y19" s="46">
        <f>F19/$V$19</f>
        <v>5.4545454545454543E-2</v>
      </c>
      <c r="Z19" s="46">
        <f t="shared" ref="Z19:AN19" si="14">G19/$V$19</f>
        <v>6.3636363636363644E-2</v>
      </c>
      <c r="AA19" s="46">
        <f t="shared" si="14"/>
        <v>0</v>
      </c>
      <c r="AB19" s="46">
        <f t="shared" si="14"/>
        <v>7.2727272727272738E-2</v>
      </c>
      <c r="AC19" s="46">
        <f t="shared" si="14"/>
        <v>0</v>
      </c>
      <c r="AD19" s="46">
        <f t="shared" si="14"/>
        <v>0</v>
      </c>
      <c r="AE19" s="46">
        <f t="shared" si="14"/>
        <v>0.77272727272727271</v>
      </c>
      <c r="AF19" s="46">
        <f t="shared" si="14"/>
        <v>0</v>
      </c>
      <c r="AG19" s="46">
        <f t="shared" si="14"/>
        <v>0</v>
      </c>
      <c r="AH19" s="46">
        <f t="shared" si="14"/>
        <v>3.6363636363636369E-2</v>
      </c>
      <c r="AI19" s="46">
        <f t="shared" si="14"/>
        <v>0</v>
      </c>
      <c r="AJ19" s="46">
        <f t="shared" si="14"/>
        <v>0</v>
      </c>
      <c r="AK19" s="46">
        <f t="shared" si="14"/>
        <v>0</v>
      </c>
      <c r="AL19" s="46">
        <f t="shared" si="14"/>
        <v>0</v>
      </c>
      <c r="AM19" s="46">
        <f t="shared" si="14"/>
        <v>0</v>
      </c>
      <c r="AN19" s="46">
        <f t="shared" si="14"/>
        <v>0</v>
      </c>
      <c r="AO19" s="2">
        <f t="shared" si="2"/>
        <v>1</v>
      </c>
    </row>
    <row r="20" spans="1:41" ht="15">
      <c r="A20" s="41" t="s">
        <v>48</v>
      </c>
      <c r="B20" s="42" t="s">
        <v>124</v>
      </c>
      <c r="C20" s="39"/>
      <c r="D20" s="47"/>
      <c r="E20" s="47"/>
      <c r="F20" s="43">
        <v>4.1449319999999998</v>
      </c>
      <c r="G20" s="43">
        <v>0</v>
      </c>
      <c r="H20" s="43">
        <v>0</v>
      </c>
      <c r="I20" s="43">
        <v>14.193252000000001</v>
      </c>
      <c r="J20" s="43">
        <v>8.750411999999999</v>
      </c>
      <c r="K20" s="43">
        <v>73.980756</v>
      </c>
      <c r="L20" s="48">
        <v>144.695808</v>
      </c>
      <c r="M20" s="48">
        <v>0.8373600000000001</v>
      </c>
      <c r="N20" s="48">
        <v>3.7262520000000001</v>
      </c>
      <c r="O20" s="49">
        <v>1.5072479999999999</v>
      </c>
      <c r="P20" s="49">
        <v>2.0515319999999999</v>
      </c>
      <c r="Q20" s="49">
        <v>0.96296400000000004</v>
      </c>
      <c r="R20" s="52">
        <v>0</v>
      </c>
      <c r="S20" s="52">
        <v>0</v>
      </c>
      <c r="T20" s="52">
        <v>0</v>
      </c>
      <c r="U20" s="52">
        <v>0</v>
      </c>
      <c r="V20" s="45">
        <v>254.850516</v>
      </c>
      <c r="X20" s="50"/>
      <c r="Y20" s="46">
        <f>F20/$V$20</f>
        <v>1.6264169541646129E-2</v>
      </c>
      <c r="Z20" s="46">
        <f t="shared" ref="Z20:AN20" si="15">G20/$V$20</f>
        <v>0</v>
      </c>
      <c r="AA20" s="46">
        <f t="shared" si="15"/>
        <v>0</v>
      </c>
      <c r="AB20" s="46">
        <f t="shared" si="15"/>
        <v>5.5692459339576152E-2</v>
      </c>
      <c r="AC20" s="46">
        <f t="shared" si="15"/>
        <v>3.4335469032364049E-2</v>
      </c>
      <c r="AD20" s="46">
        <f t="shared" si="15"/>
        <v>0.29029078363725974</v>
      </c>
      <c r="AE20" s="46">
        <f t="shared" si="15"/>
        <v>0.56776737309019221</v>
      </c>
      <c r="AF20" s="46">
        <f t="shared" si="15"/>
        <v>3.2856908164941682E-3</v>
      </c>
      <c r="AG20" s="46">
        <f t="shared" si="15"/>
        <v>1.4621324133399049E-2</v>
      </c>
      <c r="AH20" s="46">
        <f t="shared" si="15"/>
        <v>5.9142434696895022E-3</v>
      </c>
      <c r="AI20" s="46">
        <f t="shared" si="15"/>
        <v>8.0499425004107103E-3</v>
      </c>
      <c r="AJ20" s="46">
        <f t="shared" si="15"/>
        <v>3.7785444389682931E-3</v>
      </c>
      <c r="AK20" s="46">
        <f t="shared" si="15"/>
        <v>0</v>
      </c>
      <c r="AL20" s="46">
        <f t="shared" si="15"/>
        <v>0</v>
      </c>
      <c r="AM20" s="46">
        <f t="shared" si="15"/>
        <v>0</v>
      </c>
      <c r="AN20" s="46">
        <f t="shared" si="15"/>
        <v>0</v>
      </c>
      <c r="AO20" s="2">
        <f t="shared" si="2"/>
        <v>1</v>
      </c>
    </row>
    <row r="21" spans="1:41" ht="15">
      <c r="A21" s="41" t="s">
        <v>51</v>
      </c>
      <c r="B21" s="42" t="s">
        <v>124</v>
      </c>
      <c r="C21" s="39"/>
      <c r="D21" s="47"/>
      <c r="E21" s="47"/>
      <c r="F21" s="43">
        <v>0</v>
      </c>
      <c r="G21" s="43">
        <v>0</v>
      </c>
      <c r="H21" s="43">
        <v>0</v>
      </c>
      <c r="I21" s="43">
        <v>0</v>
      </c>
      <c r="J21" s="43">
        <v>0</v>
      </c>
      <c r="K21" s="43">
        <v>0</v>
      </c>
      <c r="L21" s="48">
        <v>1.172304</v>
      </c>
      <c r="M21" s="48">
        <v>0</v>
      </c>
      <c r="N21" s="48">
        <v>0</v>
      </c>
      <c r="O21" s="49">
        <v>0.20934000000000003</v>
      </c>
      <c r="P21" s="49">
        <v>0</v>
      </c>
      <c r="Q21" s="49">
        <v>0</v>
      </c>
      <c r="R21" s="52">
        <v>0</v>
      </c>
      <c r="S21" s="52">
        <v>0</v>
      </c>
      <c r="T21" s="52">
        <v>0</v>
      </c>
      <c r="U21" s="52">
        <v>0</v>
      </c>
      <c r="V21" s="45">
        <v>1.3816440000000001</v>
      </c>
      <c r="X21" s="53"/>
      <c r="Y21" s="46">
        <f>F21/$V$21</f>
        <v>0</v>
      </c>
      <c r="Z21" s="46">
        <f t="shared" ref="Z21:AN21" si="16">G21/$V$21</f>
        <v>0</v>
      </c>
      <c r="AA21" s="46">
        <f t="shared" si="16"/>
        <v>0</v>
      </c>
      <c r="AB21" s="46">
        <f t="shared" si="16"/>
        <v>0</v>
      </c>
      <c r="AC21" s="46">
        <f t="shared" si="16"/>
        <v>0</v>
      </c>
      <c r="AD21" s="46">
        <f t="shared" si="16"/>
        <v>0</v>
      </c>
      <c r="AE21" s="46">
        <f t="shared" si="16"/>
        <v>0.8484848484848484</v>
      </c>
      <c r="AF21" s="46">
        <f t="shared" si="16"/>
        <v>0</v>
      </c>
      <c r="AG21" s="46">
        <f t="shared" si="16"/>
        <v>0</v>
      </c>
      <c r="AH21" s="46">
        <f t="shared" si="16"/>
        <v>0.15151515151515152</v>
      </c>
      <c r="AI21" s="46">
        <f t="shared" si="16"/>
        <v>0</v>
      </c>
      <c r="AJ21" s="46">
        <f t="shared" si="16"/>
        <v>0</v>
      </c>
      <c r="AK21" s="46">
        <f t="shared" si="16"/>
        <v>0</v>
      </c>
      <c r="AL21" s="46">
        <f t="shared" si="16"/>
        <v>0</v>
      </c>
      <c r="AM21" s="46">
        <f t="shared" si="16"/>
        <v>0</v>
      </c>
      <c r="AN21" s="46">
        <f t="shared" si="16"/>
        <v>0</v>
      </c>
      <c r="AO21" s="2">
        <f t="shared" si="2"/>
        <v>0.99999999999999989</v>
      </c>
    </row>
    <row r="22" spans="1:41" ht="15">
      <c r="A22" s="41" t="s">
        <v>52</v>
      </c>
      <c r="B22" s="42" t="s">
        <v>124</v>
      </c>
      <c r="C22" s="39"/>
      <c r="D22" s="47"/>
      <c r="E22" s="47"/>
      <c r="F22" s="43">
        <v>0</v>
      </c>
      <c r="G22" s="43">
        <v>0</v>
      </c>
      <c r="H22" s="43">
        <v>0</v>
      </c>
      <c r="I22" s="43">
        <v>0</v>
      </c>
      <c r="J22" s="43">
        <v>0</v>
      </c>
      <c r="K22" s="43">
        <v>0</v>
      </c>
      <c r="L22" s="48">
        <v>4.3124039999999999</v>
      </c>
      <c r="M22" s="48">
        <v>0</v>
      </c>
      <c r="N22" s="48">
        <v>0</v>
      </c>
      <c r="O22" s="49">
        <v>0.293076</v>
      </c>
      <c r="P22" s="49">
        <v>0</v>
      </c>
      <c r="Q22" s="49">
        <v>0</v>
      </c>
      <c r="R22" s="52">
        <v>0</v>
      </c>
      <c r="S22" s="52">
        <v>0</v>
      </c>
      <c r="T22" s="52">
        <v>0</v>
      </c>
      <c r="U22" s="52">
        <v>0</v>
      </c>
      <c r="V22" s="45">
        <v>4.60548</v>
      </c>
      <c r="X22" s="53"/>
      <c r="Y22" s="46">
        <f>F22/$V$22</f>
        <v>0</v>
      </c>
      <c r="Z22" s="46">
        <f t="shared" ref="Z22:AN22" si="17">G22/$V$22</f>
        <v>0</v>
      </c>
      <c r="AA22" s="46">
        <f t="shared" si="17"/>
        <v>0</v>
      </c>
      <c r="AB22" s="46">
        <f t="shared" si="17"/>
        <v>0</v>
      </c>
      <c r="AC22" s="46">
        <f t="shared" si="17"/>
        <v>0</v>
      </c>
      <c r="AD22" s="46">
        <f t="shared" si="17"/>
        <v>0</v>
      </c>
      <c r="AE22" s="46">
        <f t="shared" si="17"/>
        <v>0.93636363636363629</v>
      </c>
      <c r="AF22" s="46">
        <f t="shared" si="17"/>
        <v>0</v>
      </c>
      <c r="AG22" s="46">
        <f t="shared" si="17"/>
        <v>0</v>
      </c>
      <c r="AH22" s="46">
        <f t="shared" si="17"/>
        <v>6.3636363636363644E-2</v>
      </c>
      <c r="AI22" s="46">
        <f t="shared" si="17"/>
        <v>0</v>
      </c>
      <c r="AJ22" s="46">
        <f t="shared" si="17"/>
        <v>0</v>
      </c>
      <c r="AK22" s="46">
        <f t="shared" si="17"/>
        <v>0</v>
      </c>
      <c r="AL22" s="46">
        <f t="shared" si="17"/>
        <v>0</v>
      </c>
      <c r="AM22" s="46">
        <f t="shared" si="17"/>
        <v>0</v>
      </c>
      <c r="AN22" s="46">
        <f t="shared" si="17"/>
        <v>0</v>
      </c>
      <c r="AO22" s="2">
        <f t="shared" si="2"/>
        <v>0.99999999999999989</v>
      </c>
    </row>
    <row r="23" spans="1:41" ht="15">
      <c r="A23" s="41" t="s">
        <v>50</v>
      </c>
      <c r="B23" s="42" t="s">
        <v>124</v>
      </c>
      <c r="C23" s="39"/>
      <c r="D23" s="47"/>
      <c r="E23" s="47"/>
      <c r="F23" s="43">
        <v>0</v>
      </c>
      <c r="G23" s="43">
        <v>0</v>
      </c>
      <c r="H23" s="43">
        <v>0</v>
      </c>
      <c r="I23" s="43">
        <v>0</v>
      </c>
      <c r="J23" s="43">
        <v>0</v>
      </c>
      <c r="K23" s="43">
        <v>0</v>
      </c>
      <c r="L23" s="48">
        <v>0.75362400000000007</v>
      </c>
      <c r="M23" s="48">
        <v>0</v>
      </c>
      <c r="N23" s="48">
        <v>0</v>
      </c>
      <c r="O23" s="49">
        <v>0.16747200000000001</v>
      </c>
      <c r="P23" s="49">
        <v>0</v>
      </c>
      <c r="Q23" s="49">
        <v>0</v>
      </c>
      <c r="R23" s="52">
        <v>0</v>
      </c>
      <c r="S23" s="52">
        <v>0</v>
      </c>
      <c r="T23" s="52">
        <v>0</v>
      </c>
      <c r="U23" s="52">
        <v>0</v>
      </c>
      <c r="V23" s="45">
        <v>0.92109600000000014</v>
      </c>
      <c r="X23" s="53"/>
      <c r="Y23" s="46">
        <f>F23/$V$23</f>
        <v>0</v>
      </c>
      <c r="Z23" s="46">
        <f t="shared" ref="Z23:AN23" si="18">G23/$V$23</f>
        <v>0</v>
      </c>
      <c r="AA23" s="46">
        <f t="shared" si="18"/>
        <v>0</v>
      </c>
      <c r="AB23" s="46">
        <f t="shared" si="18"/>
        <v>0</v>
      </c>
      <c r="AC23" s="46">
        <f t="shared" si="18"/>
        <v>0</v>
      </c>
      <c r="AD23" s="46">
        <f t="shared" si="18"/>
        <v>0</v>
      </c>
      <c r="AE23" s="46">
        <f t="shared" si="18"/>
        <v>0.81818181818181812</v>
      </c>
      <c r="AF23" s="46">
        <f t="shared" si="18"/>
        <v>0</v>
      </c>
      <c r="AG23" s="46">
        <f t="shared" si="18"/>
        <v>0</v>
      </c>
      <c r="AH23" s="46">
        <f t="shared" si="18"/>
        <v>0.1818181818181818</v>
      </c>
      <c r="AI23" s="46">
        <f t="shared" si="18"/>
        <v>0</v>
      </c>
      <c r="AJ23" s="46">
        <f t="shared" si="18"/>
        <v>0</v>
      </c>
      <c r="AK23" s="46">
        <f t="shared" si="18"/>
        <v>0</v>
      </c>
      <c r="AL23" s="46">
        <f t="shared" si="18"/>
        <v>0</v>
      </c>
      <c r="AM23" s="46">
        <f t="shared" si="18"/>
        <v>0</v>
      </c>
      <c r="AN23" s="46">
        <f t="shared" si="18"/>
        <v>0</v>
      </c>
      <c r="AO23" s="2">
        <f t="shared" si="2"/>
        <v>0.99999999999999989</v>
      </c>
    </row>
    <row r="24" spans="1:41" ht="15">
      <c r="A24" s="41" t="s">
        <v>54</v>
      </c>
      <c r="B24" s="42" t="s">
        <v>124</v>
      </c>
      <c r="C24" s="39"/>
      <c r="D24" s="47"/>
      <c r="E24" s="47"/>
      <c r="F24" s="43">
        <v>0</v>
      </c>
      <c r="G24" s="43">
        <v>0</v>
      </c>
      <c r="H24" s="43">
        <v>0</v>
      </c>
      <c r="I24" s="43">
        <v>0</v>
      </c>
      <c r="J24" s="43">
        <v>0</v>
      </c>
      <c r="K24" s="43">
        <v>0</v>
      </c>
      <c r="L24" s="48">
        <v>0</v>
      </c>
      <c r="M24" s="48">
        <v>0</v>
      </c>
      <c r="N24" s="48">
        <v>0</v>
      </c>
      <c r="O24" s="49">
        <v>0</v>
      </c>
      <c r="P24" s="49">
        <v>0</v>
      </c>
      <c r="Q24" s="49">
        <v>0</v>
      </c>
      <c r="R24" s="52">
        <v>0</v>
      </c>
      <c r="S24" s="52">
        <v>0</v>
      </c>
      <c r="T24" s="52">
        <v>0</v>
      </c>
      <c r="U24" s="52">
        <v>0</v>
      </c>
      <c r="V24" s="45">
        <v>0</v>
      </c>
      <c r="X24" s="53"/>
      <c r="Y24" s="46"/>
      <c r="Z24" s="46"/>
      <c r="AA24" s="46"/>
      <c r="AB24" s="46"/>
      <c r="AC24" s="46"/>
      <c r="AD24" s="46"/>
      <c r="AE24" s="46"/>
      <c r="AF24" s="46"/>
      <c r="AG24" s="46"/>
      <c r="AH24" s="46"/>
      <c r="AI24" s="46"/>
      <c r="AJ24" s="46"/>
      <c r="AK24" s="46"/>
      <c r="AL24" s="46"/>
      <c r="AM24" s="46"/>
      <c r="AN24" s="46"/>
      <c r="AO24" s="2">
        <f t="shared" si="2"/>
        <v>0</v>
      </c>
    </row>
    <row r="25" spans="1:41" ht="15">
      <c r="A25" s="41" t="s">
        <v>55</v>
      </c>
      <c r="B25" s="42" t="s">
        <v>124</v>
      </c>
      <c r="C25" s="39"/>
      <c r="D25" s="47"/>
      <c r="E25" s="47"/>
      <c r="F25" s="43">
        <v>0</v>
      </c>
      <c r="G25" s="43">
        <v>0</v>
      </c>
      <c r="H25" s="43">
        <v>0</v>
      </c>
      <c r="I25" s="43">
        <v>14.109516000000001</v>
      </c>
      <c r="J25" s="43">
        <v>0.16747200000000001</v>
      </c>
      <c r="K25" s="43">
        <v>9.4621680000000001</v>
      </c>
      <c r="L25" s="48">
        <v>57.903444</v>
      </c>
      <c r="M25" s="48">
        <v>0.12560399999999999</v>
      </c>
      <c r="N25" s="48">
        <v>0.33494400000000002</v>
      </c>
      <c r="O25" s="49">
        <v>1.800324</v>
      </c>
      <c r="P25" s="49">
        <v>49.529844000000004</v>
      </c>
      <c r="Q25" s="49">
        <v>0</v>
      </c>
      <c r="R25" s="52">
        <v>0</v>
      </c>
      <c r="S25" s="52">
        <v>0</v>
      </c>
      <c r="T25" s="52">
        <v>0</v>
      </c>
      <c r="U25" s="52">
        <v>0</v>
      </c>
      <c r="V25" s="45">
        <v>133.43331599999999</v>
      </c>
      <c r="X25" s="50"/>
      <c r="Y25" s="46">
        <f>F25/$V$25</f>
        <v>0</v>
      </c>
      <c r="Z25" s="46">
        <f t="shared" ref="Z25:AN25" si="19">G25/$V$25</f>
        <v>0</v>
      </c>
      <c r="AA25" s="46">
        <f t="shared" si="19"/>
        <v>0</v>
      </c>
      <c r="AB25" s="46">
        <f t="shared" si="19"/>
        <v>0.10574207718857861</v>
      </c>
      <c r="AC25" s="46">
        <f t="shared" si="19"/>
        <v>1.255098839033574E-3</v>
      </c>
      <c r="AD25" s="46">
        <f t="shared" si="19"/>
        <v>7.0913084405396926E-2</v>
      </c>
      <c r="AE25" s="46">
        <f t="shared" si="19"/>
        <v>0.43395042359585823</v>
      </c>
      <c r="AF25" s="46">
        <f t="shared" si="19"/>
        <v>9.4132412927518041E-4</v>
      </c>
      <c r="AG25" s="46">
        <f t="shared" si="19"/>
        <v>2.510197678067148E-3</v>
      </c>
      <c r="AH25" s="46">
        <f t="shared" si="19"/>
        <v>1.3492312519610921E-2</v>
      </c>
      <c r="AI25" s="46">
        <f t="shared" si="19"/>
        <v>0.37119548164417954</v>
      </c>
      <c r="AJ25" s="46">
        <f t="shared" si="19"/>
        <v>0</v>
      </c>
      <c r="AK25" s="46">
        <f t="shared" si="19"/>
        <v>0</v>
      </c>
      <c r="AL25" s="46">
        <f t="shared" si="19"/>
        <v>0</v>
      </c>
      <c r="AM25" s="46">
        <f t="shared" si="19"/>
        <v>0</v>
      </c>
      <c r="AN25" s="46">
        <f t="shared" si="19"/>
        <v>0</v>
      </c>
      <c r="AO25" s="2">
        <f t="shared" si="2"/>
        <v>1.0000000000000002</v>
      </c>
    </row>
    <row r="26" spans="1:41" ht="15">
      <c r="A26" s="41" t="s">
        <v>57</v>
      </c>
      <c r="B26" s="42" t="s">
        <v>124</v>
      </c>
      <c r="C26" s="39"/>
      <c r="D26" s="47"/>
      <c r="E26" s="47"/>
      <c r="F26" s="43">
        <v>57.652236000000002</v>
      </c>
      <c r="G26" s="43">
        <v>0</v>
      </c>
      <c r="H26" s="43">
        <v>0</v>
      </c>
      <c r="I26" s="43">
        <v>0.33494400000000002</v>
      </c>
      <c r="J26" s="43">
        <v>0</v>
      </c>
      <c r="K26" s="43">
        <v>1.088568</v>
      </c>
      <c r="L26" s="48">
        <v>4.8566880000000001</v>
      </c>
      <c r="M26" s="48">
        <v>5.5684440000000004</v>
      </c>
      <c r="N26" s="48">
        <v>4.1449319999999998</v>
      </c>
      <c r="O26" s="49">
        <v>7.9967880000000005</v>
      </c>
      <c r="P26" s="49">
        <v>0</v>
      </c>
      <c r="Q26" s="49">
        <v>5.1916320000000002</v>
      </c>
      <c r="R26" s="52">
        <v>0</v>
      </c>
      <c r="S26" s="52">
        <v>0</v>
      </c>
      <c r="T26" s="52">
        <v>0</v>
      </c>
      <c r="U26" s="52">
        <v>0</v>
      </c>
      <c r="V26" s="45">
        <v>86.834232</v>
      </c>
      <c r="X26" s="50"/>
      <c r="Y26" s="46">
        <f>F26/$V$26</f>
        <v>0.66393442622950827</v>
      </c>
      <c r="Z26" s="46">
        <f t="shared" ref="Z26:AN26" si="20">G26/$V$26</f>
        <v>0</v>
      </c>
      <c r="AA26" s="46">
        <f t="shared" si="20"/>
        <v>0</v>
      </c>
      <c r="AB26" s="46">
        <f t="shared" si="20"/>
        <v>3.8572806171648989E-3</v>
      </c>
      <c r="AC26" s="46">
        <f t="shared" si="20"/>
        <v>0</v>
      </c>
      <c r="AD26" s="46">
        <f t="shared" si="20"/>
        <v>1.253616200578592E-2</v>
      </c>
      <c r="AE26" s="46">
        <f t="shared" si="20"/>
        <v>5.5930568948891035E-2</v>
      </c>
      <c r="AF26" s="46">
        <f t="shared" si="20"/>
        <v>6.412729026036644E-2</v>
      </c>
      <c r="AG26" s="46">
        <f t="shared" si="20"/>
        <v>4.7733847637415623E-2</v>
      </c>
      <c r="AH26" s="46">
        <f t="shared" si="20"/>
        <v>9.2092574734811958E-2</v>
      </c>
      <c r="AI26" s="46">
        <f t="shared" si="20"/>
        <v>0</v>
      </c>
      <c r="AJ26" s="46">
        <f t="shared" si="20"/>
        <v>5.9787849566055935E-2</v>
      </c>
      <c r="AK26" s="46">
        <f t="shared" si="20"/>
        <v>0</v>
      </c>
      <c r="AL26" s="46">
        <f t="shared" si="20"/>
        <v>0</v>
      </c>
      <c r="AM26" s="46">
        <f t="shared" si="20"/>
        <v>0</v>
      </c>
      <c r="AN26" s="46">
        <f t="shared" si="20"/>
        <v>0</v>
      </c>
      <c r="AO26" s="2">
        <f t="shared" si="2"/>
        <v>1</v>
      </c>
    </row>
    <row r="27" spans="1:41" ht="15">
      <c r="A27" s="41" t="s">
        <v>58</v>
      </c>
      <c r="B27" s="42" t="s">
        <v>124</v>
      </c>
      <c r="C27" s="39"/>
      <c r="D27" s="47"/>
      <c r="E27" s="47"/>
      <c r="F27" s="43">
        <v>0</v>
      </c>
      <c r="G27" s="43">
        <v>0</v>
      </c>
      <c r="H27" s="43">
        <v>0</v>
      </c>
      <c r="I27" s="43">
        <v>0</v>
      </c>
      <c r="J27" s="43">
        <v>8.3736000000000005E-2</v>
      </c>
      <c r="K27" s="43">
        <v>10.592604000000001</v>
      </c>
      <c r="L27" s="48">
        <v>17.793900000000001</v>
      </c>
      <c r="M27" s="48">
        <v>0</v>
      </c>
      <c r="N27" s="48">
        <v>0</v>
      </c>
      <c r="O27" s="49">
        <v>8.2898639999999997</v>
      </c>
      <c r="P27" s="49">
        <v>8.6666760000000007</v>
      </c>
      <c r="Q27" s="49">
        <v>0.20934000000000003</v>
      </c>
      <c r="R27" s="52">
        <v>0</v>
      </c>
      <c r="S27" s="52">
        <v>0</v>
      </c>
      <c r="T27" s="52">
        <v>0</v>
      </c>
      <c r="U27" s="52">
        <v>0</v>
      </c>
      <c r="V27" s="45">
        <v>45.636120000000005</v>
      </c>
      <c r="Y27" s="46">
        <f>F27/$V$27</f>
        <v>0</v>
      </c>
      <c r="Z27" s="46">
        <f t="shared" ref="Z27:AN27" si="21">G27/$V$27</f>
        <v>0</v>
      </c>
      <c r="AA27" s="46">
        <f t="shared" si="21"/>
        <v>0</v>
      </c>
      <c r="AB27" s="46">
        <f t="shared" si="21"/>
        <v>0</v>
      </c>
      <c r="AC27" s="46">
        <f t="shared" si="21"/>
        <v>1.8348623853211008E-3</v>
      </c>
      <c r="AD27" s="46">
        <f t="shared" si="21"/>
        <v>0.23211009174311928</v>
      </c>
      <c r="AE27" s="46">
        <f t="shared" si="21"/>
        <v>0.38990825688073394</v>
      </c>
      <c r="AF27" s="46">
        <f t="shared" si="21"/>
        <v>0</v>
      </c>
      <c r="AG27" s="46">
        <f t="shared" si="21"/>
        <v>0</v>
      </c>
      <c r="AH27" s="46">
        <f t="shared" si="21"/>
        <v>0.18165137614678897</v>
      </c>
      <c r="AI27" s="46">
        <f t="shared" si="21"/>
        <v>0.18990825688073393</v>
      </c>
      <c r="AJ27" s="46">
        <f t="shared" si="21"/>
        <v>4.5871559633027525E-3</v>
      </c>
      <c r="AK27" s="46">
        <f t="shared" si="21"/>
        <v>0</v>
      </c>
      <c r="AL27" s="46">
        <f t="shared" si="21"/>
        <v>0</v>
      </c>
      <c r="AM27" s="46">
        <f t="shared" si="21"/>
        <v>0</v>
      </c>
      <c r="AN27" s="46">
        <f t="shared" si="21"/>
        <v>0</v>
      </c>
      <c r="AO27" s="2">
        <f t="shared" si="2"/>
        <v>0.99999999999999989</v>
      </c>
    </row>
    <row r="28" spans="1:41" ht="15">
      <c r="A28" s="41" t="s">
        <v>59</v>
      </c>
      <c r="B28" s="42" t="s">
        <v>124</v>
      </c>
      <c r="C28" s="39"/>
      <c r="D28" s="47"/>
      <c r="E28" s="47"/>
      <c r="F28" s="43">
        <v>0</v>
      </c>
      <c r="G28" s="43">
        <v>18.086976</v>
      </c>
      <c r="H28" s="43">
        <v>0</v>
      </c>
      <c r="I28" s="43">
        <v>0.33494400000000002</v>
      </c>
      <c r="J28" s="43">
        <v>4.1868000000000002E-2</v>
      </c>
      <c r="K28" s="43">
        <v>2.1352679999999999</v>
      </c>
      <c r="L28" s="48">
        <v>4.0611959999999998</v>
      </c>
      <c r="M28" s="48">
        <v>0</v>
      </c>
      <c r="N28" s="48">
        <v>1.088568</v>
      </c>
      <c r="O28" s="49">
        <v>8.3736000000000005E-2</v>
      </c>
      <c r="P28" s="49">
        <v>0</v>
      </c>
      <c r="Q28" s="49">
        <v>4.1868000000000002E-2</v>
      </c>
      <c r="R28" s="52">
        <v>0</v>
      </c>
      <c r="S28" s="52">
        <v>0</v>
      </c>
      <c r="T28" s="52">
        <v>0</v>
      </c>
      <c r="U28" s="52">
        <v>0</v>
      </c>
      <c r="V28" s="45">
        <v>25.874423999999998</v>
      </c>
      <c r="Y28" s="46">
        <f>F28/$V$28</f>
        <v>0</v>
      </c>
      <c r="Z28" s="46">
        <f t="shared" ref="Z28:AN28" si="22">G28/$V$28</f>
        <v>0.69902912621359226</v>
      </c>
      <c r="AA28" s="46">
        <f t="shared" si="22"/>
        <v>0</v>
      </c>
      <c r="AB28" s="46">
        <f t="shared" si="22"/>
        <v>1.2944983818770229E-2</v>
      </c>
      <c r="AC28" s="46">
        <f t="shared" si="22"/>
        <v>1.6181229773462786E-3</v>
      </c>
      <c r="AD28" s="46">
        <f t="shared" si="22"/>
        <v>8.2524271844660199E-2</v>
      </c>
      <c r="AE28" s="46">
        <f t="shared" si="22"/>
        <v>0.15695792880258899</v>
      </c>
      <c r="AF28" s="46">
        <f t="shared" si="22"/>
        <v>0</v>
      </c>
      <c r="AG28" s="46">
        <f t="shared" si="22"/>
        <v>4.2071197411003236E-2</v>
      </c>
      <c r="AH28" s="46">
        <f t="shared" si="22"/>
        <v>3.2362459546925572E-3</v>
      </c>
      <c r="AI28" s="46">
        <f t="shared" si="22"/>
        <v>0</v>
      </c>
      <c r="AJ28" s="46">
        <f t="shared" si="22"/>
        <v>1.6181229773462786E-3</v>
      </c>
      <c r="AK28" s="46">
        <f t="shared" si="22"/>
        <v>0</v>
      </c>
      <c r="AL28" s="46">
        <f t="shared" si="22"/>
        <v>0</v>
      </c>
      <c r="AM28" s="46">
        <f t="shared" si="22"/>
        <v>0</v>
      </c>
      <c r="AN28" s="46">
        <f t="shared" si="22"/>
        <v>0</v>
      </c>
      <c r="AO28" s="2">
        <f t="shared" si="2"/>
        <v>1</v>
      </c>
    </row>
    <row r="29" spans="1:41" ht="15">
      <c r="A29" s="41" t="s">
        <v>63</v>
      </c>
      <c r="B29" s="42" t="s">
        <v>124</v>
      </c>
      <c r="C29" s="39"/>
      <c r="D29" s="47"/>
      <c r="E29" s="47"/>
      <c r="F29" s="43">
        <v>8.3736000000000005E-2</v>
      </c>
      <c r="G29" s="43">
        <v>4.1868000000000002E-2</v>
      </c>
      <c r="H29" s="43">
        <v>0</v>
      </c>
      <c r="I29" s="43">
        <v>0</v>
      </c>
      <c r="J29" s="43">
        <v>0</v>
      </c>
      <c r="K29" s="43">
        <v>3.1819680000000004</v>
      </c>
      <c r="L29" s="48">
        <v>0.41868000000000005</v>
      </c>
      <c r="M29" s="48">
        <v>0.16747200000000001</v>
      </c>
      <c r="N29" s="48">
        <v>2.8888920000000002</v>
      </c>
      <c r="O29" s="49">
        <v>51.706980000000001</v>
      </c>
      <c r="P29" s="49">
        <v>0</v>
      </c>
      <c r="Q29" s="49">
        <v>0</v>
      </c>
      <c r="R29" s="52">
        <v>0</v>
      </c>
      <c r="S29" s="52">
        <v>0</v>
      </c>
      <c r="T29" s="52">
        <v>0</v>
      </c>
      <c r="U29" s="52">
        <v>0</v>
      </c>
      <c r="V29" s="45">
        <v>58.489596000000006</v>
      </c>
      <c r="Y29" s="46">
        <f>F29/$V$29</f>
        <v>1.4316392269148174E-3</v>
      </c>
      <c r="Z29" s="46">
        <f t="shared" ref="Z29:AN29" si="23">G29/$V$29</f>
        <v>7.158196134574087E-4</v>
      </c>
      <c r="AA29" s="46">
        <f t="shared" si="23"/>
        <v>0</v>
      </c>
      <c r="AB29" s="46">
        <f t="shared" si="23"/>
        <v>0</v>
      </c>
      <c r="AC29" s="46">
        <f t="shared" si="23"/>
        <v>0</v>
      </c>
      <c r="AD29" s="46">
        <f t="shared" si="23"/>
        <v>5.4402290622763062E-2</v>
      </c>
      <c r="AE29" s="46">
        <f t="shared" si="23"/>
        <v>7.1581961345740875E-3</v>
      </c>
      <c r="AF29" s="46">
        <f t="shared" si="23"/>
        <v>2.8632784538296348E-3</v>
      </c>
      <c r="AG29" s="46">
        <f t="shared" si="23"/>
        <v>4.9391553328561204E-2</v>
      </c>
      <c r="AH29" s="46">
        <f t="shared" si="23"/>
        <v>0.8840372226198997</v>
      </c>
      <c r="AI29" s="46">
        <f t="shared" si="23"/>
        <v>0</v>
      </c>
      <c r="AJ29" s="46">
        <f t="shared" si="23"/>
        <v>0</v>
      </c>
      <c r="AK29" s="46">
        <f t="shared" si="23"/>
        <v>0</v>
      </c>
      <c r="AL29" s="46">
        <f t="shared" si="23"/>
        <v>0</v>
      </c>
      <c r="AM29" s="46">
        <f t="shared" si="23"/>
        <v>0</v>
      </c>
      <c r="AN29" s="46">
        <f t="shared" si="23"/>
        <v>0</v>
      </c>
      <c r="AO29" s="2">
        <f t="shared" si="2"/>
        <v>0.99999999999999989</v>
      </c>
    </row>
    <row r="30" spans="1:41" ht="15">
      <c r="A30" s="41" t="s">
        <v>60</v>
      </c>
      <c r="B30" s="42" t="s">
        <v>124</v>
      </c>
      <c r="C30" s="39"/>
      <c r="D30" s="47"/>
      <c r="E30" s="47"/>
      <c r="F30" s="43">
        <v>0.293076</v>
      </c>
      <c r="G30" s="43">
        <v>0</v>
      </c>
      <c r="H30" s="43">
        <v>0</v>
      </c>
      <c r="I30" s="43">
        <v>0</v>
      </c>
      <c r="J30" s="43">
        <v>0</v>
      </c>
      <c r="K30" s="43">
        <v>0.16747200000000001</v>
      </c>
      <c r="L30" s="48">
        <v>0.8373600000000001</v>
      </c>
      <c r="M30" s="48">
        <v>0</v>
      </c>
      <c r="N30" s="48">
        <v>0</v>
      </c>
      <c r="O30" s="49">
        <v>1.0467000000000002</v>
      </c>
      <c r="P30" s="49">
        <v>0</v>
      </c>
      <c r="Q30" s="49">
        <v>4.1868000000000002E-2</v>
      </c>
      <c r="R30" s="52">
        <v>0</v>
      </c>
      <c r="S30" s="52">
        <v>0</v>
      </c>
      <c r="T30" s="52">
        <v>0</v>
      </c>
      <c r="U30" s="52">
        <v>0</v>
      </c>
      <c r="V30" s="45">
        <v>2.386476</v>
      </c>
      <c r="Y30" s="46">
        <f>F30/$V$30</f>
        <v>0.12280701754385964</v>
      </c>
      <c r="Z30" s="46">
        <f t="shared" ref="Z30:AN30" si="24">G30/$V$30</f>
        <v>0</v>
      </c>
      <c r="AA30" s="46">
        <f t="shared" si="24"/>
        <v>0</v>
      </c>
      <c r="AB30" s="46">
        <f t="shared" si="24"/>
        <v>0</v>
      </c>
      <c r="AC30" s="46">
        <f t="shared" si="24"/>
        <v>0</v>
      </c>
      <c r="AD30" s="46">
        <f t="shared" si="24"/>
        <v>7.0175438596491224E-2</v>
      </c>
      <c r="AE30" s="46">
        <f t="shared" si="24"/>
        <v>0.35087719298245618</v>
      </c>
      <c r="AF30" s="46">
        <f t="shared" si="24"/>
        <v>0</v>
      </c>
      <c r="AG30" s="46">
        <f t="shared" si="24"/>
        <v>0</v>
      </c>
      <c r="AH30" s="46">
        <f t="shared" si="24"/>
        <v>0.43859649122807026</v>
      </c>
      <c r="AI30" s="46">
        <f t="shared" si="24"/>
        <v>0</v>
      </c>
      <c r="AJ30" s="46">
        <f t="shared" si="24"/>
        <v>1.7543859649122806E-2</v>
      </c>
      <c r="AK30" s="46">
        <f t="shared" si="24"/>
        <v>0</v>
      </c>
      <c r="AL30" s="46">
        <f t="shared" si="24"/>
        <v>0</v>
      </c>
      <c r="AM30" s="46">
        <f t="shared" si="24"/>
        <v>0</v>
      </c>
      <c r="AN30" s="46">
        <f t="shared" si="24"/>
        <v>0</v>
      </c>
      <c r="AO30" s="2">
        <f t="shared" si="2"/>
        <v>1.0000000000000002</v>
      </c>
    </row>
    <row r="31" spans="1:41" ht="15">
      <c r="A31" s="41" t="s">
        <v>61</v>
      </c>
      <c r="B31" s="42" t="s">
        <v>124</v>
      </c>
      <c r="C31" s="39"/>
      <c r="D31" s="47"/>
      <c r="E31" s="47"/>
      <c r="F31" s="43">
        <v>5.3172360000000003</v>
      </c>
      <c r="G31" s="43">
        <v>0.25120799999999999</v>
      </c>
      <c r="H31" s="43">
        <v>0</v>
      </c>
      <c r="I31" s="43">
        <v>8.3736000000000005E-2</v>
      </c>
      <c r="J31" s="43">
        <v>0</v>
      </c>
      <c r="K31" s="43">
        <v>3.7262520000000001</v>
      </c>
      <c r="L31" s="48">
        <v>2.0096639999999999</v>
      </c>
      <c r="M31" s="48">
        <v>0.92109600000000003</v>
      </c>
      <c r="N31" s="48">
        <v>1.716588</v>
      </c>
      <c r="O31" s="49">
        <v>0.293076</v>
      </c>
      <c r="P31" s="49">
        <v>1.25604</v>
      </c>
      <c r="Q31" s="49">
        <v>0</v>
      </c>
      <c r="R31" s="52">
        <v>0</v>
      </c>
      <c r="S31" s="52">
        <v>0</v>
      </c>
      <c r="T31" s="52">
        <v>0</v>
      </c>
      <c r="U31" s="52">
        <v>0</v>
      </c>
      <c r="V31" s="45">
        <v>15.574896000000001</v>
      </c>
      <c r="X31" s="50"/>
      <c r="Y31" s="46">
        <f>F31/$V$31</f>
        <v>0.34139784946236562</v>
      </c>
      <c r="Z31" s="46">
        <f t="shared" ref="Z31:AN31" si="25">G31/$V$31</f>
        <v>1.6129032258064516E-2</v>
      </c>
      <c r="AA31" s="46">
        <f t="shared" si="25"/>
        <v>0</v>
      </c>
      <c r="AB31" s="46">
        <f t="shared" si="25"/>
        <v>5.3763440860215058E-3</v>
      </c>
      <c r="AC31" s="46">
        <f t="shared" si="25"/>
        <v>0</v>
      </c>
      <c r="AD31" s="46">
        <f t="shared" si="25"/>
        <v>0.239247311827957</v>
      </c>
      <c r="AE31" s="46">
        <f t="shared" si="25"/>
        <v>0.12903225806451613</v>
      </c>
      <c r="AF31" s="46">
        <f t="shared" si="25"/>
        <v>5.9139784946236555E-2</v>
      </c>
      <c r="AG31" s="46">
        <f t="shared" si="25"/>
        <v>0.11021505376344086</v>
      </c>
      <c r="AH31" s="46">
        <f t="shared" si="25"/>
        <v>1.8817204301075269E-2</v>
      </c>
      <c r="AI31" s="46">
        <f t="shared" si="25"/>
        <v>8.0645161290322578E-2</v>
      </c>
      <c r="AJ31" s="46">
        <f t="shared" si="25"/>
        <v>0</v>
      </c>
      <c r="AK31" s="46">
        <f t="shared" si="25"/>
        <v>0</v>
      </c>
      <c r="AL31" s="46">
        <f t="shared" si="25"/>
        <v>0</v>
      </c>
      <c r="AM31" s="46">
        <f t="shared" si="25"/>
        <v>0</v>
      </c>
      <c r="AN31" s="46">
        <f t="shared" si="25"/>
        <v>0</v>
      </c>
      <c r="AO31" s="2">
        <f t="shared" si="2"/>
        <v>1</v>
      </c>
    </row>
    <row r="32" spans="1:41" ht="15">
      <c r="A32" s="41" t="s">
        <v>64</v>
      </c>
      <c r="B32" s="42" t="s">
        <v>124</v>
      </c>
      <c r="C32" s="39"/>
      <c r="D32" s="47"/>
      <c r="E32" s="47"/>
      <c r="F32" s="43">
        <v>36.676368000000004</v>
      </c>
      <c r="G32" s="43">
        <v>0</v>
      </c>
      <c r="H32" s="43">
        <v>0</v>
      </c>
      <c r="I32" s="43">
        <v>0</v>
      </c>
      <c r="J32" s="43">
        <v>1.130436</v>
      </c>
      <c r="K32" s="43">
        <v>4.1867999999999999</v>
      </c>
      <c r="L32" s="48">
        <v>176.22241200000002</v>
      </c>
      <c r="M32" s="48">
        <v>7.1594280000000001</v>
      </c>
      <c r="N32" s="48">
        <v>33.536268</v>
      </c>
      <c r="O32" s="49">
        <v>72.054828000000015</v>
      </c>
      <c r="P32" s="49">
        <v>20.180376000000003</v>
      </c>
      <c r="Q32" s="49">
        <v>14.779404000000001</v>
      </c>
      <c r="R32" s="52">
        <v>0</v>
      </c>
      <c r="S32" s="52">
        <v>0</v>
      </c>
      <c r="T32" s="52">
        <v>0</v>
      </c>
      <c r="U32" s="52">
        <v>0</v>
      </c>
      <c r="V32" s="45">
        <v>365.92632000000003</v>
      </c>
      <c r="X32" s="50"/>
      <c r="Y32" s="46">
        <f>F32/$V$32</f>
        <v>0.10022883295194508</v>
      </c>
      <c r="Z32" s="46">
        <f t="shared" ref="Z32:AN32" si="26">G32/$V$32</f>
        <v>0</v>
      </c>
      <c r="AA32" s="46">
        <f t="shared" si="26"/>
        <v>0</v>
      </c>
      <c r="AB32" s="46">
        <f t="shared" si="26"/>
        <v>0</v>
      </c>
      <c r="AC32" s="46">
        <f t="shared" si="26"/>
        <v>3.0892448512585811E-3</v>
      </c>
      <c r="AD32" s="46">
        <f t="shared" si="26"/>
        <v>1.1441647597254002E-2</v>
      </c>
      <c r="AE32" s="46">
        <f t="shared" si="26"/>
        <v>0.48157894736842105</v>
      </c>
      <c r="AF32" s="46">
        <f t="shared" si="26"/>
        <v>1.9565217391304346E-2</v>
      </c>
      <c r="AG32" s="46">
        <f t="shared" si="26"/>
        <v>9.1647597254004565E-2</v>
      </c>
      <c r="AH32" s="46">
        <f t="shared" si="26"/>
        <v>0.19691075514874143</v>
      </c>
      <c r="AI32" s="46">
        <f t="shared" si="26"/>
        <v>5.5148741418764302E-2</v>
      </c>
      <c r="AJ32" s="46">
        <f t="shared" si="26"/>
        <v>4.0389016018306634E-2</v>
      </c>
      <c r="AK32" s="46">
        <f t="shared" si="26"/>
        <v>0</v>
      </c>
      <c r="AL32" s="46">
        <f t="shared" si="26"/>
        <v>0</v>
      </c>
      <c r="AM32" s="46">
        <f t="shared" si="26"/>
        <v>0</v>
      </c>
      <c r="AN32" s="46">
        <f t="shared" si="26"/>
        <v>0</v>
      </c>
      <c r="AO32" s="2">
        <f t="shared" si="2"/>
        <v>1.0000000000000002</v>
      </c>
    </row>
    <row r="33" spans="1:48" ht="15">
      <c r="A33" s="41" t="s">
        <v>81</v>
      </c>
      <c r="B33" s="42" t="s">
        <v>124</v>
      </c>
      <c r="C33" s="39"/>
      <c r="D33" s="47"/>
      <c r="E33" s="47"/>
      <c r="F33" s="43">
        <v>0</v>
      </c>
      <c r="G33" s="43">
        <v>0</v>
      </c>
      <c r="H33" s="43">
        <v>0</v>
      </c>
      <c r="I33" s="43">
        <v>0</v>
      </c>
      <c r="J33" s="43">
        <v>0.75362400000000007</v>
      </c>
      <c r="K33" s="43">
        <v>0.293076</v>
      </c>
      <c r="L33" s="48">
        <v>3.6425160000000001</v>
      </c>
      <c r="M33" s="48">
        <v>0</v>
      </c>
      <c r="N33" s="48">
        <v>0</v>
      </c>
      <c r="O33" s="49">
        <v>1.3816440000000001</v>
      </c>
      <c r="P33" s="49">
        <v>19.636092000000001</v>
      </c>
      <c r="Q33" s="49">
        <v>1.5491160000000002</v>
      </c>
      <c r="R33" s="52">
        <v>3.9607128000000005E-2</v>
      </c>
      <c r="S33" s="52">
        <v>0</v>
      </c>
      <c r="T33" s="52">
        <v>10.643515488</v>
      </c>
      <c r="U33" s="52">
        <v>1.0801944000000001E-2</v>
      </c>
      <c r="V33" s="45">
        <v>37.949992560000005</v>
      </c>
      <c r="Y33" s="46">
        <f t="shared" ref="Y33:AN33" si="27">F33/$V$33</f>
        <v>0</v>
      </c>
      <c r="Z33" s="46">
        <f t="shared" si="27"/>
        <v>0</v>
      </c>
      <c r="AA33" s="46">
        <f t="shared" si="27"/>
        <v>0</v>
      </c>
      <c r="AB33" s="46">
        <f t="shared" si="27"/>
        <v>0</v>
      </c>
      <c r="AC33" s="46">
        <f t="shared" si="27"/>
        <v>1.9858343814125903E-2</v>
      </c>
      <c r="AD33" s="46">
        <f t="shared" si="27"/>
        <v>7.7226892610489607E-3</v>
      </c>
      <c r="AE33" s="46">
        <f t="shared" si="27"/>
        <v>9.5981995101608514E-2</v>
      </c>
      <c r="AF33" s="46">
        <f t="shared" si="27"/>
        <v>0</v>
      </c>
      <c r="AG33" s="46">
        <f t="shared" si="27"/>
        <v>0</v>
      </c>
      <c r="AH33" s="46">
        <f t="shared" si="27"/>
        <v>3.6406963659230816E-2</v>
      </c>
      <c r="AI33" s="46">
        <f t="shared" si="27"/>
        <v>0.51742018049028038</v>
      </c>
      <c r="AJ33" s="46">
        <f t="shared" si="27"/>
        <v>4.0819928951258799E-2</v>
      </c>
      <c r="AK33" s="46">
        <f t="shared" si="27"/>
        <v>1.0436662915646168E-3</v>
      </c>
      <c r="AL33" s="46">
        <f t="shared" si="27"/>
        <v>0</v>
      </c>
      <c r="AM33" s="46">
        <f t="shared" si="27"/>
        <v>0.28046159616954608</v>
      </c>
      <c r="AN33" s="46">
        <f t="shared" si="27"/>
        <v>2.8463626133580456E-4</v>
      </c>
      <c r="AO33" s="2">
        <f t="shared" ref="AO33:AO41" si="28">SUM(Y33:AN33)</f>
        <v>1</v>
      </c>
    </row>
    <row r="34" spans="1:48" ht="15">
      <c r="A34" s="41" t="s">
        <v>83</v>
      </c>
      <c r="B34" s="42" t="s">
        <v>124</v>
      </c>
      <c r="C34" s="39"/>
      <c r="D34" s="47"/>
      <c r="E34" s="47"/>
      <c r="F34" s="43">
        <v>0</v>
      </c>
      <c r="G34" s="43">
        <v>0</v>
      </c>
      <c r="H34" s="43">
        <v>0</v>
      </c>
      <c r="I34" s="43">
        <v>0</v>
      </c>
      <c r="J34" s="43">
        <v>0</v>
      </c>
      <c r="K34" s="43">
        <v>0</v>
      </c>
      <c r="L34" s="48">
        <v>0</v>
      </c>
      <c r="M34" s="48">
        <v>0</v>
      </c>
      <c r="N34" s="48">
        <v>0</v>
      </c>
      <c r="O34" s="49">
        <v>0</v>
      </c>
      <c r="P34" s="49">
        <v>0</v>
      </c>
      <c r="Q34" s="49">
        <v>0</v>
      </c>
      <c r="R34" s="52">
        <v>0</v>
      </c>
      <c r="S34" s="52">
        <v>0</v>
      </c>
      <c r="T34" s="52">
        <v>0</v>
      </c>
      <c r="U34" s="52">
        <v>0</v>
      </c>
      <c r="V34" s="45">
        <v>0</v>
      </c>
      <c r="X34" s="53"/>
      <c r="Y34" s="46"/>
      <c r="Z34" s="46"/>
      <c r="AA34" s="46"/>
      <c r="AB34" s="46"/>
      <c r="AC34" s="46"/>
      <c r="AD34" s="46"/>
      <c r="AE34" s="46"/>
      <c r="AF34" s="46"/>
      <c r="AG34" s="46"/>
      <c r="AH34" s="46"/>
      <c r="AI34" s="46"/>
      <c r="AJ34" s="46"/>
      <c r="AK34" s="46"/>
      <c r="AL34" s="46"/>
      <c r="AM34" s="46"/>
      <c r="AN34" s="46"/>
      <c r="AO34" s="2">
        <f t="shared" si="28"/>
        <v>0</v>
      </c>
    </row>
    <row r="35" spans="1:48" ht="15">
      <c r="A35" s="41" t="s">
        <v>84</v>
      </c>
      <c r="B35" s="42" t="s">
        <v>124</v>
      </c>
      <c r="C35" s="39"/>
      <c r="D35" s="47"/>
      <c r="E35" s="47"/>
      <c r="F35" s="43">
        <v>0</v>
      </c>
      <c r="G35" s="43">
        <v>0</v>
      </c>
      <c r="H35" s="43">
        <v>0</v>
      </c>
      <c r="I35" s="43">
        <v>0</v>
      </c>
      <c r="J35" s="43">
        <v>0.12560399999999999</v>
      </c>
      <c r="K35" s="43">
        <v>0</v>
      </c>
      <c r="L35" s="48">
        <v>1.9259280000000001</v>
      </c>
      <c r="M35" s="48">
        <v>0</v>
      </c>
      <c r="N35" s="48">
        <v>0</v>
      </c>
      <c r="O35" s="49">
        <v>1.214172</v>
      </c>
      <c r="P35" s="49">
        <v>0</v>
      </c>
      <c r="Q35" s="49">
        <v>4.1868000000000002E-2</v>
      </c>
      <c r="R35" s="52">
        <v>0</v>
      </c>
      <c r="S35" s="52">
        <v>0</v>
      </c>
      <c r="T35" s="52">
        <v>0</v>
      </c>
      <c r="U35" s="52">
        <v>0</v>
      </c>
      <c r="V35" s="45">
        <v>3.307572</v>
      </c>
      <c r="Y35" s="46">
        <f t="shared" ref="Y35:AN35" si="29">F35/$V$35</f>
        <v>0</v>
      </c>
      <c r="Z35" s="46">
        <f t="shared" si="29"/>
        <v>0</v>
      </c>
      <c r="AA35" s="46">
        <f t="shared" si="29"/>
        <v>0</v>
      </c>
      <c r="AB35" s="46">
        <f t="shared" si="29"/>
        <v>0</v>
      </c>
      <c r="AC35" s="46">
        <f t="shared" si="29"/>
        <v>3.7974683544303799E-2</v>
      </c>
      <c r="AD35" s="46">
        <f t="shared" si="29"/>
        <v>0</v>
      </c>
      <c r="AE35" s="46">
        <f t="shared" si="29"/>
        <v>0.58227848101265822</v>
      </c>
      <c r="AF35" s="46">
        <f t="shared" si="29"/>
        <v>0</v>
      </c>
      <c r="AG35" s="46">
        <f t="shared" si="29"/>
        <v>0</v>
      </c>
      <c r="AH35" s="46">
        <f t="shared" si="29"/>
        <v>0.36708860759493672</v>
      </c>
      <c r="AI35" s="46">
        <f t="shared" si="29"/>
        <v>0</v>
      </c>
      <c r="AJ35" s="46">
        <f t="shared" si="29"/>
        <v>1.2658227848101267E-2</v>
      </c>
      <c r="AK35" s="46">
        <f t="shared" si="29"/>
        <v>0</v>
      </c>
      <c r="AL35" s="46">
        <f t="shared" si="29"/>
        <v>0</v>
      </c>
      <c r="AM35" s="46">
        <f t="shared" si="29"/>
        <v>0</v>
      </c>
      <c r="AN35" s="46">
        <f t="shared" si="29"/>
        <v>0</v>
      </c>
      <c r="AO35" s="2">
        <f t="shared" si="28"/>
        <v>0.99999999999999989</v>
      </c>
    </row>
    <row r="36" spans="1:48" ht="15">
      <c r="A36" s="41" t="s">
        <v>123</v>
      </c>
      <c r="B36" s="42" t="s">
        <v>124</v>
      </c>
      <c r="C36" s="39" t="s">
        <v>125</v>
      </c>
      <c r="D36" s="40"/>
      <c r="E36" s="40"/>
      <c r="F36" s="43">
        <v>0</v>
      </c>
      <c r="G36" s="43">
        <v>0</v>
      </c>
      <c r="H36" s="43">
        <v>0</v>
      </c>
      <c r="I36" s="43">
        <v>0</v>
      </c>
      <c r="J36" s="43">
        <v>0</v>
      </c>
      <c r="K36" s="43">
        <v>0</v>
      </c>
      <c r="L36" s="43">
        <v>0</v>
      </c>
      <c r="M36" s="43">
        <v>0</v>
      </c>
      <c r="N36" s="43">
        <v>0</v>
      </c>
      <c r="O36" s="43">
        <v>0</v>
      </c>
      <c r="P36" s="43">
        <v>0</v>
      </c>
      <c r="Q36" s="43">
        <v>0</v>
      </c>
      <c r="R36" s="44">
        <v>0</v>
      </c>
      <c r="S36" s="44">
        <v>0</v>
      </c>
      <c r="T36" s="44">
        <v>0</v>
      </c>
      <c r="U36" s="44">
        <v>0</v>
      </c>
      <c r="V36" s="45">
        <v>0</v>
      </c>
      <c r="Y36" s="46" t="e">
        <f t="shared" ref="Y36:AN36" si="30">F36/$V$36</f>
        <v>#DIV/0!</v>
      </c>
      <c r="Z36" s="46" t="e">
        <f t="shared" si="30"/>
        <v>#DIV/0!</v>
      </c>
      <c r="AA36" s="46" t="e">
        <f t="shared" si="30"/>
        <v>#DIV/0!</v>
      </c>
      <c r="AB36" s="46" t="e">
        <f t="shared" si="30"/>
        <v>#DIV/0!</v>
      </c>
      <c r="AC36" s="46" t="e">
        <f t="shared" si="30"/>
        <v>#DIV/0!</v>
      </c>
      <c r="AD36" s="46" t="e">
        <f t="shared" si="30"/>
        <v>#DIV/0!</v>
      </c>
      <c r="AE36" s="46" t="e">
        <f t="shared" si="30"/>
        <v>#DIV/0!</v>
      </c>
      <c r="AF36" s="46" t="e">
        <f t="shared" si="30"/>
        <v>#DIV/0!</v>
      </c>
      <c r="AG36" s="46" t="e">
        <f t="shared" si="30"/>
        <v>#DIV/0!</v>
      </c>
      <c r="AH36" s="46" t="e">
        <f t="shared" si="30"/>
        <v>#DIV/0!</v>
      </c>
      <c r="AI36" s="46" t="e">
        <f t="shared" si="30"/>
        <v>#DIV/0!</v>
      </c>
      <c r="AJ36" s="46" t="e">
        <f t="shared" si="30"/>
        <v>#DIV/0!</v>
      </c>
      <c r="AK36" s="46" t="e">
        <f t="shared" si="30"/>
        <v>#DIV/0!</v>
      </c>
      <c r="AL36" s="46" t="e">
        <f t="shared" si="30"/>
        <v>#DIV/0!</v>
      </c>
      <c r="AM36" s="46" t="e">
        <f t="shared" si="30"/>
        <v>#DIV/0!</v>
      </c>
      <c r="AN36" s="46" t="e">
        <f t="shared" si="30"/>
        <v>#DIV/0!</v>
      </c>
      <c r="AO36" s="2" t="e">
        <f t="shared" si="28"/>
        <v>#DIV/0!</v>
      </c>
    </row>
    <row r="37" spans="1:48" ht="15">
      <c r="A37" s="41" t="s">
        <v>455</v>
      </c>
      <c r="B37" s="42" t="s">
        <v>124</v>
      </c>
      <c r="C37" s="39" t="s">
        <v>125</v>
      </c>
      <c r="D37" s="40"/>
      <c r="E37" s="40"/>
      <c r="F37" s="43">
        <v>0</v>
      </c>
      <c r="G37" s="43">
        <v>0.27795999999999998</v>
      </c>
      <c r="H37" s="43">
        <v>0</v>
      </c>
      <c r="I37" s="43">
        <v>0</v>
      </c>
      <c r="J37" s="43">
        <v>0</v>
      </c>
      <c r="K37" s="43">
        <v>0</v>
      </c>
      <c r="L37" s="43">
        <v>0</v>
      </c>
      <c r="M37" s="43">
        <v>0</v>
      </c>
      <c r="N37" s="43">
        <v>0</v>
      </c>
      <c r="O37" s="43">
        <v>0</v>
      </c>
      <c r="P37" s="43">
        <v>0</v>
      </c>
      <c r="Q37" s="43">
        <v>0</v>
      </c>
      <c r="R37" s="44">
        <v>0</v>
      </c>
      <c r="S37" s="44">
        <v>0</v>
      </c>
      <c r="T37" s="44">
        <v>0</v>
      </c>
      <c r="U37" s="44">
        <v>0</v>
      </c>
      <c r="V37" s="45">
        <v>0</v>
      </c>
      <c r="Y37" s="46"/>
      <c r="Z37" s="46"/>
      <c r="AA37" s="46"/>
      <c r="AB37" s="46"/>
      <c r="AC37" s="46"/>
      <c r="AD37" s="46"/>
      <c r="AE37" s="46"/>
      <c r="AF37" s="46"/>
      <c r="AG37" s="46"/>
      <c r="AH37" s="46"/>
      <c r="AI37" s="46"/>
      <c r="AJ37" s="46"/>
      <c r="AK37" s="46"/>
      <c r="AL37" s="46"/>
      <c r="AM37" s="46"/>
      <c r="AN37" s="46"/>
      <c r="AO37" s="2">
        <f t="shared" si="28"/>
        <v>0</v>
      </c>
    </row>
    <row r="38" spans="1:48" ht="15">
      <c r="A38" s="41" t="s">
        <v>126</v>
      </c>
      <c r="B38" s="42" t="s">
        <v>124</v>
      </c>
      <c r="C38" s="39" t="s">
        <v>127</v>
      </c>
      <c r="D38" s="40"/>
      <c r="E38" s="40"/>
      <c r="F38" s="43">
        <v>0.20500000000000002</v>
      </c>
      <c r="G38" s="43">
        <v>0</v>
      </c>
      <c r="H38" s="43">
        <v>0</v>
      </c>
      <c r="I38" s="43">
        <v>0</v>
      </c>
      <c r="J38" s="43">
        <v>0</v>
      </c>
      <c r="K38" s="43">
        <v>0.68</v>
      </c>
      <c r="L38" s="43">
        <v>2.903</v>
      </c>
      <c r="M38" s="43">
        <v>0</v>
      </c>
      <c r="N38" s="43">
        <v>0</v>
      </c>
      <c r="O38" s="43">
        <v>3.6000000000000004E-2</v>
      </c>
      <c r="P38" s="43">
        <v>0</v>
      </c>
      <c r="Q38" s="43">
        <v>0</v>
      </c>
      <c r="R38" s="44">
        <v>0</v>
      </c>
      <c r="S38" s="44">
        <v>0</v>
      </c>
      <c r="T38" s="44">
        <v>0</v>
      </c>
      <c r="U38" s="44">
        <v>0</v>
      </c>
      <c r="V38" s="45">
        <v>3.8240000000000003</v>
      </c>
      <c r="Y38" s="46"/>
      <c r="Z38" s="46"/>
      <c r="AA38" s="46"/>
      <c r="AB38" s="46"/>
      <c r="AC38" s="46"/>
      <c r="AD38" s="46"/>
      <c r="AE38" s="46"/>
      <c r="AF38" s="46"/>
      <c r="AG38" s="46"/>
      <c r="AH38" s="46"/>
      <c r="AI38" s="46"/>
      <c r="AJ38" s="46"/>
      <c r="AK38" s="46"/>
      <c r="AL38" s="46"/>
      <c r="AM38" s="46"/>
      <c r="AN38" s="46"/>
      <c r="AO38" s="2">
        <f t="shared" si="28"/>
        <v>0</v>
      </c>
    </row>
    <row r="39" spans="1:48" ht="15">
      <c r="A39" s="41" t="s">
        <v>128</v>
      </c>
      <c r="B39" s="42" t="s">
        <v>124</v>
      </c>
      <c r="C39" s="39" t="s">
        <v>125</v>
      </c>
      <c r="D39" s="40"/>
      <c r="E39" s="40"/>
      <c r="F39" s="43">
        <v>0</v>
      </c>
      <c r="G39" s="43">
        <v>0.27795999999999998</v>
      </c>
      <c r="H39" s="43">
        <v>0</v>
      </c>
      <c r="I39" s="43">
        <v>0</v>
      </c>
      <c r="J39" s="43">
        <v>0</v>
      </c>
      <c r="K39" s="43">
        <v>0</v>
      </c>
      <c r="L39" s="43">
        <v>0</v>
      </c>
      <c r="M39" s="43">
        <v>0</v>
      </c>
      <c r="N39" s="43">
        <v>0</v>
      </c>
      <c r="O39" s="43">
        <v>0</v>
      </c>
      <c r="P39" s="43">
        <v>0</v>
      </c>
      <c r="Q39" s="43">
        <v>0</v>
      </c>
      <c r="R39" s="44">
        <v>0</v>
      </c>
      <c r="S39" s="44">
        <v>0</v>
      </c>
      <c r="T39" s="44">
        <v>0</v>
      </c>
      <c r="U39" s="44">
        <v>0</v>
      </c>
      <c r="V39" s="45">
        <v>0</v>
      </c>
      <c r="Y39" s="46"/>
      <c r="Z39" s="46"/>
      <c r="AA39" s="46"/>
      <c r="AB39" s="46"/>
      <c r="AC39" s="46"/>
      <c r="AD39" s="46"/>
      <c r="AE39" s="46"/>
      <c r="AF39" s="46"/>
      <c r="AG39" s="46"/>
      <c r="AH39" s="46"/>
      <c r="AI39" s="46"/>
      <c r="AJ39" s="46"/>
      <c r="AK39" s="46"/>
      <c r="AL39" s="46"/>
      <c r="AM39" s="46"/>
      <c r="AN39" s="46"/>
      <c r="AO39" s="2">
        <f t="shared" si="28"/>
        <v>0</v>
      </c>
    </row>
    <row r="40" spans="1:48" ht="15">
      <c r="A40" s="41" t="s">
        <v>129</v>
      </c>
      <c r="B40" s="42" t="s">
        <v>124</v>
      </c>
      <c r="C40" s="39" t="s">
        <v>127</v>
      </c>
      <c r="D40" s="40"/>
      <c r="E40" s="40"/>
      <c r="F40" s="43">
        <v>0.58699999999999997</v>
      </c>
      <c r="G40" s="43">
        <v>0</v>
      </c>
      <c r="H40" s="43">
        <v>0</v>
      </c>
      <c r="I40" s="43">
        <v>0.121</v>
      </c>
      <c r="J40" s="43">
        <v>0</v>
      </c>
      <c r="K40" s="43">
        <v>0.32</v>
      </c>
      <c r="L40" s="43">
        <v>9.5000000000000001E-2</v>
      </c>
      <c r="M40" s="43">
        <v>0</v>
      </c>
      <c r="N40" s="43">
        <v>0</v>
      </c>
      <c r="O40" s="43">
        <v>0</v>
      </c>
      <c r="P40" s="43">
        <v>0</v>
      </c>
      <c r="Q40" s="43">
        <v>0</v>
      </c>
      <c r="R40" s="44">
        <v>0</v>
      </c>
      <c r="S40" s="44">
        <v>0</v>
      </c>
      <c r="T40" s="44">
        <v>0</v>
      </c>
      <c r="U40" s="44">
        <v>0</v>
      </c>
      <c r="V40" s="45">
        <v>1.123</v>
      </c>
      <c r="Y40" s="46">
        <f t="shared" ref="Y40:AN40" si="31">F40/$V$40</f>
        <v>0.52270703472840607</v>
      </c>
      <c r="Z40" s="46">
        <f t="shared" si="31"/>
        <v>0</v>
      </c>
      <c r="AA40" s="46">
        <f t="shared" si="31"/>
        <v>0</v>
      </c>
      <c r="AB40" s="46">
        <f t="shared" si="31"/>
        <v>0.10774710596616206</v>
      </c>
      <c r="AC40" s="46">
        <f t="shared" si="31"/>
        <v>0</v>
      </c>
      <c r="AD40" s="46">
        <f t="shared" si="31"/>
        <v>0.28495102404274264</v>
      </c>
      <c r="AE40" s="46">
        <f t="shared" si="31"/>
        <v>8.4594835262689225E-2</v>
      </c>
      <c r="AF40" s="46">
        <f t="shared" si="31"/>
        <v>0</v>
      </c>
      <c r="AG40" s="46">
        <f t="shared" si="31"/>
        <v>0</v>
      </c>
      <c r="AH40" s="46">
        <f t="shared" si="31"/>
        <v>0</v>
      </c>
      <c r="AI40" s="46">
        <f t="shared" si="31"/>
        <v>0</v>
      </c>
      <c r="AJ40" s="46">
        <f t="shared" si="31"/>
        <v>0</v>
      </c>
      <c r="AK40" s="46">
        <f t="shared" si="31"/>
        <v>0</v>
      </c>
      <c r="AL40" s="46">
        <f t="shared" si="31"/>
        <v>0</v>
      </c>
      <c r="AM40" s="46">
        <f t="shared" si="31"/>
        <v>0</v>
      </c>
      <c r="AN40" s="46">
        <f t="shared" si="31"/>
        <v>0</v>
      </c>
      <c r="AO40" s="2">
        <f t="shared" si="28"/>
        <v>1</v>
      </c>
    </row>
    <row r="41" spans="1:48" ht="15">
      <c r="A41" s="41" t="s">
        <v>130</v>
      </c>
      <c r="B41" s="42" t="s">
        <v>124</v>
      </c>
      <c r="C41" s="39"/>
      <c r="D41" s="40"/>
      <c r="E41" s="40"/>
      <c r="F41" s="43">
        <v>0</v>
      </c>
      <c r="G41" s="43">
        <v>0</v>
      </c>
      <c r="H41" s="43">
        <v>0</v>
      </c>
      <c r="I41" s="43">
        <v>0</v>
      </c>
      <c r="J41" s="43">
        <v>0</v>
      </c>
      <c r="K41" s="43">
        <v>0</v>
      </c>
      <c r="L41" s="43">
        <v>0.66466484999999997</v>
      </c>
      <c r="M41" s="43">
        <v>0</v>
      </c>
      <c r="N41" s="43">
        <v>0</v>
      </c>
      <c r="O41" s="43">
        <v>0</v>
      </c>
      <c r="P41" s="43">
        <v>0</v>
      </c>
      <c r="Q41" s="43">
        <v>0</v>
      </c>
      <c r="R41" s="44">
        <v>0</v>
      </c>
      <c r="S41" s="44">
        <v>0</v>
      </c>
      <c r="T41" s="44">
        <v>0</v>
      </c>
      <c r="U41" s="44">
        <v>0</v>
      </c>
      <c r="V41" s="45">
        <v>0.66466484999999997</v>
      </c>
      <c r="Y41" s="46">
        <f t="shared" ref="Y41:AN41" si="32">F41/$V$41</f>
        <v>0</v>
      </c>
      <c r="Z41" s="46">
        <f t="shared" si="32"/>
        <v>0</v>
      </c>
      <c r="AA41" s="46">
        <f t="shared" si="32"/>
        <v>0</v>
      </c>
      <c r="AB41" s="46">
        <f t="shared" si="32"/>
        <v>0</v>
      </c>
      <c r="AC41" s="46">
        <f t="shared" si="32"/>
        <v>0</v>
      </c>
      <c r="AD41" s="46">
        <f t="shared" si="32"/>
        <v>0</v>
      </c>
      <c r="AE41" s="46">
        <f t="shared" si="32"/>
        <v>1</v>
      </c>
      <c r="AF41" s="46">
        <f t="shared" si="32"/>
        <v>0</v>
      </c>
      <c r="AG41" s="46">
        <f t="shared" si="32"/>
        <v>0</v>
      </c>
      <c r="AH41" s="46">
        <f t="shared" si="32"/>
        <v>0</v>
      </c>
      <c r="AI41" s="46">
        <f t="shared" si="32"/>
        <v>0</v>
      </c>
      <c r="AJ41" s="46">
        <f t="shared" si="32"/>
        <v>0</v>
      </c>
      <c r="AK41" s="46">
        <f t="shared" si="32"/>
        <v>0</v>
      </c>
      <c r="AL41" s="46">
        <f t="shared" si="32"/>
        <v>0</v>
      </c>
      <c r="AM41" s="46">
        <f t="shared" si="32"/>
        <v>0</v>
      </c>
      <c r="AN41" s="46">
        <f t="shared" si="32"/>
        <v>0</v>
      </c>
      <c r="AO41" s="2">
        <f t="shared" si="28"/>
        <v>1</v>
      </c>
    </row>
    <row r="42" spans="1:48" ht="15">
      <c r="A42" s="41" t="s">
        <v>456</v>
      </c>
      <c r="B42" s="42" t="s">
        <v>124</v>
      </c>
      <c r="C42" s="39" t="s">
        <v>125</v>
      </c>
      <c r="D42" s="40"/>
      <c r="E42" s="40"/>
      <c r="F42" s="43">
        <v>0</v>
      </c>
      <c r="G42" s="43">
        <v>0.27795999999999998</v>
      </c>
      <c r="H42" s="43">
        <v>0</v>
      </c>
      <c r="I42" s="43">
        <v>0</v>
      </c>
      <c r="J42" s="43">
        <v>0</v>
      </c>
      <c r="K42" s="43">
        <v>0</v>
      </c>
      <c r="L42" s="43">
        <v>0</v>
      </c>
      <c r="M42" s="43">
        <v>0</v>
      </c>
      <c r="N42" s="43">
        <v>0</v>
      </c>
      <c r="O42" s="43">
        <v>0</v>
      </c>
      <c r="P42" s="43">
        <v>0</v>
      </c>
      <c r="Q42" s="43">
        <v>0</v>
      </c>
      <c r="R42" s="44">
        <v>0</v>
      </c>
      <c r="S42" s="44">
        <v>0</v>
      </c>
      <c r="T42" s="44">
        <v>0</v>
      </c>
      <c r="U42" s="44">
        <v>0</v>
      </c>
      <c r="V42" s="45">
        <v>0</v>
      </c>
      <c r="Y42" s="46"/>
      <c r="Z42" s="46"/>
      <c r="AA42" s="46"/>
      <c r="AB42" s="46"/>
      <c r="AC42" s="46"/>
      <c r="AD42" s="46"/>
      <c r="AE42" s="46"/>
      <c r="AF42" s="46"/>
      <c r="AG42" s="46"/>
      <c r="AH42" s="46"/>
      <c r="AI42" s="46"/>
      <c r="AJ42" s="46"/>
      <c r="AK42" s="46"/>
      <c r="AL42" s="46"/>
      <c r="AM42" s="46"/>
      <c r="AN42" s="46"/>
      <c r="AO42" s="2"/>
    </row>
    <row r="43" spans="1:48" ht="15">
      <c r="A43" s="54"/>
      <c r="B43" s="55"/>
      <c r="C43" s="56"/>
      <c r="D43" s="57"/>
      <c r="E43" s="57"/>
      <c r="F43" s="58"/>
      <c r="G43" s="58"/>
      <c r="H43" s="58"/>
      <c r="I43" s="58"/>
      <c r="J43" s="58"/>
      <c r="K43" s="58"/>
      <c r="L43" s="59"/>
      <c r="M43" s="59"/>
      <c r="N43" s="59"/>
      <c r="O43" s="58"/>
      <c r="P43" s="58"/>
      <c r="Q43" s="58"/>
      <c r="R43" s="57"/>
      <c r="S43" s="57"/>
      <c r="T43" s="57"/>
      <c r="U43" s="57"/>
      <c r="V43" s="57"/>
      <c r="Z43" s="32"/>
      <c r="AA43" s="32"/>
      <c r="AB43" s="32"/>
      <c r="AC43" s="32"/>
      <c r="AD43" s="32"/>
      <c r="AE43" s="32"/>
      <c r="AF43" s="32"/>
      <c r="AG43" s="32"/>
      <c r="AH43" s="32"/>
      <c r="AI43" s="32"/>
      <c r="AJ43" s="32"/>
      <c r="AK43" s="32"/>
      <c r="AL43" s="32"/>
      <c r="AM43" s="32"/>
      <c r="AN43" s="32"/>
      <c r="AO43" s="32"/>
      <c r="AP43" s="32"/>
      <c r="AQ43" s="32"/>
      <c r="AR43" s="32"/>
      <c r="AS43" s="32"/>
      <c r="AT43" s="32"/>
      <c r="AU43" s="32"/>
      <c r="AV43" s="32"/>
    </row>
    <row r="44" spans="1:48" ht="15.75" thickBot="1">
      <c r="A44" s="54"/>
      <c r="B44" s="34"/>
      <c r="C44" s="35" t="s">
        <v>87</v>
      </c>
      <c r="D44" s="36" t="s">
        <v>88</v>
      </c>
      <c r="E44" s="36" t="s">
        <v>34</v>
      </c>
      <c r="F44" s="58"/>
      <c r="G44" s="58" t="s">
        <v>131</v>
      </c>
      <c r="H44" s="58"/>
      <c r="I44" s="59" t="s">
        <v>132</v>
      </c>
      <c r="K44" s="58"/>
      <c r="L44" s="59"/>
      <c r="M44" s="59"/>
      <c r="N44" s="59"/>
      <c r="O44" s="58"/>
      <c r="P44" s="58"/>
      <c r="Q44" s="58"/>
      <c r="R44" s="57"/>
      <c r="S44" s="57"/>
      <c r="T44" s="57"/>
      <c r="U44" s="57"/>
      <c r="V44" s="57"/>
      <c r="Z44" s="32"/>
      <c r="AA44" s="32"/>
      <c r="AB44" s="32"/>
      <c r="AC44" s="32"/>
      <c r="AD44" s="32"/>
      <c r="AE44" s="32"/>
      <c r="AF44" s="32"/>
      <c r="AG44" s="32"/>
      <c r="AH44" s="32"/>
      <c r="AI44" s="32"/>
      <c r="AJ44" s="32"/>
      <c r="AK44" s="32"/>
      <c r="AL44" s="32"/>
      <c r="AM44" s="32"/>
      <c r="AN44" s="32"/>
      <c r="AO44" s="32"/>
      <c r="AP44" s="32"/>
      <c r="AQ44" s="32"/>
      <c r="AR44" s="32"/>
      <c r="AS44" s="32"/>
      <c r="AT44" s="32"/>
      <c r="AU44" s="32"/>
      <c r="AV44" s="32"/>
    </row>
    <row r="45" spans="1:48" ht="15">
      <c r="A45" s="54"/>
      <c r="B45" s="39"/>
      <c r="C45" s="39"/>
      <c r="D45" s="40" t="s">
        <v>105</v>
      </c>
      <c r="E45" s="40" t="s">
        <v>106</v>
      </c>
      <c r="F45" s="58"/>
      <c r="G45" s="58"/>
      <c r="H45" s="58"/>
      <c r="I45" s="58"/>
      <c r="K45" s="58"/>
      <c r="L45" s="59"/>
      <c r="M45" s="59"/>
      <c r="N45" s="59"/>
      <c r="O45" s="58"/>
      <c r="P45" s="58"/>
      <c r="Q45" s="58"/>
      <c r="R45" s="57"/>
      <c r="S45" s="57"/>
      <c r="T45" s="57"/>
      <c r="U45" s="57"/>
      <c r="V45" s="57"/>
      <c r="Z45" s="32"/>
      <c r="AA45" s="32"/>
      <c r="AB45" s="32"/>
      <c r="AC45" s="32"/>
      <c r="AD45" s="32"/>
      <c r="AE45" s="32"/>
      <c r="AF45" s="32"/>
      <c r="AG45" s="32"/>
      <c r="AH45" s="32"/>
      <c r="AI45" s="32"/>
      <c r="AJ45" s="32"/>
      <c r="AK45" s="32"/>
      <c r="AL45" s="32"/>
      <c r="AM45" s="32"/>
      <c r="AN45" s="32"/>
      <c r="AO45" s="32"/>
      <c r="AP45" s="32"/>
      <c r="AQ45" s="32"/>
      <c r="AR45" s="32"/>
      <c r="AS45" s="32"/>
      <c r="AT45" s="32"/>
      <c r="AU45" s="32"/>
      <c r="AV45" s="32"/>
    </row>
    <row r="46" spans="1:48" ht="15">
      <c r="A46" s="54"/>
      <c r="B46" s="39"/>
      <c r="C46" s="39"/>
      <c r="D46" s="40" t="s">
        <v>14</v>
      </c>
      <c r="E46" s="40" t="s">
        <v>14</v>
      </c>
      <c r="F46" s="58"/>
      <c r="G46" s="58"/>
      <c r="H46" s="58"/>
      <c r="I46" s="58"/>
      <c r="K46" s="58"/>
      <c r="L46" s="59"/>
      <c r="M46" s="59"/>
      <c r="N46" s="59"/>
      <c r="O46" s="58"/>
      <c r="P46" s="58"/>
      <c r="Q46" s="58"/>
      <c r="R46" s="57"/>
      <c r="S46" s="57"/>
      <c r="T46" s="57"/>
      <c r="U46" s="57"/>
      <c r="V46" s="57"/>
      <c r="Z46" s="32"/>
      <c r="AA46" s="32"/>
      <c r="AB46" s="32"/>
      <c r="AC46" s="32"/>
      <c r="AD46" s="32"/>
      <c r="AE46" s="32"/>
      <c r="AF46" s="32"/>
      <c r="AG46" s="32"/>
      <c r="AH46" s="32"/>
      <c r="AI46" s="32"/>
      <c r="AJ46" s="32"/>
      <c r="AK46" s="32"/>
      <c r="AL46" s="32"/>
      <c r="AM46" s="32"/>
      <c r="AN46" s="32"/>
      <c r="AO46" s="32"/>
      <c r="AP46" s="32"/>
      <c r="AQ46" s="32"/>
      <c r="AR46" s="32"/>
      <c r="AS46" s="32"/>
      <c r="AT46" s="32"/>
      <c r="AU46" s="32"/>
      <c r="AV46" s="32"/>
    </row>
    <row r="47" spans="1:48" ht="15">
      <c r="A47" s="41" t="s">
        <v>56</v>
      </c>
      <c r="B47" s="42" t="s">
        <v>133</v>
      </c>
      <c r="C47" s="39"/>
      <c r="D47" s="60">
        <v>25.288272000000003</v>
      </c>
      <c r="E47" s="60">
        <v>4.3542719999999999</v>
      </c>
      <c r="F47" s="57"/>
      <c r="G47" s="91" t="e">
        <f>'Autoproducers Calculations'!#REF!</f>
        <v>#REF!</v>
      </c>
      <c r="I47" s="63" t="e">
        <f t="shared" ref="I47:I73" si="33">D47-G47</f>
        <v>#REF!</v>
      </c>
      <c r="K47" s="57"/>
      <c r="L47" s="61"/>
      <c r="M47" s="62"/>
      <c r="N47" s="62"/>
      <c r="O47" s="57"/>
      <c r="P47" s="57"/>
      <c r="Q47" s="57"/>
      <c r="R47" s="57"/>
      <c r="S47" s="57"/>
      <c r="T47" s="57"/>
      <c r="U47" s="57"/>
      <c r="V47" s="57" t="e">
        <f>SUM(D47:U47)</f>
        <v>#REF!</v>
      </c>
    </row>
    <row r="48" spans="1:48" ht="15">
      <c r="A48" s="41" t="s">
        <v>39</v>
      </c>
      <c r="B48" s="42" t="s">
        <v>133</v>
      </c>
      <c r="C48" s="39"/>
      <c r="D48" s="60">
        <v>6.0289920000000006</v>
      </c>
      <c r="E48" s="60">
        <v>0</v>
      </c>
      <c r="F48" s="57"/>
      <c r="G48" s="91" t="e">
        <f>'Autoproducers Calculations'!#REF!</f>
        <v>#REF!</v>
      </c>
      <c r="I48" s="63" t="e">
        <f t="shared" si="33"/>
        <v>#REF!</v>
      </c>
      <c r="K48" s="57"/>
      <c r="L48" s="61"/>
      <c r="M48" s="62"/>
      <c r="N48" s="62"/>
      <c r="O48" s="57"/>
      <c r="P48" s="57"/>
      <c r="Q48" s="57"/>
      <c r="R48" s="57"/>
      <c r="S48" s="57"/>
      <c r="T48" s="57"/>
      <c r="U48" s="57"/>
      <c r="V48" s="57" t="e">
        <f>SUM(D48:U48)</f>
        <v>#REF!</v>
      </c>
    </row>
    <row r="49" spans="1:22" ht="15">
      <c r="A49" s="41" t="s">
        <v>40</v>
      </c>
      <c r="B49" s="42" t="s">
        <v>133</v>
      </c>
      <c r="C49" s="39"/>
      <c r="D49" s="60">
        <v>5.9452560000000005</v>
      </c>
      <c r="E49" s="60">
        <v>0.58615200000000001</v>
      </c>
      <c r="F49" s="57"/>
      <c r="G49" s="91" t="e">
        <f>'Autoproducers Calculations'!#REF!</f>
        <v>#REF!</v>
      </c>
      <c r="I49" s="63" t="e">
        <f t="shared" si="33"/>
        <v>#REF!</v>
      </c>
      <c r="K49" s="57"/>
      <c r="L49" s="61"/>
      <c r="M49" s="62"/>
      <c r="N49" s="62"/>
      <c r="O49" s="57"/>
      <c r="P49" s="57"/>
      <c r="Q49" s="57"/>
      <c r="R49" s="57"/>
      <c r="S49" s="57"/>
      <c r="T49" s="57"/>
      <c r="U49" s="57"/>
      <c r="V49" s="57"/>
    </row>
    <row r="50" spans="1:22" ht="15">
      <c r="A50" s="41" t="s">
        <v>49</v>
      </c>
      <c r="B50" s="42" t="s">
        <v>133</v>
      </c>
      <c r="C50" s="39"/>
      <c r="D50" s="60">
        <v>8.3736000000000005E-2</v>
      </c>
      <c r="E50" s="60">
        <v>0</v>
      </c>
      <c r="F50" s="57"/>
      <c r="G50" s="61" t="e">
        <f>'Autoproducers Calculations'!#REF!</f>
        <v>#REF!</v>
      </c>
      <c r="I50" s="63" t="e">
        <f t="shared" si="33"/>
        <v>#REF!</v>
      </c>
      <c r="K50" s="57"/>
      <c r="L50" s="61"/>
      <c r="M50" s="62"/>
      <c r="N50" s="62"/>
      <c r="O50" s="57"/>
      <c r="P50" s="57"/>
      <c r="Q50" s="57"/>
      <c r="R50" s="57"/>
      <c r="S50" s="57"/>
      <c r="T50" s="57"/>
      <c r="U50" s="57"/>
      <c r="V50" s="57"/>
    </row>
    <row r="51" spans="1:22" ht="15">
      <c r="A51" s="41" t="s">
        <v>41</v>
      </c>
      <c r="B51" s="42" t="s">
        <v>133</v>
      </c>
      <c r="C51" s="39"/>
      <c r="D51" s="60">
        <v>34.457364000000005</v>
      </c>
      <c r="E51" s="60">
        <v>15.951708000000002</v>
      </c>
      <c r="F51" s="57"/>
      <c r="G51" s="91" t="e">
        <f>'Autoproducers Calculations'!#REF!</f>
        <v>#REF!</v>
      </c>
      <c r="I51" s="63" t="e">
        <f t="shared" si="33"/>
        <v>#REF!</v>
      </c>
      <c r="K51" s="57"/>
      <c r="L51" s="61"/>
      <c r="M51" s="62"/>
      <c r="N51" s="62"/>
      <c r="O51" s="57"/>
      <c r="P51" s="57"/>
      <c r="Q51" s="57"/>
      <c r="R51" s="57"/>
      <c r="S51" s="57"/>
      <c r="T51" s="57"/>
      <c r="U51" s="57"/>
      <c r="V51" s="57"/>
    </row>
    <row r="52" spans="1:22" ht="15">
      <c r="A52" s="41" t="s">
        <v>43</v>
      </c>
      <c r="B52" s="42" t="s">
        <v>133</v>
      </c>
      <c r="C52" s="39"/>
      <c r="D52" s="60">
        <v>179.15317200000001</v>
      </c>
      <c r="E52" s="705">
        <v>0</v>
      </c>
      <c r="F52" s="57"/>
      <c r="G52" s="91" t="e">
        <f>'Autoproducers Calculations'!#REF!</f>
        <v>#REF!</v>
      </c>
      <c r="I52" s="63" t="e">
        <f t="shared" si="33"/>
        <v>#REF!</v>
      </c>
      <c r="K52" s="57"/>
      <c r="L52" s="61"/>
      <c r="M52" s="62"/>
      <c r="N52" s="62"/>
      <c r="O52" s="57"/>
      <c r="P52" s="57"/>
      <c r="Q52" s="57"/>
      <c r="R52" s="57"/>
      <c r="S52" s="57"/>
      <c r="T52" s="57"/>
      <c r="U52" s="57"/>
      <c r="V52" s="57"/>
    </row>
    <row r="53" spans="1:22" ht="15">
      <c r="A53" s="41" t="s">
        <v>42</v>
      </c>
      <c r="B53" s="42" t="s">
        <v>133</v>
      </c>
      <c r="C53" s="39"/>
      <c r="D53" s="60">
        <v>10.341396000000001</v>
      </c>
      <c r="E53" s="60">
        <v>14.905008</v>
      </c>
      <c r="F53" s="57"/>
      <c r="G53" s="91" t="e">
        <f>'Autoproducers Calculations'!#REF!</f>
        <v>#REF!</v>
      </c>
      <c r="I53" s="63" t="e">
        <f t="shared" si="33"/>
        <v>#REF!</v>
      </c>
      <c r="K53" s="57"/>
      <c r="L53" s="61"/>
      <c r="M53" s="62"/>
      <c r="N53" s="62"/>
      <c r="O53" s="57"/>
      <c r="P53" s="57"/>
      <c r="Q53" s="57"/>
      <c r="R53" s="57"/>
      <c r="S53" s="57"/>
      <c r="T53" s="57"/>
      <c r="U53" s="57"/>
      <c r="V53" s="57"/>
    </row>
    <row r="54" spans="1:22" ht="15">
      <c r="A54" s="41" t="s">
        <v>44</v>
      </c>
      <c r="B54" s="42" t="s">
        <v>133</v>
      </c>
      <c r="C54" s="39"/>
      <c r="D54" s="60">
        <v>0.54428399999999999</v>
      </c>
      <c r="E54" s="60">
        <v>0.25120799999999999</v>
      </c>
      <c r="F54" s="57"/>
      <c r="G54" s="91" t="e">
        <f>'Autoproducers Calculations'!#REF!</f>
        <v>#REF!</v>
      </c>
      <c r="I54" s="63" t="e">
        <f t="shared" si="33"/>
        <v>#REF!</v>
      </c>
      <c r="K54" s="57"/>
      <c r="L54" s="61"/>
      <c r="M54" s="62"/>
      <c r="N54" s="62"/>
      <c r="O54" s="57"/>
      <c r="P54" s="57"/>
      <c r="Q54" s="57"/>
      <c r="R54" s="57"/>
      <c r="S54" s="57"/>
      <c r="T54" s="57"/>
      <c r="U54" s="57"/>
      <c r="V54" s="57"/>
    </row>
    <row r="55" spans="1:22" ht="15">
      <c r="A55" s="41" t="s">
        <v>45</v>
      </c>
      <c r="B55" s="42" t="s">
        <v>133</v>
      </c>
      <c r="C55" s="39"/>
      <c r="D55" s="60">
        <v>131</v>
      </c>
      <c r="E55" s="60">
        <v>0</v>
      </c>
      <c r="F55" s="57"/>
      <c r="G55" s="91" t="e">
        <f>'Autoproducers Calculations'!#REF!</f>
        <v>#REF!</v>
      </c>
      <c r="I55" s="63" t="e">
        <f t="shared" si="33"/>
        <v>#REF!</v>
      </c>
      <c r="K55" s="57"/>
      <c r="L55" s="61"/>
      <c r="M55" s="62"/>
      <c r="N55" s="62"/>
      <c r="O55" s="57"/>
      <c r="P55" s="57"/>
      <c r="Q55" s="57"/>
      <c r="R55" s="57"/>
      <c r="S55" s="57"/>
      <c r="T55" s="57"/>
      <c r="U55" s="57"/>
      <c r="V55" s="57"/>
    </row>
    <row r="56" spans="1:22" ht="15">
      <c r="A56" s="41" t="s">
        <v>62</v>
      </c>
      <c r="B56" s="42" t="s">
        <v>133</v>
      </c>
      <c r="C56" s="39"/>
      <c r="D56" s="60">
        <v>34.499231999999999</v>
      </c>
      <c r="E56" s="60">
        <v>11.723040000000001</v>
      </c>
      <c r="F56" s="57"/>
      <c r="G56" s="91" t="e">
        <f>'Autoproducers Calculations'!#REF!</f>
        <v>#REF!</v>
      </c>
      <c r="I56" s="63" t="e">
        <f t="shared" si="33"/>
        <v>#REF!</v>
      </c>
      <c r="K56" s="57"/>
      <c r="L56" s="61"/>
      <c r="M56" s="62"/>
      <c r="N56" s="62"/>
      <c r="O56" s="57"/>
      <c r="P56" s="57"/>
      <c r="Q56" s="57"/>
      <c r="R56" s="57"/>
      <c r="S56" s="57"/>
      <c r="T56" s="57"/>
      <c r="U56" s="57"/>
      <c r="V56" s="57"/>
    </row>
    <row r="57" spans="1:22" ht="15">
      <c r="A57" s="41" t="s">
        <v>46</v>
      </c>
      <c r="B57" s="42" t="s">
        <v>133</v>
      </c>
      <c r="C57" s="39"/>
      <c r="D57" s="60">
        <v>73.059660000000008</v>
      </c>
      <c r="E57" s="60">
        <v>0</v>
      </c>
      <c r="F57" s="57"/>
      <c r="G57" s="91" t="e">
        <f>'Autoproducers Calculations'!#REF!</f>
        <v>#REF!</v>
      </c>
      <c r="I57" s="63" t="e">
        <f t="shared" si="33"/>
        <v>#REF!</v>
      </c>
      <c r="K57" s="57"/>
      <c r="L57" s="61"/>
      <c r="M57" s="62"/>
      <c r="N57" s="62"/>
      <c r="O57" s="57"/>
      <c r="P57" s="57"/>
      <c r="Q57" s="57"/>
      <c r="R57" s="57"/>
      <c r="S57" s="57"/>
      <c r="T57" s="57"/>
      <c r="U57" s="57"/>
      <c r="V57" s="57"/>
    </row>
    <row r="58" spans="1:22" ht="15">
      <c r="A58" s="41" t="s">
        <v>82</v>
      </c>
      <c r="B58" s="42" t="s">
        <v>133</v>
      </c>
      <c r="C58" s="39"/>
      <c r="D58" s="60">
        <v>3.8937240000000002</v>
      </c>
      <c r="E58" s="60">
        <v>0</v>
      </c>
      <c r="F58" s="57"/>
      <c r="G58" s="91" t="e">
        <f>'Autoproducers Calculations'!#REF!</f>
        <v>#REF!</v>
      </c>
      <c r="I58" s="63" t="e">
        <f t="shared" si="33"/>
        <v>#REF!</v>
      </c>
      <c r="K58" s="57"/>
      <c r="L58" s="61"/>
      <c r="M58" s="62"/>
      <c r="N58" s="62"/>
      <c r="O58" s="57"/>
      <c r="P58" s="57"/>
      <c r="Q58" s="57"/>
      <c r="R58" s="57"/>
      <c r="S58" s="57"/>
      <c r="T58" s="57"/>
      <c r="U58" s="57"/>
      <c r="V58" s="57"/>
    </row>
    <row r="59" spans="1:22" ht="15">
      <c r="A59" s="41" t="s">
        <v>53</v>
      </c>
      <c r="B59" s="42" t="s">
        <v>133</v>
      </c>
      <c r="C59" s="39"/>
      <c r="D59" s="60">
        <v>1.4653800000000001</v>
      </c>
      <c r="E59" s="60">
        <v>0.293076</v>
      </c>
      <c r="F59" s="57"/>
      <c r="G59" s="91" t="e">
        <f>'Autoproducers Calculations'!#REF!</f>
        <v>#REF!</v>
      </c>
      <c r="I59" s="63" t="e">
        <f t="shared" si="33"/>
        <v>#REF!</v>
      </c>
      <c r="K59" s="57"/>
      <c r="L59" s="61"/>
      <c r="M59" s="62"/>
      <c r="N59" s="62"/>
      <c r="O59" s="57"/>
      <c r="P59" s="57"/>
      <c r="Q59" s="57"/>
      <c r="R59" s="57"/>
      <c r="S59" s="57"/>
      <c r="T59" s="57"/>
      <c r="U59" s="57"/>
      <c r="V59" s="57"/>
    </row>
    <row r="60" spans="1:22" ht="15">
      <c r="A60" s="41" t="s">
        <v>47</v>
      </c>
      <c r="B60" s="42" t="s">
        <v>133</v>
      </c>
      <c r="C60" s="39"/>
      <c r="D60" s="60">
        <v>2.260872</v>
      </c>
      <c r="E60" s="60">
        <v>0</v>
      </c>
      <c r="F60" s="57"/>
      <c r="G60" s="91" t="e">
        <f>'Autoproducers Calculations'!#REF!</f>
        <v>#REF!</v>
      </c>
      <c r="I60" s="63" t="e">
        <f t="shared" si="33"/>
        <v>#REF!</v>
      </c>
      <c r="K60" s="57"/>
      <c r="L60" s="61"/>
      <c r="M60" s="62"/>
      <c r="N60" s="62"/>
      <c r="O60" s="57"/>
      <c r="P60" s="57"/>
      <c r="Q60" s="57"/>
      <c r="R60" s="57"/>
      <c r="S60" s="57"/>
      <c r="T60" s="57"/>
      <c r="U60" s="57"/>
      <c r="V60" s="57"/>
    </row>
    <row r="61" spans="1:22" ht="15">
      <c r="A61" s="41" t="s">
        <v>48</v>
      </c>
      <c r="B61" s="42" t="s">
        <v>133</v>
      </c>
      <c r="C61" s="39"/>
      <c r="D61" s="60">
        <v>68.370444000000006</v>
      </c>
      <c r="E61" s="60">
        <v>0</v>
      </c>
      <c r="F61" s="57"/>
      <c r="G61" s="91" t="e">
        <f>'Autoproducers Calculations'!#REF!</f>
        <v>#REF!</v>
      </c>
      <c r="I61" s="63" t="e">
        <f t="shared" si="33"/>
        <v>#REF!</v>
      </c>
      <c r="K61" s="57"/>
      <c r="L61" s="61"/>
      <c r="M61" s="62"/>
      <c r="N61" s="62"/>
      <c r="O61" s="57"/>
      <c r="P61" s="57"/>
      <c r="Q61" s="57"/>
      <c r="R61" s="57"/>
      <c r="S61" s="57"/>
      <c r="T61" s="57"/>
      <c r="U61" s="57"/>
      <c r="V61" s="57"/>
    </row>
    <row r="62" spans="1:22" ht="15">
      <c r="A62" s="41" t="s">
        <v>51</v>
      </c>
      <c r="B62" s="42" t="s">
        <v>133</v>
      </c>
      <c r="C62" s="39"/>
      <c r="D62" s="60">
        <v>1.3397760000000001</v>
      </c>
      <c r="E62" s="60">
        <v>4.9822920000000002</v>
      </c>
      <c r="F62" s="57"/>
      <c r="G62" s="91" t="e">
        <f>'Autoproducers Calculations'!#REF!</f>
        <v>#REF!</v>
      </c>
      <c r="I62" s="63" t="e">
        <f t="shared" si="33"/>
        <v>#REF!</v>
      </c>
      <c r="K62" s="57"/>
      <c r="L62" s="61"/>
      <c r="M62" s="62"/>
      <c r="N62" s="62"/>
      <c r="O62" s="57"/>
      <c r="P62" s="57"/>
      <c r="Q62" s="57"/>
      <c r="R62" s="57"/>
      <c r="S62" s="57"/>
      <c r="T62" s="57"/>
      <c r="U62" s="57"/>
      <c r="V62" s="57"/>
    </row>
    <row r="63" spans="1:22" ht="15">
      <c r="A63" s="41" t="s">
        <v>52</v>
      </c>
      <c r="B63" s="42" t="s">
        <v>133</v>
      </c>
      <c r="C63" s="39"/>
      <c r="D63" s="60">
        <v>1.5909840000000002</v>
      </c>
      <c r="E63" s="60">
        <v>2.5539480000000001</v>
      </c>
      <c r="F63" s="57"/>
      <c r="G63" s="91" t="e">
        <f>'Autoproducers Calculations'!#REF!</f>
        <v>#REF!</v>
      </c>
      <c r="I63" s="63" t="e">
        <f t="shared" si="33"/>
        <v>#REF!</v>
      </c>
      <c r="K63" s="57"/>
      <c r="L63" s="61"/>
      <c r="M63" s="62"/>
      <c r="N63" s="62"/>
      <c r="O63" s="57"/>
      <c r="P63" s="57"/>
      <c r="Q63" s="57"/>
      <c r="R63" s="57"/>
      <c r="S63" s="57"/>
      <c r="T63" s="57"/>
      <c r="U63" s="57"/>
      <c r="V63" s="57"/>
    </row>
    <row r="64" spans="1:22" ht="15">
      <c r="A64" s="41" t="s">
        <v>50</v>
      </c>
      <c r="B64" s="42" t="s">
        <v>133</v>
      </c>
      <c r="C64" s="39"/>
      <c r="D64" s="60">
        <v>0.293076</v>
      </c>
      <c r="E64" s="60">
        <v>0.41868000000000005</v>
      </c>
      <c r="F64" s="57"/>
      <c r="G64" s="91" t="e">
        <f>'Autoproducers Calculations'!#REF!</f>
        <v>#REF!</v>
      </c>
      <c r="I64" s="63" t="e">
        <f t="shared" si="33"/>
        <v>#REF!</v>
      </c>
      <c r="K64" s="57"/>
      <c r="L64" s="61"/>
      <c r="M64" s="62"/>
      <c r="N64" s="62"/>
      <c r="O64" s="57"/>
      <c r="P64" s="57"/>
      <c r="Q64" s="57"/>
      <c r="R64" s="57"/>
      <c r="S64" s="57"/>
      <c r="T64" s="57"/>
      <c r="U64" s="57"/>
      <c r="V64" s="57"/>
    </row>
    <row r="65" spans="1:48" ht="15">
      <c r="A65" s="41" t="s">
        <v>54</v>
      </c>
      <c r="B65" s="42" t="s">
        <v>133</v>
      </c>
      <c r="C65" s="39"/>
      <c r="D65" s="60">
        <v>0</v>
      </c>
      <c r="E65" s="60">
        <v>0</v>
      </c>
      <c r="F65" s="57"/>
      <c r="G65" s="91" t="e">
        <f>'Autoproducers Calculations'!#REF!</f>
        <v>#REF!</v>
      </c>
      <c r="I65" s="63" t="e">
        <f t="shared" si="33"/>
        <v>#REF!</v>
      </c>
      <c r="K65" s="57"/>
      <c r="L65" s="61"/>
      <c r="M65" s="62"/>
      <c r="N65" s="62"/>
      <c r="O65" s="57"/>
      <c r="P65" s="57"/>
      <c r="Q65" s="57"/>
      <c r="R65" s="57"/>
      <c r="S65" s="57"/>
      <c r="T65" s="57"/>
      <c r="U65" s="57"/>
      <c r="V65" s="57"/>
    </row>
    <row r="66" spans="1:48" ht="15">
      <c r="A66" s="41" t="s">
        <v>55</v>
      </c>
      <c r="B66" s="42" t="s">
        <v>133</v>
      </c>
      <c r="C66" s="39"/>
      <c r="D66" s="60">
        <v>54.177192000000005</v>
      </c>
      <c r="E66" s="60">
        <v>23.069268000000001</v>
      </c>
      <c r="F66" s="57"/>
      <c r="G66" s="91" t="e">
        <f>'Autoproducers Calculations'!#REF!</f>
        <v>#REF!</v>
      </c>
      <c r="I66" s="63" t="e">
        <f t="shared" si="33"/>
        <v>#REF!</v>
      </c>
      <c r="K66" s="57"/>
      <c r="L66" s="61"/>
      <c r="M66" s="62"/>
      <c r="N66" s="62"/>
      <c r="O66" s="57"/>
      <c r="P66" s="57"/>
      <c r="Q66" s="57"/>
      <c r="R66" s="57"/>
      <c r="S66" s="57"/>
      <c r="T66" s="57"/>
      <c r="U66" s="57"/>
      <c r="V66" s="57"/>
    </row>
    <row r="67" spans="1:48" ht="15">
      <c r="A67" s="41" t="s">
        <v>57</v>
      </c>
      <c r="B67" s="42" t="s">
        <v>133</v>
      </c>
      <c r="C67" s="39"/>
      <c r="D67" s="60">
        <v>29.265732000000003</v>
      </c>
      <c r="E67" s="60">
        <v>35.755272000000005</v>
      </c>
      <c r="F67" s="57"/>
      <c r="G67" s="91" t="e">
        <f>'Autoproducers Calculations'!#REF!</f>
        <v>#REF!</v>
      </c>
      <c r="I67" s="63" t="e">
        <f t="shared" si="33"/>
        <v>#REF!</v>
      </c>
      <c r="K67" s="57"/>
      <c r="L67" s="61"/>
      <c r="M67" s="62"/>
      <c r="N67" s="62"/>
      <c r="O67" s="57"/>
      <c r="P67" s="57"/>
      <c r="Q67" s="57"/>
      <c r="R67" s="57"/>
      <c r="S67" s="57"/>
      <c r="T67" s="57"/>
      <c r="U67" s="57"/>
      <c r="V67" s="57"/>
    </row>
    <row r="68" spans="1:48" ht="15">
      <c r="A68" s="41" t="s">
        <v>58</v>
      </c>
      <c r="B68" s="42" t="s">
        <v>133</v>
      </c>
      <c r="C68" s="39"/>
      <c r="D68" s="60">
        <v>19.8873</v>
      </c>
      <c r="E68" s="60">
        <v>9.8808480000000003</v>
      </c>
      <c r="F68" s="57"/>
      <c r="G68" s="91" t="e">
        <f>'Autoproducers Calculations'!#REF!</f>
        <v>#REF!</v>
      </c>
      <c r="I68" s="63" t="e">
        <f t="shared" si="33"/>
        <v>#REF!</v>
      </c>
      <c r="K68" s="57"/>
      <c r="L68" s="61"/>
      <c r="M68" s="62"/>
      <c r="N68" s="62"/>
      <c r="O68" s="57"/>
      <c r="P68" s="57"/>
      <c r="Q68" s="57"/>
      <c r="R68" s="57"/>
      <c r="S68" s="57"/>
      <c r="T68" s="57"/>
      <c r="U68" s="57"/>
      <c r="V68" s="57"/>
    </row>
    <row r="69" spans="1:48" ht="15">
      <c r="A69" s="41" t="s">
        <v>59</v>
      </c>
      <c r="B69" s="42" t="s">
        <v>133</v>
      </c>
      <c r="C69" s="39"/>
      <c r="D69" s="60">
        <v>8.3317320000000006</v>
      </c>
      <c r="E69" s="60">
        <v>3.516912</v>
      </c>
      <c r="F69" s="57"/>
      <c r="G69" s="91" t="e">
        <f>'Autoproducers Calculations'!#REF!</f>
        <v>#REF!</v>
      </c>
      <c r="I69" s="63" t="e">
        <f t="shared" si="33"/>
        <v>#REF!</v>
      </c>
      <c r="K69" s="57"/>
      <c r="L69" s="61"/>
      <c r="M69" s="62"/>
      <c r="N69" s="62"/>
      <c r="O69" s="57"/>
      <c r="P69" s="57"/>
      <c r="Q69" s="57"/>
      <c r="R69" s="57"/>
      <c r="S69" s="57"/>
      <c r="T69" s="57"/>
      <c r="U69" s="57"/>
      <c r="V69" s="57"/>
    </row>
    <row r="70" spans="1:48" ht="15">
      <c r="A70" s="41" t="s">
        <v>63</v>
      </c>
      <c r="B70" s="42" t="s">
        <v>133</v>
      </c>
      <c r="C70" s="39"/>
      <c r="D70" s="60">
        <v>17.835768000000002</v>
      </c>
      <c r="E70" s="60">
        <v>26.586180000000002</v>
      </c>
      <c r="F70" s="57"/>
      <c r="G70" s="91" t="e">
        <f>'Autoproducers Calculations'!#REF!</f>
        <v>#REF!</v>
      </c>
      <c r="I70" s="63" t="e">
        <f t="shared" si="33"/>
        <v>#REF!</v>
      </c>
      <c r="K70" s="57"/>
      <c r="L70" s="61"/>
      <c r="M70" s="62"/>
      <c r="N70" s="62"/>
      <c r="O70" s="57"/>
      <c r="P70" s="57"/>
      <c r="Q70" s="57"/>
      <c r="R70" s="57"/>
      <c r="S70" s="57"/>
      <c r="T70" s="57"/>
      <c r="U70" s="57"/>
      <c r="V70" s="57"/>
    </row>
    <row r="71" spans="1:48" ht="15">
      <c r="A71" s="41" t="s">
        <v>60</v>
      </c>
      <c r="B71" s="42" t="s">
        <v>133</v>
      </c>
      <c r="C71" s="39"/>
      <c r="D71" s="60">
        <v>1.2979080000000001</v>
      </c>
      <c r="E71" s="60">
        <v>0.16747200000000001</v>
      </c>
      <c r="F71" s="57"/>
      <c r="G71" s="91" t="e">
        <f>'Autoproducers Calculations'!#REF!</f>
        <v>#REF!</v>
      </c>
      <c r="I71" s="63" t="e">
        <f t="shared" si="33"/>
        <v>#REF!</v>
      </c>
      <c r="K71" s="57"/>
      <c r="L71" s="61"/>
      <c r="M71" s="62"/>
      <c r="N71" s="62"/>
      <c r="O71" s="57"/>
      <c r="P71" s="57"/>
      <c r="Q71" s="57"/>
      <c r="R71" s="57"/>
      <c r="S71" s="57"/>
      <c r="T71" s="57"/>
      <c r="U71" s="57"/>
      <c r="V71" s="57"/>
    </row>
    <row r="72" spans="1:48" ht="15">
      <c r="A72" s="41" t="s">
        <v>61</v>
      </c>
      <c r="B72" s="42" t="s">
        <v>133</v>
      </c>
      <c r="C72" s="39"/>
      <c r="D72" s="60">
        <v>8.4573359999999997</v>
      </c>
      <c r="E72" s="60">
        <v>2.1352679999999999</v>
      </c>
      <c r="F72" s="57"/>
      <c r="G72" s="91" t="e">
        <f>'Autoproducers Calculations'!#REF!</f>
        <v>#REF!</v>
      </c>
      <c r="I72" s="63" t="e">
        <f t="shared" si="33"/>
        <v>#REF!</v>
      </c>
      <c r="K72" s="57"/>
      <c r="L72" s="61"/>
      <c r="M72" s="62"/>
      <c r="N72" s="62"/>
      <c r="O72" s="57"/>
      <c r="P72" s="57"/>
      <c r="Q72" s="57"/>
      <c r="R72" s="57"/>
      <c r="S72" s="57"/>
      <c r="T72" s="57"/>
      <c r="U72" s="57"/>
      <c r="V72" s="57"/>
    </row>
    <row r="73" spans="1:48" ht="15">
      <c r="A73" s="41" t="s">
        <v>64</v>
      </c>
      <c r="B73" s="42" t="s">
        <v>133</v>
      </c>
      <c r="C73" s="39"/>
      <c r="D73" s="60">
        <v>148.96634400000002</v>
      </c>
      <c r="E73" s="60">
        <v>0</v>
      </c>
      <c r="F73" s="57"/>
      <c r="G73" s="91" t="e">
        <f>'Autoproducers Calculations'!#REF!</f>
        <v>#REF!</v>
      </c>
      <c r="I73" s="63" t="e">
        <f t="shared" si="33"/>
        <v>#REF!</v>
      </c>
      <c r="K73" s="57"/>
      <c r="L73" s="61"/>
      <c r="M73" s="62"/>
      <c r="N73" s="62"/>
      <c r="O73" s="57"/>
      <c r="P73" s="57"/>
      <c r="Q73" s="57"/>
      <c r="R73" s="57"/>
      <c r="S73" s="57"/>
      <c r="T73" s="57"/>
      <c r="U73" s="57"/>
      <c r="V73" s="57"/>
    </row>
    <row r="74" spans="1:48" ht="15">
      <c r="A74" s="41" t="s">
        <v>81</v>
      </c>
      <c r="B74" s="42" t="s">
        <v>133</v>
      </c>
      <c r="C74" s="39"/>
      <c r="D74" s="60">
        <v>10.927548</v>
      </c>
      <c r="E74" s="60">
        <v>9.7552440000000011</v>
      </c>
      <c r="F74" s="57"/>
      <c r="G74" s="91"/>
      <c r="I74" s="57"/>
      <c r="K74" s="57"/>
      <c r="L74" s="61"/>
      <c r="M74" s="62"/>
      <c r="N74" s="62"/>
      <c r="O74" s="57"/>
      <c r="P74" s="57"/>
      <c r="Q74" s="57"/>
      <c r="R74" s="57"/>
      <c r="S74" s="57"/>
      <c r="T74" s="57"/>
      <c r="U74" s="57"/>
      <c r="V74" s="57"/>
    </row>
    <row r="75" spans="1:48" ht="15">
      <c r="A75" s="41" t="s">
        <v>83</v>
      </c>
      <c r="B75" s="42" t="s">
        <v>133</v>
      </c>
      <c r="C75" s="39"/>
      <c r="D75" s="60">
        <v>0</v>
      </c>
      <c r="E75" s="60">
        <v>0</v>
      </c>
      <c r="F75" s="57"/>
      <c r="G75" s="94">
        <v>0</v>
      </c>
      <c r="I75" s="63">
        <f>D75-G75</f>
        <v>0</v>
      </c>
      <c r="K75" s="57"/>
      <c r="L75" s="61"/>
      <c r="M75" s="62"/>
      <c r="N75" s="62"/>
      <c r="O75" s="57"/>
      <c r="P75" s="57"/>
      <c r="Q75" s="57"/>
      <c r="R75" s="57"/>
      <c r="S75" s="57"/>
      <c r="T75" s="57"/>
      <c r="U75" s="57"/>
      <c r="V75" s="57"/>
    </row>
    <row r="76" spans="1:48" ht="15">
      <c r="A76" s="41" t="s">
        <v>84</v>
      </c>
      <c r="B76" s="42" t="s">
        <v>133</v>
      </c>
      <c r="C76" s="39"/>
      <c r="D76" s="60">
        <v>2.7214200000000002</v>
      </c>
      <c r="E76" s="60">
        <v>0</v>
      </c>
      <c r="F76" s="57"/>
      <c r="G76" s="94">
        <v>0</v>
      </c>
      <c r="I76" s="63">
        <f>D76-G76</f>
        <v>2.7214200000000002</v>
      </c>
      <c r="K76" s="57"/>
      <c r="L76" s="61"/>
      <c r="M76" s="62"/>
      <c r="N76" s="62"/>
      <c r="O76" s="57"/>
      <c r="P76" s="57"/>
      <c r="Q76" s="57"/>
      <c r="R76" s="57"/>
      <c r="S76" s="57"/>
      <c r="T76" s="57"/>
      <c r="U76" s="57"/>
      <c r="V76" s="57"/>
    </row>
    <row r="77" spans="1:48" ht="15">
      <c r="A77" s="41" t="s">
        <v>123</v>
      </c>
      <c r="B77" s="42" t="s">
        <v>133</v>
      </c>
      <c r="C77" s="39"/>
      <c r="D77" s="60">
        <v>0</v>
      </c>
      <c r="E77" s="60">
        <v>0</v>
      </c>
      <c r="F77" s="57"/>
      <c r="G77" s="61">
        <v>0.80566079327999995</v>
      </c>
      <c r="H77" s="62"/>
      <c r="I77" s="57"/>
      <c r="K77" s="57"/>
      <c r="L77" s="61"/>
      <c r="M77" s="62"/>
      <c r="N77" s="62"/>
      <c r="O77" s="57"/>
      <c r="P77" s="57"/>
      <c r="Q77" s="57"/>
      <c r="R77" s="57"/>
      <c r="S77" s="57"/>
      <c r="T77" s="57"/>
      <c r="U77" s="57"/>
      <c r="V77" s="57">
        <f>SUM(D77:U77)</f>
        <v>0.80566079327999995</v>
      </c>
      <c r="Z77" s="32"/>
      <c r="AA77" s="32"/>
      <c r="AB77" s="32"/>
      <c r="AC77" s="32"/>
      <c r="AD77" s="32"/>
      <c r="AE77" s="32"/>
      <c r="AF77" s="32"/>
      <c r="AG77" s="32"/>
      <c r="AH77" s="32"/>
      <c r="AI77" s="32"/>
      <c r="AJ77" s="32"/>
      <c r="AK77" s="32"/>
      <c r="AL77" s="32"/>
      <c r="AM77" s="32"/>
      <c r="AN77" s="32"/>
      <c r="AO77" s="32"/>
      <c r="AP77" s="32"/>
      <c r="AQ77" s="32"/>
      <c r="AR77" s="32"/>
      <c r="AS77" s="32"/>
      <c r="AT77" s="32"/>
      <c r="AU77" s="32"/>
      <c r="AV77" s="32"/>
    </row>
    <row r="78" spans="1:48" ht="15">
      <c r="A78" s="41" t="s">
        <v>455</v>
      </c>
      <c r="B78" s="42" t="s">
        <v>133</v>
      </c>
      <c r="C78" s="39"/>
      <c r="D78" s="60">
        <v>0</v>
      </c>
      <c r="E78" s="60">
        <v>0</v>
      </c>
      <c r="F78" s="57"/>
      <c r="G78" s="91"/>
      <c r="I78" s="57"/>
      <c r="K78" s="57"/>
      <c r="L78" s="61"/>
      <c r="M78" s="62"/>
      <c r="N78" s="62"/>
      <c r="O78" s="57"/>
      <c r="P78" s="57"/>
      <c r="Q78" s="57"/>
      <c r="R78" s="57"/>
      <c r="S78" s="57"/>
      <c r="T78" s="57"/>
      <c r="U78" s="57"/>
      <c r="V78" s="57"/>
    </row>
    <row r="79" spans="1:48" ht="15">
      <c r="A79" s="41" t="s">
        <v>126</v>
      </c>
      <c r="B79" s="42" t="s">
        <v>133</v>
      </c>
      <c r="C79" s="39"/>
      <c r="D79" s="60">
        <v>1.8220000000000001</v>
      </c>
      <c r="E79" s="60">
        <v>0</v>
      </c>
      <c r="F79" s="57"/>
      <c r="I79" s="57"/>
      <c r="K79" s="57"/>
      <c r="L79" s="61"/>
      <c r="M79" s="62"/>
      <c r="N79" s="62"/>
      <c r="O79" s="57"/>
      <c r="P79" s="57"/>
      <c r="Q79" s="57"/>
      <c r="R79" s="57"/>
      <c r="S79" s="57"/>
      <c r="T79" s="57"/>
      <c r="U79" s="57"/>
      <c r="V79" s="57"/>
    </row>
    <row r="80" spans="1:48" ht="15">
      <c r="A80" s="41" t="s">
        <v>128</v>
      </c>
      <c r="B80" s="42" t="s">
        <v>133</v>
      </c>
      <c r="C80" s="39"/>
      <c r="D80" s="60">
        <v>0</v>
      </c>
      <c r="E80" s="60">
        <v>0</v>
      </c>
      <c r="F80" s="57"/>
      <c r="G80" s="91"/>
      <c r="I80" s="57"/>
      <c r="K80" s="57"/>
      <c r="L80" s="61"/>
      <c r="M80" s="62"/>
      <c r="N80" s="62"/>
      <c r="O80" s="57"/>
      <c r="P80" s="57"/>
      <c r="Q80" s="57"/>
      <c r="R80" s="57"/>
      <c r="S80" s="57"/>
      <c r="T80" s="57"/>
      <c r="U80" s="57"/>
      <c r="V80" s="57"/>
    </row>
    <row r="81" spans="1:22" ht="15">
      <c r="A81" s="41" t="s">
        <v>129</v>
      </c>
      <c r="B81" s="42" t="s">
        <v>133</v>
      </c>
      <c r="C81" s="39"/>
      <c r="D81" s="60">
        <v>2.1999999999999999E-2</v>
      </c>
      <c r="E81" s="60">
        <v>0.55300000000000005</v>
      </c>
      <c r="F81" s="57"/>
      <c r="G81" s="91"/>
      <c r="I81" s="57"/>
      <c r="K81" s="57"/>
      <c r="L81" s="61"/>
      <c r="M81" s="62"/>
      <c r="N81" s="62"/>
      <c r="O81" s="57"/>
      <c r="P81" s="57"/>
      <c r="Q81" s="57"/>
      <c r="R81" s="57"/>
      <c r="S81" s="57"/>
      <c r="T81" s="57"/>
      <c r="U81" s="57"/>
      <c r="V81" s="57"/>
    </row>
    <row r="82" spans="1:22" ht="15">
      <c r="A82" s="41" t="s">
        <v>130</v>
      </c>
      <c r="B82" s="42" t="s">
        <v>133</v>
      </c>
      <c r="C82" s="39"/>
      <c r="D82" s="60">
        <v>0</v>
      </c>
      <c r="E82" s="60">
        <v>0.54514788000000003</v>
      </c>
      <c r="F82" s="63">
        <v>20.3</v>
      </c>
      <c r="G82" s="91"/>
      <c r="I82" s="57"/>
      <c r="K82" s="57"/>
      <c r="L82" s="61"/>
      <c r="M82" s="62"/>
      <c r="N82" s="62"/>
      <c r="O82" s="57"/>
      <c r="P82" s="57"/>
      <c r="Q82" s="57"/>
      <c r="R82" s="57"/>
      <c r="S82" s="57"/>
      <c r="T82" s="57"/>
      <c r="U82" s="57"/>
      <c r="V82" s="57"/>
    </row>
    <row r="83" spans="1:22" ht="15">
      <c r="A83" s="41" t="s">
        <v>456</v>
      </c>
      <c r="B83" s="42" t="s">
        <v>133</v>
      </c>
      <c r="C83" s="39"/>
      <c r="D83" s="60">
        <v>0</v>
      </c>
      <c r="E83" s="60">
        <v>0</v>
      </c>
    </row>
    <row r="84" spans="1:22" s="32" customFormat="1" ht="15">
      <c r="A84" s="54"/>
      <c r="B84" s="55"/>
      <c r="C84" s="56"/>
      <c r="D84" s="178"/>
      <c r="E84" s="178"/>
    </row>
    <row r="85" spans="1:22">
      <c r="D85" s="64">
        <f>SUM(D47:D73)</f>
        <v>867.83493200000021</v>
      </c>
      <c r="G85" s="64" t="e">
        <f>SUM(G47:G73)</f>
        <v>#REF!</v>
      </c>
      <c r="I85" s="64" t="e">
        <f>SUM(I47:I73)</f>
        <v>#REF!</v>
      </c>
    </row>
  </sheetData>
  <phoneticPr fontId="5" type="noConversion"/>
  <conditionalFormatting sqref="L47:L82">
    <cfRule type="cellIs" dxfId="15" priority="1" stopIfTrue="1" operator="lessThan">
      <formula>0</formula>
    </cfRule>
  </conditionalFormatting>
  <conditionalFormatting sqref="Y6:AN42">
    <cfRule type="cellIs" dxfId="14" priority="2" stopIfTrue="1" operator="lessThan">
      <formula>0.05</formula>
    </cfRule>
  </conditionalFormatting>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AM104"/>
  <sheetViews>
    <sheetView workbookViewId="0">
      <pane xSplit="3" ySplit="3" topLeftCell="D7" activePane="bottomRight" state="frozen"/>
      <selection activeCell="D71" sqref="D71"/>
      <selection pane="topRight" activeCell="D71" sqref="D71"/>
      <selection pane="bottomLeft" activeCell="D71" sqref="D71"/>
      <selection pane="bottomRight" activeCell="T12" sqref="T12"/>
    </sheetView>
  </sheetViews>
  <sheetFormatPr defaultColWidth="9.140625" defaultRowHeight="15" outlineLevelRow="3"/>
  <cols>
    <col min="1" max="1" width="4.140625" style="513" customWidth="1"/>
    <col min="2" max="2" width="9.140625" style="513"/>
    <col min="3" max="3" width="55.85546875" style="513" bestFit="1" customWidth="1"/>
    <col min="4" max="5" width="15.85546875" style="513" customWidth="1"/>
    <col min="6" max="16384" width="9.140625" style="513"/>
  </cols>
  <sheetData>
    <row r="2" spans="1:39">
      <c r="AL2" s="513" t="s">
        <v>1312</v>
      </c>
    </row>
    <row r="3" spans="1:39" ht="15.75" thickBot="1">
      <c r="E3" s="514" t="s">
        <v>1319</v>
      </c>
      <c r="F3" s="514" t="s">
        <v>56</v>
      </c>
      <c r="G3" s="514" t="s">
        <v>39</v>
      </c>
      <c r="H3" s="514" t="s">
        <v>40</v>
      </c>
      <c r="I3" s="514" t="s">
        <v>49</v>
      </c>
      <c r="J3" s="514" t="s">
        <v>41</v>
      </c>
      <c r="K3" s="514" t="s">
        <v>43</v>
      </c>
      <c r="L3" s="514" t="s">
        <v>42</v>
      </c>
      <c r="M3" s="514" t="s">
        <v>44</v>
      </c>
      <c r="N3" s="514" t="s">
        <v>45</v>
      </c>
      <c r="O3" s="514" t="s">
        <v>62</v>
      </c>
      <c r="P3" s="514" t="s">
        <v>46</v>
      </c>
      <c r="Q3" s="514" t="s">
        <v>82</v>
      </c>
      <c r="R3" s="514" t="s">
        <v>53</v>
      </c>
      <c r="S3" s="514" t="s">
        <v>47</v>
      </c>
      <c r="T3" s="514" t="s">
        <v>48</v>
      </c>
      <c r="U3" s="514" t="s">
        <v>51</v>
      </c>
      <c r="V3" s="514" t="s">
        <v>52</v>
      </c>
      <c r="W3" s="514" t="s">
        <v>50</v>
      </c>
      <c r="X3" s="514" t="s">
        <v>54</v>
      </c>
      <c r="Y3" s="514" t="s">
        <v>55</v>
      </c>
      <c r="Z3" s="514" t="s">
        <v>57</v>
      </c>
      <c r="AA3" s="514" t="s">
        <v>58</v>
      </c>
      <c r="AB3" s="514" t="s">
        <v>59</v>
      </c>
      <c r="AC3" s="514" t="s">
        <v>63</v>
      </c>
      <c r="AD3" s="514" t="s">
        <v>60</v>
      </c>
      <c r="AE3" s="514" t="s">
        <v>61</v>
      </c>
      <c r="AF3" s="514" t="s">
        <v>64</v>
      </c>
      <c r="AG3" s="514" t="s">
        <v>81</v>
      </c>
      <c r="AH3" s="514" t="s">
        <v>83</v>
      </c>
      <c r="AI3" s="514" t="s">
        <v>84</v>
      </c>
      <c r="AL3" s="514" t="s">
        <v>81</v>
      </c>
    </row>
    <row r="4" spans="1:39" ht="15.75" thickBot="1">
      <c r="A4" s="750" t="s">
        <v>563</v>
      </c>
      <c r="B4" s="751"/>
      <c r="C4" s="752"/>
      <c r="D4" s="554"/>
      <c r="E4" s="515"/>
      <c r="F4" s="515"/>
      <c r="G4" s="515"/>
      <c r="H4" s="515"/>
      <c r="I4" s="515"/>
      <c r="J4" s="515"/>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row>
    <row r="5" spans="1:39" hidden="1">
      <c r="A5" s="748" t="s">
        <v>564</v>
      </c>
      <c r="B5" s="748"/>
      <c r="C5" s="749"/>
      <c r="D5" s="554"/>
      <c r="E5" s="517"/>
      <c r="F5" s="517">
        <f t="shared" ref="F5:AI5" si="0">F6+F50</f>
        <v>51.777999999999999</v>
      </c>
      <c r="G5" s="517">
        <f t="shared" si="0"/>
        <v>14.759</v>
      </c>
      <c r="H5" s="517">
        <f t="shared" si="0"/>
        <v>16.260999999999999</v>
      </c>
      <c r="I5" s="517">
        <f t="shared" si="0"/>
        <v>0</v>
      </c>
      <c r="J5" s="517">
        <f t="shared" si="0"/>
        <v>79.051000000000002</v>
      </c>
      <c r="K5" s="517">
        <f t="shared" si="0"/>
        <v>524.73199999999997</v>
      </c>
      <c r="L5" s="517">
        <f t="shared" si="0"/>
        <v>35.550000000000004</v>
      </c>
      <c r="M5" s="517">
        <f t="shared" si="0"/>
        <v>1.0960000000000001</v>
      </c>
      <c r="N5" s="517">
        <f t="shared" si="0"/>
        <v>189.92000000000002</v>
      </c>
      <c r="O5" s="517">
        <f t="shared" si="0"/>
        <v>65.938000000000002</v>
      </c>
      <c r="P5" s="517">
        <f t="shared" si="0"/>
        <v>278.22199999999998</v>
      </c>
      <c r="Q5" s="517">
        <f t="shared" si="0"/>
        <v>2.3980000000000001</v>
      </c>
      <c r="R5" s="517">
        <f t="shared" si="0"/>
        <v>3.1419999999999999</v>
      </c>
      <c r="S5" s="517">
        <f t="shared" si="0"/>
        <v>4.5460000000000003</v>
      </c>
      <c r="T5" s="517">
        <f t="shared" si="0"/>
        <v>290.91899999999998</v>
      </c>
      <c r="U5" s="517">
        <f t="shared" si="0"/>
        <v>1.373</v>
      </c>
      <c r="V5" s="517">
        <f t="shared" si="0"/>
        <v>5.3019999999999996</v>
      </c>
      <c r="W5" s="517">
        <f t="shared" si="0"/>
        <v>0.94900000000000007</v>
      </c>
      <c r="X5" s="517">
        <f t="shared" si="0"/>
        <v>0</v>
      </c>
      <c r="Y5" s="517">
        <f t="shared" si="0"/>
        <v>127.896</v>
      </c>
      <c r="Z5" s="517">
        <f t="shared" si="0"/>
        <v>94.149000000000001</v>
      </c>
      <c r="AA5" s="517">
        <f t="shared" si="0"/>
        <v>45.557999999999993</v>
      </c>
      <c r="AB5" s="517">
        <f t="shared" si="0"/>
        <v>25.832999999999998</v>
      </c>
      <c r="AC5" s="517">
        <f t="shared" si="0"/>
        <v>58.566000000000003</v>
      </c>
      <c r="AD5" s="517">
        <f t="shared" si="0"/>
        <v>2.4239999999999999</v>
      </c>
      <c r="AE5" s="517">
        <f t="shared" si="0"/>
        <v>15.774000000000001</v>
      </c>
      <c r="AF5" s="517">
        <f t="shared" si="0"/>
        <v>366.267</v>
      </c>
      <c r="AG5" s="517">
        <f t="shared" si="0"/>
        <v>43.912999999999997</v>
      </c>
      <c r="AH5" s="517">
        <f t="shared" si="0"/>
        <v>0</v>
      </c>
      <c r="AI5" s="517">
        <f t="shared" si="0"/>
        <v>3.6909999999999998</v>
      </c>
    </row>
    <row r="6" spans="1:39">
      <c r="A6" s="518"/>
      <c r="B6" s="748" t="s">
        <v>565</v>
      </c>
      <c r="C6" s="749"/>
      <c r="D6" s="554"/>
      <c r="E6" s="668">
        <f>SUM(F6:AI6)</f>
        <v>2350.0069999999996</v>
      </c>
      <c r="F6" s="517">
        <f>F8+F28</f>
        <v>51.777999999999999</v>
      </c>
      <c r="G6" s="517">
        <f t="shared" ref="G6:AI6" si="1">G8+G28</f>
        <v>14.759</v>
      </c>
      <c r="H6" s="517">
        <f t="shared" si="1"/>
        <v>16.260999999999999</v>
      </c>
      <c r="I6" s="517">
        <f t="shared" si="1"/>
        <v>0</v>
      </c>
      <c r="J6" s="517">
        <f t="shared" si="1"/>
        <v>79.051000000000002</v>
      </c>
      <c r="K6" s="517">
        <f t="shared" si="1"/>
        <v>524.73199999999997</v>
      </c>
      <c r="L6" s="517">
        <f t="shared" si="1"/>
        <v>35.550000000000004</v>
      </c>
      <c r="M6" s="517">
        <f t="shared" si="1"/>
        <v>1.0960000000000001</v>
      </c>
      <c r="N6" s="517">
        <f t="shared" si="1"/>
        <v>189.92000000000002</v>
      </c>
      <c r="O6" s="517">
        <f t="shared" si="1"/>
        <v>65.938000000000002</v>
      </c>
      <c r="P6" s="517">
        <f t="shared" si="1"/>
        <v>278.22199999999998</v>
      </c>
      <c r="Q6" s="517">
        <f t="shared" si="1"/>
        <v>2.3980000000000001</v>
      </c>
      <c r="R6" s="517">
        <f t="shared" si="1"/>
        <v>3.1419999999999999</v>
      </c>
      <c r="S6" s="517">
        <f t="shared" si="1"/>
        <v>4.5460000000000003</v>
      </c>
      <c r="T6" s="517">
        <f t="shared" si="1"/>
        <v>290.91899999999998</v>
      </c>
      <c r="U6" s="517">
        <f t="shared" si="1"/>
        <v>1.373</v>
      </c>
      <c r="V6" s="517">
        <f t="shared" si="1"/>
        <v>5.3019999999999996</v>
      </c>
      <c r="W6" s="517">
        <f t="shared" si="1"/>
        <v>0.94900000000000007</v>
      </c>
      <c r="X6" s="517">
        <f t="shared" si="1"/>
        <v>0</v>
      </c>
      <c r="Y6" s="517">
        <f t="shared" si="1"/>
        <v>127.896</v>
      </c>
      <c r="Z6" s="517">
        <f t="shared" si="1"/>
        <v>94.149000000000001</v>
      </c>
      <c r="AA6" s="517">
        <f t="shared" si="1"/>
        <v>45.557999999999993</v>
      </c>
      <c r="AB6" s="517">
        <f t="shared" si="1"/>
        <v>25.832999999999998</v>
      </c>
      <c r="AC6" s="517">
        <f t="shared" si="1"/>
        <v>58.566000000000003</v>
      </c>
      <c r="AD6" s="517">
        <f t="shared" si="1"/>
        <v>2.4239999999999999</v>
      </c>
      <c r="AE6" s="517">
        <f t="shared" si="1"/>
        <v>15.774000000000001</v>
      </c>
      <c r="AF6" s="517">
        <f t="shared" si="1"/>
        <v>366.267</v>
      </c>
      <c r="AG6" s="517">
        <f t="shared" si="1"/>
        <v>43.912999999999997</v>
      </c>
      <c r="AH6" s="517">
        <f t="shared" si="1"/>
        <v>0</v>
      </c>
      <c r="AI6" s="517">
        <f t="shared" si="1"/>
        <v>3.6909999999999998</v>
      </c>
    </row>
    <row r="7" spans="1:39">
      <c r="A7" s="518"/>
      <c r="B7" s="554"/>
      <c r="C7" s="555"/>
      <c r="D7" s="554"/>
      <c r="E7" s="668"/>
      <c r="F7" s="517"/>
      <c r="G7" s="517"/>
      <c r="H7" s="517"/>
      <c r="I7" s="517"/>
      <c r="J7" s="517"/>
      <c r="K7" s="517"/>
      <c r="L7" s="517"/>
      <c r="M7" s="517"/>
      <c r="N7" s="517"/>
      <c r="O7" s="517"/>
      <c r="P7" s="517"/>
      <c r="Q7" s="517"/>
      <c r="R7" s="517"/>
      <c r="S7" s="517"/>
      <c r="T7" s="517"/>
      <c r="U7" s="517"/>
      <c r="V7" s="517"/>
      <c r="W7" s="517"/>
      <c r="X7" s="517"/>
      <c r="Y7" s="517"/>
      <c r="Z7" s="517"/>
      <c r="AA7" s="517"/>
      <c r="AB7" s="517"/>
      <c r="AC7" s="517"/>
      <c r="AD7" s="517"/>
      <c r="AE7" s="517"/>
      <c r="AF7" s="517"/>
      <c r="AG7" s="517"/>
      <c r="AH7" s="517"/>
      <c r="AI7" s="517"/>
    </row>
    <row r="8" spans="1:39" ht="15.75" outlineLevel="1" thickBot="1">
      <c r="A8" s="518"/>
      <c r="B8" s="518"/>
      <c r="C8" s="519" t="s">
        <v>0</v>
      </c>
      <c r="D8" s="520"/>
      <c r="E8" s="561">
        <f>SUM(F8:AI8)</f>
        <v>1714.7940000000001</v>
      </c>
      <c r="F8" s="561">
        <f>'Transformation Input'!U17/1000</f>
        <v>23.475999999999999</v>
      </c>
      <c r="G8" s="561">
        <f>'Transformation Input'!C17/1000</f>
        <v>14.731</v>
      </c>
      <c r="H8" s="561">
        <f>'Transformation Input'!D17/1000</f>
        <v>14.723000000000001</v>
      </c>
      <c r="I8" s="561"/>
      <c r="J8" s="561">
        <f>'Transformation Input'!E17/1000</f>
        <v>70.131</v>
      </c>
      <c r="K8" s="561">
        <f>'Transformation Input'!G17/1000</f>
        <v>317.68200000000002</v>
      </c>
      <c r="L8" s="561">
        <f>'Transformation Input'!F17/1000</f>
        <v>35.53</v>
      </c>
      <c r="M8" s="561">
        <f>'Transformation Input'!H17/1000</f>
        <v>0.89300000000000002</v>
      </c>
      <c r="N8" s="561">
        <f>'Transformation Input'!K17/1000</f>
        <v>171.82900000000001</v>
      </c>
      <c r="O8" s="561">
        <f>'Transformation Input'!AA17/1000</f>
        <v>54.48</v>
      </c>
      <c r="P8" s="561">
        <f>'Transformation Input'!L17/1000</f>
        <v>181.791</v>
      </c>
      <c r="Q8" s="561">
        <f>'Transformation Input'!J17/1000</f>
        <v>2.1850000000000001</v>
      </c>
      <c r="R8" s="561">
        <f>'Transformation Input'!R17/1000</f>
        <v>3.1259999999999999</v>
      </c>
      <c r="S8" s="561">
        <f>'Transformation Input'!I17/1000</f>
        <v>4.5460000000000003</v>
      </c>
      <c r="T8" s="561">
        <f>'Transformation Input'!M17/1000</f>
        <v>260.90199999999999</v>
      </c>
      <c r="U8" s="561">
        <f>'Transformation Input'!P17/1000</f>
        <v>1.373</v>
      </c>
      <c r="V8" s="561">
        <f>'Transformation Input'!Q17/1000</f>
        <v>5.3019999999999996</v>
      </c>
      <c r="W8" s="561">
        <f>'Transformation Input'!O17/1000</f>
        <v>0.93</v>
      </c>
      <c r="X8" s="561">
        <v>0</v>
      </c>
      <c r="Y8" s="561">
        <f>'Transformation Input'!T17/1000</f>
        <v>94.858000000000004</v>
      </c>
      <c r="Z8" s="561">
        <f>'Transformation Input'!V17/1000</f>
        <v>94.149000000000001</v>
      </c>
      <c r="AA8" s="561">
        <f>'Transformation Input'!W17/1000</f>
        <v>35.924999999999997</v>
      </c>
      <c r="AB8" s="561">
        <f>'Transformation Input'!X17/1000</f>
        <v>24.888999999999999</v>
      </c>
      <c r="AC8" s="561">
        <f>'Transformation Input'!AB17/1000</f>
        <v>55.465000000000003</v>
      </c>
      <c r="AD8" s="561">
        <f>'Transformation Input'!Y17/1000</f>
        <v>2.323</v>
      </c>
      <c r="AE8" s="561">
        <f>'Transformation Input'!Z17/1000</f>
        <v>15.768000000000001</v>
      </c>
      <c r="AF8" s="561">
        <f>'Transformation Input'!AC17/1000</f>
        <v>187.36199999999999</v>
      </c>
      <c r="AG8" s="561">
        <f>'Transformation Input'!AF17/1000</f>
        <v>40.424999999999997</v>
      </c>
      <c r="AH8" s="561">
        <f>'Transformation Input'!AD17/1000</f>
        <v>0</v>
      </c>
      <c r="AI8" s="561">
        <f>'Transformation Input'!AE17/1000</f>
        <v>0</v>
      </c>
      <c r="AL8" s="514">
        <v>40.424999999999997</v>
      </c>
    </row>
    <row r="9" spans="1:39" s="566" customFormat="1" outlineLevel="2">
      <c r="A9" s="559"/>
      <c r="B9" s="559"/>
      <c r="C9" s="558" t="s">
        <v>546</v>
      </c>
      <c r="D9" s="700">
        <f t="shared" ref="D9:D22" si="2">E9/$E$8</f>
        <v>0.10899151734843951</v>
      </c>
      <c r="E9" s="560">
        <f>SUM(F9:AI9)</f>
        <v>186.898</v>
      </c>
      <c r="F9" s="560">
        <f>'Solid Fuels Input'!B334/1000</f>
        <v>1.27</v>
      </c>
      <c r="G9" s="560">
        <f>'Solid Fuels Input'!B45/1000</f>
        <v>1.8169999999999999</v>
      </c>
      <c r="H9" s="560">
        <f>'Solid Fuels Input'!B62/1000</f>
        <v>5.05</v>
      </c>
      <c r="I9" s="560"/>
      <c r="J9" s="560">
        <f>'Solid Fuels Input'!B79/1000</f>
        <v>39.018000000000001</v>
      </c>
      <c r="K9" s="560">
        <f>'Solid Fuels Input'!B113/1000</f>
        <v>17.405000000000001</v>
      </c>
      <c r="L9" s="560">
        <f>'Solid Fuels Input'!B96/1000</f>
        <v>0.13300000000000001</v>
      </c>
      <c r="M9" s="560">
        <f>'Solid Fuels Input'!B130/1000</f>
        <v>0.21099999999999999</v>
      </c>
      <c r="N9" s="560">
        <f>'Solid Fuels Input'!B181/1000</f>
        <v>1.9370000000000001</v>
      </c>
      <c r="O9" s="560">
        <f>'Solid Fuels Input'!B436/1000</f>
        <v>3.149</v>
      </c>
      <c r="P9" s="560">
        <f>'Solid Fuels Input'!B198/1000</f>
        <v>18.356000000000002</v>
      </c>
      <c r="Q9" s="560">
        <f>'Solid Fuels Input'!B164/1000</f>
        <v>0</v>
      </c>
      <c r="R9" s="560">
        <f>'Solid Fuels Input'!B300/1000</f>
        <v>0</v>
      </c>
      <c r="S9" s="560">
        <f>'Solid Fuels Input'!B147/1000</f>
        <v>0.77600000000000002</v>
      </c>
      <c r="T9" s="560">
        <f>'Solid Fuels Input'!B215/1000</f>
        <v>2.7650000000000001</v>
      </c>
      <c r="U9" s="560">
        <f>'Solid Fuels Input'!B266/1000</f>
        <v>0</v>
      </c>
      <c r="V9" s="560">
        <f>'Solid Fuels Input'!B283/1000</f>
        <v>0</v>
      </c>
      <c r="W9" s="560">
        <f>'Solid Fuels Input'!B249/1000</f>
        <v>0</v>
      </c>
      <c r="X9" s="560">
        <v>0</v>
      </c>
      <c r="Y9" s="560">
        <f>'Solid Fuels Input'!B317/1000</f>
        <v>0</v>
      </c>
      <c r="Z9" s="560">
        <f>'Solid Fuels Input'!B351/1000</f>
        <v>65.293999999999997</v>
      </c>
      <c r="AA9" s="560">
        <f>'Solid Fuels Input'!B368/1000</f>
        <v>0</v>
      </c>
      <c r="AB9" s="560">
        <f>'Solid Fuels Input'!B385/1000</f>
        <v>18.067</v>
      </c>
      <c r="AC9" s="560">
        <f>'Solid Fuels Input'!B453/1000</f>
        <v>0.161</v>
      </c>
      <c r="AD9" s="560">
        <f>'Solid Fuels Input'!B402/1000</f>
        <v>0.32600000000000001</v>
      </c>
      <c r="AE9" s="560">
        <f>'Solid Fuels Input'!B419/1000</f>
        <v>5.7320000000000002</v>
      </c>
      <c r="AF9" s="560">
        <f>'Solid Fuels Input'!B470/1000</f>
        <v>5.431</v>
      </c>
      <c r="AG9" s="560">
        <f>AG8*AM9</f>
        <v>0</v>
      </c>
      <c r="AH9" s="560">
        <f>'Solid Fuels Input'!B487/1000</f>
        <v>0</v>
      </c>
      <c r="AI9" s="560">
        <f>'Solid Fuels Input'!B504/1000</f>
        <v>0</v>
      </c>
      <c r="AL9" s="566">
        <v>0</v>
      </c>
      <c r="AM9" s="726">
        <f>AL9/$AL$23</f>
        <v>0</v>
      </c>
    </row>
    <row r="10" spans="1:39" outlineLevel="2">
      <c r="A10" s="518"/>
      <c r="B10" s="518"/>
      <c r="C10" s="588" t="s">
        <v>1064</v>
      </c>
      <c r="D10" s="523"/>
      <c r="E10" s="560"/>
      <c r="F10" s="524">
        <f>'Solid Fuels Input'!F9</f>
        <v>1.0649999999999999</v>
      </c>
      <c r="G10" s="524">
        <f>'Solid Fuels Input'!G9</f>
        <v>1.8169999999999999</v>
      </c>
      <c r="H10" s="524">
        <f>'Solid Fuels Input'!H9</f>
        <v>4.7110000000000003</v>
      </c>
      <c r="I10" s="524">
        <f>'Solid Fuels Input'!I9</f>
        <v>0</v>
      </c>
      <c r="J10" s="524">
        <f>'Solid Fuels Input'!J9</f>
        <v>0</v>
      </c>
      <c r="K10" s="524">
        <f>'Solid Fuels Input'!K9</f>
        <v>15.505000000000001</v>
      </c>
      <c r="L10" s="524">
        <f>'Solid Fuels Input'!L9</f>
        <v>0.13300000000000001</v>
      </c>
      <c r="M10" s="524">
        <f>'Solid Fuels Input'!M9</f>
        <v>0</v>
      </c>
      <c r="N10" s="524">
        <f>'Solid Fuels Input'!N9</f>
        <v>1.9370000000000001</v>
      </c>
      <c r="O10" s="524">
        <f>'Solid Fuels Input'!O9</f>
        <v>0.45900000000000002</v>
      </c>
      <c r="P10" s="524">
        <f>'Solid Fuels Input'!P9</f>
        <v>18.356000000000002</v>
      </c>
      <c r="Q10" s="524">
        <f>'Solid Fuels Input'!Q9</f>
        <v>0</v>
      </c>
      <c r="R10" s="524">
        <f>'Solid Fuels Input'!R9</f>
        <v>0</v>
      </c>
      <c r="S10" s="524">
        <f>'Solid Fuels Input'!S9</f>
        <v>0.27800000000000002</v>
      </c>
      <c r="T10" s="524">
        <f>'Solid Fuels Input'!T9</f>
        <v>2.7650000000000001</v>
      </c>
      <c r="U10" s="524">
        <f>'Solid Fuels Input'!U9</f>
        <v>0</v>
      </c>
      <c r="V10" s="524">
        <f>'Solid Fuels Input'!V9</f>
        <v>0</v>
      </c>
      <c r="W10" s="524">
        <f>'Solid Fuels Input'!W9</f>
        <v>0</v>
      </c>
      <c r="X10" s="524">
        <f>'Solid Fuels Input'!X9</f>
        <v>0</v>
      </c>
      <c r="Y10" s="524">
        <f>'Solid Fuels Input'!Y9</f>
        <v>0</v>
      </c>
      <c r="Z10" s="524">
        <f>'Solid Fuels Input'!Z9</f>
        <v>65.293999999999997</v>
      </c>
      <c r="AA10" s="524">
        <f>'Solid Fuels Input'!AA9</f>
        <v>0</v>
      </c>
      <c r="AB10" s="524">
        <f>'Solid Fuels Input'!AB9</f>
        <v>0</v>
      </c>
      <c r="AC10" s="524">
        <f>'Solid Fuels Input'!AC9</f>
        <v>0.107</v>
      </c>
      <c r="AD10" s="524">
        <f>'Solid Fuels Input'!AD9</f>
        <v>0.32600000000000001</v>
      </c>
      <c r="AE10" s="524">
        <f>'Solid Fuels Input'!AE9</f>
        <v>5.4489999999999998</v>
      </c>
      <c r="AF10" s="524">
        <f>'Solid Fuels Input'!AF9</f>
        <v>5.431</v>
      </c>
      <c r="AG10" s="524">
        <f>'Solid Fuels Input'!AG9</f>
        <v>0</v>
      </c>
      <c r="AH10" s="524">
        <f>'Solid Fuels Input'!AH9</f>
        <v>0</v>
      </c>
      <c r="AI10" s="524">
        <f>'Solid Fuels Input'!AI9</f>
        <v>0</v>
      </c>
      <c r="AL10" s="513">
        <v>0</v>
      </c>
      <c r="AM10" s="726">
        <f t="shared" ref="AM10:AM22" si="3">AL10/$AL$23</f>
        <v>0</v>
      </c>
    </row>
    <row r="11" spans="1:39" s="566" customFormat="1" outlineLevel="2">
      <c r="A11" s="559"/>
      <c r="B11" s="559"/>
      <c r="C11" s="558" t="s">
        <v>307</v>
      </c>
      <c r="D11" s="700">
        <f t="shared" si="2"/>
        <v>0.16366983133512175</v>
      </c>
      <c r="E11" s="560">
        <f t="shared" ref="E11:E24" si="4">SUM(F11:AI11)</f>
        <v>280.6600447544788</v>
      </c>
      <c r="F11" s="560">
        <f>'Oil Input'!B308/1000</f>
        <v>0.36</v>
      </c>
      <c r="G11" s="560">
        <f>'Oil Input'!B53/1000</f>
        <v>3.5920000000000001</v>
      </c>
      <c r="H11" s="560">
        <f>'Oil Input'!B53/1000</f>
        <v>3.5920000000000001</v>
      </c>
      <c r="I11" s="560"/>
      <c r="J11" s="560">
        <f>'Oil Input'!B68/1000</f>
        <v>1.0129999999999999</v>
      </c>
      <c r="K11" s="560">
        <f>'Oil Input'!B98/1000</f>
        <v>26.555</v>
      </c>
      <c r="L11" s="560">
        <f>'Oil Input'!B98/1000</f>
        <v>26.555</v>
      </c>
      <c r="M11" s="560">
        <f>'Oil Input'!B113</f>
        <v>0</v>
      </c>
      <c r="N11" s="560">
        <f>'Oil Input'!B158/1000</f>
        <v>35.68</v>
      </c>
      <c r="O11" s="560">
        <f>'Oil Input'!B398/1000</f>
        <v>2.363</v>
      </c>
      <c r="P11" s="560">
        <f>'Oil Input'!B173/1000</f>
        <v>13.813000000000001</v>
      </c>
      <c r="Q11" s="560">
        <f>'Oil Input'!B143/1000</f>
        <v>0.24</v>
      </c>
      <c r="R11" s="560">
        <f>'Oil Input'!B263/1000</f>
        <v>0.2</v>
      </c>
      <c r="S11" s="560">
        <f>'Oil Input'!B128/1000</f>
        <v>0</v>
      </c>
      <c r="T11" s="560">
        <f>'Oil Input'!B188/1000</f>
        <v>113.075</v>
      </c>
      <c r="U11" s="560">
        <f>'Oil Input'!B233/1000</f>
        <v>0</v>
      </c>
      <c r="V11" s="560">
        <f>'Oil Input'!B248/1000</f>
        <v>0</v>
      </c>
      <c r="W11" s="560">
        <f>'Oil Input'!B218/1000</f>
        <v>0</v>
      </c>
      <c r="X11" s="560">
        <v>0</v>
      </c>
      <c r="Y11" s="560">
        <f>'Oil Input'!B293/1000</f>
        <v>18.291</v>
      </c>
      <c r="Z11" s="560">
        <f>'Oil Input'!B323/1000</f>
        <v>1.08</v>
      </c>
      <c r="AA11" s="560">
        <f>'Oil Input'!B338/1000</f>
        <v>10.523</v>
      </c>
      <c r="AB11" s="560">
        <f>'Oil Input'!B353/1000</f>
        <v>1.8169999999999999</v>
      </c>
      <c r="AC11" s="560">
        <f>'Oil Input'!B413/1000</f>
        <v>3.16</v>
      </c>
      <c r="AD11" s="560">
        <f>'Oil Input'!B368/1000</f>
        <v>0.16</v>
      </c>
      <c r="AE11" s="560">
        <f>'Oil Input'!B383/1000</f>
        <v>3.819</v>
      </c>
      <c r="AF11" s="560">
        <f>'Oil Input'!B428/1000</f>
        <v>9.3209999999999997</v>
      </c>
      <c r="AG11" s="560">
        <f>AG8*AM11</f>
        <v>5.4510447544786693</v>
      </c>
      <c r="AH11" s="560">
        <f>'Oil Input'!B443/1000</f>
        <v>0</v>
      </c>
      <c r="AI11" s="560">
        <f>'Oil Input'!B458/1000</f>
        <v>0</v>
      </c>
      <c r="AL11" s="566">
        <v>0.83699999999999997</v>
      </c>
      <c r="AM11" s="726">
        <f t="shared" si="3"/>
        <v>0.13484340765562572</v>
      </c>
    </row>
    <row r="12" spans="1:39" outlineLevel="2">
      <c r="A12" s="518"/>
      <c r="B12" s="518"/>
      <c r="C12" s="588" t="s">
        <v>993</v>
      </c>
      <c r="D12" s="523"/>
      <c r="E12" s="703">
        <f t="shared" si="4"/>
        <v>48.164417901791467</v>
      </c>
      <c r="F12" s="524">
        <f>'Oil Input'!H16</f>
        <v>0</v>
      </c>
      <c r="G12" s="524">
        <f>'Oil Input'!I16</f>
        <v>0</v>
      </c>
      <c r="H12" s="524">
        <f>'Oil Input'!J16</f>
        <v>0.317</v>
      </c>
      <c r="I12" s="524">
        <f>'Oil Input'!K16</f>
        <v>0</v>
      </c>
      <c r="J12" s="524">
        <f>'Oil Input'!L16</f>
        <v>0</v>
      </c>
      <c r="K12" s="524">
        <f>'Oil Input'!M16</f>
        <v>1.4359999999999999</v>
      </c>
      <c r="L12" s="524">
        <f>'Oil Input'!N16</f>
        <v>1.56</v>
      </c>
      <c r="M12" s="524">
        <f>'Oil Input'!O16</f>
        <v>0</v>
      </c>
      <c r="N12" s="524">
        <f>'Oil Input'!P16</f>
        <v>0</v>
      </c>
      <c r="O12" s="524">
        <f>'Oil Input'!Q16</f>
        <v>0</v>
      </c>
      <c r="P12" s="524">
        <f>'Oil Input'!R16</f>
        <v>0.44600000000000001</v>
      </c>
      <c r="Q12" s="524">
        <f>'Oil Input'!S16</f>
        <v>0</v>
      </c>
      <c r="R12" s="524">
        <f>'Oil Input'!T16</f>
        <v>0</v>
      </c>
      <c r="S12" s="524">
        <f>'Oil Input'!U16</f>
        <v>0</v>
      </c>
      <c r="T12" s="524">
        <f>'Oil Input'!V16</f>
        <v>28.908000000000001</v>
      </c>
      <c r="U12" s="524">
        <f>'Oil Input'!W16</f>
        <v>0</v>
      </c>
      <c r="V12" s="524">
        <f>'Oil Input'!X16</f>
        <v>0</v>
      </c>
      <c r="W12" s="524">
        <f>'Oil Input'!Y16</f>
        <v>0</v>
      </c>
      <c r="X12" s="524">
        <f>'Oil Input'!Z16</f>
        <v>0</v>
      </c>
      <c r="Y12" s="524">
        <f>'Oil Input'!AA16</f>
        <v>12.881</v>
      </c>
      <c r="Z12" s="524">
        <f>'Oil Input'!AB16</f>
        <v>0</v>
      </c>
      <c r="AA12" s="524">
        <f>'Oil Input'!AC16</f>
        <v>0</v>
      </c>
      <c r="AB12" s="524">
        <f>'Oil Input'!AD16</f>
        <v>0.33700000000000002</v>
      </c>
      <c r="AC12" s="524">
        <f>'Oil Input'!AE16</f>
        <v>0</v>
      </c>
      <c r="AD12" s="524">
        <f>'Oil Input'!AF16</f>
        <v>0</v>
      </c>
      <c r="AE12" s="524">
        <f>'Oil Input'!AG16</f>
        <v>9.9000000000000005E-2</v>
      </c>
      <c r="AF12" s="524">
        <f>'Oil Input'!AH16</f>
        <v>0</v>
      </c>
      <c r="AG12" s="524">
        <f>AG11*0.4</f>
        <v>2.180417901791468</v>
      </c>
      <c r="AH12" s="524">
        <f>'Oil Input'!AJ16</f>
        <v>0</v>
      </c>
      <c r="AI12" s="524">
        <f>'Oil Input'!AK16</f>
        <v>0</v>
      </c>
      <c r="AL12" s="513">
        <v>0</v>
      </c>
      <c r="AM12" s="726">
        <f t="shared" si="3"/>
        <v>0</v>
      </c>
    </row>
    <row r="13" spans="1:39" outlineLevel="2">
      <c r="A13" s="518"/>
      <c r="B13" s="518"/>
      <c r="C13" s="588" t="s">
        <v>1067</v>
      </c>
      <c r="D13" s="523"/>
      <c r="E13" s="703">
        <f t="shared" si="4"/>
        <v>111.42110447544786</v>
      </c>
      <c r="F13" s="524">
        <f>'Oil Input'!H18</f>
        <v>0.375</v>
      </c>
      <c r="G13" s="524">
        <f>'Oil Input'!I18</f>
        <v>1.1599999999999999</v>
      </c>
      <c r="H13" s="524">
        <f>'Oil Input'!J18</f>
        <v>0</v>
      </c>
      <c r="I13" s="524">
        <f>'Oil Input'!K18</f>
        <v>0</v>
      </c>
      <c r="J13" s="524">
        <f>'Oil Input'!L18</f>
        <v>3.9E-2</v>
      </c>
      <c r="K13" s="524">
        <f>'Oil Input'!M18</f>
        <v>0</v>
      </c>
      <c r="L13" s="524">
        <f>'Oil Input'!N18</f>
        <v>0.65</v>
      </c>
      <c r="M13" s="524">
        <f>'Oil Input'!O18</f>
        <v>0</v>
      </c>
      <c r="N13" s="524">
        <f>'Oil Input'!P18</f>
        <v>20.52</v>
      </c>
      <c r="O13" s="524">
        <f>'Oil Input'!Q18</f>
        <v>2.3839999999999999</v>
      </c>
      <c r="P13" s="524">
        <f>'Oil Input'!R18</f>
        <v>6.44</v>
      </c>
      <c r="Q13" s="524">
        <f>'Oil Input'!S18</f>
        <v>0</v>
      </c>
      <c r="R13" s="524">
        <f>'Oil Input'!T18</f>
        <v>0.20100000000000001</v>
      </c>
      <c r="S13" s="524">
        <f>'Oil Input'!U18</f>
        <v>0</v>
      </c>
      <c r="T13" s="524">
        <f>'Oil Input'!V18</f>
        <v>52</v>
      </c>
      <c r="U13" s="524">
        <f>'Oil Input'!W18</f>
        <v>0</v>
      </c>
      <c r="V13" s="524">
        <f>'Oil Input'!X18</f>
        <v>0</v>
      </c>
      <c r="W13" s="524">
        <f>'Oil Input'!Y18</f>
        <v>0</v>
      </c>
      <c r="X13" s="524">
        <f>'Oil Input'!Z18</f>
        <v>0</v>
      </c>
      <c r="Y13" s="524">
        <f>'Oil Input'!AA18</f>
        <v>0.246</v>
      </c>
      <c r="Z13" s="524">
        <f>'Oil Input'!AB18</f>
        <v>0.36</v>
      </c>
      <c r="AA13" s="524">
        <f>'Oil Input'!AC18</f>
        <v>10.53</v>
      </c>
      <c r="AB13" s="524">
        <f>'Oil Input'!AD18</f>
        <v>0.63</v>
      </c>
      <c r="AC13" s="524">
        <f>'Oil Input'!AE18</f>
        <v>3.16</v>
      </c>
      <c r="AD13" s="524">
        <f>'Oil Input'!AF18</f>
        <v>0.16</v>
      </c>
      <c r="AE13" s="524">
        <f>'Oil Input'!AG18</f>
        <v>3.7559999999999998</v>
      </c>
      <c r="AF13" s="524">
        <f>'Oil Input'!AH18</f>
        <v>8.2650000000000006</v>
      </c>
      <c r="AG13" s="524">
        <f>AG11*0.1</f>
        <v>0.545104475447867</v>
      </c>
      <c r="AH13" s="524">
        <f>'Oil Input'!AJ18</f>
        <v>0</v>
      </c>
      <c r="AI13" s="524">
        <f>'Oil Input'!AK18</f>
        <v>0</v>
      </c>
      <c r="AL13" s="513">
        <v>0</v>
      </c>
      <c r="AM13" s="726">
        <f t="shared" si="3"/>
        <v>0</v>
      </c>
    </row>
    <row r="14" spans="1:39" outlineLevel="2">
      <c r="A14" s="518"/>
      <c r="B14" s="518"/>
      <c r="C14" s="588" t="s">
        <v>1068</v>
      </c>
      <c r="D14" s="523"/>
      <c r="E14" s="703">
        <f t="shared" si="4"/>
        <v>0.438</v>
      </c>
      <c r="F14" s="524">
        <f>'Oil Input'!H9</f>
        <v>0</v>
      </c>
      <c r="G14" s="524">
        <f>'Oil Input'!I9</f>
        <v>0.04</v>
      </c>
      <c r="H14" s="524">
        <f>'Oil Input'!J9</f>
        <v>0.39800000000000002</v>
      </c>
      <c r="I14" s="524">
        <f>'Oil Input'!K9</f>
        <v>0</v>
      </c>
      <c r="J14" s="524">
        <f>'Oil Input'!L9</f>
        <v>0</v>
      </c>
      <c r="K14" s="524">
        <f>'Oil Input'!M9</f>
        <v>0</v>
      </c>
      <c r="L14" s="524">
        <f>'Oil Input'!N9</f>
        <v>0</v>
      </c>
      <c r="M14" s="524">
        <f>'Oil Input'!O9</f>
        <v>0</v>
      </c>
      <c r="N14" s="524">
        <f>'Oil Input'!P9</f>
        <v>0</v>
      </c>
      <c r="O14" s="524">
        <f>'Oil Input'!Q9</f>
        <v>0</v>
      </c>
      <c r="P14" s="524">
        <f>'Oil Input'!R9</f>
        <v>0</v>
      </c>
      <c r="Q14" s="524">
        <f>'Oil Input'!S9</f>
        <v>0</v>
      </c>
      <c r="R14" s="524">
        <f>'Oil Input'!T9</f>
        <v>0</v>
      </c>
      <c r="S14" s="524">
        <f>'Oil Input'!U9</f>
        <v>0</v>
      </c>
      <c r="T14" s="524">
        <f>'Oil Input'!V9</f>
        <v>0</v>
      </c>
      <c r="U14" s="524">
        <f>'Oil Input'!W9</f>
        <v>0</v>
      </c>
      <c r="V14" s="524">
        <f>'Oil Input'!X9</f>
        <v>0</v>
      </c>
      <c r="W14" s="524">
        <f>'Oil Input'!Y9</f>
        <v>0</v>
      </c>
      <c r="X14" s="524">
        <f>'Oil Input'!Z9</f>
        <v>0</v>
      </c>
      <c r="Y14" s="524">
        <f>'Oil Input'!AA9</f>
        <v>0</v>
      </c>
      <c r="Z14" s="524">
        <f>'Oil Input'!AB9</f>
        <v>0</v>
      </c>
      <c r="AA14" s="524">
        <f>'Oil Input'!AC9</f>
        <v>0</v>
      </c>
      <c r="AB14" s="524">
        <f>'Oil Input'!AD9</f>
        <v>0</v>
      </c>
      <c r="AC14" s="524">
        <f>'Oil Input'!AE9</f>
        <v>0</v>
      </c>
      <c r="AD14" s="524">
        <f>'Oil Input'!AF9</f>
        <v>0</v>
      </c>
      <c r="AE14" s="524">
        <f>'Oil Input'!AG9</f>
        <v>0</v>
      </c>
      <c r="AF14" s="524">
        <f>'Oil Input'!AH9</f>
        <v>0</v>
      </c>
      <c r="AG14" s="524">
        <f>'Oil Input'!AI9</f>
        <v>0</v>
      </c>
      <c r="AH14" s="524">
        <f>'Oil Input'!AJ9</f>
        <v>0</v>
      </c>
      <c r="AI14" s="524">
        <f>'Oil Input'!AK9</f>
        <v>0</v>
      </c>
      <c r="AL14" s="513">
        <v>0</v>
      </c>
      <c r="AM14" s="726">
        <f t="shared" si="3"/>
        <v>0</v>
      </c>
    </row>
    <row r="15" spans="1:39" outlineLevel="2">
      <c r="A15" s="518"/>
      <c r="B15" s="518"/>
      <c r="C15" s="588" t="s">
        <v>1069</v>
      </c>
      <c r="D15" s="523"/>
      <c r="E15" s="703">
        <f t="shared" si="4"/>
        <v>120.71652237723933</v>
      </c>
      <c r="F15" s="524">
        <f t="shared" ref="F15:AH15" si="5">IF(F11-F12-F13-F14&gt;0,F11-F12-F13-F14,0)</f>
        <v>0</v>
      </c>
      <c r="G15" s="524">
        <f t="shared" si="5"/>
        <v>2.3920000000000003</v>
      </c>
      <c r="H15" s="524">
        <f t="shared" si="5"/>
        <v>2.8769999999999998</v>
      </c>
      <c r="I15" s="524">
        <f t="shared" si="5"/>
        <v>0</v>
      </c>
      <c r="J15" s="524">
        <f t="shared" si="5"/>
        <v>0.97399999999999987</v>
      </c>
      <c r="K15" s="524">
        <f t="shared" si="5"/>
        <v>25.119</v>
      </c>
      <c r="L15" s="524">
        <f t="shared" si="5"/>
        <v>24.345000000000002</v>
      </c>
      <c r="M15" s="524">
        <f t="shared" si="5"/>
        <v>0</v>
      </c>
      <c r="N15" s="524">
        <f t="shared" si="5"/>
        <v>15.16</v>
      </c>
      <c r="O15" s="524">
        <f t="shared" si="5"/>
        <v>0</v>
      </c>
      <c r="P15" s="524">
        <f t="shared" si="5"/>
        <v>6.9270000000000005</v>
      </c>
      <c r="Q15" s="524">
        <f t="shared" si="5"/>
        <v>0.24</v>
      </c>
      <c r="R15" s="524">
        <f t="shared" si="5"/>
        <v>0</v>
      </c>
      <c r="S15" s="524">
        <f t="shared" si="5"/>
        <v>0</v>
      </c>
      <c r="T15" s="524">
        <f t="shared" si="5"/>
        <v>32.167000000000002</v>
      </c>
      <c r="U15" s="524">
        <f t="shared" si="5"/>
        <v>0</v>
      </c>
      <c r="V15" s="524">
        <f t="shared" si="5"/>
        <v>0</v>
      </c>
      <c r="W15" s="524">
        <f t="shared" si="5"/>
        <v>0</v>
      </c>
      <c r="X15" s="524">
        <f t="shared" si="5"/>
        <v>0</v>
      </c>
      <c r="Y15" s="524">
        <f t="shared" si="5"/>
        <v>5.1639999999999997</v>
      </c>
      <c r="Z15" s="524">
        <f t="shared" si="5"/>
        <v>0.72000000000000008</v>
      </c>
      <c r="AA15" s="524">
        <f t="shared" si="5"/>
        <v>0</v>
      </c>
      <c r="AB15" s="524">
        <f t="shared" si="5"/>
        <v>0.85</v>
      </c>
      <c r="AC15" s="524">
        <f t="shared" si="5"/>
        <v>0</v>
      </c>
      <c r="AD15" s="524">
        <f t="shared" si="5"/>
        <v>0</v>
      </c>
      <c r="AE15" s="524">
        <f t="shared" si="5"/>
        <v>0</v>
      </c>
      <c r="AF15" s="524">
        <f t="shared" si="5"/>
        <v>1.0559999999999992</v>
      </c>
      <c r="AG15" s="524">
        <f t="shared" si="5"/>
        <v>2.7255223772393342</v>
      </c>
      <c r="AH15" s="524">
        <f t="shared" si="5"/>
        <v>0</v>
      </c>
      <c r="AI15" s="524">
        <f>IF(AI11-AI12-AI13-AI14&gt;0,AI11-AI12-AI13-AI14,0)</f>
        <v>0</v>
      </c>
      <c r="AL15" s="513">
        <v>0.83699999999999997</v>
      </c>
      <c r="AM15" s="726">
        <f t="shared" si="3"/>
        <v>0.13484340765562572</v>
      </c>
    </row>
    <row r="16" spans="1:39" s="566" customFormat="1" ht="16.5" customHeight="1" outlineLevel="2">
      <c r="A16" s="559"/>
      <c r="B16" s="559"/>
      <c r="C16" s="558" t="s">
        <v>308</v>
      </c>
      <c r="D16" s="700">
        <f t="shared" si="2"/>
        <v>0.57310204092450678</v>
      </c>
      <c r="E16" s="560">
        <f t="shared" si="4"/>
        <v>982.75194116509874</v>
      </c>
      <c r="F16" s="560">
        <f>'Gas Input'!B311/1000</f>
        <v>11.539</v>
      </c>
      <c r="G16" s="560">
        <f>'Gas Input'!B55/1000</f>
        <v>6.0060000000000002</v>
      </c>
      <c r="H16" s="560">
        <f>'Gas Input'!B55/1000</f>
        <v>6.0060000000000002</v>
      </c>
      <c r="I16" s="560"/>
      <c r="J16" s="560">
        <f>'Gas Input'!B71/1000</f>
        <v>25.053000000000001</v>
      </c>
      <c r="K16" s="560">
        <f>'Gas Input'!B103/1000</f>
        <v>234.90899999999999</v>
      </c>
      <c r="L16" s="560">
        <f>'Gas Input'!B87/1000</f>
        <v>11.601000000000001</v>
      </c>
      <c r="M16" s="560">
        <f>'Gas Input'!B119/1000</f>
        <v>0.5</v>
      </c>
      <c r="N16" s="560">
        <f>'Gas Input'!B167/1000</f>
        <v>121.09399999999999</v>
      </c>
      <c r="O16" s="560">
        <f>'Gas Input'!B407/1000</f>
        <v>12.497999999999999</v>
      </c>
      <c r="P16" s="560">
        <f>'Gas Input'!B183/1000</f>
        <v>116.645</v>
      </c>
      <c r="Q16" s="560">
        <f>'Gas Input'!B151/1000</f>
        <v>0.73899999999999999</v>
      </c>
      <c r="R16" s="560">
        <f>'Gas Input'!B279/1000</f>
        <v>2.75</v>
      </c>
      <c r="S16" s="560">
        <f>'Gas Input'!B135/1000</f>
        <v>3.5670000000000002</v>
      </c>
      <c r="T16" s="560">
        <f>'Gas Input'!B199/1000</f>
        <v>142.108</v>
      </c>
      <c r="U16" s="560">
        <f>'Gas Input'!B247/1000</f>
        <v>1.1719999999999999</v>
      </c>
      <c r="V16" s="560">
        <f>'Gas Input'!B263/1000</f>
        <v>5.1890000000000001</v>
      </c>
      <c r="W16" s="560">
        <f>'Gas Input'!B231/1000</f>
        <v>0.77100000000000002</v>
      </c>
      <c r="X16" s="560">
        <v>0</v>
      </c>
      <c r="Y16" s="560">
        <f>'Gas Input'!B295/1000</f>
        <v>57.121000000000002</v>
      </c>
      <c r="Z16" s="560">
        <f>'Gas Input'!B327/1000</f>
        <v>14.586</v>
      </c>
      <c r="AA16" s="560">
        <f>'Gas Input'!B343/1000</f>
        <v>17.731000000000002</v>
      </c>
      <c r="AB16" s="560">
        <f>'Gas Input'!B359/1000</f>
        <v>4.9320000000000004</v>
      </c>
      <c r="AC16" s="560">
        <f>'Gas Input'!B423/1000</f>
        <v>0.42</v>
      </c>
      <c r="AD16" s="560">
        <f>'Gas Input'!B375/1000</f>
        <v>0.85099999999999998</v>
      </c>
      <c r="AE16" s="560">
        <f>'Gas Input'!B391/1000</f>
        <v>4.6710000000000003</v>
      </c>
      <c r="AF16" s="560">
        <f>'Gas Input'!B439/1000</f>
        <v>156.02699999999999</v>
      </c>
      <c r="AG16" s="560">
        <f>AG8*AM16</f>
        <v>24.265941165098592</v>
      </c>
      <c r="AH16" s="560">
        <f>'Gas Input'!B455/1000</f>
        <v>0</v>
      </c>
      <c r="AI16" s="560">
        <f>'Gas Input'!B471/1000</f>
        <v>0</v>
      </c>
      <c r="AL16" s="566">
        <v>3.726</v>
      </c>
      <c r="AM16" s="726">
        <f t="shared" si="3"/>
        <v>0.60027065343472097</v>
      </c>
    </row>
    <row r="17" spans="1:39" ht="16.5" customHeight="1" outlineLevel="2">
      <c r="A17" s="518"/>
      <c r="B17" s="518"/>
      <c r="C17" s="588" t="s">
        <v>994</v>
      </c>
      <c r="D17" s="523"/>
      <c r="E17" s="703">
        <f t="shared" si="4"/>
        <v>50.445782349529573</v>
      </c>
      <c r="F17" s="524">
        <f>'Gas Input'!H21</f>
        <v>0</v>
      </c>
      <c r="G17" s="524">
        <f>'Gas Input'!I21</f>
        <v>2.9289999999999998</v>
      </c>
      <c r="H17" s="524">
        <f>'Gas Input'!J21</f>
        <v>2.9289999999999998</v>
      </c>
      <c r="I17" s="524">
        <f>'Gas Input'!K21</f>
        <v>0</v>
      </c>
      <c r="J17" s="524">
        <f>'Gas Input'!L21</f>
        <v>17.565000000000001</v>
      </c>
      <c r="K17" s="524">
        <f>'Gas Input'!M21</f>
        <v>7.3129999999999997</v>
      </c>
      <c r="L17" s="524">
        <f>'Gas Input'!N21</f>
        <v>0</v>
      </c>
      <c r="M17" s="524">
        <f>'Gas Input'!O21</f>
        <v>0.158</v>
      </c>
      <c r="N17" s="524">
        <f>'Gas Input'!P21</f>
        <v>1.1259999999999999</v>
      </c>
      <c r="O17" s="524">
        <f>'Gas Input'!Q21</f>
        <v>4.0000000000000001E-3</v>
      </c>
      <c r="P17" s="524">
        <f>'Gas Input'!R21</f>
        <v>3.3239999999999998</v>
      </c>
      <c r="Q17" s="524">
        <f>'Gas Input'!S21</f>
        <v>0</v>
      </c>
      <c r="R17" s="524">
        <f>'Gas Input'!T21</f>
        <v>0</v>
      </c>
      <c r="S17" s="524">
        <f>'Gas Input'!U21</f>
        <v>0</v>
      </c>
      <c r="T17" s="524">
        <f>'Gas Input'!V21</f>
        <v>0.106</v>
      </c>
      <c r="U17" s="524">
        <f>'Gas Input'!W21</f>
        <v>0</v>
      </c>
      <c r="V17" s="524">
        <f>'Gas Input'!X21</f>
        <v>0</v>
      </c>
      <c r="W17" s="524">
        <f>'Gas Input'!Y21</f>
        <v>0</v>
      </c>
      <c r="X17" s="524">
        <f>'Gas Input'!Z21</f>
        <v>0.46700000000000003</v>
      </c>
      <c r="Y17" s="524">
        <f>'Gas Input'!AA21</f>
        <v>0.98699999999999999</v>
      </c>
      <c r="Z17" s="524">
        <f>'Gas Input'!AB21</f>
        <v>0</v>
      </c>
      <c r="AA17" s="524">
        <f>'Gas Input'!AC21</f>
        <v>1.101</v>
      </c>
      <c r="AB17" s="524">
        <f>'Gas Input'!AD21</f>
        <v>0</v>
      </c>
      <c r="AC17" s="524">
        <f>'Gas Input'!AE21</f>
        <v>2.0920000000000001</v>
      </c>
      <c r="AD17" s="524">
        <f>'Gas Input'!AF21</f>
        <v>2.665</v>
      </c>
      <c r="AE17" s="524">
        <f>'Gas Input'!AG21</f>
        <v>0.4</v>
      </c>
      <c r="AF17" s="524">
        <f>'Gas Input'!AH21</f>
        <v>0</v>
      </c>
      <c r="AG17" s="524">
        <f>AG16*0.3</f>
        <v>7.2797823495295777</v>
      </c>
      <c r="AH17" s="524">
        <f>'Gas Input'!AJ21</f>
        <v>0</v>
      </c>
      <c r="AI17" s="524">
        <f>'Gas Input'!AK21</f>
        <v>0</v>
      </c>
      <c r="AL17" s="513">
        <v>0</v>
      </c>
      <c r="AM17" s="726">
        <f t="shared" si="3"/>
        <v>0</v>
      </c>
    </row>
    <row r="18" spans="1:39" ht="16.5" customHeight="1" outlineLevel="2">
      <c r="A18" s="518"/>
      <c r="B18" s="518"/>
      <c r="C18" s="588" t="s">
        <v>1074</v>
      </c>
      <c r="D18" s="523"/>
      <c r="E18" s="703">
        <f t="shared" si="4"/>
        <v>104.30429705825492</v>
      </c>
      <c r="F18" s="524">
        <f>'Gas Input'!H18</f>
        <v>11.292</v>
      </c>
      <c r="G18" s="524">
        <f>'Gas Input'!I18</f>
        <v>0</v>
      </c>
      <c r="H18" s="524">
        <f>'Gas Input'!J18</f>
        <v>0</v>
      </c>
      <c r="I18" s="524">
        <f>'Gas Input'!K18</f>
        <v>0</v>
      </c>
      <c r="J18" s="524">
        <f>'Gas Input'!L18</f>
        <v>0</v>
      </c>
      <c r="K18" s="524">
        <f>'Gas Input'!M18</f>
        <v>36.034999999999997</v>
      </c>
      <c r="L18" s="524">
        <f>'Gas Input'!N18</f>
        <v>0</v>
      </c>
      <c r="M18" s="524">
        <f>'Gas Input'!O18</f>
        <v>0</v>
      </c>
      <c r="N18" s="524">
        <f>'Gas Input'!P18</f>
        <v>0</v>
      </c>
      <c r="O18" s="524">
        <f>'Gas Input'!Q18</f>
        <v>7.28</v>
      </c>
      <c r="P18" s="524">
        <f>'Gas Input'!R18</f>
        <v>9.952</v>
      </c>
      <c r="Q18" s="524">
        <f>'Gas Input'!S18</f>
        <v>0</v>
      </c>
      <c r="R18" s="524">
        <f>'Gas Input'!T18</f>
        <v>0</v>
      </c>
      <c r="S18" s="524">
        <f>'Gas Input'!U18</f>
        <v>0</v>
      </c>
      <c r="T18" s="524">
        <f>'Gas Input'!V18</f>
        <v>3.6339999999999999</v>
      </c>
      <c r="U18" s="524">
        <f>'Gas Input'!W18</f>
        <v>0</v>
      </c>
      <c r="V18" s="524">
        <f>'Gas Input'!X18</f>
        <v>0</v>
      </c>
      <c r="W18" s="524">
        <f>'Gas Input'!Y18</f>
        <v>0</v>
      </c>
      <c r="X18" s="524">
        <f>'Gas Input'!Z18</f>
        <v>0</v>
      </c>
      <c r="Y18" s="524">
        <f>'Gas Input'!AA18</f>
        <v>0</v>
      </c>
      <c r="Z18" s="524">
        <f>'Gas Input'!AB18</f>
        <v>0</v>
      </c>
      <c r="AA18" s="524">
        <f>'Gas Input'!AC18</f>
        <v>0</v>
      </c>
      <c r="AB18" s="524">
        <f>'Gas Input'!AD18</f>
        <v>0</v>
      </c>
      <c r="AC18" s="524">
        <f>'Gas Input'!AE18</f>
        <v>2.88</v>
      </c>
      <c r="AD18" s="524">
        <f>'Gas Input'!AF18</f>
        <v>0</v>
      </c>
      <c r="AE18" s="524">
        <f>'Gas Input'!AG18</f>
        <v>0</v>
      </c>
      <c r="AF18" s="524">
        <f>'Gas Input'!AH18</f>
        <v>32.018000000000001</v>
      </c>
      <c r="AG18" s="524">
        <f>AG16*0.05</f>
        <v>1.2132970582549296</v>
      </c>
      <c r="AH18" s="524">
        <f>'Gas Input'!AJ18</f>
        <v>0</v>
      </c>
      <c r="AI18" s="524">
        <f>'Gas Input'!AK18</f>
        <v>0</v>
      </c>
      <c r="AL18" s="513">
        <v>0</v>
      </c>
      <c r="AM18" s="726">
        <f t="shared" si="3"/>
        <v>0</v>
      </c>
    </row>
    <row r="19" spans="1:39" ht="16.5" customHeight="1" outlineLevel="2">
      <c r="A19" s="518"/>
      <c r="B19" s="518"/>
      <c r="C19" s="588" t="s">
        <v>1075</v>
      </c>
      <c r="D19" s="523"/>
      <c r="E19" s="703">
        <f t="shared" si="4"/>
        <v>27.883861757314087</v>
      </c>
      <c r="F19" s="524">
        <f>'Gas Input'!H19</f>
        <v>0.185</v>
      </c>
      <c r="G19" s="524">
        <f>'Gas Input'!I19</f>
        <v>0.64500000000000002</v>
      </c>
      <c r="H19" s="524">
        <f>'Gas Input'!J19</f>
        <v>0.64500000000000002</v>
      </c>
      <c r="I19" s="524">
        <f>'Gas Input'!K19</f>
        <v>0</v>
      </c>
      <c r="J19" s="524">
        <f>'Gas Input'!L19</f>
        <v>1.3320000000000001</v>
      </c>
      <c r="K19" s="524">
        <f>'Gas Input'!M19</f>
        <v>0.66500000000000004</v>
      </c>
      <c r="L19" s="524">
        <f>'Gas Input'!N19</f>
        <v>0</v>
      </c>
      <c r="M19" s="524">
        <f>'Gas Input'!O19</f>
        <v>0</v>
      </c>
      <c r="N19" s="524">
        <f>'Gas Input'!P19</f>
        <v>1.1259999999999999</v>
      </c>
      <c r="O19" s="524">
        <f>'Gas Input'!Q19</f>
        <v>2.7E-2</v>
      </c>
      <c r="P19" s="524">
        <f>'Gas Input'!R19</f>
        <v>0.23899999999999999</v>
      </c>
      <c r="Q19" s="524">
        <f>'Gas Input'!S19</f>
        <v>0</v>
      </c>
      <c r="R19" s="524">
        <f>'Gas Input'!T19</f>
        <v>0</v>
      </c>
      <c r="S19" s="524">
        <f>'Gas Input'!U19</f>
        <v>0</v>
      </c>
      <c r="T19" s="524">
        <f>'Gas Input'!V19</f>
        <v>8.0000000000000002E-3</v>
      </c>
      <c r="U19" s="524">
        <f>'Gas Input'!W19</f>
        <v>0</v>
      </c>
      <c r="V19" s="524">
        <f>'Gas Input'!X19</f>
        <v>0</v>
      </c>
      <c r="W19" s="524">
        <f>'Gas Input'!Y19</f>
        <v>0</v>
      </c>
      <c r="X19" s="524">
        <f>'Gas Input'!Z19</f>
        <v>0</v>
      </c>
      <c r="Y19" s="524">
        <f>'Gas Input'!AA19</f>
        <v>0.13200000000000001</v>
      </c>
      <c r="Z19" s="524">
        <f>'Gas Input'!AB19</f>
        <v>5.5730000000000004</v>
      </c>
      <c r="AA19" s="524">
        <f>'Gas Input'!AC19</f>
        <v>0</v>
      </c>
      <c r="AB19" s="524">
        <f>'Gas Input'!AD19</f>
        <v>0</v>
      </c>
      <c r="AC19" s="524">
        <f>'Gas Input'!AE19</f>
        <v>4.0000000000000001E-3</v>
      </c>
      <c r="AD19" s="524">
        <f>'Gas Input'!AF19</f>
        <v>0</v>
      </c>
      <c r="AE19" s="524">
        <f>'Gas Input'!AG19</f>
        <v>0.93799999999999994</v>
      </c>
      <c r="AF19" s="524">
        <f>'Gas Input'!AH19</f>
        <v>0.59199999999999997</v>
      </c>
      <c r="AG19" s="524">
        <f>AG16*0.65</f>
        <v>15.772861757314086</v>
      </c>
      <c r="AH19" s="524">
        <f>'Gas Input'!AJ19</f>
        <v>0</v>
      </c>
      <c r="AI19" s="524">
        <f>'Gas Input'!AK19</f>
        <v>0</v>
      </c>
      <c r="AL19" s="513">
        <v>0</v>
      </c>
      <c r="AM19" s="726">
        <f t="shared" si="3"/>
        <v>0</v>
      </c>
    </row>
    <row r="20" spans="1:39" ht="16.5" customHeight="1" outlineLevel="2">
      <c r="A20" s="518"/>
      <c r="B20" s="518"/>
      <c r="C20" s="522" t="s">
        <v>559</v>
      </c>
      <c r="D20" s="523">
        <f t="shared" si="2"/>
        <v>6.4474216728073455E-3</v>
      </c>
      <c r="E20" s="560">
        <f t="shared" si="4"/>
        <v>11.055999999999999</v>
      </c>
      <c r="F20" s="524">
        <f>'Biofuels Input'!U15/1000</f>
        <v>0.107</v>
      </c>
      <c r="G20" s="524">
        <f>'Biofuels Input'!C15/1000</f>
        <v>3.0000000000000001E-3</v>
      </c>
      <c r="H20" s="524">
        <f>'Biofuels Input'!D15/1000</f>
        <v>0</v>
      </c>
      <c r="I20" s="524">
        <v>0</v>
      </c>
      <c r="J20" s="524">
        <v>0</v>
      </c>
      <c r="K20" s="524">
        <f>'Biofuels Input'!G15/1000</f>
        <v>10.942</v>
      </c>
      <c r="L20" s="524">
        <v>0</v>
      </c>
      <c r="M20" s="524">
        <v>0</v>
      </c>
      <c r="N20" s="524">
        <v>0</v>
      </c>
      <c r="O20" s="524">
        <v>0</v>
      </c>
      <c r="P20" s="524">
        <v>0</v>
      </c>
      <c r="Q20" s="524">
        <v>0</v>
      </c>
      <c r="R20" s="524">
        <v>0</v>
      </c>
      <c r="S20" s="524">
        <v>0</v>
      </c>
      <c r="T20" s="524">
        <v>0</v>
      </c>
      <c r="U20" s="524">
        <v>0</v>
      </c>
      <c r="V20" s="524">
        <v>0</v>
      </c>
      <c r="W20" s="524">
        <v>0</v>
      </c>
      <c r="X20" s="524">
        <v>0</v>
      </c>
      <c r="Y20" s="524">
        <v>0</v>
      </c>
      <c r="Z20" s="524">
        <v>0</v>
      </c>
      <c r="AA20" s="524">
        <v>0</v>
      </c>
      <c r="AB20" s="524">
        <v>0</v>
      </c>
      <c r="AC20" s="524">
        <f>'Biofuels Input'!AB15/1000</f>
        <v>4.0000000000000001E-3</v>
      </c>
      <c r="AD20" s="524">
        <v>0</v>
      </c>
      <c r="AE20" s="524">
        <v>0</v>
      </c>
      <c r="AF20" s="524">
        <v>0</v>
      </c>
      <c r="AG20" s="524">
        <f>AM20*$AG$8</f>
        <v>0</v>
      </c>
      <c r="AH20" s="524">
        <f>'Biofuels Input'!AD15/1000</f>
        <v>0</v>
      </c>
      <c r="AI20" s="524">
        <f>'Biofuels Input'!AE15/1000</f>
        <v>0</v>
      </c>
      <c r="AL20" s="513">
        <v>0</v>
      </c>
      <c r="AM20" s="726">
        <f t="shared" si="3"/>
        <v>0</v>
      </c>
    </row>
    <row r="21" spans="1:39" ht="16.5" customHeight="1" outlineLevel="2">
      <c r="A21" s="518"/>
      <c r="B21" s="518"/>
      <c r="C21" s="522" t="s">
        <v>566</v>
      </c>
      <c r="D21" s="523">
        <f t="shared" si="2"/>
        <v>4.2456189747537253E-2</v>
      </c>
      <c r="E21" s="560">
        <f t="shared" si="4"/>
        <v>72.803619441938395</v>
      </c>
      <c r="F21" s="524">
        <f>'Ren &amp; Waste'!U97/1000</f>
        <v>0.375</v>
      </c>
      <c r="G21" s="524">
        <f>'Ren &amp; Waste'!C97/1000</f>
        <v>0.374</v>
      </c>
      <c r="H21" s="524">
        <f>'Ren &amp; Waste'!D97/1000</f>
        <v>0</v>
      </c>
      <c r="I21" s="524"/>
      <c r="J21" s="524">
        <f>'Ren &amp; Waste'!E97/1000</f>
        <v>1.2789999999999999</v>
      </c>
      <c r="K21" s="524">
        <f>'Ren &amp; Waste'!G97/1000</f>
        <v>13.647</v>
      </c>
      <c r="L21" s="524">
        <f>'Ren &amp; Waste'!F97/1000</f>
        <v>12.430999999999999</v>
      </c>
      <c r="M21" s="524">
        <f>'Ren &amp; Waste'!H97/1000</f>
        <v>0</v>
      </c>
      <c r="N21" s="524">
        <f>'Ren &amp; Waste'!K97/1000</f>
        <v>0.374</v>
      </c>
      <c r="O21" s="524">
        <f>'Ren &amp; Waste'!AA97/1000</f>
        <v>0.39100000000000001</v>
      </c>
      <c r="P21" s="524">
        <f>'Ren &amp; Waste'!L97/1000</f>
        <v>13.590999999999999</v>
      </c>
      <c r="Q21" s="524">
        <f>'Ren &amp; Waste'!J97/1000</f>
        <v>0.16600000000000001</v>
      </c>
      <c r="R21" s="524">
        <f>'Ren &amp; Waste'!R97/1000</f>
        <v>0.122</v>
      </c>
      <c r="S21" s="524">
        <f>'Ren &amp; Waste'!I97/1000</f>
        <v>0.10100000000000001</v>
      </c>
      <c r="T21" s="524">
        <f>'Ren &amp; Waste'!M97/1000</f>
        <v>0.91500000000000004</v>
      </c>
      <c r="U21" s="524">
        <f>'Ren &amp; Waste'!P97/1000</f>
        <v>0.01</v>
      </c>
      <c r="V21" s="524">
        <f>'Ren &amp; Waste'!Q97/1000</f>
        <v>0.113</v>
      </c>
      <c r="W21" s="524">
        <f>'Ren &amp; Waste'!O97/1000</f>
        <v>0.151</v>
      </c>
      <c r="X21" s="524">
        <v>0</v>
      </c>
      <c r="Y21" s="525">
        <f>'Ren &amp; Waste'!T97/1000</f>
        <v>9.6920000000000002</v>
      </c>
      <c r="Z21" s="524">
        <f>'Ren &amp; Waste'!V97/1000</f>
        <v>1.798</v>
      </c>
      <c r="AA21" s="524">
        <f>'Ren &amp; Waste'!W97/1000</f>
        <v>8.8999999999999996E-2</v>
      </c>
      <c r="AB21" s="524">
        <f>'Ren &amp; Waste'!X97/1000</f>
        <v>0</v>
      </c>
      <c r="AC21" s="524">
        <f>'Ren &amp; Waste'!AB97/1000</f>
        <v>4.0000000000000001E-3</v>
      </c>
      <c r="AD21" s="524">
        <f>'Ren &amp; Waste'!Y97/1000</f>
        <v>0.122</v>
      </c>
      <c r="AE21" s="524">
        <f>'Ren &amp; Waste'!Z97/1000</f>
        <v>0.69199999999999995</v>
      </c>
      <c r="AF21" s="524">
        <f>'Ren &amp; Waste'!AC97/1000</f>
        <v>5.9660000000000002</v>
      </c>
      <c r="AG21" s="524">
        <f t="shared" ref="AG21:AG22" si="6">AM21*$AG$8</f>
        <v>10.400619441938394</v>
      </c>
      <c r="AH21" s="524">
        <f>'Ren &amp; Waste'!AD97/1000</f>
        <v>0</v>
      </c>
      <c r="AI21" s="524">
        <f>'Ren &amp; Waste'!AE97/1000</f>
        <v>0</v>
      </c>
      <c r="AL21" s="513">
        <v>1.597</v>
      </c>
      <c r="AM21" s="726">
        <f t="shared" si="3"/>
        <v>0.2572818662198737</v>
      </c>
    </row>
    <row r="22" spans="1:39" ht="16.5" customHeight="1" outlineLevel="2">
      <c r="A22" s="518"/>
      <c r="B22" s="518"/>
      <c r="C22" s="522" t="s">
        <v>567</v>
      </c>
      <c r="D22" s="523">
        <f t="shared" si="2"/>
        <v>9.3891974568656236E-2</v>
      </c>
      <c r="E22" s="560">
        <f t="shared" si="4"/>
        <v>161.00539463848432</v>
      </c>
      <c r="F22" s="524">
        <f>'Ren &amp; Waste'!U92/1000</f>
        <v>8.9540000000000006</v>
      </c>
      <c r="G22" s="524">
        <f>'Ren &amp; Waste'!C92/1000</f>
        <v>1.7010000000000001</v>
      </c>
      <c r="H22" s="524">
        <f>'Ren &amp; Waste'!D92/1000</f>
        <v>0</v>
      </c>
      <c r="I22" s="524"/>
      <c r="J22" s="524">
        <f>'Ren &amp; Waste'!E92/1000</f>
        <v>3.411</v>
      </c>
      <c r="K22" s="524">
        <f>'Ren &amp; Waste'!G92/1000</f>
        <v>25.167000000000002</v>
      </c>
      <c r="L22" s="524">
        <f>'Ren &amp; Waste'!F92/1000</f>
        <v>0.16200000000000001</v>
      </c>
      <c r="M22" s="525">
        <f>'Ren &amp; Waste'!I92/1000</f>
        <v>0.10199999999999999</v>
      </c>
      <c r="N22" s="525">
        <f>'Ren &amp; Waste'!K92/1000</f>
        <v>12.744</v>
      </c>
      <c r="O22" s="524">
        <f>'Ren &amp; Waste'!AA92/1000</f>
        <v>34.744999999999997</v>
      </c>
      <c r="P22" s="524">
        <f>'Ren &amp; Waste'!L92/1000</f>
        <v>5.9880000000000004</v>
      </c>
      <c r="Q22" s="524">
        <f>'Ren &amp; Waste'!J92/1000</f>
        <v>0</v>
      </c>
      <c r="R22" s="525">
        <f>'Ren &amp; Waste'!R92/1000</f>
        <v>5.3999999999999999E-2</v>
      </c>
      <c r="S22" s="525">
        <f>'Ren &amp; Waste'!I92/1000</f>
        <v>0.10199999999999999</v>
      </c>
      <c r="T22" s="524">
        <f>'Ren &amp; Waste'!M92/1000</f>
        <v>0.77800000000000002</v>
      </c>
      <c r="U22" s="525">
        <f>'Ren &amp; Waste'!P92/1000</f>
        <v>0.191</v>
      </c>
      <c r="V22" s="525">
        <f>'Ren &amp; Waste'!Q92/1000</f>
        <v>0</v>
      </c>
      <c r="W22" s="525">
        <f>'Ren &amp; Waste'!O92/1000</f>
        <v>8.0000000000000002E-3</v>
      </c>
      <c r="X22" s="524">
        <v>0</v>
      </c>
      <c r="Y22" s="525">
        <f>'Ren &amp; Waste'!T92/1000</f>
        <v>0</v>
      </c>
      <c r="Z22" s="524">
        <f>'Ren &amp; Waste'!V92/1000</f>
        <v>6.194</v>
      </c>
      <c r="AA22" s="526">
        <f>'Ren &amp; Waste'!W92/1000</f>
        <v>7.5819999999999999</v>
      </c>
      <c r="AB22" s="524">
        <f>'Ren &amp; Waste'!X92/1000</f>
        <v>3.4000000000000002E-2</v>
      </c>
      <c r="AC22" s="525">
        <f>'Ren &amp; Waste'!AB92/1000</f>
        <v>51.719000000000001</v>
      </c>
      <c r="AD22" s="525">
        <f>'Ren &amp; Waste'!Y92/1000</f>
        <v>0.83799999999999997</v>
      </c>
      <c r="AE22" s="524">
        <f>'Ren &amp; Waste'!Z92/1000</f>
        <v>0.224</v>
      </c>
      <c r="AF22" s="524">
        <f>'Ren &amp; Waste'!AC92/1000</f>
        <v>0</v>
      </c>
      <c r="AG22" s="524">
        <f t="shared" si="6"/>
        <v>0.30739463848434073</v>
      </c>
      <c r="AH22" s="524">
        <f>'Ren &amp; Waste'!AD92/1000</f>
        <v>0</v>
      </c>
      <c r="AI22" s="524">
        <f>'Ren &amp; Waste'!AE92/1000</f>
        <v>0</v>
      </c>
      <c r="AL22" s="513">
        <v>4.7199999999999999E-2</v>
      </c>
      <c r="AM22" s="726">
        <f t="shared" si="3"/>
        <v>7.6040726897796101E-3</v>
      </c>
    </row>
    <row r="23" spans="1:39" ht="16.5" customHeight="1" outlineLevel="2">
      <c r="A23" s="518"/>
      <c r="B23" s="518"/>
      <c r="C23" s="558" t="s">
        <v>568</v>
      </c>
      <c r="D23" s="518"/>
      <c r="E23" s="560">
        <f t="shared" si="4"/>
        <v>1695.175</v>
      </c>
      <c r="F23" s="560">
        <f t="shared" ref="F23:AI23" si="7">SUM(F9,F11,F16,F20,F21,F22)</f>
        <v>22.605</v>
      </c>
      <c r="G23" s="560">
        <f t="shared" si="7"/>
        <v>13.493</v>
      </c>
      <c r="H23" s="560">
        <f t="shared" si="7"/>
        <v>14.648</v>
      </c>
      <c r="I23" s="560">
        <f t="shared" si="7"/>
        <v>0</v>
      </c>
      <c r="J23" s="560">
        <f t="shared" si="7"/>
        <v>69.774000000000001</v>
      </c>
      <c r="K23" s="560">
        <f t="shared" si="7"/>
        <v>328.625</v>
      </c>
      <c r="L23" s="560">
        <f t="shared" si="7"/>
        <v>50.881999999999998</v>
      </c>
      <c r="M23" s="560">
        <f t="shared" si="7"/>
        <v>0.81299999999999994</v>
      </c>
      <c r="N23" s="560">
        <f t="shared" si="7"/>
        <v>171.82899999999998</v>
      </c>
      <c r="O23" s="560">
        <f t="shared" si="7"/>
        <v>53.145999999999994</v>
      </c>
      <c r="P23" s="560">
        <f t="shared" si="7"/>
        <v>168.393</v>
      </c>
      <c r="Q23" s="560">
        <f t="shared" si="7"/>
        <v>1.145</v>
      </c>
      <c r="R23" s="560">
        <f>SUM(R9,R11,R16,R20,R21,R22)</f>
        <v>3.1259999999999999</v>
      </c>
      <c r="S23" s="560">
        <f t="shared" si="7"/>
        <v>4.5460000000000003</v>
      </c>
      <c r="T23" s="560">
        <f t="shared" si="7"/>
        <v>259.64100000000002</v>
      </c>
      <c r="U23" s="560">
        <f t="shared" si="7"/>
        <v>1.373</v>
      </c>
      <c r="V23" s="560">
        <f t="shared" si="7"/>
        <v>5.3020000000000005</v>
      </c>
      <c r="W23" s="560">
        <f t="shared" si="7"/>
        <v>0.93</v>
      </c>
      <c r="X23" s="560">
        <f t="shared" si="7"/>
        <v>0</v>
      </c>
      <c r="Y23" s="560">
        <f t="shared" si="7"/>
        <v>85.104000000000013</v>
      </c>
      <c r="Z23" s="560">
        <f t="shared" si="7"/>
        <v>88.951999999999998</v>
      </c>
      <c r="AA23" s="560">
        <f t="shared" si="7"/>
        <v>35.924999999999997</v>
      </c>
      <c r="AB23" s="560">
        <f t="shared" si="7"/>
        <v>24.85</v>
      </c>
      <c r="AC23" s="560">
        <f t="shared" si="7"/>
        <v>55.468000000000004</v>
      </c>
      <c r="AD23" s="560">
        <f t="shared" si="7"/>
        <v>2.2970000000000002</v>
      </c>
      <c r="AE23" s="560">
        <f t="shared" si="7"/>
        <v>15.138000000000002</v>
      </c>
      <c r="AF23" s="560">
        <f t="shared" si="7"/>
        <v>176.745</v>
      </c>
      <c r="AG23" s="560">
        <f t="shared" si="7"/>
        <v>40.424999999999997</v>
      </c>
      <c r="AH23" s="560">
        <f t="shared" si="7"/>
        <v>0</v>
      </c>
      <c r="AI23" s="560">
        <f t="shared" si="7"/>
        <v>0</v>
      </c>
      <c r="AL23" s="513">
        <v>6.2072000000000003</v>
      </c>
    </row>
    <row r="24" spans="1:39" ht="16.5" customHeight="1" outlineLevel="2">
      <c r="A24" s="518"/>
      <c r="B24" s="518"/>
      <c r="C24" s="522" t="s">
        <v>463</v>
      </c>
      <c r="D24" s="518"/>
      <c r="E24" s="527">
        <f t="shared" si="4"/>
        <v>19.618999999999961</v>
      </c>
      <c r="F24" s="527">
        <f>F8-F23</f>
        <v>0.87099999999999866</v>
      </c>
      <c r="G24" s="527">
        <f t="shared" ref="G24:AI24" si="8">G8-G23</f>
        <v>1.2379999999999995</v>
      </c>
      <c r="H24" s="527">
        <f t="shared" si="8"/>
        <v>7.5000000000001066E-2</v>
      </c>
      <c r="I24" s="527">
        <f t="shared" si="8"/>
        <v>0</v>
      </c>
      <c r="J24" s="527">
        <f t="shared" si="8"/>
        <v>0.35699999999999932</v>
      </c>
      <c r="K24" s="527">
        <f t="shared" si="8"/>
        <v>-10.942999999999984</v>
      </c>
      <c r="L24" s="527">
        <f>L8-L23</f>
        <v>-15.351999999999997</v>
      </c>
      <c r="M24" s="527">
        <f t="shared" si="8"/>
        <v>8.0000000000000071E-2</v>
      </c>
      <c r="N24" s="527">
        <f t="shared" si="8"/>
        <v>0</v>
      </c>
      <c r="O24" s="527">
        <f t="shared" si="8"/>
        <v>1.3340000000000032</v>
      </c>
      <c r="P24" s="527">
        <f t="shared" si="8"/>
        <v>13.397999999999996</v>
      </c>
      <c r="Q24" s="527">
        <f t="shared" si="8"/>
        <v>1.04</v>
      </c>
      <c r="R24" s="527">
        <f>R8-R23</f>
        <v>0</v>
      </c>
      <c r="S24" s="527">
        <f t="shared" si="8"/>
        <v>0</v>
      </c>
      <c r="T24" s="527">
        <f t="shared" si="8"/>
        <v>1.2609999999999673</v>
      </c>
      <c r="U24" s="527">
        <f t="shared" si="8"/>
        <v>0</v>
      </c>
      <c r="V24" s="527">
        <f t="shared" si="8"/>
        <v>0</v>
      </c>
      <c r="W24" s="527">
        <f t="shared" si="8"/>
        <v>0</v>
      </c>
      <c r="X24" s="527">
        <f t="shared" si="8"/>
        <v>0</v>
      </c>
      <c r="Y24" s="527">
        <f t="shared" si="8"/>
        <v>9.7539999999999907</v>
      </c>
      <c r="Z24" s="527">
        <f t="shared" si="8"/>
        <v>5.1970000000000027</v>
      </c>
      <c r="AA24" s="527">
        <f t="shared" si="8"/>
        <v>0</v>
      </c>
      <c r="AB24" s="527">
        <f t="shared" si="8"/>
        <v>3.8999999999997925E-2</v>
      </c>
      <c r="AC24" s="527">
        <f t="shared" si="8"/>
        <v>-3.0000000000001137E-3</v>
      </c>
      <c r="AD24" s="527">
        <f t="shared" si="8"/>
        <v>2.5999999999999801E-2</v>
      </c>
      <c r="AE24" s="527">
        <f t="shared" si="8"/>
        <v>0.62999999999999901</v>
      </c>
      <c r="AF24" s="527">
        <f t="shared" si="8"/>
        <v>10.61699999999999</v>
      </c>
      <c r="AG24" s="527">
        <f>AG8-AG23</f>
        <v>0</v>
      </c>
      <c r="AH24" s="527">
        <f t="shared" si="8"/>
        <v>0</v>
      </c>
      <c r="AI24" s="527">
        <f t="shared" si="8"/>
        <v>0</v>
      </c>
    </row>
    <row r="25" spans="1:39" ht="16.5" customHeight="1" outlineLevel="2">
      <c r="A25" s="518"/>
      <c r="B25" s="518"/>
      <c r="C25" s="522"/>
      <c r="D25" s="518"/>
      <c r="E25" s="517"/>
      <c r="F25" s="527">
        <f>F8-F23-F21</f>
        <v>0.49599999999999866</v>
      </c>
      <c r="G25" s="527">
        <f t="shared" ref="G25:AI25" si="9">G8-G23-G21</f>
        <v>0.86399999999999955</v>
      </c>
      <c r="H25" s="527">
        <f t="shared" si="9"/>
        <v>7.5000000000001066E-2</v>
      </c>
      <c r="I25" s="527">
        <f t="shared" si="9"/>
        <v>0</v>
      </c>
      <c r="J25" s="527">
        <f t="shared" si="9"/>
        <v>-0.9220000000000006</v>
      </c>
      <c r="K25" s="527">
        <f t="shared" si="9"/>
        <v>-24.589999999999982</v>
      </c>
      <c r="L25" s="527">
        <f>L8-L23-L21</f>
        <v>-27.782999999999994</v>
      </c>
      <c r="M25" s="527">
        <f t="shared" si="9"/>
        <v>8.0000000000000071E-2</v>
      </c>
      <c r="N25" s="527">
        <f t="shared" si="9"/>
        <v>-0.37399999999997158</v>
      </c>
      <c r="O25" s="527">
        <f t="shared" si="9"/>
        <v>0.94300000000000317</v>
      </c>
      <c r="P25" s="527">
        <f t="shared" si="9"/>
        <v>-0.19300000000000317</v>
      </c>
      <c r="Q25" s="527">
        <f t="shared" si="9"/>
        <v>0.874</v>
      </c>
      <c r="R25" s="527">
        <f t="shared" si="9"/>
        <v>-0.122</v>
      </c>
      <c r="S25" s="527">
        <f t="shared" si="9"/>
        <v>-0.10100000000000001</v>
      </c>
      <c r="T25" s="527">
        <f t="shared" si="9"/>
        <v>0.34599999999996722</v>
      </c>
      <c r="U25" s="527">
        <f t="shared" si="9"/>
        <v>-0.01</v>
      </c>
      <c r="V25" s="527">
        <f t="shared" si="9"/>
        <v>-0.11300000000000089</v>
      </c>
      <c r="W25" s="527">
        <f t="shared" si="9"/>
        <v>-0.151</v>
      </c>
      <c r="X25" s="527">
        <f t="shared" si="9"/>
        <v>0</v>
      </c>
      <c r="Y25" s="527">
        <f t="shared" si="9"/>
        <v>6.1999999999990507E-2</v>
      </c>
      <c r="Z25" s="527">
        <f t="shared" si="9"/>
        <v>3.3990000000000027</v>
      </c>
      <c r="AA25" s="527">
        <f t="shared" si="9"/>
        <v>-8.8999999999999996E-2</v>
      </c>
      <c r="AB25" s="527">
        <f t="shared" si="9"/>
        <v>3.8999999999997925E-2</v>
      </c>
      <c r="AC25" s="527">
        <f t="shared" si="9"/>
        <v>-7.0000000000001138E-3</v>
      </c>
      <c r="AD25" s="527">
        <f t="shared" si="9"/>
        <v>-9.6000000000000196E-2</v>
      </c>
      <c r="AE25" s="527">
        <f t="shared" si="9"/>
        <v>-6.2000000000000943E-2</v>
      </c>
      <c r="AF25" s="527">
        <f t="shared" si="9"/>
        <v>4.65099999999999</v>
      </c>
      <c r="AG25" s="527">
        <f t="shared" si="9"/>
        <v>-10.400619441938394</v>
      </c>
      <c r="AH25" s="527">
        <f t="shared" si="9"/>
        <v>0</v>
      </c>
      <c r="AI25" s="527">
        <f t="shared" si="9"/>
        <v>0</v>
      </c>
    </row>
    <row r="26" spans="1:39" ht="16.5" customHeight="1" outlineLevel="2">
      <c r="A26" s="518"/>
      <c r="B26" s="518"/>
      <c r="C26" s="522"/>
      <c r="D26" s="518"/>
      <c r="E26" s="517"/>
      <c r="F26" s="517"/>
      <c r="G26" s="517"/>
      <c r="H26" s="517"/>
      <c r="I26" s="517"/>
      <c r="J26" s="517"/>
      <c r="K26" s="517"/>
      <c r="L26" s="517"/>
      <c r="M26" s="517"/>
      <c r="N26" s="517"/>
      <c r="O26" s="517"/>
      <c r="P26" s="517"/>
      <c r="Q26" s="517"/>
      <c r="R26" s="517"/>
      <c r="S26" s="517"/>
      <c r="T26" s="517"/>
      <c r="U26" s="517"/>
      <c r="V26" s="517"/>
      <c r="W26" s="517"/>
      <c r="X26" s="517"/>
      <c r="Y26" s="517"/>
      <c r="Z26" s="517"/>
      <c r="AA26" s="517"/>
      <c r="AB26" s="517"/>
      <c r="AC26" s="517"/>
      <c r="AD26" s="517"/>
      <c r="AE26" s="517"/>
      <c r="AF26" s="517"/>
      <c r="AG26" s="517"/>
      <c r="AH26" s="517"/>
      <c r="AI26" s="517"/>
    </row>
    <row r="27" spans="1:39" ht="16.5" customHeight="1" outlineLevel="2">
      <c r="A27" s="518"/>
      <c r="B27" s="518"/>
      <c r="C27" s="522"/>
      <c r="D27" s="518"/>
      <c r="E27" s="517"/>
      <c r="F27" s="517"/>
      <c r="G27" s="517"/>
      <c r="H27" s="517"/>
      <c r="I27" s="517"/>
      <c r="J27" s="517"/>
      <c r="K27" s="517"/>
      <c r="L27" s="517"/>
      <c r="M27" s="517"/>
      <c r="N27" s="517"/>
      <c r="O27" s="517"/>
      <c r="P27" s="517"/>
      <c r="Q27" s="517"/>
      <c r="R27" s="517"/>
      <c r="S27" s="517"/>
      <c r="T27" s="517"/>
      <c r="U27" s="517"/>
      <c r="V27" s="517"/>
      <c r="W27" s="517"/>
      <c r="X27" s="517"/>
      <c r="Y27" s="517"/>
      <c r="Z27" s="517"/>
      <c r="AA27" s="517"/>
      <c r="AB27" s="517"/>
      <c r="AC27" s="517"/>
      <c r="AD27" s="517"/>
      <c r="AE27" s="517"/>
      <c r="AF27" s="517"/>
      <c r="AG27" s="517"/>
      <c r="AH27" s="517"/>
      <c r="AI27" s="517"/>
    </row>
    <row r="28" spans="1:39" ht="15.75" outlineLevel="1" thickBot="1">
      <c r="A28" s="518"/>
      <c r="B28" s="518"/>
      <c r="C28" s="519" t="s">
        <v>569</v>
      </c>
      <c r="D28" s="520"/>
      <c r="E28" s="561">
        <f>SUM(F28:AI28)</f>
        <v>635.21300000000019</v>
      </c>
      <c r="F28" s="561">
        <f>'Transformation Input'!C29</f>
        <v>28.302</v>
      </c>
      <c r="G28" s="561">
        <f>'Transformation Input'!D29</f>
        <v>2.8000000000000001E-2</v>
      </c>
      <c r="H28" s="561">
        <f>'Transformation Input'!E29</f>
        <v>1.538</v>
      </c>
      <c r="I28" s="561">
        <f>'Transformation Input'!F29</f>
        <v>0</v>
      </c>
      <c r="J28" s="561">
        <f>'Transformation Input'!G29</f>
        <v>8.92</v>
      </c>
      <c r="K28" s="561">
        <f>'Transformation Input'!H29</f>
        <v>207.05</v>
      </c>
      <c r="L28" s="561">
        <f>'Transformation Input'!I29</f>
        <v>0.02</v>
      </c>
      <c r="M28" s="561">
        <f>'Transformation Input'!J29</f>
        <v>0.20300000000000001</v>
      </c>
      <c r="N28" s="561">
        <f>'Transformation Input'!K29</f>
        <v>18.091000000000001</v>
      </c>
      <c r="O28" s="561">
        <f>'Transformation Input'!L29</f>
        <v>11.458</v>
      </c>
      <c r="P28" s="561">
        <f>'Transformation Input'!M29</f>
        <v>96.430999999999997</v>
      </c>
      <c r="Q28" s="561">
        <f>'Transformation Input'!N29</f>
        <v>0.21299999999999999</v>
      </c>
      <c r="R28" s="561">
        <f>'Transformation Input'!O29</f>
        <v>1.6E-2</v>
      </c>
      <c r="S28" s="561">
        <f>'Transformation Input'!P29</f>
        <v>0</v>
      </c>
      <c r="T28" s="561">
        <f>'Transformation Input'!Q29</f>
        <v>30.016999999999999</v>
      </c>
      <c r="U28" s="561">
        <f>'Transformation Input'!R29</f>
        <v>0</v>
      </c>
      <c r="V28" s="561">
        <f>'Transformation Input'!S29</f>
        <v>0</v>
      </c>
      <c r="W28" s="561">
        <f>'Transformation Input'!T29</f>
        <v>1.9E-2</v>
      </c>
      <c r="X28" s="561">
        <f>'Transformation Input'!U29</f>
        <v>0</v>
      </c>
      <c r="Y28" s="561">
        <f>'Transformation Input'!V29</f>
        <v>33.037999999999997</v>
      </c>
      <c r="Z28" s="561">
        <f>'Transformation Input'!W29</f>
        <v>0</v>
      </c>
      <c r="AA28" s="561">
        <f>'Transformation Input'!X29</f>
        <v>9.6329999999999991</v>
      </c>
      <c r="AB28" s="561">
        <f>'Transformation Input'!Y29</f>
        <v>0.94399999999999995</v>
      </c>
      <c r="AC28" s="561">
        <f>'Transformation Input'!Z29</f>
        <v>3.101</v>
      </c>
      <c r="AD28" s="561">
        <f>'Transformation Input'!AA29</f>
        <v>0.10100000000000001</v>
      </c>
      <c r="AE28" s="561">
        <f>'Transformation Input'!AB29</f>
        <v>6.0000000000000001E-3</v>
      </c>
      <c r="AF28" s="561">
        <f>'Transformation Input'!AC29</f>
        <v>178.905</v>
      </c>
      <c r="AG28" s="561">
        <f>'Transformation Input'!AD29</f>
        <v>3.488</v>
      </c>
      <c r="AH28" s="561">
        <f>'Transformation Input'!AE29</f>
        <v>0</v>
      </c>
      <c r="AI28" s="561">
        <f>'Transformation Input'!AF29</f>
        <v>3.6909999999999998</v>
      </c>
      <c r="AL28" s="513">
        <v>3.488</v>
      </c>
    </row>
    <row r="29" spans="1:39" s="566" customFormat="1" outlineLevel="3">
      <c r="A29" s="559"/>
      <c r="B29" s="559"/>
      <c r="C29" s="558" t="s">
        <v>546</v>
      </c>
      <c r="D29" s="559"/>
      <c r="E29" s="560">
        <f>SUM(F29:AI29)</f>
        <v>158.12199999999999</v>
      </c>
      <c r="F29" s="560">
        <f>'Solid Fuels Input'!B333/1000</f>
        <v>0.20699999999999999</v>
      </c>
      <c r="G29" s="560">
        <f>'Solid Fuels Input'!B44/1000</f>
        <v>0</v>
      </c>
      <c r="H29" s="560">
        <f>'Solid Fuels Input'!B61/1000</f>
        <v>0</v>
      </c>
      <c r="I29" s="560">
        <v>0</v>
      </c>
      <c r="J29" s="560">
        <f>'Solid Fuels Input'!B78/1000</f>
        <v>6.7229999999999999</v>
      </c>
      <c r="K29" s="560">
        <f>'Solid Fuels Input'!B112/1000</f>
        <v>110.99</v>
      </c>
      <c r="L29" s="560">
        <f>'Solid Fuels Input'!B95</f>
        <v>0</v>
      </c>
      <c r="M29" s="560">
        <f>'Solid Fuels Input'!B129</f>
        <v>0</v>
      </c>
      <c r="N29" s="560">
        <f>'Solid Fuels Input'!B180</f>
        <v>0</v>
      </c>
      <c r="O29" s="560">
        <f>'Solid Fuels Input'!B435/1000</f>
        <v>4.8000000000000001E-2</v>
      </c>
      <c r="P29" s="560">
        <f>'Solid Fuels Input'!B197/1000</f>
        <v>6.8120000000000003</v>
      </c>
      <c r="Q29" s="560">
        <f>'Solid Fuels Input'!B163</f>
        <v>0</v>
      </c>
      <c r="R29" s="560">
        <f>'Solid Fuels Input'!B299</f>
        <v>0</v>
      </c>
      <c r="S29" s="560">
        <f>'Solid Fuels Input'!B146</f>
        <v>0</v>
      </c>
      <c r="T29" s="560">
        <f>'Solid Fuels Input'!B214/1000</f>
        <v>1.4890000000000001</v>
      </c>
      <c r="U29" s="560">
        <f>'Solid Fuels Input'!B265</f>
        <v>0</v>
      </c>
      <c r="V29" s="560">
        <f>'Solid Fuels Input'!B282</f>
        <v>0</v>
      </c>
      <c r="W29" s="560">
        <f>'Solid Fuels Input'!B248</f>
        <v>0</v>
      </c>
      <c r="X29" s="560">
        <v>0</v>
      </c>
      <c r="Y29" s="560">
        <f>'Solid Fuels Input'!B316</f>
        <v>0</v>
      </c>
      <c r="Z29" s="560">
        <f>'Solid Fuels Input'!B350</f>
        <v>0</v>
      </c>
      <c r="AA29" s="560">
        <f>'Solid Fuels Input'!B367</f>
        <v>0</v>
      </c>
      <c r="AB29" s="560">
        <f>'Solid Fuels Input'!B384</f>
        <v>0</v>
      </c>
      <c r="AC29" s="560">
        <f>'Solid Fuels Input'!B452</f>
        <v>0</v>
      </c>
      <c r="AD29" s="560">
        <f>'Solid Fuels Input'!B401</f>
        <v>0</v>
      </c>
      <c r="AE29" s="560">
        <f>'Solid Fuels Input'!B418</f>
        <v>0</v>
      </c>
      <c r="AF29" s="560">
        <f>'Solid Fuels Input'!B469/1000</f>
        <v>31.853000000000002</v>
      </c>
      <c r="AG29" s="560">
        <f>'Solid Fuels Input'!B521</f>
        <v>0</v>
      </c>
      <c r="AH29" s="560">
        <v>0</v>
      </c>
      <c r="AI29" s="560">
        <f>'Solid Fuels Input'!B503/1000</f>
        <v>0</v>
      </c>
      <c r="AL29" s="566">
        <v>0</v>
      </c>
    </row>
    <row r="30" spans="1:39" outlineLevel="3">
      <c r="A30" s="518"/>
      <c r="B30" s="518"/>
      <c r="C30" s="522"/>
      <c r="D30" s="518"/>
      <c r="E30" s="560"/>
      <c r="F30" s="524">
        <f>'Solid Fuels Input'!F10</f>
        <v>0.20699999999999999</v>
      </c>
      <c r="G30" s="524">
        <f>'Solid Fuels Input'!G10</f>
        <v>0</v>
      </c>
      <c r="H30" s="524">
        <f>'Solid Fuels Input'!H10</f>
        <v>0</v>
      </c>
      <c r="I30" s="524">
        <f>'Solid Fuels Input'!I10</f>
        <v>0</v>
      </c>
      <c r="J30" s="524">
        <f>'Solid Fuels Input'!J10</f>
        <v>0</v>
      </c>
      <c r="K30" s="524">
        <f>'Solid Fuels Input'!K10</f>
        <v>89.477999999999994</v>
      </c>
      <c r="L30" s="524">
        <f>'Solid Fuels Input'!L10</f>
        <v>0</v>
      </c>
      <c r="M30" s="524">
        <f>'Solid Fuels Input'!M10</f>
        <v>0</v>
      </c>
      <c r="N30" s="524">
        <f>'Solid Fuels Input'!N10</f>
        <v>0</v>
      </c>
      <c r="O30" s="524">
        <f>'Solid Fuels Input'!O10</f>
        <v>0</v>
      </c>
      <c r="P30" s="524">
        <f>'Solid Fuels Input'!P10</f>
        <v>6.8120000000000003</v>
      </c>
      <c r="Q30" s="524">
        <f>'Solid Fuels Input'!Q10</f>
        <v>0</v>
      </c>
      <c r="R30" s="524">
        <f>'Solid Fuels Input'!R10</f>
        <v>0</v>
      </c>
      <c r="S30" s="524">
        <f>'Solid Fuels Input'!S10</f>
        <v>0</v>
      </c>
      <c r="T30" s="524">
        <f>'Solid Fuels Input'!T10</f>
        <v>1.4890000000000001</v>
      </c>
      <c r="U30" s="524">
        <f>'Solid Fuels Input'!U10</f>
        <v>0</v>
      </c>
      <c r="V30" s="524">
        <f>'Solid Fuels Input'!V10</f>
        <v>0</v>
      </c>
      <c r="W30" s="524">
        <f>'Solid Fuels Input'!W10</f>
        <v>0</v>
      </c>
      <c r="X30" s="524">
        <f>'Solid Fuels Input'!X10</f>
        <v>0</v>
      </c>
      <c r="Y30" s="524">
        <f>'Solid Fuels Input'!Y10</f>
        <v>0</v>
      </c>
      <c r="Z30" s="524">
        <f>'Solid Fuels Input'!Z10</f>
        <v>0</v>
      </c>
      <c r="AA30" s="524">
        <f>'Solid Fuels Input'!AA10</f>
        <v>0</v>
      </c>
      <c r="AB30" s="524">
        <f>'Solid Fuels Input'!AB10</f>
        <v>0</v>
      </c>
      <c r="AC30" s="524">
        <f>'Solid Fuels Input'!AC10</f>
        <v>0</v>
      </c>
      <c r="AD30" s="524">
        <f>'Solid Fuels Input'!AD10</f>
        <v>0</v>
      </c>
      <c r="AE30" s="524">
        <f>'Solid Fuels Input'!AE10</f>
        <v>0</v>
      </c>
      <c r="AF30" s="524">
        <f>'Solid Fuels Input'!AF10</f>
        <v>31.853000000000002</v>
      </c>
      <c r="AG30" s="524">
        <f>'Solid Fuels Input'!AG10</f>
        <v>0</v>
      </c>
      <c r="AH30" s="524">
        <f>'Solid Fuels Input'!AH10</f>
        <v>0</v>
      </c>
      <c r="AI30" s="524">
        <f>'Solid Fuels Input'!AI10</f>
        <v>0</v>
      </c>
      <c r="AL30" s="513">
        <v>0</v>
      </c>
    </row>
    <row r="31" spans="1:39" s="566" customFormat="1" outlineLevel="3">
      <c r="A31" s="559"/>
      <c r="B31" s="559"/>
      <c r="C31" s="558" t="s">
        <v>307</v>
      </c>
      <c r="D31" s="559"/>
      <c r="E31" s="560">
        <f>SUM(F31:AI31)</f>
        <v>54.317999999999998</v>
      </c>
      <c r="F31" s="560">
        <f>'Oil Input'!H14</f>
        <v>0.12</v>
      </c>
      <c r="G31" s="560">
        <f>'Oil Input'!I14</f>
        <v>0</v>
      </c>
      <c r="H31" s="560">
        <f>'Oil Input'!J14</f>
        <v>0.77800000000000002</v>
      </c>
      <c r="I31" s="560">
        <f>'Oil Input'!K14</f>
        <v>0</v>
      </c>
      <c r="J31" s="560">
        <f>'Oil Input'!L14</f>
        <v>1.292</v>
      </c>
      <c r="K31" s="560">
        <f>'Oil Input'!M14</f>
        <v>19.78</v>
      </c>
      <c r="L31" s="560">
        <f>'Oil Input'!N14</f>
        <v>0</v>
      </c>
      <c r="M31" s="560">
        <f>'Oil Input'!O14</f>
        <v>0</v>
      </c>
      <c r="N31" s="560">
        <f>'Oil Input'!P14</f>
        <v>0</v>
      </c>
      <c r="O31" s="560">
        <f>'Oil Input'!Q14</f>
        <v>0.36</v>
      </c>
      <c r="P31" s="560">
        <f>'Oil Input'!R14</f>
        <v>9.6449999999999996</v>
      </c>
      <c r="Q31" s="560">
        <f>'Oil Input'!S14</f>
        <v>0</v>
      </c>
      <c r="R31" s="560">
        <f>'Oil Input'!T14</f>
        <v>0</v>
      </c>
      <c r="S31" s="560">
        <f>'Oil Input'!U14</f>
        <v>0</v>
      </c>
      <c r="T31" s="560">
        <f>'Oil Input'!V14</f>
        <v>19.855</v>
      </c>
      <c r="U31" s="560">
        <f>'Oil Input'!W14</f>
        <v>0</v>
      </c>
      <c r="V31" s="560">
        <f>'Oil Input'!X14</f>
        <v>0</v>
      </c>
      <c r="W31" s="560">
        <f>'Oil Input'!Y14</f>
        <v>0</v>
      </c>
      <c r="X31" s="560">
        <f>'Oil Input'!Z14</f>
        <v>0</v>
      </c>
      <c r="Y31" s="560">
        <f>'Oil Input'!AA14</f>
        <v>0</v>
      </c>
      <c r="Z31" s="560">
        <f>'Oil Input'!AB14</f>
        <v>0</v>
      </c>
      <c r="AA31" s="560">
        <f>'Oil Input'!AC14</f>
        <v>0.16300000000000001</v>
      </c>
      <c r="AB31" s="560">
        <f>'Oil Input'!AD14</f>
        <v>0.68300000000000005</v>
      </c>
      <c r="AC31" s="560">
        <f>'Oil Input'!AE14</f>
        <v>0.04</v>
      </c>
      <c r="AD31" s="560">
        <f>'Oil Input'!AF14</f>
        <v>0</v>
      </c>
      <c r="AE31" s="560">
        <f>'Oil Input'!AG14</f>
        <v>0</v>
      </c>
      <c r="AF31" s="560">
        <f>'Oil Input'!AH14</f>
        <v>0.68</v>
      </c>
      <c r="AG31" s="560">
        <f>'Oil Input'!B473/1000</f>
        <v>0.83699999999999997</v>
      </c>
      <c r="AH31" s="560">
        <f>'Oil Input'!AJ14</f>
        <v>0</v>
      </c>
      <c r="AI31" s="560">
        <f>'Oil Input'!B457/1000</f>
        <v>8.5000000000000006E-2</v>
      </c>
      <c r="AL31" s="566">
        <v>0.83699999999999997</v>
      </c>
    </row>
    <row r="32" spans="1:39" outlineLevel="3">
      <c r="A32" s="518"/>
      <c r="B32" s="518"/>
      <c r="C32" s="588" t="s">
        <v>993</v>
      </c>
      <c r="D32" s="518"/>
      <c r="E32" s="560"/>
      <c r="F32" s="524">
        <f>'Oil Input'!H15</f>
        <v>0</v>
      </c>
      <c r="G32" s="524">
        <f>'Oil Input'!I15</f>
        <v>0</v>
      </c>
      <c r="H32" s="524">
        <f>'Oil Input'!J15</f>
        <v>0.09</v>
      </c>
      <c r="I32" s="524">
        <f>'Oil Input'!K15</f>
        <v>0</v>
      </c>
      <c r="J32" s="524">
        <f>'Oil Input'!L15</f>
        <v>0</v>
      </c>
      <c r="K32" s="524">
        <f>'Oil Input'!M15</f>
        <v>4.03</v>
      </c>
      <c r="L32" s="524">
        <f>'Oil Input'!N15</f>
        <v>0</v>
      </c>
      <c r="M32" s="524">
        <f>'Oil Input'!O15</f>
        <v>0</v>
      </c>
      <c r="N32" s="524">
        <f>'Oil Input'!P15</f>
        <v>0</v>
      </c>
      <c r="O32" s="524">
        <f>'Oil Input'!Q15</f>
        <v>0</v>
      </c>
      <c r="P32" s="524">
        <f>'Oil Input'!R15</f>
        <v>0</v>
      </c>
      <c r="Q32" s="524">
        <f>'Oil Input'!S15</f>
        <v>0</v>
      </c>
      <c r="R32" s="524">
        <f>'Oil Input'!T15</f>
        <v>0</v>
      </c>
      <c r="S32" s="524">
        <f>'Oil Input'!U15</f>
        <v>0</v>
      </c>
      <c r="T32" s="524">
        <f>'Oil Input'!V15</f>
        <v>0.05</v>
      </c>
      <c r="U32" s="524">
        <f>'Oil Input'!W15</f>
        <v>0</v>
      </c>
      <c r="V32" s="524">
        <f>'Oil Input'!X15</f>
        <v>0</v>
      </c>
      <c r="W32" s="524">
        <f>'Oil Input'!Y15</f>
        <v>0</v>
      </c>
      <c r="X32" s="524">
        <f>'Oil Input'!Z15</f>
        <v>0</v>
      </c>
      <c r="Y32" s="524">
        <f>'Oil Input'!AA15</f>
        <v>0</v>
      </c>
      <c r="Z32" s="524">
        <f>'Oil Input'!AB15</f>
        <v>0</v>
      </c>
      <c r="AA32" s="524">
        <f>'Oil Input'!AC15</f>
        <v>0</v>
      </c>
      <c r="AB32" s="524">
        <f>'Oil Input'!AD15</f>
        <v>0</v>
      </c>
      <c r="AC32" s="524">
        <f>'Oil Input'!AE15</f>
        <v>0</v>
      </c>
      <c r="AD32" s="524">
        <f>'Oil Input'!AF15</f>
        <v>0</v>
      </c>
      <c r="AE32" s="524">
        <f>'Oil Input'!AG15</f>
        <v>0</v>
      </c>
      <c r="AF32" s="524">
        <f>'Oil Input'!AH15</f>
        <v>0</v>
      </c>
      <c r="AG32" s="524">
        <f>'Oil Input'!AI15</f>
        <v>0</v>
      </c>
      <c r="AH32" s="524">
        <f>'Oil Input'!AJ15</f>
        <v>0</v>
      </c>
      <c r="AI32" s="524">
        <f>'Oil Input'!AK15</f>
        <v>0</v>
      </c>
      <c r="AL32" s="513">
        <v>0</v>
      </c>
    </row>
    <row r="33" spans="1:38" outlineLevel="3">
      <c r="A33" s="518"/>
      <c r="B33" s="518"/>
      <c r="C33" s="588" t="s">
        <v>1067</v>
      </c>
      <c r="D33" s="518"/>
      <c r="E33" s="560"/>
      <c r="F33" s="524">
        <f>'Oil Input'!H17</f>
        <v>0.125</v>
      </c>
      <c r="G33" s="524">
        <f>'Oil Input'!I17</f>
        <v>0</v>
      </c>
      <c r="H33" s="524">
        <f>'Oil Input'!J17</f>
        <v>0</v>
      </c>
      <c r="I33" s="524">
        <f>'Oil Input'!K17</f>
        <v>0</v>
      </c>
      <c r="J33" s="524">
        <f>'Oil Input'!L17</f>
        <v>0.158</v>
      </c>
      <c r="K33" s="524">
        <f>'Oil Input'!M17</f>
        <v>0</v>
      </c>
      <c r="L33" s="524">
        <f>'Oil Input'!N17</f>
        <v>0</v>
      </c>
      <c r="M33" s="524">
        <f>'Oil Input'!O17</f>
        <v>0</v>
      </c>
      <c r="N33" s="524">
        <f>'Oil Input'!P17</f>
        <v>0</v>
      </c>
      <c r="O33" s="524">
        <f>'Oil Input'!Q17</f>
        <v>0.37</v>
      </c>
      <c r="P33" s="524">
        <f>'Oil Input'!R17</f>
        <v>7.52</v>
      </c>
      <c r="Q33" s="524">
        <f>'Oil Input'!S17</f>
        <v>0</v>
      </c>
      <c r="R33" s="524">
        <f>'Oil Input'!T17</f>
        <v>0</v>
      </c>
      <c r="S33" s="524">
        <f>'Oil Input'!U17</f>
        <v>0</v>
      </c>
      <c r="T33" s="524">
        <f>'Oil Input'!V17</f>
        <v>2.72</v>
      </c>
      <c r="U33" s="524">
        <f>'Oil Input'!W17</f>
        <v>0</v>
      </c>
      <c r="V33" s="524">
        <f>'Oil Input'!X17</f>
        <v>0</v>
      </c>
      <c r="W33" s="524">
        <f>'Oil Input'!Y17</f>
        <v>0</v>
      </c>
      <c r="X33" s="524">
        <f>'Oil Input'!Z17</f>
        <v>0</v>
      </c>
      <c r="Y33" s="524">
        <f>'Oil Input'!AA17</f>
        <v>0</v>
      </c>
      <c r="Z33" s="524">
        <f>'Oil Input'!AB17</f>
        <v>0</v>
      </c>
      <c r="AA33" s="524">
        <f>'Oil Input'!AC17</f>
        <v>0.121</v>
      </c>
      <c r="AB33" s="524">
        <f>'Oil Input'!AD17</f>
        <v>7.9000000000000001E-2</v>
      </c>
      <c r="AC33" s="524">
        <f>'Oil Input'!AE17</f>
        <v>0.04</v>
      </c>
      <c r="AD33" s="524">
        <f>'Oil Input'!AF17</f>
        <v>0</v>
      </c>
      <c r="AE33" s="524">
        <f>'Oil Input'!AG17</f>
        <v>0</v>
      </c>
      <c r="AF33" s="524">
        <f>'Oil Input'!AH17</f>
        <v>0.70299999999999996</v>
      </c>
      <c r="AG33" s="524">
        <f>'Oil Input'!AI17</f>
        <v>0</v>
      </c>
      <c r="AH33" s="524">
        <f>'Oil Input'!AJ17</f>
        <v>0</v>
      </c>
      <c r="AI33" s="524">
        <f>'Oil Input'!AK17</f>
        <v>0</v>
      </c>
      <c r="AL33" s="513">
        <v>0</v>
      </c>
    </row>
    <row r="34" spans="1:38" outlineLevel="3">
      <c r="A34" s="518"/>
      <c r="B34" s="518"/>
      <c r="C34" s="588" t="s">
        <v>1068</v>
      </c>
      <c r="D34" s="518"/>
      <c r="E34" s="560"/>
      <c r="F34" s="524">
        <f>'Oil Input'!H19</f>
        <v>0</v>
      </c>
      <c r="G34" s="524">
        <f>'Oil Input'!I19</f>
        <v>0</v>
      </c>
      <c r="H34" s="524">
        <f>'Oil Input'!J19</f>
        <v>0</v>
      </c>
      <c r="I34" s="524">
        <f>'Oil Input'!K19</f>
        <v>0</v>
      </c>
      <c r="J34" s="524">
        <f>'Oil Input'!L19</f>
        <v>0.63700000000000001</v>
      </c>
      <c r="K34" s="524">
        <f>'Oil Input'!M19</f>
        <v>0</v>
      </c>
      <c r="L34" s="524">
        <f>'Oil Input'!N19</f>
        <v>0</v>
      </c>
      <c r="M34" s="524">
        <f>'Oil Input'!O19</f>
        <v>0</v>
      </c>
      <c r="N34" s="524">
        <f>'Oil Input'!P19</f>
        <v>0</v>
      </c>
      <c r="O34" s="524">
        <f>'Oil Input'!Q19</f>
        <v>0</v>
      </c>
      <c r="P34" s="524">
        <f>'Oil Input'!R19</f>
        <v>0</v>
      </c>
      <c r="Q34" s="524">
        <f>'Oil Input'!S19</f>
        <v>0</v>
      </c>
      <c r="R34" s="524">
        <f>'Oil Input'!T19</f>
        <v>0</v>
      </c>
      <c r="S34" s="524">
        <f>'Oil Input'!U19</f>
        <v>0</v>
      </c>
      <c r="T34" s="524">
        <f>'Oil Input'!V19</f>
        <v>0</v>
      </c>
      <c r="U34" s="524">
        <f>'Oil Input'!W19</f>
        <v>0</v>
      </c>
      <c r="V34" s="524">
        <f>'Oil Input'!X19</f>
        <v>0</v>
      </c>
      <c r="W34" s="524">
        <f>'Oil Input'!Y19</f>
        <v>0</v>
      </c>
      <c r="X34" s="524">
        <f>'Oil Input'!Z19</f>
        <v>0</v>
      </c>
      <c r="Y34" s="524">
        <f>'Oil Input'!AA19</f>
        <v>0</v>
      </c>
      <c r="Z34" s="524">
        <f>'Oil Input'!AB19</f>
        <v>0</v>
      </c>
      <c r="AA34" s="524">
        <f>'Oil Input'!AC19</f>
        <v>0</v>
      </c>
      <c r="AB34" s="524">
        <f>'Oil Input'!AD19</f>
        <v>0.55700000000000005</v>
      </c>
      <c r="AC34" s="524">
        <f>'Oil Input'!AE19</f>
        <v>0</v>
      </c>
      <c r="AD34" s="524">
        <f>'Oil Input'!AF19</f>
        <v>0</v>
      </c>
      <c r="AE34" s="524">
        <f>'Oil Input'!AG19</f>
        <v>0</v>
      </c>
      <c r="AF34" s="524">
        <f>'Oil Input'!AH19</f>
        <v>0</v>
      </c>
      <c r="AG34" s="524">
        <f>'Oil Input'!AI19</f>
        <v>0</v>
      </c>
      <c r="AH34" s="524">
        <f>'Oil Input'!AJ19</f>
        <v>0</v>
      </c>
      <c r="AI34" s="524">
        <f>'Oil Input'!AK19</f>
        <v>0</v>
      </c>
      <c r="AL34" s="513">
        <v>0</v>
      </c>
    </row>
    <row r="35" spans="1:38" outlineLevel="3">
      <c r="A35" s="518"/>
      <c r="B35" s="518"/>
      <c r="C35" s="588" t="s">
        <v>1069</v>
      </c>
      <c r="D35" s="518"/>
      <c r="E35" s="560"/>
      <c r="F35" s="524">
        <f>IF(F31-F32-F33-F34&gt;0,F31-F32-F33-F34,0)</f>
        <v>0</v>
      </c>
      <c r="G35" s="524">
        <f t="shared" ref="G35:AI35" si="10">IF(G31-G32-G33-G34&gt;0,G31-G32-G33-G34,0)</f>
        <v>0</v>
      </c>
      <c r="H35" s="524">
        <f t="shared" si="10"/>
        <v>0.68800000000000006</v>
      </c>
      <c r="I35" s="524">
        <f t="shared" si="10"/>
        <v>0</v>
      </c>
      <c r="J35" s="524">
        <f t="shared" si="10"/>
        <v>0.49700000000000011</v>
      </c>
      <c r="K35" s="524">
        <f t="shared" si="10"/>
        <v>15.75</v>
      </c>
      <c r="L35" s="524">
        <f t="shared" si="10"/>
        <v>0</v>
      </c>
      <c r="M35" s="524">
        <f t="shared" si="10"/>
        <v>0</v>
      </c>
      <c r="N35" s="524">
        <f t="shared" si="10"/>
        <v>0</v>
      </c>
      <c r="O35" s="524">
        <f t="shared" si="10"/>
        <v>0</v>
      </c>
      <c r="P35" s="524">
        <f t="shared" si="10"/>
        <v>2.125</v>
      </c>
      <c r="Q35" s="524">
        <f t="shared" si="10"/>
        <v>0</v>
      </c>
      <c r="R35" s="524">
        <f t="shared" si="10"/>
        <v>0</v>
      </c>
      <c r="S35" s="524">
        <f t="shared" si="10"/>
        <v>0</v>
      </c>
      <c r="T35" s="524">
        <f t="shared" si="10"/>
        <v>17.085000000000001</v>
      </c>
      <c r="U35" s="524">
        <f t="shared" si="10"/>
        <v>0</v>
      </c>
      <c r="V35" s="524">
        <f t="shared" si="10"/>
        <v>0</v>
      </c>
      <c r="W35" s="524">
        <f t="shared" si="10"/>
        <v>0</v>
      </c>
      <c r="X35" s="524">
        <f t="shared" si="10"/>
        <v>0</v>
      </c>
      <c r="Y35" s="524">
        <f t="shared" si="10"/>
        <v>0</v>
      </c>
      <c r="Z35" s="524">
        <f t="shared" si="10"/>
        <v>0</v>
      </c>
      <c r="AA35" s="524">
        <f t="shared" si="10"/>
        <v>4.200000000000001E-2</v>
      </c>
      <c r="AB35" s="524">
        <f t="shared" si="10"/>
        <v>4.7000000000000042E-2</v>
      </c>
      <c r="AC35" s="524">
        <f t="shared" si="10"/>
        <v>0</v>
      </c>
      <c r="AD35" s="524">
        <f t="shared" si="10"/>
        <v>0</v>
      </c>
      <c r="AE35" s="524">
        <f t="shared" si="10"/>
        <v>0</v>
      </c>
      <c r="AF35" s="524">
        <f t="shared" si="10"/>
        <v>0</v>
      </c>
      <c r="AG35" s="524">
        <f t="shared" si="10"/>
        <v>0.83699999999999997</v>
      </c>
      <c r="AH35" s="524">
        <f t="shared" si="10"/>
        <v>0</v>
      </c>
      <c r="AI35" s="524">
        <f t="shared" si="10"/>
        <v>8.5000000000000006E-2</v>
      </c>
      <c r="AL35" s="513">
        <v>0.83699999999999997</v>
      </c>
    </row>
    <row r="36" spans="1:38" s="566" customFormat="1" outlineLevel="3">
      <c r="A36" s="559"/>
      <c r="B36" s="559"/>
      <c r="C36" s="558" t="s">
        <v>308</v>
      </c>
      <c r="D36" s="559"/>
      <c r="E36" s="560">
        <f>SUM(F36:AI36)</f>
        <v>218.84800000000001</v>
      </c>
      <c r="F36" s="560">
        <f>'Gas Input'!H14</f>
        <v>22.137</v>
      </c>
      <c r="G36" s="560">
        <f>'Gas Input'!I14</f>
        <v>0</v>
      </c>
      <c r="H36" s="560">
        <f>'Gas Input'!J14</f>
        <v>0</v>
      </c>
      <c r="I36" s="560">
        <f>'Gas Input'!K14</f>
        <v>0</v>
      </c>
      <c r="J36" s="560">
        <f>'Gas Input'!L14</f>
        <v>0.45900000000000002</v>
      </c>
      <c r="K36" s="560">
        <f>'Gas Input'!M14</f>
        <v>76.082999999999998</v>
      </c>
      <c r="L36" s="560">
        <f>'Gas Input'!N14</f>
        <v>0</v>
      </c>
      <c r="M36" s="560">
        <f>'Gas Input'!O14</f>
        <v>0.17100000000000001</v>
      </c>
      <c r="N36" s="560">
        <f>'Gas Input'!P14</f>
        <v>1.9630000000000001</v>
      </c>
      <c r="O36" s="560">
        <f>'Gas Input'!Q14</f>
        <v>7.9240000000000004</v>
      </c>
      <c r="P36" s="560">
        <f>'Gas Input'!R14</f>
        <v>33.42</v>
      </c>
      <c r="Q36" s="560">
        <f>'Gas Input'!S14</f>
        <v>0.21299999999999999</v>
      </c>
      <c r="R36" s="560">
        <f>'Gas Input'!T14</f>
        <v>1.6E-2</v>
      </c>
      <c r="S36" s="560">
        <f>'Gas Input'!U14</f>
        <v>0</v>
      </c>
      <c r="T36" s="560">
        <f>'Gas Input'!V14</f>
        <v>7.1349999999999998</v>
      </c>
      <c r="U36" s="560">
        <f>'Gas Input'!W14</f>
        <v>0</v>
      </c>
      <c r="V36" s="560">
        <f>'Gas Input'!X14</f>
        <v>0</v>
      </c>
      <c r="W36" s="560">
        <f>'Gas Input'!Y14</f>
        <v>0</v>
      </c>
      <c r="X36" s="560">
        <f>'Gas Input'!Z14</f>
        <v>0</v>
      </c>
      <c r="Y36" s="560">
        <f>'Gas Input'!AA14</f>
        <v>1.252</v>
      </c>
      <c r="Z36" s="560">
        <f>'Gas Input'!AB14</f>
        <v>0</v>
      </c>
      <c r="AA36" s="560">
        <f>'Gas Input'!AC14</f>
        <v>7.2999999999999995E-2</v>
      </c>
      <c r="AB36" s="560">
        <f>'Gas Input'!AD14</f>
        <v>0.22600000000000001</v>
      </c>
      <c r="AC36" s="560">
        <f>'Gas Input'!AE14</f>
        <v>3.0609999999999999</v>
      </c>
      <c r="AD36" s="560">
        <f>'Gas Input'!AF14</f>
        <v>0</v>
      </c>
      <c r="AE36" s="560">
        <f>'Gas Input'!AG14</f>
        <v>0</v>
      </c>
      <c r="AF36" s="560">
        <f>'Gas Input'!AH14</f>
        <v>58.959000000000003</v>
      </c>
      <c r="AG36" s="560">
        <f>'Gas Input'!B487/1000</f>
        <v>3.726</v>
      </c>
      <c r="AH36" s="560">
        <f>'Gas Input'!AJ14</f>
        <v>0</v>
      </c>
      <c r="AI36" s="560">
        <f>'Gas Input'!B470/1000</f>
        <v>2.0299999999999998</v>
      </c>
      <c r="AL36" s="566">
        <v>3.726</v>
      </c>
    </row>
    <row r="37" spans="1:38" ht="15.75" customHeight="1" outlineLevel="3">
      <c r="A37" s="518"/>
      <c r="B37" s="518"/>
      <c r="C37" s="588" t="s">
        <v>994</v>
      </c>
      <c r="D37" s="518"/>
      <c r="E37" s="560"/>
      <c r="F37" s="524">
        <f>'Gas Input'!H15</f>
        <v>13.206</v>
      </c>
      <c r="G37" s="524">
        <f>'Gas Input'!I15</f>
        <v>0</v>
      </c>
      <c r="H37" s="524">
        <f>'Gas Input'!J15</f>
        <v>0</v>
      </c>
      <c r="I37" s="524">
        <f>'Gas Input'!K15</f>
        <v>0</v>
      </c>
      <c r="J37" s="524">
        <f>'Gas Input'!L15</f>
        <v>0</v>
      </c>
      <c r="K37" s="524">
        <f>'Gas Input'!M15</f>
        <v>45.167999999999999</v>
      </c>
      <c r="L37" s="524">
        <f>'Gas Input'!N15</f>
        <v>0</v>
      </c>
      <c r="M37" s="524">
        <f>'Gas Input'!O15</f>
        <v>0.16400000000000001</v>
      </c>
      <c r="N37" s="524">
        <f>'Gas Input'!P15</f>
        <v>1.9630000000000001</v>
      </c>
      <c r="O37" s="524">
        <f>'Gas Input'!Q15</f>
        <v>7.657</v>
      </c>
      <c r="P37" s="524">
        <f>'Gas Input'!R15</f>
        <v>13.005000000000001</v>
      </c>
      <c r="Q37" s="524">
        <f>'Gas Input'!S15</f>
        <v>0</v>
      </c>
      <c r="R37" s="524">
        <f>'Gas Input'!T15</f>
        <v>0</v>
      </c>
      <c r="S37" s="524">
        <f>'Gas Input'!U15</f>
        <v>0</v>
      </c>
      <c r="T37" s="524">
        <f>'Gas Input'!V15</f>
        <v>4.4550000000000001</v>
      </c>
      <c r="U37" s="524">
        <f>'Gas Input'!W15</f>
        <v>0</v>
      </c>
      <c r="V37" s="524">
        <f>'Gas Input'!X15</f>
        <v>0</v>
      </c>
      <c r="W37" s="524">
        <f>'Gas Input'!Y15</f>
        <v>0</v>
      </c>
      <c r="X37" s="524">
        <f>'Gas Input'!Z15</f>
        <v>0</v>
      </c>
      <c r="Y37" s="524">
        <f>'Gas Input'!AA15</f>
        <v>0</v>
      </c>
      <c r="Z37" s="524">
        <f>'Gas Input'!AB15</f>
        <v>0</v>
      </c>
      <c r="AA37" s="524">
        <f>'Gas Input'!AC15</f>
        <v>0</v>
      </c>
      <c r="AB37" s="524">
        <f>'Gas Input'!AD15</f>
        <v>0</v>
      </c>
      <c r="AC37" s="524">
        <f>'Gas Input'!AE15</f>
        <v>3.0609999999999999</v>
      </c>
      <c r="AD37" s="524">
        <f>'Gas Input'!AF15</f>
        <v>0</v>
      </c>
      <c r="AE37" s="524">
        <f>'Gas Input'!AG15</f>
        <v>0</v>
      </c>
      <c r="AF37" s="524">
        <f>'Gas Input'!AH15</f>
        <v>38.575000000000003</v>
      </c>
      <c r="AG37" s="524">
        <f>'Gas Input'!AI15</f>
        <v>0</v>
      </c>
      <c r="AH37" s="524">
        <f>'Gas Input'!AJ15</f>
        <v>0</v>
      </c>
      <c r="AI37" s="524">
        <f>'Gas Input'!AK15</f>
        <v>0</v>
      </c>
      <c r="AL37" s="513">
        <v>0</v>
      </c>
    </row>
    <row r="38" spans="1:38" ht="15.75" customHeight="1" outlineLevel="3">
      <c r="A38" s="518"/>
      <c r="B38" s="518"/>
      <c r="C38" s="588" t="s">
        <v>1074</v>
      </c>
      <c r="D38" s="518"/>
      <c r="E38" s="560"/>
      <c r="F38" s="524">
        <f>'Gas Input'!H16</f>
        <v>0.98699999999999999</v>
      </c>
      <c r="G38" s="524">
        <f>'Gas Input'!I16</f>
        <v>2.9289999999999998</v>
      </c>
      <c r="H38" s="524">
        <f>'Gas Input'!J16</f>
        <v>2.9289999999999998</v>
      </c>
      <c r="I38" s="524">
        <f>'Gas Input'!K16</f>
        <v>0</v>
      </c>
      <c r="J38" s="524">
        <f>'Gas Input'!L16</f>
        <v>17.565000000000001</v>
      </c>
      <c r="K38" s="524">
        <f>'Gas Input'!M16</f>
        <v>7.3129999999999997</v>
      </c>
      <c r="L38" s="524">
        <f>'Gas Input'!N16</f>
        <v>0</v>
      </c>
      <c r="M38" s="524">
        <f>'Gas Input'!O16</f>
        <v>0.158</v>
      </c>
      <c r="N38" s="524">
        <f>'Gas Input'!P16</f>
        <v>1.1259999999999999</v>
      </c>
      <c r="O38" s="524">
        <f>'Gas Input'!Q16</f>
        <v>0.4</v>
      </c>
      <c r="P38" s="524">
        <f>'Gas Input'!R16</f>
        <v>3.3239999999999998</v>
      </c>
      <c r="Q38" s="524">
        <f>'Gas Input'!S16</f>
        <v>0</v>
      </c>
      <c r="R38" s="524">
        <f>'Gas Input'!T16</f>
        <v>0</v>
      </c>
      <c r="S38" s="524">
        <f>'Gas Input'!U16</f>
        <v>0</v>
      </c>
      <c r="T38" s="524">
        <f>'Gas Input'!V16</f>
        <v>0.106</v>
      </c>
      <c r="U38" s="524">
        <f>'Gas Input'!W16</f>
        <v>0</v>
      </c>
      <c r="V38" s="524">
        <f>'Gas Input'!X16</f>
        <v>0</v>
      </c>
      <c r="W38" s="524">
        <f>'Gas Input'!Y16</f>
        <v>0</v>
      </c>
      <c r="X38" s="524">
        <f>'Gas Input'!Z16</f>
        <v>0</v>
      </c>
      <c r="Y38" s="524">
        <f>'Gas Input'!AA16</f>
        <v>0.46700000000000003</v>
      </c>
      <c r="Z38" s="524">
        <f>'Gas Input'!AB16</f>
        <v>9.7140000000000004</v>
      </c>
      <c r="AA38" s="524">
        <f>'Gas Input'!AC16</f>
        <v>0</v>
      </c>
      <c r="AB38" s="524">
        <f>'Gas Input'!AD16</f>
        <v>1.101</v>
      </c>
      <c r="AC38" s="524">
        <f>'Gas Input'!AE16</f>
        <v>4.0000000000000001E-3</v>
      </c>
      <c r="AD38" s="524">
        <f>'Gas Input'!AF16</f>
        <v>0</v>
      </c>
      <c r="AE38" s="524">
        <f>'Gas Input'!AG16</f>
        <v>2.665</v>
      </c>
      <c r="AF38" s="524">
        <f>'Gas Input'!AH16</f>
        <v>2.0920000000000001</v>
      </c>
      <c r="AG38" s="524">
        <f>'Gas Input'!AI16</f>
        <v>0</v>
      </c>
      <c r="AH38" s="524">
        <f>'Gas Input'!AJ16</f>
        <v>0</v>
      </c>
      <c r="AI38" s="524">
        <f>'Gas Input'!AK16</f>
        <v>0</v>
      </c>
      <c r="AL38" s="513">
        <v>0</v>
      </c>
    </row>
    <row r="39" spans="1:38" ht="15.75" customHeight="1" outlineLevel="3">
      <c r="A39" s="518"/>
      <c r="B39" s="518"/>
      <c r="C39" s="588" t="s">
        <v>1075</v>
      </c>
      <c r="D39" s="518"/>
      <c r="E39" s="560"/>
      <c r="F39" s="524">
        <f>'Gas Input'!H17</f>
        <v>1.9139999999999999</v>
      </c>
      <c r="G39" s="524">
        <f>'Gas Input'!I17</f>
        <v>0</v>
      </c>
      <c r="H39" s="524">
        <f>'Gas Input'!J17</f>
        <v>0</v>
      </c>
      <c r="I39" s="524">
        <f>'Gas Input'!K17</f>
        <v>0</v>
      </c>
      <c r="J39" s="524">
        <f>'Gas Input'!L17</f>
        <v>0</v>
      </c>
      <c r="K39" s="524">
        <f>'Gas Input'!M17</f>
        <v>9.1329999999999991</v>
      </c>
      <c r="L39" s="524">
        <f>'Gas Input'!N17</f>
        <v>0</v>
      </c>
      <c r="M39" s="524">
        <f>'Gas Input'!O17</f>
        <v>0</v>
      </c>
      <c r="N39" s="527">
        <f>N37-N38</f>
        <v>0.83700000000000019</v>
      </c>
      <c r="O39" s="524">
        <f>'Gas Input'!Q17</f>
        <v>0.377</v>
      </c>
      <c r="P39" s="524">
        <f>'Gas Input'!R17</f>
        <v>3.0529999999999999</v>
      </c>
      <c r="Q39" s="524">
        <f>'Gas Input'!S17</f>
        <v>0</v>
      </c>
      <c r="R39" s="524">
        <f>'Gas Input'!T17</f>
        <v>0</v>
      </c>
      <c r="S39" s="524">
        <f>'Gas Input'!U17</f>
        <v>0</v>
      </c>
      <c r="T39" s="524">
        <f>'Gas Input'!V17</f>
        <v>0.82099999999999995</v>
      </c>
      <c r="U39" s="524">
        <f>'Gas Input'!W17</f>
        <v>0</v>
      </c>
      <c r="V39" s="524">
        <f>'Gas Input'!X17</f>
        <v>0</v>
      </c>
      <c r="W39" s="524">
        <f>'Gas Input'!Y17</f>
        <v>0</v>
      </c>
      <c r="X39" s="524">
        <f>'Gas Input'!Z17</f>
        <v>0</v>
      </c>
      <c r="Y39" s="524">
        <f>'Gas Input'!AA17</f>
        <v>0</v>
      </c>
      <c r="Z39" s="524">
        <f>'Gas Input'!AB17</f>
        <v>0</v>
      </c>
      <c r="AA39" s="524">
        <f>'Gas Input'!AC17</f>
        <v>0</v>
      </c>
      <c r="AB39" s="524">
        <f>'Gas Input'!AD17</f>
        <v>0</v>
      </c>
      <c r="AC39" s="524">
        <f>'Gas Input'!AE17</f>
        <v>0.18099999999999999</v>
      </c>
      <c r="AD39" s="524">
        <f>'Gas Input'!AF17</f>
        <v>0</v>
      </c>
      <c r="AE39" s="524">
        <f>'Gas Input'!AG17</f>
        <v>0</v>
      </c>
      <c r="AF39" s="524">
        <f>'Gas Input'!AH17</f>
        <v>6.5570000000000004</v>
      </c>
      <c r="AG39" s="524">
        <f>'Gas Input'!AI17</f>
        <v>0</v>
      </c>
      <c r="AH39" s="524">
        <f>'Gas Input'!AJ17</f>
        <v>0</v>
      </c>
      <c r="AI39" s="524">
        <f>'Gas Input'!AK17</f>
        <v>0</v>
      </c>
      <c r="AL39" s="513">
        <v>0</v>
      </c>
    </row>
    <row r="40" spans="1:38" outlineLevel="3">
      <c r="A40" s="518"/>
      <c r="B40" s="518"/>
      <c r="C40" s="522" t="s">
        <v>559</v>
      </c>
      <c r="D40" s="518"/>
      <c r="E40" s="560">
        <f>SUM(F40:AI40)</f>
        <v>1.9E-2</v>
      </c>
      <c r="F40" s="524">
        <f>'Biofuels Input'!D25</f>
        <v>1.9E-2</v>
      </c>
      <c r="G40" s="524">
        <f>'Biofuels Input'!E25</f>
        <v>0</v>
      </c>
      <c r="H40" s="524">
        <f>'Biofuels Input'!F25</f>
        <v>0</v>
      </c>
      <c r="I40" s="524">
        <f>'Biofuels Input'!G25</f>
        <v>0</v>
      </c>
      <c r="J40" s="524">
        <f>'Biofuels Input'!H25</f>
        <v>0</v>
      </c>
      <c r="K40" s="524">
        <f>'Biofuels Input'!I25</f>
        <v>0</v>
      </c>
      <c r="L40" s="524">
        <f>'Biofuels Input'!J25</f>
        <v>0</v>
      </c>
      <c r="M40" s="524">
        <f>'Biofuels Input'!K25</f>
        <v>0</v>
      </c>
      <c r="N40" s="524">
        <f>'Biofuels Input'!L25</f>
        <v>0</v>
      </c>
      <c r="O40" s="524">
        <f>'Biofuels Input'!M25</f>
        <v>0</v>
      </c>
      <c r="P40" s="524">
        <f>'Biofuels Input'!N25</f>
        <v>0</v>
      </c>
      <c r="Q40" s="524">
        <f>'Biofuels Input'!O25</f>
        <v>0</v>
      </c>
      <c r="R40" s="524">
        <f>'Biofuels Input'!P25</f>
        <v>0</v>
      </c>
      <c r="S40" s="524">
        <f>'Biofuels Input'!Q25</f>
        <v>0</v>
      </c>
      <c r="T40" s="524">
        <f>'Biofuels Input'!R25</f>
        <v>0</v>
      </c>
      <c r="U40" s="524">
        <f>'Biofuels Input'!S25</f>
        <v>0</v>
      </c>
      <c r="V40" s="524">
        <f>'Biofuels Input'!T25</f>
        <v>0</v>
      </c>
      <c r="W40" s="524">
        <f>'Biofuels Input'!U25</f>
        <v>0</v>
      </c>
      <c r="X40" s="524">
        <f>'Biofuels Input'!V25</f>
        <v>0</v>
      </c>
      <c r="Y40" s="524">
        <f>'Biofuels Input'!W25</f>
        <v>0</v>
      </c>
      <c r="Z40" s="524">
        <f>'Biofuels Input'!X25</f>
        <v>0</v>
      </c>
      <c r="AA40" s="524">
        <f>'Biofuels Input'!Y25</f>
        <v>0</v>
      </c>
      <c r="AB40" s="524">
        <f>'Biofuels Input'!Z25</f>
        <v>0</v>
      </c>
      <c r="AC40" s="524">
        <f>'Biofuels Input'!AA25</f>
        <v>0</v>
      </c>
      <c r="AD40" s="524">
        <f>'Biofuels Input'!AB25</f>
        <v>0</v>
      </c>
      <c r="AE40" s="524">
        <f>'Biofuels Input'!AC25</f>
        <v>0</v>
      </c>
      <c r="AF40" s="524">
        <f>'Biofuels Input'!AD25</f>
        <v>0</v>
      </c>
      <c r="AG40" s="524">
        <f>'Biofuels Input'!AF15/1000</f>
        <v>0</v>
      </c>
      <c r="AH40" s="524">
        <f>'Biofuels Input'!AF25</f>
        <v>0</v>
      </c>
      <c r="AI40" s="524">
        <f>'Biofuels Input'!AE14/1000</f>
        <v>0</v>
      </c>
      <c r="AL40" s="513">
        <v>0</v>
      </c>
    </row>
    <row r="41" spans="1:38" outlineLevel="3">
      <c r="A41" s="518"/>
      <c r="B41" s="518"/>
      <c r="C41" s="522" t="s">
        <v>566</v>
      </c>
      <c r="D41" s="518"/>
      <c r="E41" s="560">
        <f>SUM(F41:AI41)</f>
        <v>119.30899999999998</v>
      </c>
      <c r="F41" s="524">
        <f>'Ren &amp; Waste'!C8</f>
        <v>0.98199999999999998</v>
      </c>
      <c r="G41" s="524">
        <f>'Ren &amp; Waste'!D8</f>
        <v>1.9E-2</v>
      </c>
      <c r="H41" s="524">
        <f>'Ren &amp; Waste'!E8</f>
        <v>0</v>
      </c>
      <c r="I41" s="524">
        <f>'Ren &amp; Waste'!F8</f>
        <v>0</v>
      </c>
      <c r="J41" s="524">
        <f>'Ren &amp; Waste'!G8</f>
        <v>0.44600000000000001</v>
      </c>
      <c r="K41" s="524">
        <f>'Ren &amp; Waste'!H8</f>
        <v>0</v>
      </c>
      <c r="L41" s="524">
        <f>'Ren &amp; Waste'!I8</f>
        <v>0.02</v>
      </c>
      <c r="M41" s="524">
        <f>'Ren &amp; Waste'!J8</f>
        <v>1.6E-2</v>
      </c>
      <c r="N41" s="524">
        <f>'Ren &amp; Waste'!K8</f>
        <v>11.215</v>
      </c>
      <c r="O41" s="524">
        <f>'Ren &amp; Waste'!L8</f>
        <v>0</v>
      </c>
      <c r="P41" s="524">
        <f>'Ren &amp; Waste'!M8</f>
        <v>18.812000000000001</v>
      </c>
      <c r="Q41" s="524">
        <f>'Ren &amp; Waste'!N8</f>
        <v>0</v>
      </c>
      <c r="R41" s="524">
        <f>'Ren &amp; Waste'!O8</f>
        <v>0</v>
      </c>
      <c r="S41" s="524">
        <f>'Ren &amp; Waste'!P8</f>
        <v>0</v>
      </c>
      <c r="T41" s="524">
        <f>'Ren &amp; Waste'!Q8</f>
        <v>0.6</v>
      </c>
      <c r="U41" s="524">
        <f>'Ren &amp; Waste'!R8</f>
        <v>0</v>
      </c>
      <c r="V41" s="524">
        <f>'Ren &amp; Waste'!S8</f>
        <v>0</v>
      </c>
      <c r="W41" s="524">
        <f>'Ren &amp; Waste'!T8</f>
        <v>1.9E-2</v>
      </c>
      <c r="X41" s="524">
        <f>'Ren &amp; Waste'!U8</f>
        <v>0</v>
      </c>
      <c r="Y41" s="524">
        <f>'Ren &amp; Waste'!V8</f>
        <v>15.29</v>
      </c>
      <c r="Z41" s="524">
        <f>'Ren &amp; Waste'!W8</f>
        <v>0</v>
      </c>
      <c r="AA41" s="524">
        <f>'Ren &amp; Waste'!X8</f>
        <v>4.6680000000000001</v>
      </c>
      <c r="AB41" s="524">
        <f>'Ren &amp; Waste'!Y8</f>
        <v>0</v>
      </c>
      <c r="AC41" s="524">
        <f>'Ren &amp; Waste'!Z8</f>
        <v>0</v>
      </c>
      <c r="AD41" s="524">
        <f>'Ren &amp; Waste'!AA8</f>
        <v>0.10100000000000001</v>
      </c>
      <c r="AE41" s="524">
        <f>'Ren &amp; Waste'!AB8</f>
        <v>6.0000000000000001E-3</v>
      </c>
      <c r="AF41" s="524">
        <f>'Ren &amp; Waste'!AC8</f>
        <v>65.518000000000001</v>
      </c>
      <c r="AG41" s="524">
        <f>'Ren &amp; Waste'!AF75/1000</f>
        <v>1.597</v>
      </c>
      <c r="AH41" s="524">
        <f>'Ren &amp; Waste'!AE8</f>
        <v>0</v>
      </c>
      <c r="AI41" s="524">
        <f>'Ren &amp; Waste'!AE75/1000-'Ren &amp; Waste'!AE91/1000</f>
        <v>0</v>
      </c>
      <c r="AL41" s="513">
        <v>1.597</v>
      </c>
    </row>
    <row r="42" spans="1:38" outlineLevel="3">
      <c r="A42" s="518"/>
      <c r="B42" s="518"/>
      <c r="C42" s="522" t="s">
        <v>567</v>
      </c>
      <c r="D42" s="518"/>
      <c r="E42" s="560">
        <f>SUM(F42:AI42)</f>
        <v>62.725999999999992</v>
      </c>
      <c r="F42" s="524">
        <f>'Ren &amp; Waste'!C9</f>
        <v>0</v>
      </c>
      <c r="G42" s="524">
        <f>'Ren &amp; Waste'!D9</f>
        <v>35.658000000000001</v>
      </c>
      <c r="H42" s="524">
        <f>'Ren &amp; Waste'!E9</f>
        <v>8.9999999999999993E-3</v>
      </c>
      <c r="I42" s="524">
        <f>'Ren &amp; Waste'!F9</f>
        <v>0.224</v>
      </c>
      <c r="J42" s="524">
        <f>'Ren &amp; Waste'!G9</f>
        <v>0</v>
      </c>
      <c r="K42" s="524">
        <f>'Ren &amp; Waste'!H9</f>
        <v>0</v>
      </c>
      <c r="L42" s="524">
        <f>'Ren &amp; Waste'!I9</f>
        <v>0</v>
      </c>
      <c r="M42" s="524">
        <f>'Ren &amp; Waste'!J9</f>
        <v>0</v>
      </c>
      <c r="N42" s="524">
        <f>'Ren &amp; Waste'!K9</f>
        <v>0</v>
      </c>
      <c r="O42" s="524">
        <f>'Ren &amp; Waste'!L9</f>
        <v>0</v>
      </c>
      <c r="P42" s="524">
        <f>'Ren &amp; Waste'!M9</f>
        <v>4.9130000000000003</v>
      </c>
      <c r="Q42" s="524">
        <f>'Ren &amp; Waste'!N9</f>
        <v>0</v>
      </c>
      <c r="R42" s="524">
        <f>'Ren &amp; Waste'!O9</f>
        <v>0</v>
      </c>
      <c r="S42" s="524">
        <f>'Ren &amp; Waste'!P9</f>
        <v>1.6E-2</v>
      </c>
      <c r="T42" s="524">
        <f>'Ren &amp; Waste'!Q9</f>
        <v>13.222</v>
      </c>
      <c r="U42" s="524">
        <f>'Ren &amp; Waste'!R9</f>
        <v>0</v>
      </c>
      <c r="V42" s="524">
        <f>'Ren &amp; Waste'!S9</f>
        <v>0</v>
      </c>
      <c r="W42" s="524">
        <f>'Ren &amp; Waste'!T9</f>
        <v>0</v>
      </c>
      <c r="X42" s="524">
        <f>'Ren &amp; Waste'!U9</f>
        <v>0</v>
      </c>
      <c r="Y42" s="524">
        <f>'Ren &amp; Waste'!V9</f>
        <v>0</v>
      </c>
      <c r="Z42" s="524">
        <f>'Ren &amp; Waste'!W9</f>
        <v>3.7370000000000001</v>
      </c>
      <c r="AA42" s="524">
        <f>'Ren &amp; Waste'!X9</f>
        <v>0</v>
      </c>
      <c r="AB42" s="524">
        <f>'Ren &amp; Waste'!Y9</f>
        <v>0.28499999999999998</v>
      </c>
      <c r="AC42" s="524">
        <f>'Ren &amp; Waste'!Z9</f>
        <v>3.1139999999999999</v>
      </c>
      <c r="AD42" s="524">
        <f>'Ren &amp; Waste'!AA9</f>
        <v>3.5000000000000003E-2</v>
      </c>
      <c r="AE42" s="524">
        <f>'Ren &amp; Waste'!AB9</f>
        <v>0</v>
      </c>
      <c r="AF42" s="524">
        <f>'Ren &amp; Waste'!AC9</f>
        <v>0</v>
      </c>
      <c r="AG42" s="524">
        <f>'Ren &amp; Waste'!AF91/1000</f>
        <v>0</v>
      </c>
      <c r="AH42" s="524">
        <f>'Ren &amp; Waste'!AE9</f>
        <v>0</v>
      </c>
      <c r="AI42" s="524">
        <f>'Ren &amp; Waste'!AE91/1000</f>
        <v>1.5129999999999999</v>
      </c>
      <c r="AL42" s="513">
        <v>0</v>
      </c>
    </row>
    <row r="43" spans="1:38" outlineLevel="3">
      <c r="A43" s="518"/>
      <c r="B43" s="518"/>
      <c r="C43" s="559" t="s">
        <v>568</v>
      </c>
      <c r="D43" s="518"/>
      <c r="E43" s="560">
        <f>SUM(F43:AI43)</f>
        <v>613.3420000000001</v>
      </c>
      <c r="F43" s="560">
        <f t="shared" ref="F43:AI43" si="11">SUM(F29+F31+F36+F40+F41+F42)</f>
        <v>23.464999999999996</v>
      </c>
      <c r="G43" s="560">
        <f t="shared" si="11"/>
        <v>35.677</v>
      </c>
      <c r="H43" s="560">
        <f t="shared" si="11"/>
        <v>0.78700000000000003</v>
      </c>
      <c r="I43" s="560">
        <f t="shared" si="11"/>
        <v>0.224</v>
      </c>
      <c r="J43" s="560">
        <f t="shared" si="11"/>
        <v>8.92</v>
      </c>
      <c r="K43" s="560">
        <f t="shared" si="11"/>
        <v>206.85299999999998</v>
      </c>
      <c r="L43" s="560">
        <f t="shared" si="11"/>
        <v>0.02</v>
      </c>
      <c r="M43" s="560">
        <f t="shared" si="11"/>
        <v>0.187</v>
      </c>
      <c r="N43" s="560">
        <f t="shared" si="11"/>
        <v>13.178000000000001</v>
      </c>
      <c r="O43" s="560">
        <f t="shared" si="11"/>
        <v>8.3320000000000007</v>
      </c>
      <c r="P43" s="560">
        <f t="shared" si="11"/>
        <v>73.602000000000004</v>
      </c>
      <c r="Q43" s="560">
        <f t="shared" si="11"/>
        <v>0.21299999999999999</v>
      </c>
      <c r="R43" s="560">
        <f t="shared" si="11"/>
        <v>1.6E-2</v>
      </c>
      <c r="S43" s="560">
        <f t="shared" si="11"/>
        <v>1.6E-2</v>
      </c>
      <c r="T43" s="560">
        <f t="shared" si="11"/>
        <v>42.301000000000002</v>
      </c>
      <c r="U43" s="560">
        <f t="shared" si="11"/>
        <v>0</v>
      </c>
      <c r="V43" s="560">
        <f t="shared" si="11"/>
        <v>0</v>
      </c>
      <c r="W43" s="560">
        <f t="shared" si="11"/>
        <v>1.9E-2</v>
      </c>
      <c r="X43" s="560">
        <f t="shared" si="11"/>
        <v>0</v>
      </c>
      <c r="Y43" s="560">
        <f t="shared" si="11"/>
        <v>16.541999999999998</v>
      </c>
      <c r="Z43" s="560">
        <f t="shared" si="11"/>
        <v>3.7370000000000001</v>
      </c>
      <c r="AA43" s="560">
        <f t="shared" si="11"/>
        <v>4.9039999999999999</v>
      </c>
      <c r="AB43" s="560">
        <f t="shared" si="11"/>
        <v>1.194</v>
      </c>
      <c r="AC43" s="560">
        <f t="shared" si="11"/>
        <v>6.2149999999999999</v>
      </c>
      <c r="AD43" s="560">
        <f t="shared" si="11"/>
        <v>0.13600000000000001</v>
      </c>
      <c r="AE43" s="560">
        <f t="shared" si="11"/>
        <v>6.0000000000000001E-3</v>
      </c>
      <c r="AF43" s="560">
        <f t="shared" si="11"/>
        <v>157.01</v>
      </c>
      <c r="AG43" s="560">
        <f t="shared" si="11"/>
        <v>6.16</v>
      </c>
      <c r="AH43" s="560">
        <f t="shared" si="11"/>
        <v>0</v>
      </c>
      <c r="AI43" s="560">
        <f t="shared" si="11"/>
        <v>3.6279999999999997</v>
      </c>
      <c r="AL43" s="513">
        <v>6.16</v>
      </c>
    </row>
    <row r="44" spans="1:38" ht="9.75" customHeight="1" outlineLevel="3">
      <c r="A44" s="518"/>
      <c r="B44" s="518"/>
      <c r="C44" s="559"/>
      <c r="D44" s="518"/>
      <c r="E44" s="567"/>
      <c r="F44" s="567"/>
      <c r="G44" s="567"/>
      <c r="H44" s="567"/>
      <c r="I44" s="567"/>
      <c r="J44" s="567"/>
      <c r="K44" s="567"/>
      <c r="L44" s="567"/>
      <c r="M44" s="567"/>
      <c r="N44" s="567"/>
      <c r="O44" s="567"/>
      <c r="P44" s="567"/>
      <c r="Q44" s="567"/>
      <c r="R44" s="567"/>
      <c r="S44" s="567"/>
      <c r="T44" s="567"/>
      <c r="U44" s="567"/>
      <c r="V44" s="567"/>
      <c r="W44" s="567"/>
      <c r="X44" s="567"/>
      <c r="Y44" s="567"/>
      <c r="Z44" s="567"/>
      <c r="AA44" s="567"/>
      <c r="AB44" s="567"/>
      <c r="AC44" s="567"/>
      <c r="AD44" s="567"/>
      <c r="AE44" s="567"/>
      <c r="AF44" s="567"/>
      <c r="AG44" s="567"/>
      <c r="AH44" s="567"/>
      <c r="AI44" s="567"/>
    </row>
    <row r="45" spans="1:38" s="704" customFormat="1" outlineLevel="3">
      <c r="A45" s="701"/>
      <c r="B45" s="701"/>
      <c r="C45" s="698" t="s">
        <v>1071</v>
      </c>
      <c r="D45" s="701"/>
      <c r="E45" s="702"/>
      <c r="F45" s="703">
        <f>IF(F30&gt;F29,1,IF(F29&gt;0,F30/F29,0))</f>
        <v>1</v>
      </c>
      <c r="G45" s="703">
        <f t="shared" ref="G45:AI45" si="12">IF(G30&gt;G29,1,IF(G29&gt;0,G30/G29,0))</f>
        <v>0</v>
      </c>
      <c r="H45" s="703">
        <f t="shared" si="12"/>
        <v>0</v>
      </c>
      <c r="I45" s="703">
        <f t="shared" si="12"/>
        <v>0</v>
      </c>
      <c r="J45" s="703">
        <f t="shared" si="12"/>
        <v>0</v>
      </c>
      <c r="K45" s="703">
        <f t="shared" si="12"/>
        <v>0.80618073700333359</v>
      </c>
      <c r="L45" s="703">
        <f t="shared" si="12"/>
        <v>0</v>
      </c>
      <c r="M45" s="703">
        <f t="shared" si="12"/>
        <v>0</v>
      </c>
      <c r="N45" s="703">
        <f t="shared" si="12"/>
        <v>0</v>
      </c>
      <c r="O45" s="703">
        <f t="shared" si="12"/>
        <v>0</v>
      </c>
      <c r="P45" s="703">
        <f t="shared" si="12"/>
        <v>1</v>
      </c>
      <c r="Q45" s="703">
        <f t="shared" si="12"/>
        <v>0</v>
      </c>
      <c r="R45" s="703">
        <f t="shared" si="12"/>
        <v>0</v>
      </c>
      <c r="S45" s="703">
        <f t="shared" si="12"/>
        <v>0</v>
      </c>
      <c r="T45" s="703">
        <f t="shared" si="12"/>
        <v>1</v>
      </c>
      <c r="U45" s="703">
        <f t="shared" si="12"/>
        <v>0</v>
      </c>
      <c r="V45" s="703">
        <f t="shared" si="12"/>
        <v>0</v>
      </c>
      <c r="W45" s="703">
        <f t="shared" si="12"/>
        <v>0</v>
      </c>
      <c r="X45" s="703">
        <f t="shared" si="12"/>
        <v>0</v>
      </c>
      <c r="Y45" s="703">
        <f t="shared" si="12"/>
        <v>0</v>
      </c>
      <c r="Z45" s="703">
        <f t="shared" si="12"/>
        <v>0</v>
      </c>
      <c r="AA45" s="703">
        <f t="shared" si="12"/>
        <v>0</v>
      </c>
      <c r="AB45" s="703">
        <f t="shared" si="12"/>
        <v>0</v>
      </c>
      <c r="AC45" s="703">
        <f t="shared" si="12"/>
        <v>0</v>
      </c>
      <c r="AD45" s="703">
        <f t="shared" si="12"/>
        <v>0</v>
      </c>
      <c r="AE45" s="703">
        <f t="shared" si="12"/>
        <v>0</v>
      </c>
      <c r="AF45" s="703">
        <f t="shared" si="12"/>
        <v>1</v>
      </c>
      <c r="AG45" s="703">
        <f t="shared" si="12"/>
        <v>0</v>
      </c>
      <c r="AH45" s="703">
        <f t="shared" si="12"/>
        <v>0</v>
      </c>
      <c r="AI45" s="703">
        <f t="shared" si="12"/>
        <v>0</v>
      </c>
    </row>
    <row r="46" spans="1:38" s="704" customFormat="1" outlineLevel="3">
      <c r="A46" s="701"/>
      <c r="B46" s="701"/>
      <c r="C46" s="698" t="s">
        <v>1073</v>
      </c>
      <c r="D46" s="701"/>
      <c r="E46" s="702"/>
      <c r="F46" s="703">
        <f>IF(F38&gt;F36,1,IF(F36&gt;0,F38/F36,0))</f>
        <v>4.4585987261146494E-2</v>
      </c>
      <c r="G46" s="703">
        <f t="shared" ref="G46:AI46" si="13">IF(G38&gt;G36,1,IF(G36&gt;0,G38/G36,0))</f>
        <v>1</v>
      </c>
      <c r="H46" s="703">
        <f t="shared" si="13"/>
        <v>1</v>
      </c>
      <c r="I46" s="703">
        <f t="shared" si="13"/>
        <v>0</v>
      </c>
      <c r="J46" s="703">
        <f t="shared" si="13"/>
        <v>1</v>
      </c>
      <c r="K46" s="703">
        <f t="shared" si="13"/>
        <v>9.6118712458762134E-2</v>
      </c>
      <c r="L46" s="703">
        <f t="shared" si="13"/>
        <v>0</v>
      </c>
      <c r="M46" s="703">
        <f t="shared" si="13"/>
        <v>0.92397660818713445</v>
      </c>
      <c r="N46" s="703">
        <f>IF(N38&gt;N36,1,IF(N36&gt;0,N38/N36,0))</f>
        <v>0.57361181864493116</v>
      </c>
      <c r="O46" s="703">
        <f t="shared" si="13"/>
        <v>5.047955577990914E-2</v>
      </c>
      <c r="P46" s="703">
        <f t="shared" si="13"/>
        <v>9.9461400359066421E-2</v>
      </c>
      <c r="Q46" s="703">
        <f t="shared" si="13"/>
        <v>0</v>
      </c>
      <c r="R46" s="703">
        <f t="shared" si="13"/>
        <v>0</v>
      </c>
      <c r="S46" s="703">
        <f t="shared" si="13"/>
        <v>0</v>
      </c>
      <c r="T46" s="703">
        <f t="shared" si="13"/>
        <v>1.4856341976173791E-2</v>
      </c>
      <c r="U46" s="703">
        <f t="shared" si="13"/>
        <v>0</v>
      </c>
      <c r="V46" s="703">
        <f t="shared" si="13"/>
        <v>0</v>
      </c>
      <c r="W46" s="703">
        <f t="shared" si="13"/>
        <v>0</v>
      </c>
      <c r="X46" s="703">
        <f t="shared" si="13"/>
        <v>0</v>
      </c>
      <c r="Y46" s="703">
        <f t="shared" si="13"/>
        <v>0.37300319488817896</v>
      </c>
      <c r="Z46" s="703">
        <f t="shared" si="13"/>
        <v>1</v>
      </c>
      <c r="AA46" s="703">
        <f t="shared" si="13"/>
        <v>0</v>
      </c>
      <c r="AB46" s="703">
        <f t="shared" si="13"/>
        <v>1</v>
      </c>
      <c r="AC46" s="703">
        <f t="shared" si="13"/>
        <v>1.3067624959163672E-3</v>
      </c>
      <c r="AD46" s="703">
        <f t="shared" si="13"/>
        <v>0</v>
      </c>
      <c r="AE46" s="703">
        <f t="shared" si="13"/>
        <v>1</v>
      </c>
      <c r="AF46" s="703">
        <f t="shared" si="13"/>
        <v>3.5482284299258808E-2</v>
      </c>
      <c r="AG46" s="703">
        <f t="shared" si="13"/>
        <v>0</v>
      </c>
      <c r="AH46" s="703">
        <f t="shared" si="13"/>
        <v>0</v>
      </c>
      <c r="AI46" s="703">
        <f t="shared" si="13"/>
        <v>0</v>
      </c>
    </row>
    <row r="47" spans="1:38" s="704" customFormat="1" outlineLevel="3">
      <c r="A47" s="701"/>
      <c r="B47" s="701"/>
      <c r="C47" s="698" t="s">
        <v>1072</v>
      </c>
      <c r="D47" s="701"/>
      <c r="E47" s="702"/>
      <c r="F47" s="703">
        <f>IF(F39&gt;F36,1,IF(F36&gt;0,F39/F36,0))</f>
        <v>8.6461580159913259E-2</v>
      </c>
      <c r="G47" s="703">
        <f t="shared" ref="G47:AI47" si="14">IF(G39&gt;G36,1,IF(G36&gt;0,G39/G36,0))</f>
        <v>0</v>
      </c>
      <c r="H47" s="703">
        <f t="shared" si="14"/>
        <v>0</v>
      </c>
      <c r="I47" s="703">
        <f t="shared" si="14"/>
        <v>0</v>
      </c>
      <c r="J47" s="703">
        <f t="shared" si="14"/>
        <v>0</v>
      </c>
      <c r="K47" s="703">
        <f t="shared" si="14"/>
        <v>0.12003995636344518</v>
      </c>
      <c r="L47" s="703">
        <f t="shared" si="14"/>
        <v>0</v>
      </c>
      <c r="M47" s="703">
        <f t="shared" si="14"/>
        <v>0</v>
      </c>
      <c r="N47" s="703">
        <f>IF(N39&gt;N36,1,IF(N36&gt;0,N39/N36,0))</f>
        <v>0.42638818135506884</v>
      </c>
      <c r="O47" s="703">
        <f t="shared" si="14"/>
        <v>4.7576981322564361E-2</v>
      </c>
      <c r="P47" s="703">
        <f t="shared" si="14"/>
        <v>9.1352483542788743E-2</v>
      </c>
      <c r="Q47" s="703">
        <f t="shared" si="14"/>
        <v>0</v>
      </c>
      <c r="R47" s="703">
        <f t="shared" si="14"/>
        <v>0</v>
      </c>
      <c r="S47" s="703">
        <f t="shared" si="14"/>
        <v>0</v>
      </c>
      <c r="T47" s="703">
        <f t="shared" si="14"/>
        <v>0.11506657323055361</v>
      </c>
      <c r="U47" s="703">
        <f t="shared" si="14"/>
        <v>0</v>
      </c>
      <c r="V47" s="703">
        <f t="shared" si="14"/>
        <v>0</v>
      </c>
      <c r="W47" s="703">
        <f t="shared" si="14"/>
        <v>0</v>
      </c>
      <c r="X47" s="703">
        <f t="shared" si="14"/>
        <v>0</v>
      </c>
      <c r="Y47" s="703">
        <f t="shared" si="14"/>
        <v>0</v>
      </c>
      <c r="Z47" s="703">
        <f t="shared" si="14"/>
        <v>0</v>
      </c>
      <c r="AA47" s="703">
        <f t="shared" si="14"/>
        <v>0</v>
      </c>
      <c r="AB47" s="703">
        <f t="shared" si="14"/>
        <v>0</v>
      </c>
      <c r="AC47" s="703">
        <f t="shared" si="14"/>
        <v>5.9131002940215616E-2</v>
      </c>
      <c r="AD47" s="703">
        <f t="shared" si="14"/>
        <v>0</v>
      </c>
      <c r="AE47" s="703">
        <f t="shared" si="14"/>
        <v>0</v>
      </c>
      <c r="AF47" s="703">
        <f t="shared" si="14"/>
        <v>0.1112128767448566</v>
      </c>
      <c r="AG47" s="703">
        <f t="shared" si="14"/>
        <v>0</v>
      </c>
      <c r="AH47" s="703">
        <f t="shared" si="14"/>
        <v>0</v>
      </c>
      <c r="AI47" s="703">
        <f t="shared" si="14"/>
        <v>0</v>
      </c>
    </row>
    <row r="48" spans="1:38" s="704" customFormat="1" outlineLevel="3">
      <c r="A48" s="701"/>
      <c r="B48" s="701"/>
      <c r="C48" s="698" t="s">
        <v>1070</v>
      </c>
      <c r="D48" s="701"/>
      <c r="E48" s="702"/>
      <c r="F48" s="703">
        <f>IF(F33&gt;F31,1,IF(F31&gt;0,F33/F31,0))</f>
        <v>1</v>
      </c>
      <c r="G48" s="703">
        <f t="shared" ref="G48:AI48" si="15">IF(G33&gt;G31,1,IF(G31&gt;0,G33/G31,0))</f>
        <v>0</v>
      </c>
      <c r="H48" s="703">
        <f t="shared" si="15"/>
        <v>0</v>
      </c>
      <c r="I48" s="703">
        <f t="shared" si="15"/>
        <v>0</v>
      </c>
      <c r="J48" s="703">
        <f t="shared" si="15"/>
        <v>0.12229102167182662</v>
      </c>
      <c r="K48" s="703">
        <f t="shared" si="15"/>
        <v>0</v>
      </c>
      <c r="L48" s="703">
        <f t="shared" si="15"/>
        <v>0</v>
      </c>
      <c r="M48" s="703">
        <f t="shared" si="15"/>
        <v>0</v>
      </c>
      <c r="N48" s="703">
        <f t="shared" si="15"/>
        <v>0</v>
      </c>
      <c r="O48" s="703">
        <f t="shared" si="15"/>
        <v>1</v>
      </c>
      <c r="P48" s="703">
        <f t="shared" si="15"/>
        <v>0.77967858994297567</v>
      </c>
      <c r="Q48" s="703">
        <f t="shared" si="15"/>
        <v>0</v>
      </c>
      <c r="R48" s="703">
        <f t="shared" si="15"/>
        <v>0</v>
      </c>
      <c r="S48" s="703">
        <f t="shared" si="15"/>
        <v>0</v>
      </c>
      <c r="T48" s="703">
        <f t="shared" si="15"/>
        <v>0.13699320070511206</v>
      </c>
      <c r="U48" s="703">
        <f t="shared" si="15"/>
        <v>0</v>
      </c>
      <c r="V48" s="703">
        <f t="shared" si="15"/>
        <v>0</v>
      </c>
      <c r="W48" s="703">
        <f t="shared" si="15"/>
        <v>0</v>
      </c>
      <c r="X48" s="703">
        <f t="shared" si="15"/>
        <v>0</v>
      </c>
      <c r="Y48" s="703">
        <f t="shared" si="15"/>
        <v>0</v>
      </c>
      <c r="Z48" s="703">
        <f t="shared" si="15"/>
        <v>0</v>
      </c>
      <c r="AA48" s="703">
        <f t="shared" si="15"/>
        <v>0.74233128834355822</v>
      </c>
      <c r="AB48" s="703">
        <f t="shared" si="15"/>
        <v>0.11566617862371888</v>
      </c>
      <c r="AC48" s="703">
        <f t="shared" si="15"/>
        <v>1</v>
      </c>
      <c r="AD48" s="703">
        <f t="shared" si="15"/>
        <v>0</v>
      </c>
      <c r="AE48" s="703">
        <f t="shared" si="15"/>
        <v>0</v>
      </c>
      <c r="AF48" s="703">
        <f t="shared" si="15"/>
        <v>1</v>
      </c>
      <c r="AG48" s="703">
        <f t="shared" si="15"/>
        <v>0</v>
      </c>
      <c r="AH48" s="703">
        <f t="shared" si="15"/>
        <v>0</v>
      </c>
      <c r="AI48" s="703">
        <f t="shared" si="15"/>
        <v>0</v>
      </c>
    </row>
    <row r="49" spans="1:35" outlineLevel="3">
      <c r="A49" s="518"/>
      <c r="B49" s="518"/>
      <c r="C49" s="559"/>
      <c r="D49" s="518"/>
      <c r="E49" s="560"/>
      <c r="F49" s="560"/>
      <c r="G49" s="560"/>
      <c r="H49" s="560"/>
      <c r="I49" s="560"/>
      <c r="J49" s="560"/>
      <c r="K49" s="560"/>
      <c r="L49" s="560"/>
      <c r="M49" s="560"/>
      <c r="N49" s="560"/>
      <c r="O49" s="560"/>
      <c r="P49" s="560"/>
      <c r="Q49" s="560"/>
      <c r="R49" s="560"/>
      <c r="S49" s="560"/>
      <c r="T49" s="560"/>
      <c r="U49" s="560"/>
      <c r="V49" s="560"/>
      <c r="W49" s="560"/>
      <c r="X49" s="560"/>
      <c r="Y49" s="560"/>
      <c r="Z49" s="560"/>
      <c r="AA49" s="560"/>
      <c r="AB49" s="560"/>
      <c r="AC49" s="560"/>
      <c r="AD49" s="560"/>
      <c r="AE49" s="560"/>
      <c r="AF49" s="560"/>
      <c r="AG49" s="560"/>
      <c r="AH49" s="560"/>
      <c r="AI49" s="560"/>
    </row>
    <row r="50" spans="1:35" outlineLevel="1">
      <c r="B50" s="753" t="s">
        <v>203</v>
      </c>
      <c r="C50" s="753"/>
      <c r="D50" s="556"/>
      <c r="E50" s="517">
        <f t="shared" ref="E50:E55" si="16">SUM(F50:AI50)</f>
        <v>0</v>
      </c>
      <c r="F50" s="517"/>
      <c r="G50" s="517"/>
      <c r="H50" s="517"/>
      <c r="I50" s="517"/>
      <c r="J50" s="517"/>
      <c r="K50" s="517"/>
      <c r="L50" s="517"/>
      <c r="M50" s="517"/>
      <c r="N50" s="517"/>
      <c r="O50" s="517"/>
      <c r="P50" s="517"/>
      <c r="Q50" s="517"/>
      <c r="R50" s="517"/>
      <c r="S50" s="517"/>
      <c r="T50" s="517"/>
      <c r="U50" s="517"/>
      <c r="V50" s="517"/>
      <c r="W50" s="517"/>
      <c r="X50" s="517"/>
      <c r="Y50" s="517"/>
      <c r="Z50" s="517"/>
      <c r="AA50" s="517"/>
      <c r="AB50" s="517"/>
      <c r="AC50" s="517"/>
      <c r="AD50" s="517"/>
      <c r="AE50" s="517"/>
      <c r="AF50" s="517"/>
      <c r="AG50" s="517"/>
      <c r="AH50" s="517"/>
      <c r="AI50" s="517"/>
    </row>
    <row r="51" spans="1:35" outlineLevel="1">
      <c r="B51" s="528"/>
      <c r="C51" s="528" t="s">
        <v>570</v>
      </c>
      <c r="D51" s="556"/>
      <c r="E51" s="517">
        <f t="shared" si="16"/>
        <v>5081.6400000000003</v>
      </c>
      <c r="F51" s="517">
        <f>'Transformation Input'!U14/1000</f>
        <v>59.186</v>
      </c>
      <c r="G51" s="517">
        <f>'Transformation Input'!C14/1000</f>
        <v>52.012999999999998</v>
      </c>
      <c r="H51" s="517">
        <f>'Transformation Input'!D14/1000</f>
        <v>84.998000000000005</v>
      </c>
      <c r="I51" s="517"/>
      <c r="J51" s="517">
        <f>'Transformation Input'!E14/1000</f>
        <v>219.78100000000001</v>
      </c>
      <c r="K51" s="517">
        <f>'Transformation Input'!G14/1000</f>
        <v>770.13599999999997</v>
      </c>
      <c r="L51" s="517">
        <f>'Transformation Input'!F14/1000</f>
        <v>262.66500000000002</v>
      </c>
      <c r="M51" s="517">
        <f>'Transformation Input'!H14/1000</f>
        <v>17.672000000000001</v>
      </c>
      <c r="N51" s="517">
        <f>'Transformation Input'!K14</f>
        <v>0</v>
      </c>
      <c r="O51" s="517">
        <f>'Transformation Input'!AA14/1000</f>
        <v>214.11799999999999</v>
      </c>
      <c r="P51" s="517">
        <f>'Transformation Input'!L14/1000</f>
        <v>114.038</v>
      </c>
      <c r="Q51" s="517">
        <f>'Transformation Input'!J14/1000</f>
        <v>70.846999999999994</v>
      </c>
      <c r="R51" s="517">
        <f>'Transformation Input'!R14/1000</f>
        <v>92.576999999999998</v>
      </c>
      <c r="S51" s="517">
        <f>'Transformation Input'!I14/1000</f>
        <v>0</v>
      </c>
      <c r="T51" s="517">
        <f>'Transformation Input'!M14/1000</f>
        <v>652.77700000000004</v>
      </c>
      <c r="U51" s="517">
        <f>'Transformation Input'!P14/1000</f>
        <v>49.987000000000002</v>
      </c>
      <c r="V51" s="517">
        <f>'Transformation Input'!Q14/1000</f>
        <v>0</v>
      </c>
      <c r="W51" s="517">
        <f>'Transformation Input'!O14/1000</f>
        <v>23.146999999999998</v>
      </c>
      <c r="X51" s="517">
        <f>'Transformation Input'!S14/1000</f>
        <v>0</v>
      </c>
      <c r="Y51" s="517">
        <f>'Transformation Input'!T14/1000</f>
        <v>391.29199999999997</v>
      </c>
      <c r="Z51" s="517">
        <f>'Transformation Input'!V14/1000</f>
        <v>1510.396</v>
      </c>
      <c r="AA51" s="517">
        <f>'Transformation Input'!W14/1000</f>
        <v>11.223000000000001</v>
      </c>
      <c r="AB51" s="517">
        <f>'Transformation Input'!X14/1000</f>
        <v>223.953</v>
      </c>
      <c r="AC51" s="517">
        <f>'Transformation Input'!AB14/1000</f>
        <v>127.151</v>
      </c>
      <c r="AD51" s="517">
        <f>'Transformation Input'!Y14/1000</f>
        <v>53.987000000000002</v>
      </c>
      <c r="AE51" s="517">
        <f>'Transformation Input'!Z14/1000</f>
        <v>79.695999999999998</v>
      </c>
      <c r="AF51" s="517">
        <f>'Transformation Input'!AC14/1000</f>
        <v>0</v>
      </c>
      <c r="AG51" s="517"/>
      <c r="AH51" s="517"/>
      <c r="AI51" s="517"/>
    </row>
    <row r="52" spans="1:35" outlineLevel="1">
      <c r="B52" s="528"/>
      <c r="C52" s="528" t="s">
        <v>569</v>
      </c>
      <c r="D52" s="556"/>
      <c r="E52" s="517">
        <f t="shared" si="16"/>
        <v>0</v>
      </c>
      <c r="F52" s="517"/>
      <c r="G52" s="517"/>
      <c r="H52" s="517"/>
      <c r="I52" s="517"/>
      <c r="J52" s="517"/>
      <c r="K52" s="517"/>
      <c r="L52" s="517"/>
      <c r="M52" s="517"/>
      <c r="N52" s="517"/>
      <c r="O52" s="517"/>
      <c r="P52" s="517"/>
      <c r="Q52" s="517"/>
      <c r="R52" s="517"/>
      <c r="S52" s="517"/>
      <c r="T52" s="517"/>
      <c r="U52" s="517"/>
      <c r="V52" s="517"/>
      <c r="W52" s="517"/>
      <c r="X52" s="517"/>
      <c r="Y52" s="517"/>
      <c r="Z52" s="517"/>
      <c r="AA52" s="517"/>
      <c r="AB52" s="517"/>
      <c r="AC52" s="517"/>
      <c r="AD52" s="517"/>
      <c r="AE52" s="517"/>
      <c r="AF52" s="517"/>
      <c r="AG52" s="517"/>
      <c r="AH52" s="517"/>
      <c r="AI52" s="517"/>
    </row>
    <row r="53" spans="1:35" outlineLevel="1">
      <c r="B53" s="528"/>
      <c r="C53" s="528"/>
      <c r="D53" s="556"/>
      <c r="E53" s="517">
        <f t="shared" si="16"/>
        <v>0</v>
      </c>
      <c r="F53" s="517"/>
      <c r="G53" s="517"/>
      <c r="H53" s="517"/>
      <c r="I53" s="517"/>
      <c r="J53" s="517"/>
      <c r="K53" s="517"/>
      <c r="L53" s="517"/>
      <c r="M53" s="517"/>
      <c r="N53" s="517"/>
      <c r="O53" s="517"/>
      <c r="P53" s="517"/>
      <c r="Q53" s="517"/>
      <c r="R53" s="517"/>
      <c r="S53" s="517"/>
      <c r="T53" s="517"/>
      <c r="U53" s="517"/>
      <c r="V53" s="517"/>
      <c r="W53" s="517"/>
      <c r="X53" s="517"/>
      <c r="Y53" s="517"/>
      <c r="Z53" s="517"/>
      <c r="AA53" s="517"/>
      <c r="AB53" s="517"/>
      <c r="AC53" s="517"/>
      <c r="AD53" s="517"/>
      <c r="AE53" s="517"/>
      <c r="AF53" s="517"/>
      <c r="AG53" s="517"/>
      <c r="AH53" s="517"/>
      <c r="AI53" s="517"/>
    </row>
    <row r="54" spans="1:35" outlineLevel="1">
      <c r="B54" s="528"/>
      <c r="C54" s="528"/>
      <c r="D54" s="556"/>
      <c r="E54" s="517">
        <f t="shared" si="16"/>
        <v>0</v>
      </c>
      <c r="F54" s="517"/>
      <c r="G54" s="517"/>
      <c r="H54" s="517"/>
      <c r="I54" s="517"/>
      <c r="J54" s="517"/>
      <c r="K54" s="517"/>
      <c r="L54" s="517"/>
      <c r="M54" s="517"/>
      <c r="N54" s="517"/>
      <c r="O54" s="517"/>
      <c r="P54" s="517"/>
      <c r="Q54" s="517"/>
      <c r="R54" s="517"/>
      <c r="S54" s="517"/>
      <c r="T54" s="517"/>
      <c r="U54" s="517"/>
      <c r="V54" s="517"/>
      <c r="W54" s="517"/>
      <c r="X54" s="517"/>
      <c r="Y54" s="517"/>
      <c r="Z54" s="517"/>
      <c r="AA54" s="517"/>
      <c r="AB54" s="517"/>
      <c r="AC54" s="517"/>
      <c r="AD54" s="517"/>
      <c r="AE54" s="517"/>
      <c r="AF54" s="517"/>
      <c r="AG54" s="517"/>
      <c r="AH54" s="517"/>
      <c r="AI54" s="517"/>
    </row>
    <row r="55" spans="1:35" outlineLevel="1">
      <c r="B55" s="528"/>
      <c r="C55" s="528" t="s">
        <v>571</v>
      </c>
      <c r="D55" s="556"/>
      <c r="E55" s="517">
        <f t="shared" si="16"/>
        <v>6796.4340000000011</v>
      </c>
      <c r="F55" s="517">
        <f t="shared" ref="F55:AI55" si="17">F8+F51</f>
        <v>82.662000000000006</v>
      </c>
      <c r="G55" s="517">
        <f t="shared" si="17"/>
        <v>66.744</v>
      </c>
      <c r="H55" s="517">
        <f t="shared" si="17"/>
        <v>99.721000000000004</v>
      </c>
      <c r="I55" s="517">
        <f t="shared" si="17"/>
        <v>0</v>
      </c>
      <c r="J55" s="517">
        <f t="shared" si="17"/>
        <v>289.91200000000003</v>
      </c>
      <c r="K55" s="517">
        <f t="shared" si="17"/>
        <v>1087.818</v>
      </c>
      <c r="L55" s="517">
        <f t="shared" si="17"/>
        <v>298.19500000000005</v>
      </c>
      <c r="M55" s="517">
        <f t="shared" si="17"/>
        <v>18.565000000000001</v>
      </c>
      <c r="N55" s="517">
        <f t="shared" si="17"/>
        <v>171.82900000000001</v>
      </c>
      <c r="O55" s="517">
        <f t="shared" si="17"/>
        <v>268.59800000000001</v>
      </c>
      <c r="P55" s="517">
        <f t="shared" si="17"/>
        <v>295.82900000000001</v>
      </c>
      <c r="Q55" s="517">
        <f t="shared" si="17"/>
        <v>73.031999999999996</v>
      </c>
      <c r="R55" s="517">
        <f t="shared" si="17"/>
        <v>95.703000000000003</v>
      </c>
      <c r="S55" s="517">
        <f t="shared" si="17"/>
        <v>4.5460000000000003</v>
      </c>
      <c r="T55" s="517">
        <f t="shared" si="17"/>
        <v>913.67900000000009</v>
      </c>
      <c r="U55" s="517">
        <f t="shared" si="17"/>
        <v>51.36</v>
      </c>
      <c r="V55" s="517">
        <f t="shared" si="17"/>
        <v>5.3019999999999996</v>
      </c>
      <c r="W55" s="517">
        <f t="shared" si="17"/>
        <v>24.076999999999998</v>
      </c>
      <c r="X55" s="517">
        <f t="shared" si="17"/>
        <v>0</v>
      </c>
      <c r="Y55" s="517">
        <f t="shared" si="17"/>
        <v>486.15</v>
      </c>
      <c r="Z55" s="517">
        <f t="shared" si="17"/>
        <v>1604.5450000000001</v>
      </c>
      <c r="AA55" s="517">
        <f t="shared" si="17"/>
        <v>47.147999999999996</v>
      </c>
      <c r="AB55" s="517">
        <f t="shared" si="17"/>
        <v>248.84200000000001</v>
      </c>
      <c r="AC55" s="517">
        <f t="shared" si="17"/>
        <v>182.61599999999999</v>
      </c>
      <c r="AD55" s="517">
        <f t="shared" si="17"/>
        <v>56.31</v>
      </c>
      <c r="AE55" s="517">
        <f t="shared" si="17"/>
        <v>95.463999999999999</v>
      </c>
      <c r="AF55" s="517">
        <f t="shared" si="17"/>
        <v>187.36199999999999</v>
      </c>
      <c r="AG55" s="517">
        <f t="shared" si="17"/>
        <v>40.424999999999997</v>
      </c>
      <c r="AH55" s="517">
        <f t="shared" si="17"/>
        <v>0</v>
      </c>
      <c r="AI55" s="517">
        <f t="shared" si="17"/>
        <v>0</v>
      </c>
    </row>
    <row r="56" spans="1:35" outlineLevel="1">
      <c r="B56" s="528"/>
      <c r="C56" s="528"/>
      <c r="D56" s="556"/>
      <c r="E56" s="517"/>
      <c r="F56" s="517"/>
      <c r="G56" s="517"/>
      <c r="H56" s="517"/>
      <c r="I56" s="517"/>
      <c r="J56" s="517"/>
      <c r="K56" s="517"/>
      <c r="L56" s="517"/>
      <c r="M56" s="517"/>
      <c r="N56" s="517"/>
      <c r="O56" s="517"/>
      <c r="P56" s="517"/>
      <c r="Q56" s="517"/>
      <c r="R56" s="517"/>
      <c r="S56" s="517"/>
      <c r="T56" s="517"/>
      <c r="U56" s="517"/>
      <c r="V56" s="517"/>
      <c r="W56" s="517"/>
      <c r="X56" s="517"/>
      <c r="Y56" s="517"/>
      <c r="Z56" s="517"/>
      <c r="AA56" s="517"/>
      <c r="AB56" s="517"/>
      <c r="AC56" s="517"/>
      <c r="AD56" s="517"/>
      <c r="AE56" s="517"/>
      <c r="AF56" s="517"/>
      <c r="AG56" s="517"/>
      <c r="AH56" s="517"/>
      <c r="AI56" s="517"/>
    </row>
    <row r="57" spans="1:35" ht="15.75" outlineLevel="1" thickBot="1">
      <c r="B57" s="528"/>
      <c r="C57" s="528"/>
      <c r="D57" s="556"/>
      <c r="E57" s="517"/>
      <c r="F57" s="517"/>
      <c r="G57" s="517"/>
      <c r="H57" s="517"/>
      <c r="I57" s="517"/>
      <c r="J57" s="517"/>
      <c r="K57" s="517"/>
      <c r="L57" s="517"/>
      <c r="M57" s="517"/>
      <c r="N57" s="517"/>
      <c r="O57" s="517"/>
      <c r="P57" s="517"/>
      <c r="Q57" s="517"/>
      <c r="R57" s="517"/>
      <c r="S57" s="517"/>
      <c r="T57" s="517"/>
      <c r="U57" s="517"/>
      <c r="V57" s="517"/>
      <c r="W57" s="517"/>
      <c r="X57" s="517"/>
      <c r="Y57" s="517"/>
      <c r="Z57" s="517"/>
      <c r="AA57" s="517"/>
      <c r="AB57" s="517"/>
      <c r="AC57" s="517"/>
      <c r="AD57" s="517"/>
      <c r="AE57" s="517"/>
      <c r="AF57" s="517"/>
      <c r="AG57" s="517"/>
      <c r="AH57" s="517"/>
      <c r="AI57" s="517"/>
    </row>
    <row r="58" spans="1:35" ht="15.75" thickBot="1">
      <c r="A58" s="750" t="s">
        <v>572</v>
      </c>
      <c r="B58" s="751"/>
      <c r="C58" s="752"/>
      <c r="D58" s="554"/>
    </row>
    <row r="59" spans="1:35" hidden="1">
      <c r="A59" s="748" t="s">
        <v>564</v>
      </c>
      <c r="B59" s="748"/>
      <c r="C59" s="749"/>
      <c r="D59" s="554"/>
      <c r="E59" s="513">
        <f t="shared" ref="E59:E66" si="18">SUM(F59:AI59)</f>
        <v>0</v>
      </c>
    </row>
    <row r="60" spans="1:35" ht="15.75" thickBot="1">
      <c r="A60" s="518"/>
      <c r="B60" s="754" t="s">
        <v>565</v>
      </c>
      <c r="C60" s="755"/>
      <c r="D60" s="573"/>
      <c r="E60" s="561">
        <f t="shared" si="18"/>
        <v>877.6149999999999</v>
      </c>
      <c r="F60" s="561">
        <f>'Electricity Generation'!E221</f>
        <v>25.484000000000002</v>
      </c>
      <c r="G60" s="561">
        <f>'Electricity Generation'!F221</f>
        <v>6.0410000000000004</v>
      </c>
      <c r="H60" s="561">
        <f>'Electricity Generation'!G221</f>
        <v>5.9509999999999996</v>
      </c>
      <c r="I60" s="561">
        <f>'Electricity Generation'!H221</f>
        <v>0.10100000000000001</v>
      </c>
      <c r="J60" s="561">
        <f>'Electricity Generation'!I221</f>
        <v>34.451999999999998</v>
      </c>
      <c r="K60" s="561">
        <f>'Electricity Generation'!J221</f>
        <v>158.87200000000001</v>
      </c>
      <c r="L60" s="561">
        <f>'Electricity Generation'!K221</f>
        <v>10.353999999999999</v>
      </c>
      <c r="M60" s="561">
        <f>'Electricity Generation'!L221</f>
        <v>0.53300000000000003</v>
      </c>
      <c r="N60" s="561">
        <f>'Electricity Generation'!M221</f>
        <v>143.37700000000001</v>
      </c>
      <c r="O60" s="561">
        <f>'Electricity Generation'!N221</f>
        <v>36.468000000000004</v>
      </c>
      <c r="P60" s="561">
        <f>'Electricity Generation'!O221</f>
        <v>75.099999999999994</v>
      </c>
      <c r="Q60" s="561">
        <f>'Electricity Generation'!P221</f>
        <v>3.91</v>
      </c>
      <c r="R60" s="561">
        <f>'Electricity Generation'!Q221</f>
        <v>1.48</v>
      </c>
      <c r="S60" s="561">
        <f>'Electricity Generation'!R221</f>
        <v>2.2679999999999998</v>
      </c>
      <c r="T60" s="561">
        <f>'Electricity Generation'!S221</f>
        <v>68.356999999999999</v>
      </c>
      <c r="U60" s="561">
        <f>'Electricity Generation'!T221</f>
        <v>1.343</v>
      </c>
      <c r="V60" s="561">
        <f>'Electricity Generation'!U221</f>
        <v>1.21</v>
      </c>
      <c r="W60" s="561">
        <f>'Electricity Generation'!V221</f>
        <v>0.28399999999999997</v>
      </c>
      <c r="X60" s="561">
        <f>'Electricity Generation'!W221</f>
        <v>0</v>
      </c>
      <c r="Y60" s="561">
        <f>'Electricity Generation'!X221</f>
        <v>54.186999999999998</v>
      </c>
      <c r="Z60" s="561">
        <f>'Electricity Generation'!Y221</f>
        <v>29.245999999999999</v>
      </c>
      <c r="AA60" s="561">
        <f>'Electricity Generation'!Z221</f>
        <v>19.882999999999999</v>
      </c>
      <c r="AB60" s="561">
        <f>'Electricity Generation'!AA221</f>
        <v>8.3379999999999992</v>
      </c>
      <c r="AC60" s="561">
        <f>'Electricity Generation'!AB221</f>
        <v>17.824000000000002</v>
      </c>
      <c r="AD60" s="561">
        <f>'Electricity Generation'!AC221</f>
        <v>1.31</v>
      </c>
      <c r="AE60" s="561">
        <f>'Electricity Generation'!AD221</f>
        <v>8.4459999999999997</v>
      </c>
      <c r="AF60" s="561">
        <f>'Electricity Generation'!AE221</f>
        <v>148.96799999999999</v>
      </c>
      <c r="AG60" s="561">
        <f>'Electricity Generation'!AF221</f>
        <v>10.98</v>
      </c>
      <c r="AH60" s="561">
        <f>'Electricity Generation'!AG221</f>
        <v>4.0000000000000001E-3</v>
      </c>
      <c r="AI60" s="561">
        <f>'Electricity Generation'!AH221</f>
        <v>2.8439999999999999</v>
      </c>
    </row>
    <row r="61" spans="1:35">
      <c r="A61" s="516"/>
      <c r="B61" s="516"/>
      <c r="C61" s="516" t="s">
        <v>0</v>
      </c>
      <c r="D61" s="554"/>
      <c r="E61" s="567">
        <f t="shared" si="18"/>
        <v>661.38099999999986</v>
      </c>
      <c r="F61" s="517">
        <f>'Electricity Generation'!E222</f>
        <v>13.792</v>
      </c>
      <c r="G61" s="517">
        <f>'Electricity Generation'!F222</f>
        <v>5.0650000000000004</v>
      </c>
      <c r="H61" s="517">
        <f>'Electricity Generation'!G222</f>
        <v>5.3319999999999999</v>
      </c>
      <c r="I61" s="517">
        <f>'Electricity Generation'!H222</f>
        <v>0.10100000000000001</v>
      </c>
      <c r="J61" s="517">
        <f>'Electricity Generation'!I222</f>
        <v>31.997</v>
      </c>
      <c r="K61" s="517">
        <f>'Electricity Generation'!J222</f>
        <v>85.287999999999997</v>
      </c>
      <c r="L61" s="517">
        <f>'Electricity Generation'!K222</f>
        <v>10.346</v>
      </c>
      <c r="M61" s="517">
        <f>'Electricity Generation'!L222</f>
        <v>0.41399999999999998</v>
      </c>
      <c r="N61" s="517">
        <f>'Electricity Generation'!M222</f>
        <v>121.345</v>
      </c>
      <c r="O61" s="517">
        <f>'Electricity Generation'!N222</f>
        <v>31.986000000000001</v>
      </c>
      <c r="P61" s="517">
        <f>'Electricity Generation'!O222</f>
        <v>48.2</v>
      </c>
      <c r="Q61" s="517">
        <f>'Electricity Generation'!P222</f>
        <v>3.823</v>
      </c>
      <c r="R61" s="517">
        <f>'Electricity Generation'!Q222</f>
        <v>1.472</v>
      </c>
      <c r="S61" s="517">
        <f>'Electricity Generation'!R222</f>
        <v>2.2679999999999998</v>
      </c>
      <c r="T61" s="517">
        <f>'Electricity Generation'!S222</f>
        <v>62.783999999999999</v>
      </c>
      <c r="U61" s="517">
        <f>'Electricity Generation'!T222</f>
        <v>0.623</v>
      </c>
      <c r="V61" s="517">
        <f>'Electricity Generation'!U222</f>
        <v>1.21</v>
      </c>
      <c r="W61" s="517">
        <f>'Electricity Generation'!V222</f>
        <v>0.28100000000000003</v>
      </c>
      <c r="X61" s="517">
        <f>'Electricity Generation'!W222</f>
        <v>0</v>
      </c>
      <c r="Y61" s="517">
        <f>'Electricity Generation'!X222</f>
        <v>45.713000000000001</v>
      </c>
      <c r="Z61" s="517">
        <f>'Electricity Generation'!Y222</f>
        <v>29.245999999999999</v>
      </c>
      <c r="AA61" s="517">
        <f>'Electricity Generation'!Z222</f>
        <v>17.536000000000001</v>
      </c>
      <c r="AB61" s="517">
        <f>'Electricity Generation'!AA222</f>
        <v>7.8659999999999997</v>
      </c>
      <c r="AC61" s="517">
        <f>'Electricity Generation'!AB222</f>
        <v>16.934000000000001</v>
      </c>
      <c r="AD61" s="517">
        <f>'Electricity Generation'!AC222</f>
        <v>1.278</v>
      </c>
      <c r="AE61" s="517">
        <f>'Electricity Generation'!AD222</f>
        <v>8.3699999999999992</v>
      </c>
      <c r="AF61" s="517">
        <f>'Electricity Generation'!AE222</f>
        <v>97.927000000000007</v>
      </c>
      <c r="AG61" s="517">
        <f>'Electricity Generation'!AF222</f>
        <v>10.183999999999999</v>
      </c>
      <c r="AH61" s="517">
        <f>'Electricity Generation'!AG222</f>
        <v>0</v>
      </c>
      <c r="AI61" s="517">
        <f>'Electricity Generation'!AH222</f>
        <v>0</v>
      </c>
    </row>
    <row r="62" spans="1:35" ht="15.75" thickBot="1">
      <c r="A62" s="516"/>
      <c r="B62" s="516"/>
      <c r="C62" s="573" t="s">
        <v>969</v>
      </c>
      <c r="D62" s="573"/>
      <c r="E62" s="561">
        <f t="shared" si="18"/>
        <v>192.61900000000003</v>
      </c>
      <c r="F62" s="521">
        <f>'Electricity Generation'!E223</f>
        <v>11.682</v>
      </c>
      <c r="G62" s="521">
        <f>'Electricity Generation'!F223</f>
        <v>1.7999999999999999E-2</v>
      </c>
      <c r="H62" s="521">
        <f>'Electricity Generation'!G223</f>
        <v>0.61899999999999999</v>
      </c>
      <c r="I62" s="521">
        <f>'Electricity Generation'!H223</f>
        <v>0</v>
      </c>
      <c r="J62" s="521">
        <f>'Electricity Generation'!I223</f>
        <v>2.452</v>
      </c>
      <c r="K62" s="521">
        <f>'Electricity Generation'!J223</f>
        <v>73.584000000000003</v>
      </c>
      <c r="L62" s="521">
        <f>'Electricity Generation'!K223</f>
        <v>7.0000000000000001E-3</v>
      </c>
      <c r="M62" s="521">
        <f>'Electricity Generation'!L223</f>
        <v>0.11899999999999999</v>
      </c>
      <c r="N62" s="521">
        <f>'Electricity Generation'!M223</f>
        <v>4.0540000000000003</v>
      </c>
      <c r="O62" s="521">
        <f>'Electricity Generation'!N223</f>
        <v>3.7080000000000002</v>
      </c>
      <c r="P62" s="521">
        <f>'Electricity Generation'!O223</f>
        <v>26.899000000000001</v>
      </c>
      <c r="Q62" s="521">
        <f>'Electricity Generation'!P223</f>
        <v>8.5999999999999993E-2</v>
      </c>
      <c r="R62" s="521">
        <f>'Electricity Generation'!Q223</f>
        <v>7.0000000000000001E-3</v>
      </c>
      <c r="S62" s="521">
        <f>'Electricity Generation'!R223</f>
        <v>0</v>
      </c>
      <c r="T62" s="521">
        <f>'Electricity Generation'!S223</f>
        <v>3.589</v>
      </c>
      <c r="U62" s="521">
        <f>'Electricity Generation'!T223</f>
        <v>0</v>
      </c>
      <c r="V62" s="521">
        <f>'Electricity Generation'!U223</f>
        <v>0</v>
      </c>
      <c r="W62" s="521">
        <f>'Electricity Generation'!V223</f>
        <v>4.0000000000000001E-3</v>
      </c>
      <c r="X62" s="521">
        <f>'Electricity Generation'!W223</f>
        <v>0</v>
      </c>
      <c r="Y62" s="521">
        <f>'Electricity Generation'!X223</f>
        <v>7.7080000000000002</v>
      </c>
      <c r="Z62" s="521">
        <f>'Electricity Generation'!Y223</f>
        <v>0</v>
      </c>
      <c r="AA62" s="521">
        <f>'Electricity Generation'!Z223</f>
        <v>2.347</v>
      </c>
      <c r="AB62" s="521">
        <f>'Electricity Generation'!AA223</f>
        <v>0.47199999999999998</v>
      </c>
      <c r="AC62" s="521">
        <f>'Electricity Generation'!AB223</f>
        <v>0.88900000000000001</v>
      </c>
      <c r="AD62" s="521">
        <f>'Electricity Generation'!AC223</f>
        <v>3.2000000000000001E-2</v>
      </c>
      <c r="AE62" s="521">
        <f>'Electricity Generation'!AD223</f>
        <v>4.0000000000000001E-3</v>
      </c>
      <c r="AF62" s="521">
        <f>'Electricity Generation'!AE223</f>
        <v>51.040999999999997</v>
      </c>
      <c r="AG62" s="521">
        <f>'Electricity Generation'!AF223</f>
        <v>0.79600000000000004</v>
      </c>
      <c r="AH62" s="521">
        <f>'Electricity Generation'!AG223</f>
        <v>4.0000000000000001E-3</v>
      </c>
      <c r="AI62" s="521">
        <f>'Electricity Generation'!AH223</f>
        <v>2.4980000000000002</v>
      </c>
    </row>
    <row r="63" spans="1:35">
      <c r="A63" s="554"/>
      <c r="B63" s="554"/>
      <c r="C63" s="570" t="s">
        <v>968</v>
      </c>
      <c r="D63" s="554"/>
      <c r="E63" s="567">
        <f t="shared" si="18"/>
        <v>0.35700000000000004</v>
      </c>
      <c r="F63" s="517">
        <f>'Electricity Generation'!E224</f>
        <v>0</v>
      </c>
      <c r="G63" s="517">
        <f>'Electricity Generation'!F224</f>
        <v>4.0000000000000001E-3</v>
      </c>
      <c r="H63" s="517">
        <f>'Electricity Generation'!G224</f>
        <v>0</v>
      </c>
      <c r="I63" s="582">
        <f>'Electricity Generation'!H224</f>
        <v>4.0000000000000001E-3</v>
      </c>
      <c r="J63" s="517">
        <f>'Electricity Generation'!I224</f>
        <v>0</v>
      </c>
      <c r="K63" s="517">
        <f>'Electricity Generation'!J224</f>
        <v>0</v>
      </c>
      <c r="L63" s="517">
        <f>'Electricity Generation'!K224</f>
        <v>7.0000000000000001E-3</v>
      </c>
      <c r="M63" s="517">
        <f>'Electricity Generation'!L224</f>
        <v>0</v>
      </c>
      <c r="N63" s="517">
        <f>'Electricity Generation'!M224</f>
        <v>3.5999999999999997E-2</v>
      </c>
      <c r="O63" s="517">
        <f>'Electricity Generation'!N224</f>
        <v>0</v>
      </c>
      <c r="P63" s="517">
        <f>'Electricity Generation'!O224</f>
        <v>2.9000000000000001E-2</v>
      </c>
      <c r="Q63" s="517">
        <f>'Electricity Generation'!P224</f>
        <v>0</v>
      </c>
      <c r="R63" s="517">
        <f>'Electricity Generation'!Q224</f>
        <v>0</v>
      </c>
      <c r="S63" s="517">
        <f>'Electricity Generation'!R224</f>
        <v>0</v>
      </c>
      <c r="T63" s="517">
        <f>'Electricity Generation'!S224</f>
        <v>0</v>
      </c>
      <c r="U63" s="517">
        <f>'Electricity Generation'!T224</f>
        <v>0</v>
      </c>
      <c r="V63" s="517">
        <f>'Electricity Generation'!U224</f>
        <v>6.5000000000000002E-2</v>
      </c>
      <c r="W63" s="517">
        <f>'Electricity Generation'!V224</f>
        <v>0</v>
      </c>
      <c r="X63" s="517">
        <f>'Electricity Generation'!W224</f>
        <v>0</v>
      </c>
      <c r="Y63" s="517">
        <f>'Electricity Generation'!X224</f>
        <v>0.115</v>
      </c>
      <c r="Z63" s="517">
        <f>'Electricity Generation'!Y224</f>
        <v>0</v>
      </c>
      <c r="AA63" s="517">
        <f>'Electricity Generation'!Z224</f>
        <v>0</v>
      </c>
      <c r="AB63" s="517">
        <f>'Electricity Generation'!AA224</f>
        <v>0</v>
      </c>
      <c r="AC63" s="517">
        <f>'Electricity Generation'!AB224</f>
        <v>0</v>
      </c>
      <c r="AD63" s="517">
        <f>'Electricity Generation'!AC224</f>
        <v>0</v>
      </c>
      <c r="AE63" s="517">
        <f>'Electricity Generation'!AD224</f>
        <v>0</v>
      </c>
      <c r="AF63" s="517">
        <f>'Electricity Generation'!AE224</f>
        <v>2.9000000000000001E-2</v>
      </c>
      <c r="AG63" s="517">
        <f>'Electricity Generation'!AF224</f>
        <v>6.8000000000000005E-2</v>
      </c>
      <c r="AH63" s="517">
        <f>'Electricity Generation'!AG224</f>
        <v>0</v>
      </c>
      <c r="AI63" s="517">
        <f>'Electricity Generation'!AH224</f>
        <v>0</v>
      </c>
    </row>
    <row r="64" spans="1:35">
      <c r="A64" s="554"/>
      <c r="B64" s="554"/>
      <c r="C64" s="570" t="s">
        <v>103</v>
      </c>
      <c r="D64" s="554"/>
      <c r="E64" s="567">
        <f t="shared" si="18"/>
        <v>11.953000000000001</v>
      </c>
      <c r="F64" s="517">
        <f>'Electricity Generation'!E225</f>
        <v>0</v>
      </c>
      <c r="G64" s="517">
        <f>'Electricity Generation'!F225</f>
        <v>7.0000000000000001E-3</v>
      </c>
      <c r="H64" s="517">
        <f>'Electricity Generation'!G225</f>
        <v>0</v>
      </c>
      <c r="I64" s="517">
        <f>'Electricity Generation'!H225</f>
        <v>0</v>
      </c>
      <c r="J64" s="517">
        <f>'Electricity Generation'!I225</f>
        <v>0</v>
      </c>
      <c r="K64" s="517">
        <f>'Electricity Generation'!J225</f>
        <v>0</v>
      </c>
      <c r="L64" s="517">
        <f>'Electricity Generation'!K225</f>
        <v>0</v>
      </c>
      <c r="M64" s="517">
        <f>'Electricity Generation'!L225</f>
        <v>4.0000000000000001E-3</v>
      </c>
      <c r="N64" s="517">
        <f>'Electricity Generation'!M225</f>
        <v>5.3999999999999999E-2</v>
      </c>
      <c r="O64" s="517">
        <f>'Electricity Generation'!N225</f>
        <v>0</v>
      </c>
      <c r="P64" s="517">
        <f>'Electricity Generation'!O225</f>
        <v>0.38200000000000001</v>
      </c>
      <c r="Q64" s="517">
        <f>'Electricity Generation'!P225</f>
        <v>0</v>
      </c>
      <c r="R64" s="517">
        <f>'Electricity Generation'!Q225</f>
        <v>0</v>
      </c>
      <c r="S64" s="517">
        <f>'Electricity Generation'!R225</f>
        <v>0</v>
      </c>
      <c r="T64" s="517">
        <f>'Electricity Generation'!S225</f>
        <v>1.0999999999999999E-2</v>
      </c>
      <c r="U64" s="517">
        <f>'Electricity Generation'!T225</f>
        <v>0</v>
      </c>
      <c r="V64" s="517">
        <f>'Electricity Generation'!U225</f>
        <v>0</v>
      </c>
      <c r="W64" s="517">
        <f>'Electricity Generation'!V225</f>
        <v>0</v>
      </c>
      <c r="X64" s="517">
        <f>'Electricity Generation'!W225</f>
        <v>0</v>
      </c>
      <c r="Y64" s="517">
        <f>'Electricity Generation'!X225</f>
        <v>1.0189999999999999</v>
      </c>
      <c r="Z64" s="517">
        <f>'Electricity Generation'!Y225</f>
        <v>0</v>
      </c>
      <c r="AA64" s="517">
        <f>'Electricity Generation'!Z225</f>
        <v>0</v>
      </c>
      <c r="AB64" s="517">
        <f>'Electricity Generation'!AA225</f>
        <v>0</v>
      </c>
      <c r="AC64" s="517">
        <f>'Electricity Generation'!AB225</f>
        <v>0</v>
      </c>
      <c r="AD64" s="517">
        <f>'Electricity Generation'!AC225</f>
        <v>0</v>
      </c>
      <c r="AE64" s="517">
        <f>'Electricity Generation'!AD225</f>
        <v>2.1999999999999999E-2</v>
      </c>
      <c r="AF64" s="517">
        <f>'Electricity Generation'!AE225</f>
        <v>10.454000000000001</v>
      </c>
      <c r="AG64" s="517">
        <f>'Electricity Generation'!AF225</f>
        <v>0</v>
      </c>
      <c r="AH64" s="517">
        <f>'Electricity Generation'!AG225</f>
        <v>0</v>
      </c>
      <c r="AI64" s="517">
        <f>'Electricity Generation'!AH225</f>
        <v>0</v>
      </c>
    </row>
    <row r="65" spans="1:35">
      <c r="A65" s="554"/>
      <c r="B65" s="554"/>
      <c r="C65" s="570" t="s">
        <v>102</v>
      </c>
      <c r="D65" s="554"/>
      <c r="E65" s="571">
        <f t="shared" si="18"/>
        <v>52.39800000000001</v>
      </c>
      <c r="F65" s="572">
        <f>'Electricity Generation'!E226</f>
        <v>4.4390000000000001</v>
      </c>
      <c r="G65" s="572">
        <f>'Electricity Generation'!F226</f>
        <v>0</v>
      </c>
      <c r="H65" s="572">
        <f>'Electricity Generation'!G226</f>
        <v>0</v>
      </c>
      <c r="I65" s="572">
        <f>'Electricity Generation'!H226</f>
        <v>0</v>
      </c>
      <c r="J65" s="572">
        <f>'Electricity Generation'!I226</f>
        <v>1.98</v>
      </c>
      <c r="K65" s="572">
        <f>'Electricity Generation'!J226</f>
        <v>1.3</v>
      </c>
      <c r="L65" s="572">
        <f>'Electricity Generation'!K226</f>
        <v>0</v>
      </c>
      <c r="M65" s="572">
        <f>'Electricity Generation'!L226</f>
        <v>0</v>
      </c>
      <c r="N65" s="572">
        <f>'Electricity Generation'!M226</f>
        <v>1.26</v>
      </c>
      <c r="O65" s="572">
        <f>'Electricity Generation'!N226</f>
        <v>3.5640000000000001</v>
      </c>
      <c r="P65" s="572">
        <f>'Electricity Generation'!O226</f>
        <v>2.9049999999999998</v>
      </c>
      <c r="Q65" s="572">
        <f>'Electricity Generation'!P226</f>
        <v>0</v>
      </c>
      <c r="R65" s="572">
        <f>'Electricity Generation'!Q226</f>
        <v>0</v>
      </c>
      <c r="S65" s="572">
        <f>'Electricity Generation'!R226</f>
        <v>0</v>
      </c>
      <c r="T65" s="572">
        <f>'Electricity Generation'!S226</f>
        <v>2.8759999999999999</v>
      </c>
      <c r="U65" s="572">
        <f>'Electricity Generation'!T226</f>
        <v>0</v>
      </c>
      <c r="V65" s="572">
        <f>'Electricity Generation'!U226</f>
        <v>1.7999999999999999E-2</v>
      </c>
      <c r="W65" s="572">
        <f>'Electricity Generation'!V226</f>
        <v>3.5999999999999997E-2</v>
      </c>
      <c r="X65" s="572">
        <f>'Electricity Generation'!W226</f>
        <v>0</v>
      </c>
      <c r="Y65" s="572">
        <f>'Electricity Generation'!X226</f>
        <v>0</v>
      </c>
      <c r="Z65" s="572">
        <f>'Electricity Generation'!Y226</f>
        <v>7.0000000000000001E-3</v>
      </c>
      <c r="AA65" s="572">
        <f>'Electricity Generation'!Z226</f>
        <v>2.9000000000000001E-2</v>
      </c>
      <c r="AB65" s="572">
        <f>'Electricity Generation'!AA226</f>
        <v>0.27400000000000002</v>
      </c>
      <c r="AC65" s="572">
        <f>'Electricity Generation'!AB226</f>
        <v>0.04</v>
      </c>
      <c r="AD65" s="572">
        <f>'Electricity Generation'!AC226</f>
        <v>0.81</v>
      </c>
      <c r="AE65" s="572">
        <f>'Electricity Generation'!AD226</f>
        <v>0.29499999999999998</v>
      </c>
      <c r="AF65" s="572">
        <f>'Electricity Generation'!AE226</f>
        <v>3.9460000000000002</v>
      </c>
      <c r="AG65" s="572">
        <f>'Electricity Generation'!AF226</f>
        <v>8.42</v>
      </c>
      <c r="AH65" s="572">
        <f>'Electricity Generation'!AG226</f>
        <v>1.4E-2</v>
      </c>
      <c r="AI65" s="572">
        <f>'Electricity Generation'!AH226</f>
        <v>20.184999999999999</v>
      </c>
    </row>
    <row r="66" spans="1:35">
      <c r="A66" s="554"/>
      <c r="B66" s="554"/>
      <c r="C66" s="570" t="s">
        <v>970</v>
      </c>
      <c r="D66" s="554"/>
      <c r="E66" s="567">
        <f t="shared" si="18"/>
        <v>257.32700000000006</v>
      </c>
      <c r="F66" s="567">
        <f>SUM(F62:F65)</f>
        <v>16.121000000000002</v>
      </c>
      <c r="G66" s="567">
        <f t="shared" ref="G66:AI66" si="19">SUM(G62:G65)</f>
        <v>2.8999999999999998E-2</v>
      </c>
      <c r="H66" s="567">
        <f t="shared" si="19"/>
        <v>0.61899999999999999</v>
      </c>
      <c r="I66" s="567">
        <f t="shared" si="19"/>
        <v>4.0000000000000001E-3</v>
      </c>
      <c r="J66" s="567">
        <f t="shared" si="19"/>
        <v>4.4320000000000004</v>
      </c>
      <c r="K66" s="567">
        <f t="shared" si="19"/>
        <v>74.884</v>
      </c>
      <c r="L66" s="567">
        <f>SUM(L62:L65)</f>
        <v>1.4E-2</v>
      </c>
      <c r="M66" s="567">
        <f t="shared" si="19"/>
        <v>0.123</v>
      </c>
      <c r="N66" s="567">
        <f t="shared" si="19"/>
        <v>5.4039999999999999</v>
      </c>
      <c r="O66" s="567">
        <f t="shared" si="19"/>
        <v>7.2720000000000002</v>
      </c>
      <c r="P66" s="567">
        <f t="shared" si="19"/>
        <v>30.215000000000003</v>
      </c>
      <c r="Q66" s="567">
        <f t="shared" si="19"/>
        <v>8.5999999999999993E-2</v>
      </c>
      <c r="R66" s="567">
        <f t="shared" si="19"/>
        <v>7.0000000000000001E-3</v>
      </c>
      <c r="S66" s="567">
        <f t="shared" si="19"/>
        <v>0</v>
      </c>
      <c r="T66" s="567">
        <f t="shared" si="19"/>
        <v>6.476</v>
      </c>
      <c r="U66" s="567">
        <f t="shared" si="19"/>
        <v>0</v>
      </c>
      <c r="V66" s="567">
        <f t="shared" si="19"/>
        <v>8.3000000000000004E-2</v>
      </c>
      <c r="W66" s="567">
        <f t="shared" si="19"/>
        <v>3.9999999999999994E-2</v>
      </c>
      <c r="X66" s="567">
        <f t="shared" si="19"/>
        <v>0</v>
      </c>
      <c r="Y66" s="567">
        <f t="shared" si="19"/>
        <v>8.8420000000000005</v>
      </c>
      <c r="Z66" s="567">
        <f t="shared" si="19"/>
        <v>7.0000000000000001E-3</v>
      </c>
      <c r="AA66" s="567">
        <f t="shared" si="19"/>
        <v>2.3759999999999999</v>
      </c>
      <c r="AB66" s="567">
        <f t="shared" si="19"/>
        <v>0.746</v>
      </c>
      <c r="AC66" s="567">
        <f t="shared" si="19"/>
        <v>0.92900000000000005</v>
      </c>
      <c r="AD66" s="567">
        <f t="shared" si="19"/>
        <v>0.84200000000000008</v>
      </c>
      <c r="AE66" s="567">
        <f t="shared" si="19"/>
        <v>0.32100000000000001</v>
      </c>
      <c r="AF66" s="567">
        <f t="shared" si="19"/>
        <v>65.47</v>
      </c>
      <c r="AG66" s="567">
        <f t="shared" si="19"/>
        <v>9.2840000000000007</v>
      </c>
      <c r="AH66" s="567">
        <f t="shared" si="19"/>
        <v>1.8000000000000002E-2</v>
      </c>
      <c r="AI66" s="567">
        <f t="shared" si="19"/>
        <v>22.683</v>
      </c>
    </row>
    <row r="67" spans="1:35">
      <c r="A67" s="554"/>
      <c r="B67" s="554"/>
      <c r="C67" s="554"/>
      <c r="D67" s="554"/>
      <c r="E67" s="566"/>
      <c r="F67" s="517"/>
      <c r="G67" s="517"/>
      <c r="H67" s="517"/>
      <c r="I67" s="517"/>
      <c r="J67" s="517"/>
      <c r="K67" s="517"/>
      <c r="L67" s="517"/>
      <c r="M67" s="517"/>
      <c r="N67" s="517"/>
      <c r="O67" s="517"/>
      <c r="P67" s="517"/>
      <c r="Q67" s="517"/>
      <c r="R67" s="517"/>
      <c r="S67" s="517"/>
      <c r="T67" s="517"/>
      <c r="U67" s="517"/>
      <c r="V67" s="517"/>
      <c r="W67" s="517"/>
      <c r="X67" s="517"/>
      <c r="Y67" s="517"/>
      <c r="Z67" s="517"/>
      <c r="AA67" s="517"/>
      <c r="AB67" s="517"/>
      <c r="AC67" s="517"/>
      <c r="AD67" s="517"/>
      <c r="AE67" s="517"/>
      <c r="AF67" s="517"/>
    </row>
    <row r="68" spans="1:35" hidden="1">
      <c r="A68" s="554"/>
      <c r="B68" s="554"/>
      <c r="C68" s="554"/>
      <c r="D68" s="554"/>
      <c r="E68" s="566"/>
      <c r="F68" s="517"/>
      <c r="G68" s="517"/>
      <c r="H68" s="517"/>
      <c r="I68" s="517"/>
      <c r="J68" s="517"/>
      <c r="K68" s="517"/>
      <c r="L68" s="517"/>
      <c r="M68" s="517"/>
      <c r="N68" s="517"/>
      <c r="O68" s="517"/>
      <c r="P68" s="517"/>
      <c r="Q68" s="517"/>
      <c r="R68" s="517"/>
      <c r="S68" s="517"/>
      <c r="T68" s="517"/>
      <c r="U68" s="517"/>
      <c r="V68" s="517"/>
      <c r="W68" s="517"/>
      <c r="X68" s="517"/>
      <c r="Y68" s="517"/>
      <c r="Z68" s="517"/>
      <c r="AA68" s="517"/>
      <c r="AB68" s="517"/>
      <c r="AC68" s="517"/>
      <c r="AD68" s="517"/>
      <c r="AE68" s="517"/>
      <c r="AF68" s="517"/>
    </row>
    <row r="69" spans="1:35" hidden="1">
      <c r="A69" s="554"/>
      <c r="B69" s="554"/>
      <c r="C69" s="554"/>
      <c r="D69" s="554"/>
      <c r="E69" s="566"/>
      <c r="F69" s="517"/>
      <c r="G69" s="517"/>
      <c r="H69" s="517"/>
      <c r="I69" s="517"/>
      <c r="J69" s="517"/>
      <c r="K69" s="517"/>
      <c r="L69" s="517"/>
      <c r="M69" s="517"/>
      <c r="N69" s="517"/>
      <c r="O69" s="517"/>
      <c r="P69" s="517"/>
      <c r="Q69" s="517"/>
      <c r="R69" s="517"/>
      <c r="S69" s="517"/>
      <c r="T69" s="517"/>
      <c r="U69" s="517"/>
      <c r="V69" s="517"/>
      <c r="W69" s="517"/>
      <c r="X69" s="517"/>
      <c r="Y69" s="517"/>
      <c r="Z69" s="517"/>
      <c r="AA69" s="517"/>
      <c r="AB69" s="517"/>
      <c r="AC69" s="517"/>
      <c r="AD69" s="517"/>
      <c r="AE69" s="517"/>
      <c r="AF69" s="517"/>
    </row>
    <row r="70" spans="1:35" hidden="1">
      <c r="A70" s="554"/>
      <c r="B70" s="554"/>
      <c r="C70" s="554"/>
      <c r="D70" s="554"/>
      <c r="E70" s="566"/>
      <c r="F70" s="517"/>
      <c r="G70" s="517"/>
      <c r="H70" s="517"/>
      <c r="I70" s="517"/>
      <c r="J70" s="517"/>
      <c r="K70" s="517"/>
      <c r="L70" s="517"/>
      <c r="M70" s="517"/>
      <c r="N70" s="517"/>
      <c r="O70" s="517"/>
      <c r="P70" s="517"/>
      <c r="Q70" s="517"/>
      <c r="R70" s="517"/>
      <c r="S70" s="517"/>
      <c r="T70" s="517"/>
      <c r="U70" s="517"/>
      <c r="V70" s="517"/>
      <c r="W70" s="517"/>
      <c r="X70" s="517"/>
      <c r="Y70" s="517"/>
      <c r="Z70" s="517"/>
      <c r="AA70" s="517"/>
      <c r="AB70" s="517"/>
      <c r="AC70" s="517"/>
      <c r="AD70" s="517"/>
      <c r="AE70" s="517"/>
      <c r="AF70" s="517"/>
    </row>
    <row r="71" spans="1:35" hidden="1">
      <c r="A71" s="516"/>
      <c r="B71" s="748" t="s">
        <v>203</v>
      </c>
      <c r="C71" s="749"/>
      <c r="D71" s="554"/>
      <c r="E71" s="513">
        <f>SUM(F71:AI71)</f>
        <v>0</v>
      </c>
    </row>
    <row r="72" spans="1:35" hidden="1">
      <c r="A72" s="516"/>
      <c r="B72" s="516"/>
      <c r="C72" s="516" t="s">
        <v>0</v>
      </c>
      <c r="D72" s="554"/>
      <c r="E72" s="513">
        <f>SUM(F72:AI72)</f>
        <v>0</v>
      </c>
    </row>
    <row r="73" spans="1:35" hidden="1">
      <c r="A73" s="516"/>
      <c r="B73" s="516"/>
      <c r="C73" s="516" t="s">
        <v>569</v>
      </c>
      <c r="D73" s="554"/>
      <c r="E73" s="513">
        <f>SUM(F73:AI73)</f>
        <v>0</v>
      </c>
    </row>
    <row r="74" spans="1:35" s="518" customFormat="1" ht="15.75" thickBot="1">
      <c r="A74" s="516"/>
      <c r="B74" s="748"/>
      <c r="C74" s="749"/>
      <c r="D74" s="554"/>
    </row>
    <row r="75" spans="1:35" ht="15.75" thickBot="1">
      <c r="A75" s="750" t="s">
        <v>573</v>
      </c>
      <c r="B75" s="751"/>
      <c r="C75" s="752"/>
      <c r="D75" s="554"/>
    </row>
    <row r="76" spans="1:35" hidden="1">
      <c r="A76" s="748" t="s">
        <v>564</v>
      </c>
      <c r="B76" s="748"/>
      <c r="C76" s="749"/>
      <c r="D76" s="554"/>
    </row>
    <row r="77" spans="1:35">
      <c r="A77" s="518"/>
      <c r="B77" s="748" t="s">
        <v>565</v>
      </c>
      <c r="C77" s="749"/>
      <c r="D77" s="554"/>
    </row>
    <row r="78" spans="1:35" ht="15.75" thickBot="1">
      <c r="A78" s="516"/>
      <c r="B78" s="516"/>
      <c r="C78" s="516" t="s">
        <v>0</v>
      </c>
      <c r="D78" s="554"/>
      <c r="E78" s="521">
        <f>SUM(F78:AI78)</f>
        <v>686.56299999999987</v>
      </c>
      <c r="F78" s="521">
        <f>'Derived Heat Gen'!W26/1000</f>
        <v>4.0289999999999999</v>
      </c>
      <c r="G78" s="521">
        <f>('Derived Heat Gen'!E26+'Derived Heat Gen'!E36)/1000</f>
        <v>2.9020000000000001</v>
      </c>
      <c r="H78" s="521">
        <f>('Derived Heat Gen'!F26+'Derived Heat Gen'!F36)/1000</f>
        <v>0.56799999999999995</v>
      </c>
      <c r="I78" s="521">
        <f>('Derived Heat Gen'!P26+'Derived Heat Gen'!P36)/1000</f>
        <v>0</v>
      </c>
      <c r="J78" s="521">
        <f>'Derived Heat Gen'!G26/1000</f>
        <v>15.97</v>
      </c>
      <c r="K78" s="521">
        <f>'Derived Heat Gen'!I26/1000</f>
        <v>287.90499999999997</v>
      </c>
      <c r="L78" s="521">
        <f>'Derived Heat Gen'!H26/1000</f>
        <v>14.885</v>
      </c>
      <c r="M78" s="521">
        <f>'Derived Heat Gen'!J26/1000</f>
        <v>0.24</v>
      </c>
      <c r="N78" s="521">
        <f>'Derived Heat Gen'!M26/1000</f>
        <v>0</v>
      </c>
      <c r="O78" s="521">
        <f>('Derived Heat Gen'!AC26+'Derived Heat Gen'!AC36)/1000</f>
        <v>11.438000000000001</v>
      </c>
      <c r="P78" s="521">
        <f>'Derived Heat Gen'!N26/1000</f>
        <v>109.13500000000001</v>
      </c>
      <c r="Q78" s="521">
        <f>'Derived Heat Gen'!L26/1000</f>
        <v>0</v>
      </c>
      <c r="R78" s="521">
        <f>'Derived Heat Gen'!T26/1000</f>
        <v>0.30099999999999999</v>
      </c>
      <c r="S78" s="521">
        <f>'Derived Heat Gen'!K26</f>
        <v>0</v>
      </c>
      <c r="T78" s="521">
        <f>'Derived Heat Gen'!O26/1000</f>
        <v>120.423</v>
      </c>
      <c r="U78" s="521">
        <f>('Derived Heat Gen'!R26+'Derived Heat Gen'!R36)/1000</f>
        <v>4.97</v>
      </c>
      <c r="V78" s="521">
        <f>'Derived Heat Gen'!T26/1000</f>
        <v>0.30099999999999999</v>
      </c>
      <c r="W78" s="521">
        <f>'Derived Heat Gen'!Q26/1000</f>
        <v>0.439</v>
      </c>
      <c r="X78" s="521">
        <f>'Derived Heat Gen'!U26</f>
        <v>0</v>
      </c>
      <c r="Y78" s="521">
        <f>'Derived Heat Gen'!V26/1000</f>
        <v>23.163</v>
      </c>
      <c r="Z78" s="521">
        <f>'Derived Heat Gen'!X26/1000</f>
        <v>35.752000000000002</v>
      </c>
      <c r="AA78" s="521">
        <f>'Derived Heat Gen'!Y26/1000</f>
        <v>9.8770000000000007</v>
      </c>
      <c r="AB78" s="521">
        <f>'Derived Heat Gen'!Z26/1000</f>
        <v>5.6349999999999998</v>
      </c>
      <c r="AC78" s="521">
        <f>'Derived Heat Gen'!AD26/1000</f>
        <v>26.577999999999999</v>
      </c>
      <c r="AD78" s="521">
        <f>'Derived Heat Gen'!AA26/1000</f>
        <v>0.157</v>
      </c>
      <c r="AE78" s="521">
        <f>'Derived Heat Gen'!AB26/1000</f>
        <v>2.1379999999999999</v>
      </c>
      <c r="AF78" s="521">
        <f>'Derived Heat Gen'!AE26/1000</f>
        <v>0</v>
      </c>
      <c r="AG78" s="521">
        <f>'Derived Heat Gen'!AH26/1000</f>
        <v>9.7569999999999997</v>
      </c>
      <c r="AH78" s="521">
        <f>'Derived Heat Gen'!AI26/1000</f>
        <v>0</v>
      </c>
      <c r="AI78" s="521">
        <f>'Derived Heat Gen'!AG26/1000</f>
        <v>0</v>
      </c>
    </row>
    <row r="79" spans="1:35" hidden="1">
      <c r="A79" s="516"/>
      <c r="B79" s="516"/>
      <c r="C79" s="516" t="s">
        <v>574</v>
      </c>
      <c r="D79" s="554"/>
      <c r="E79" s="513">
        <f>SUM(F79:AI79)</f>
        <v>0</v>
      </c>
    </row>
    <row r="80" spans="1:35" hidden="1">
      <c r="A80" s="516"/>
      <c r="B80" s="748" t="s">
        <v>203</v>
      </c>
      <c r="C80" s="749"/>
      <c r="D80" s="554"/>
      <c r="E80" s="513">
        <f>SUM(F80:AI80)</f>
        <v>0</v>
      </c>
    </row>
    <row r="81" spans="1:35" hidden="1">
      <c r="A81" s="516"/>
      <c r="B81" s="516"/>
      <c r="C81" s="516" t="s">
        <v>0</v>
      </c>
      <c r="D81" s="554"/>
      <c r="E81" s="513">
        <f>SUM(F81:AI81)</f>
        <v>0</v>
      </c>
    </row>
    <row r="82" spans="1:35" hidden="1">
      <c r="A82" s="516"/>
      <c r="B82" s="516"/>
      <c r="C82" s="516" t="s">
        <v>574</v>
      </c>
      <c r="D82" s="554"/>
      <c r="E82" s="513">
        <f>SUM(F82:AI82)</f>
        <v>0</v>
      </c>
    </row>
    <row r="83" spans="1:35" ht="15.75" thickBot="1"/>
    <row r="84" spans="1:35" ht="15.75" thickBot="1">
      <c r="A84" s="750" t="s">
        <v>971</v>
      </c>
      <c r="B84" s="751"/>
      <c r="C84" s="752"/>
      <c r="D84" s="554"/>
    </row>
    <row r="85" spans="1:35" hidden="1">
      <c r="A85" s="748" t="s">
        <v>564</v>
      </c>
      <c r="B85" s="748"/>
      <c r="C85" s="749"/>
      <c r="D85" s="554"/>
    </row>
    <row r="86" spans="1:35" ht="15.75" thickBot="1">
      <c r="A86" s="518"/>
      <c r="B86" s="748" t="s">
        <v>565</v>
      </c>
      <c r="C86" s="749"/>
      <c r="D86" s="554"/>
      <c r="E86" s="521">
        <f>SUM(F86:AI86)</f>
        <v>57.001000000000012</v>
      </c>
      <c r="F86" s="561">
        <f>'EL Cap ALL Autoprod'!F98</f>
        <v>1.7529999999999999</v>
      </c>
      <c r="G86" s="561">
        <f>'EL Cap ALL Autoprod'!G98</f>
        <v>0.49399999999999999</v>
      </c>
      <c r="H86" s="561">
        <f>'EL Cap ALL Autoprod'!H98</f>
        <v>0.26300000000000001</v>
      </c>
      <c r="I86" s="561">
        <f>'EL Cap ALL Autoprod'!I98</f>
        <v>6.0000000000000001E-3</v>
      </c>
      <c r="J86" s="561">
        <f>'EL Cap ALL Autoprod'!J98</f>
        <v>2.29</v>
      </c>
      <c r="K86" s="561">
        <f>'EL Cap ALL Autoprod'!K98</f>
        <v>10.621</v>
      </c>
      <c r="L86" s="561">
        <f>'EL Cap ALL Autoprod'!L98</f>
        <v>0.63900000000000001</v>
      </c>
      <c r="M86" s="561">
        <f>'EL Cap ALL Autoprod'!M98</f>
        <v>3.2000000000000001E-2</v>
      </c>
      <c r="N86" s="561">
        <f>'EL Cap ALL Autoprod'!N98</f>
        <v>6.4809999999999999</v>
      </c>
      <c r="O86" s="561">
        <f>'EL Cap ALL Autoprod'!O98</f>
        <v>2.4649999999999999</v>
      </c>
      <c r="P86" s="561">
        <f>'EL Cap ALL Autoprod'!P98</f>
        <v>6.7549999999999999</v>
      </c>
      <c r="Q86" s="561">
        <f>'EL Cap ALL Autoprod'!Q98</f>
        <v>0.25700000000000001</v>
      </c>
      <c r="R86" s="561">
        <f>'EL Cap ALL Autoprod'!R98</f>
        <v>0.13500000000000001</v>
      </c>
      <c r="S86" s="561">
        <f>'EL Cap ALL Autoprod'!S98</f>
        <v>0.14499999999999999</v>
      </c>
      <c r="T86" s="561">
        <f>'EL Cap ALL Autoprod'!T98</f>
        <v>4.84</v>
      </c>
      <c r="U86" s="561">
        <f>'EL Cap ALL Autoprod'!U98</f>
        <v>6.2E-2</v>
      </c>
      <c r="V86" s="561">
        <f>'EL Cap ALL Autoprod'!V98</f>
        <v>0.13200000000000001</v>
      </c>
      <c r="W86" s="561">
        <f>'EL Cap ALL Autoprod'!W98</f>
        <v>3.3000000000000002E-2</v>
      </c>
      <c r="X86" s="561">
        <f>'EL Cap ALL Autoprod'!X98</f>
        <v>0</v>
      </c>
      <c r="Y86" s="561">
        <f>'EL Cap ALL Autoprod'!Y98</f>
        <v>2.996</v>
      </c>
      <c r="Z86" s="561">
        <f>'EL Cap ALL Autoprod'!Z98</f>
        <v>2.0539999999999998</v>
      </c>
      <c r="AA86" s="561">
        <f>'EL Cap ALL Autoprod'!AA98</f>
        <v>1.3120000000000001</v>
      </c>
      <c r="AB86" s="561">
        <f>'EL Cap ALL Autoprod'!AB98</f>
        <v>0.627</v>
      </c>
      <c r="AC86" s="561">
        <f>'EL Cap ALL Autoprod'!AC98</f>
        <v>0.98699999999999999</v>
      </c>
      <c r="AD86" s="561">
        <f>'EL Cap ALL Autoprod'!AD98</f>
        <v>0.182</v>
      </c>
      <c r="AE86" s="561">
        <f>'EL Cap ALL Autoprod'!AE98</f>
        <v>0.56399999999999995</v>
      </c>
      <c r="AF86" s="561">
        <f>'EL Cap ALL Autoprod'!AF98</f>
        <v>8.3680000000000003</v>
      </c>
      <c r="AG86" s="561">
        <f>'EL Cap ALL Autoprod'!AG98</f>
        <v>1.429</v>
      </c>
      <c r="AH86" s="561">
        <f>'EL Cap ALL Autoprod'!AH98</f>
        <v>3.1E-2</v>
      </c>
      <c r="AI86" s="561">
        <f>'EL Cap ALL Autoprod'!AI98</f>
        <v>1.048</v>
      </c>
    </row>
    <row r="87" spans="1:35">
      <c r="A87" s="518"/>
      <c r="B87" s="554"/>
      <c r="C87" s="570" t="s">
        <v>957</v>
      </c>
      <c r="D87" s="554"/>
      <c r="E87" s="517"/>
      <c r="F87" s="517">
        <f>'EL Cap ALL Autoprod'!F99</f>
        <v>1.2130000000000001</v>
      </c>
      <c r="G87" s="517">
        <f>'EL Cap ALL Autoprod'!G99</f>
        <v>0.49</v>
      </c>
      <c r="H87" s="517">
        <f>'EL Cap ALL Autoprod'!H99</f>
        <v>0.26300000000000001</v>
      </c>
      <c r="I87" s="517">
        <f>'EL Cap ALL Autoprod'!I99</f>
        <v>6.0000000000000001E-3</v>
      </c>
      <c r="J87" s="517">
        <f>'EL Cap ALL Autoprod'!J99</f>
        <v>2.1349999999999998</v>
      </c>
      <c r="K87" s="517">
        <f>'EL Cap ALL Autoprod'!K99</f>
        <v>10.557</v>
      </c>
      <c r="L87" s="517">
        <f>'EL Cap ALL Autoprod'!L99</f>
        <v>0.63600000000000001</v>
      </c>
      <c r="M87" s="517">
        <f>'EL Cap ALL Autoprod'!M99</f>
        <v>3.1E-2</v>
      </c>
      <c r="N87" s="517">
        <f>'EL Cap ALL Autoprod'!N99</f>
        <v>6.4809999999999999</v>
      </c>
      <c r="O87" s="517">
        <f>'EL Cap ALL Autoprod'!O99</f>
        <v>2.27</v>
      </c>
      <c r="P87" s="517">
        <f>'EL Cap ALL Autoprod'!P99</f>
        <v>6.4329999999999998</v>
      </c>
      <c r="Q87" s="517">
        <f>'EL Cap ALL Autoprod'!Q99</f>
        <v>0.25700000000000001</v>
      </c>
      <c r="R87" s="517">
        <f>'EL Cap ALL Autoprod'!R99</f>
        <v>0.13500000000000001</v>
      </c>
      <c r="S87" s="517">
        <f>'EL Cap ALL Autoprod'!S99</f>
        <v>0.14499999999999999</v>
      </c>
      <c r="T87" s="517">
        <f>'EL Cap ALL Autoprod'!T99</f>
        <v>4.5229999999999997</v>
      </c>
      <c r="U87" s="517">
        <f>'EL Cap ALL Autoprod'!U99</f>
        <v>3.6999999999999998E-2</v>
      </c>
      <c r="V87" s="517">
        <f>'EL Cap ALL Autoprod'!V99</f>
        <v>0.106</v>
      </c>
      <c r="W87" s="517">
        <f>'EL Cap ALL Autoprod'!W99</f>
        <v>2.7E-2</v>
      </c>
      <c r="X87" s="517">
        <f>'EL Cap ALL Autoprod'!X99</f>
        <v>0</v>
      </c>
      <c r="Y87" s="517">
        <f>'EL Cap ALL Autoprod'!Y99</f>
        <v>2.7280000000000002</v>
      </c>
      <c r="Z87" s="517">
        <f>'EL Cap ALL Autoprod'!Z99</f>
        <v>2.0529999999999999</v>
      </c>
      <c r="AA87" s="517">
        <f>'EL Cap ALL Autoprod'!AA99</f>
        <v>1.306</v>
      </c>
      <c r="AB87" s="517">
        <f>'EL Cap ALL Autoprod'!AB99</f>
        <v>0.60399999999999998</v>
      </c>
      <c r="AC87" s="517">
        <f>'EL Cap ALL Autoprod'!AC99</f>
        <v>0.98399999999999999</v>
      </c>
      <c r="AD87" s="517">
        <f>'EL Cap ALL Autoprod'!AD99</f>
        <v>7.8E-2</v>
      </c>
      <c r="AE87" s="517">
        <f>'EL Cap ALL Autoprod'!AE99</f>
        <v>0.52500000000000002</v>
      </c>
      <c r="AF87" s="517">
        <f>'EL Cap ALL Autoprod'!AF99</f>
        <v>6.633</v>
      </c>
      <c r="AG87" s="517">
        <f>'EL Cap ALL Autoprod'!AG99</f>
        <v>0.81599999999999995</v>
      </c>
      <c r="AH87" s="517">
        <f>'EL Cap ALL Autoprod'!AH99</f>
        <v>2.7E-2</v>
      </c>
      <c r="AI87" s="517">
        <f>'EL Cap ALL Autoprod'!AI99</f>
        <v>0.13600000000000001</v>
      </c>
    </row>
    <row r="88" spans="1:35">
      <c r="A88" s="518"/>
      <c r="B88" s="554"/>
      <c r="C88" s="570" t="s">
        <v>968</v>
      </c>
      <c r="D88" s="554"/>
      <c r="E88" s="517"/>
      <c r="F88" s="517">
        <f>'EL Cap ALL Autoprod'!F100</f>
        <v>0</v>
      </c>
      <c r="G88" s="582">
        <f>'EL Cap ALL Autoprod'!G100</f>
        <v>2E-3</v>
      </c>
      <c r="H88" s="582">
        <f>'EL Cap ALL Autoprod'!H100</f>
        <v>0</v>
      </c>
      <c r="I88" s="517">
        <f>'EL Cap ALL Autoprod'!I100</f>
        <v>0</v>
      </c>
      <c r="J88" s="517">
        <f>'EL Cap ALL Autoprod'!J100</f>
        <v>0</v>
      </c>
      <c r="K88" s="517">
        <f>'EL Cap ALL Autoprod'!K100</f>
        <v>0</v>
      </c>
      <c r="L88" s="517">
        <f>'EL Cap ALL Autoprod'!L100</f>
        <v>3.0000000000000001E-3</v>
      </c>
      <c r="M88" s="517">
        <f>'EL Cap ALL Autoprod'!M100</f>
        <v>0</v>
      </c>
      <c r="N88" s="517">
        <f>'EL Cap ALL Autoprod'!N100</f>
        <v>0</v>
      </c>
      <c r="O88" s="517">
        <f>'EL Cap ALL Autoprod'!O100</f>
        <v>0</v>
      </c>
      <c r="P88" s="517">
        <f>'EL Cap ALL Autoprod'!P100</f>
        <v>0</v>
      </c>
      <c r="Q88" s="517">
        <f>'EL Cap ALL Autoprod'!Q100</f>
        <v>0</v>
      </c>
      <c r="R88" s="517">
        <f>'EL Cap ALL Autoprod'!R100</f>
        <v>0</v>
      </c>
      <c r="S88" s="517">
        <f>'EL Cap ALL Autoprod'!S100</f>
        <v>0</v>
      </c>
      <c r="T88" s="517">
        <f>'EL Cap ALL Autoprod'!T100</f>
        <v>0</v>
      </c>
      <c r="U88" s="517">
        <f>'EL Cap ALL Autoprod'!U100</f>
        <v>0</v>
      </c>
      <c r="V88" s="517">
        <f>'EL Cap ALL Autoprod'!V100</f>
        <v>2.4E-2</v>
      </c>
      <c r="W88" s="517">
        <f>'EL Cap ALL Autoprod'!W100</f>
        <v>0</v>
      </c>
      <c r="X88" s="517">
        <f>'EL Cap ALL Autoprod'!X100</f>
        <v>0</v>
      </c>
      <c r="Y88" s="517">
        <f>'EL Cap ALL Autoprod'!Y100</f>
        <v>4.8000000000000001E-2</v>
      </c>
      <c r="Z88" s="517">
        <f>'EL Cap ALL Autoprod'!Z100</f>
        <v>0</v>
      </c>
      <c r="AA88" s="517">
        <f>'EL Cap ALL Autoprod'!AA100</f>
        <v>0</v>
      </c>
      <c r="AB88" s="517">
        <f>'EL Cap ALL Autoprod'!AB100</f>
        <v>0</v>
      </c>
      <c r="AC88" s="517">
        <f>'EL Cap ALL Autoprod'!AC100</f>
        <v>0</v>
      </c>
      <c r="AD88" s="517">
        <f>'EL Cap ALL Autoprod'!AD100</f>
        <v>0</v>
      </c>
      <c r="AE88" s="517">
        <f>'EL Cap ALL Autoprod'!AE100</f>
        <v>0</v>
      </c>
      <c r="AF88" s="517">
        <f>'EL Cap ALL Autoprod'!AF100</f>
        <v>1.0999999999999999E-2</v>
      </c>
      <c r="AG88" s="517">
        <f>'EL Cap ALL Autoprod'!AG100</f>
        <v>2.5999999999999999E-2</v>
      </c>
      <c r="AH88" s="517">
        <f>'EL Cap ALL Autoprod'!AH100</f>
        <v>0</v>
      </c>
      <c r="AI88" s="517">
        <f>'EL Cap ALL Autoprod'!AI100</f>
        <v>7.0000000000000001E-3</v>
      </c>
    </row>
    <row r="89" spans="1:35">
      <c r="A89" s="518"/>
      <c r="B89" s="554"/>
      <c r="C89" s="570" t="s">
        <v>103</v>
      </c>
      <c r="D89" s="554"/>
      <c r="E89" s="517"/>
      <c r="F89" s="517">
        <f>'EL Cap ALL Autoprod'!F101</f>
        <v>0</v>
      </c>
      <c r="G89" s="582">
        <f>'EL Cap ALL Autoprod'!G101</f>
        <v>2E-3</v>
      </c>
      <c r="H89" s="582">
        <f>'EL Cap ALL Autoprod'!H101</f>
        <v>0</v>
      </c>
      <c r="I89" s="517">
        <f>'EL Cap ALL Autoprod'!I101</f>
        <v>0</v>
      </c>
      <c r="J89" s="517">
        <f>'EL Cap ALL Autoprod'!J101</f>
        <v>0</v>
      </c>
      <c r="K89" s="517">
        <f>'EL Cap ALL Autoprod'!K101</f>
        <v>0</v>
      </c>
      <c r="L89" s="517">
        <f>'EL Cap ALL Autoprod'!L101</f>
        <v>0</v>
      </c>
      <c r="M89" s="517">
        <f>'EL Cap ALL Autoprod'!M101</f>
        <v>1E-3</v>
      </c>
      <c r="N89" s="517">
        <f>'EL Cap ALL Autoprod'!N101</f>
        <v>0</v>
      </c>
      <c r="O89" s="517">
        <f>'EL Cap ALL Autoprod'!O101</f>
        <v>0</v>
      </c>
      <c r="P89" s="517">
        <f>'EL Cap ALL Autoprod'!P101</f>
        <v>5.3999999999999999E-2</v>
      </c>
      <c r="Q89" s="517">
        <f>'EL Cap ALL Autoprod'!Q101</f>
        <v>0</v>
      </c>
      <c r="R89" s="517">
        <f>'EL Cap ALL Autoprod'!R101</f>
        <v>0</v>
      </c>
      <c r="S89" s="517">
        <f>'EL Cap ALL Autoprod'!S101</f>
        <v>0</v>
      </c>
      <c r="T89" s="517">
        <f>'EL Cap ALL Autoprod'!T101</f>
        <v>1E-3</v>
      </c>
      <c r="U89" s="517">
        <f>'EL Cap ALL Autoprod'!U101</f>
        <v>0</v>
      </c>
      <c r="V89" s="517">
        <f>'EL Cap ALL Autoprod'!V101</f>
        <v>0</v>
      </c>
      <c r="W89" s="517">
        <f>'EL Cap ALL Autoprod'!W101</f>
        <v>0</v>
      </c>
      <c r="X89" s="517">
        <f>'EL Cap ALL Autoprod'!X101</f>
        <v>0</v>
      </c>
      <c r="Y89" s="517">
        <f>'EL Cap ALL Autoprod'!Y101</f>
        <v>0.16800000000000001</v>
      </c>
      <c r="Z89" s="517">
        <f>'EL Cap ALL Autoprod'!Z101</f>
        <v>0</v>
      </c>
      <c r="AA89" s="517">
        <f>'EL Cap ALL Autoprod'!AA101</f>
        <v>0</v>
      </c>
      <c r="AB89" s="517">
        <f>'EL Cap ALL Autoprod'!AB101</f>
        <v>0</v>
      </c>
      <c r="AC89" s="517">
        <f>'EL Cap ALL Autoprod'!AC101</f>
        <v>0</v>
      </c>
      <c r="AD89" s="517">
        <f>'EL Cap ALL Autoprod'!AD101</f>
        <v>0</v>
      </c>
      <c r="AE89" s="517">
        <f>'EL Cap ALL Autoprod'!AE101</f>
        <v>5.0000000000000001E-3</v>
      </c>
      <c r="AF89" s="517">
        <f>'EL Cap ALL Autoprod'!AF101</f>
        <v>1.5649999999999999</v>
      </c>
      <c r="AG89" s="517">
        <f>'EL Cap ALL Autoprod'!AG101</f>
        <v>0</v>
      </c>
      <c r="AH89" s="517">
        <f>'EL Cap ALL Autoprod'!AH101</f>
        <v>0</v>
      </c>
      <c r="AI89" s="517">
        <f>'EL Cap ALL Autoprod'!AI101</f>
        <v>0</v>
      </c>
    </row>
    <row r="90" spans="1:35">
      <c r="A90" s="518"/>
      <c r="B90" s="554"/>
      <c r="C90" s="570" t="s">
        <v>102</v>
      </c>
      <c r="D90" s="554"/>
      <c r="E90" s="517"/>
      <c r="F90" s="517">
        <f>'EL Cap ALL Autoprod'!F102</f>
        <v>0.54</v>
      </c>
      <c r="G90" s="582">
        <f>'EL Cap ALL Autoprod'!G102</f>
        <v>0</v>
      </c>
      <c r="H90" s="582">
        <f>'EL Cap ALL Autoprod'!H102</f>
        <v>0</v>
      </c>
      <c r="I90" s="517">
        <f>'EL Cap ALL Autoprod'!I102</f>
        <v>0</v>
      </c>
      <c r="J90" s="517">
        <f>'EL Cap ALL Autoprod'!J102</f>
        <v>0.155</v>
      </c>
      <c r="K90" s="517">
        <f>'EL Cap ALL Autoprod'!K102</f>
        <v>6.4000000000000001E-2</v>
      </c>
      <c r="L90" s="517">
        <f>'EL Cap ALL Autoprod'!L102</f>
        <v>0</v>
      </c>
      <c r="M90" s="517">
        <f>'EL Cap ALL Autoprod'!M102</f>
        <v>0</v>
      </c>
      <c r="N90" s="517">
        <f>'EL Cap ALL Autoprod'!N102</f>
        <v>0</v>
      </c>
      <c r="O90" s="517">
        <f>'EL Cap ALL Autoprod'!O102</f>
        <v>0.19500000000000001</v>
      </c>
      <c r="P90" s="517">
        <f>'EL Cap ALL Autoprod'!P102</f>
        <v>0.26800000000000002</v>
      </c>
      <c r="Q90" s="517">
        <f>'EL Cap ALL Autoprod'!Q102</f>
        <v>0</v>
      </c>
      <c r="R90" s="517">
        <f>'EL Cap ALL Autoprod'!R102</f>
        <v>0</v>
      </c>
      <c r="S90" s="517">
        <f>'EL Cap ALL Autoprod'!S102</f>
        <v>0</v>
      </c>
      <c r="T90" s="517">
        <f>'EL Cap ALL Autoprod'!T102</f>
        <v>0.19900000000000001</v>
      </c>
      <c r="U90" s="517">
        <f>'EL Cap ALL Autoprod'!U102</f>
        <v>0</v>
      </c>
      <c r="V90" s="517">
        <f>'EL Cap ALL Autoprod'!V102</f>
        <v>2E-3</v>
      </c>
      <c r="W90" s="517">
        <f>'EL Cap ALL Autoprod'!W102</f>
        <v>6.0000000000000001E-3</v>
      </c>
      <c r="X90" s="517">
        <f>'EL Cap ALL Autoprod'!X102</f>
        <v>0</v>
      </c>
      <c r="Y90" s="517">
        <f>'EL Cap ALL Autoprod'!Y102</f>
        <v>0</v>
      </c>
      <c r="Z90" s="517">
        <f>'EL Cap ALL Autoprod'!Z102</f>
        <v>1E-3</v>
      </c>
      <c r="AA90" s="517">
        <f>'EL Cap ALL Autoprod'!AA102</f>
        <v>6.0000000000000001E-3</v>
      </c>
      <c r="AB90" s="517">
        <f>'EL Cap ALL Autoprod'!AB102</f>
        <v>2.3E-2</v>
      </c>
      <c r="AC90" s="517">
        <f>'EL Cap ALL Autoprod'!AC102</f>
        <v>3.0000000000000001E-3</v>
      </c>
      <c r="AD90" s="517">
        <f>'EL Cap ALL Autoprod'!AD102</f>
        <v>0.104</v>
      </c>
      <c r="AE90" s="517">
        <f>'EL Cap ALL Autoprod'!AE102</f>
        <v>2.4E-2</v>
      </c>
      <c r="AF90" s="517">
        <f>'EL Cap ALL Autoprod'!AF102</f>
        <v>0.158</v>
      </c>
      <c r="AG90" s="517">
        <f>'EL Cap ALL Autoprod'!AG102</f>
        <v>0.52200000000000002</v>
      </c>
      <c r="AH90" s="517">
        <f>'EL Cap ALL Autoprod'!AH102</f>
        <v>4.0000000000000001E-3</v>
      </c>
      <c r="AI90" s="517">
        <f>'EL Cap ALL Autoprod'!AI102</f>
        <v>0.81399999999999995</v>
      </c>
    </row>
    <row r="91" spans="1:35" hidden="1">
      <c r="A91" s="516"/>
      <c r="B91" s="748" t="s">
        <v>203</v>
      </c>
      <c r="C91" s="749"/>
      <c r="D91" s="554"/>
      <c r="E91" s="513">
        <f>SUM(F91:AI91)</f>
        <v>0</v>
      </c>
    </row>
    <row r="92" spans="1:35" hidden="1">
      <c r="A92" s="516"/>
      <c r="B92" s="516"/>
      <c r="C92" s="516" t="s">
        <v>0</v>
      </c>
      <c r="D92" s="554"/>
      <c r="E92" s="513">
        <f>SUM(F92:AI92)</f>
        <v>0</v>
      </c>
    </row>
    <row r="93" spans="1:35" hidden="1">
      <c r="A93" s="516"/>
      <c r="B93" s="516"/>
      <c r="C93" s="516" t="s">
        <v>574</v>
      </c>
      <c r="D93" s="554"/>
      <c r="E93" s="513">
        <f>SUM(F93:AI93)</f>
        <v>0</v>
      </c>
    </row>
    <row r="95" spans="1:35">
      <c r="C95" s="513" t="s">
        <v>973</v>
      </c>
      <c r="F95" s="517">
        <f>F86-SUM(F88:F90)</f>
        <v>1.2129999999999999</v>
      </c>
      <c r="G95" s="517">
        <f t="shared" ref="G95:AI95" si="20">G86-SUM(G88:G90)</f>
        <v>0.49</v>
      </c>
      <c r="H95" s="517">
        <f t="shared" si="20"/>
        <v>0.26300000000000001</v>
      </c>
      <c r="I95" s="517">
        <f t="shared" si="20"/>
        <v>6.0000000000000001E-3</v>
      </c>
      <c r="J95" s="517">
        <f t="shared" si="20"/>
        <v>2.1350000000000002</v>
      </c>
      <c r="K95" s="517">
        <f t="shared" si="20"/>
        <v>10.557</v>
      </c>
      <c r="L95" s="517">
        <f t="shared" si="20"/>
        <v>0.63600000000000001</v>
      </c>
      <c r="M95" s="517">
        <f t="shared" si="20"/>
        <v>3.1E-2</v>
      </c>
      <c r="N95" s="517">
        <f t="shared" si="20"/>
        <v>6.4809999999999999</v>
      </c>
      <c r="O95" s="517">
        <f t="shared" si="20"/>
        <v>2.27</v>
      </c>
      <c r="P95" s="517">
        <f t="shared" si="20"/>
        <v>6.4329999999999998</v>
      </c>
      <c r="Q95" s="517">
        <f t="shared" si="20"/>
        <v>0.25700000000000001</v>
      </c>
      <c r="R95" s="517">
        <f t="shared" si="20"/>
        <v>0.13500000000000001</v>
      </c>
      <c r="S95" s="517">
        <f t="shared" si="20"/>
        <v>0.14499999999999999</v>
      </c>
      <c r="T95" s="517">
        <f t="shared" si="20"/>
        <v>4.6399999999999997</v>
      </c>
      <c r="U95" s="517">
        <f t="shared" si="20"/>
        <v>6.2E-2</v>
      </c>
      <c r="V95" s="517">
        <f t="shared" si="20"/>
        <v>0.10600000000000001</v>
      </c>
      <c r="W95" s="517">
        <f t="shared" si="20"/>
        <v>2.7000000000000003E-2</v>
      </c>
      <c r="X95" s="517">
        <f t="shared" si="20"/>
        <v>0</v>
      </c>
      <c r="Y95" s="517">
        <f t="shared" si="20"/>
        <v>2.78</v>
      </c>
      <c r="Z95" s="517">
        <f t="shared" si="20"/>
        <v>2.0529999999999999</v>
      </c>
      <c r="AA95" s="517">
        <f t="shared" si="20"/>
        <v>1.306</v>
      </c>
      <c r="AB95" s="517">
        <f t="shared" si="20"/>
        <v>0.60399999999999998</v>
      </c>
      <c r="AC95" s="517">
        <f t="shared" si="20"/>
        <v>0.98399999999999999</v>
      </c>
      <c r="AD95" s="517">
        <f t="shared" si="20"/>
        <v>7.8E-2</v>
      </c>
      <c r="AE95" s="517">
        <f t="shared" si="20"/>
        <v>0.53499999999999992</v>
      </c>
      <c r="AF95" s="517">
        <f t="shared" si="20"/>
        <v>6.6340000000000003</v>
      </c>
      <c r="AG95" s="517">
        <f t="shared" si="20"/>
        <v>0.88100000000000001</v>
      </c>
      <c r="AH95" s="517">
        <f t="shared" si="20"/>
        <v>2.7E-2</v>
      </c>
      <c r="AI95" s="517">
        <f t="shared" si="20"/>
        <v>0.22700000000000009</v>
      </c>
    </row>
    <row r="96" spans="1:35">
      <c r="C96" s="513" t="s">
        <v>974</v>
      </c>
      <c r="F96" s="517">
        <f>F86-F95</f>
        <v>0.54</v>
      </c>
      <c r="G96" s="517">
        <f t="shared" ref="G96:AI96" si="21">G86-G95</f>
        <v>4.0000000000000036E-3</v>
      </c>
      <c r="H96" s="517">
        <f t="shared" si="21"/>
        <v>0</v>
      </c>
      <c r="I96" s="517">
        <f t="shared" si="21"/>
        <v>0</v>
      </c>
      <c r="J96" s="517">
        <f t="shared" si="21"/>
        <v>0.1549999999999998</v>
      </c>
      <c r="K96" s="517">
        <f t="shared" si="21"/>
        <v>6.4000000000000057E-2</v>
      </c>
      <c r="L96" s="517">
        <f t="shared" si="21"/>
        <v>3.0000000000000027E-3</v>
      </c>
      <c r="M96" s="517">
        <f t="shared" si="21"/>
        <v>1.0000000000000009E-3</v>
      </c>
      <c r="N96" s="517">
        <f t="shared" si="21"/>
        <v>0</v>
      </c>
      <c r="O96" s="517">
        <f t="shared" si="21"/>
        <v>0.19499999999999984</v>
      </c>
      <c r="P96" s="517">
        <f t="shared" si="21"/>
        <v>0.32200000000000006</v>
      </c>
      <c r="Q96" s="517">
        <f t="shared" si="21"/>
        <v>0</v>
      </c>
      <c r="R96" s="517">
        <f t="shared" si="21"/>
        <v>0</v>
      </c>
      <c r="S96" s="517">
        <f t="shared" si="21"/>
        <v>0</v>
      </c>
      <c r="T96" s="517">
        <f t="shared" si="21"/>
        <v>0.20000000000000018</v>
      </c>
      <c r="U96" s="517">
        <f t="shared" si="21"/>
        <v>0</v>
      </c>
      <c r="V96" s="517">
        <f t="shared" si="21"/>
        <v>2.5999999999999995E-2</v>
      </c>
      <c r="W96" s="517">
        <f t="shared" si="21"/>
        <v>5.9999999999999984E-3</v>
      </c>
      <c r="X96" s="517">
        <f t="shared" si="21"/>
        <v>0</v>
      </c>
      <c r="Y96" s="517">
        <f t="shared" si="21"/>
        <v>0.21600000000000019</v>
      </c>
      <c r="Z96" s="517">
        <f t="shared" si="21"/>
        <v>9.9999999999988987E-4</v>
      </c>
      <c r="AA96" s="517">
        <f t="shared" si="21"/>
        <v>6.0000000000000053E-3</v>
      </c>
      <c r="AB96" s="517">
        <f t="shared" si="21"/>
        <v>2.300000000000002E-2</v>
      </c>
      <c r="AC96" s="517">
        <f t="shared" si="21"/>
        <v>3.0000000000000027E-3</v>
      </c>
      <c r="AD96" s="517">
        <f t="shared" si="21"/>
        <v>0.104</v>
      </c>
      <c r="AE96" s="517">
        <f t="shared" si="21"/>
        <v>2.9000000000000026E-2</v>
      </c>
      <c r="AF96" s="517">
        <f t="shared" si="21"/>
        <v>1.734</v>
      </c>
      <c r="AG96" s="517">
        <f t="shared" si="21"/>
        <v>0.54800000000000004</v>
      </c>
      <c r="AH96" s="517">
        <f t="shared" si="21"/>
        <v>4.0000000000000001E-3</v>
      </c>
      <c r="AI96" s="517">
        <f t="shared" si="21"/>
        <v>0.82099999999999995</v>
      </c>
    </row>
    <row r="98" spans="1:32" ht="15.75" thickBot="1"/>
    <row r="99" spans="1:32" ht="15.75" thickBot="1">
      <c r="A99" s="579"/>
      <c r="B99" s="580"/>
      <c r="C99" s="581" t="s">
        <v>982</v>
      </c>
    </row>
    <row r="100" spans="1:32">
      <c r="C100" s="513" t="s">
        <v>983</v>
      </c>
      <c r="E100" s="513">
        <f>E60/E86/31.53</f>
        <v>0.48831221922631601</v>
      </c>
      <c r="F100" s="513">
        <f t="shared" ref="F100:AF100" si="22">F60/F86/31.53</f>
        <v>0.46106452641830631</v>
      </c>
      <c r="G100" s="513">
        <f t="shared" si="22"/>
        <v>0.38784474910470201</v>
      </c>
      <c r="H100" s="513">
        <f t="shared" si="22"/>
        <v>0.71764593802269305</v>
      </c>
      <c r="I100" s="513">
        <f t="shared" si="22"/>
        <v>0.53388307432075277</v>
      </c>
      <c r="J100" s="513">
        <f t="shared" si="22"/>
        <v>0.47715006294691265</v>
      </c>
      <c r="K100" s="513">
        <f t="shared" si="22"/>
        <v>0.47441453155193175</v>
      </c>
      <c r="L100" s="513">
        <f t="shared" si="22"/>
        <v>0.51390557816362881</v>
      </c>
      <c r="M100" s="513">
        <f t="shared" si="22"/>
        <v>0.52826673009831904</v>
      </c>
      <c r="N100" s="513">
        <f t="shared" si="22"/>
        <v>0.70163863797042592</v>
      </c>
      <c r="O100" s="513">
        <f t="shared" si="22"/>
        <v>0.46921409726658475</v>
      </c>
      <c r="P100" s="513">
        <f t="shared" si="22"/>
        <v>0.35260674277056403</v>
      </c>
      <c r="Q100" s="513">
        <f t="shared" si="22"/>
        <v>0.48252482658107099</v>
      </c>
      <c r="R100" s="513">
        <f t="shared" si="22"/>
        <v>0.34769942794046815</v>
      </c>
      <c r="S100" s="513">
        <f t="shared" si="22"/>
        <v>0.4960792676925096</v>
      </c>
      <c r="T100" s="513">
        <f t="shared" si="22"/>
        <v>0.44793362218325455</v>
      </c>
      <c r="U100" s="513">
        <f t="shared" si="22"/>
        <v>0.68700571907962715</v>
      </c>
      <c r="V100" s="513">
        <f t="shared" si="22"/>
        <v>0.29072840680833067</v>
      </c>
      <c r="W100" s="513">
        <f t="shared" si="22"/>
        <v>0.27294832242501127</v>
      </c>
      <c r="X100" s="513" t="e">
        <f t="shared" si="22"/>
        <v>#DIV/0!</v>
      </c>
      <c r="Y100" s="513">
        <f t="shared" si="22"/>
        <v>0.57362666026421949</v>
      </c>
      <c r="Z100" s="513">
        <f t="shared" si="22"/>
        <v>0.45158765967158215</v>
      </c>
      <c r="AA100" s="513">
        <f t="shared" si="22"/>
        <v>0.48064464350637787</v>
      </c>
      <c r="AB100" s="513">
        <f t="shared" si="22"/>
        <v>0.42176484662337727</v>
      </c>
      <c r="AC100" s="513">
        <f t="shared" si="22"/>
        <v>0.57274861817647826</v>
      </c>
      <c r="AD100" s="513">
        <f t="shared" si="22"/>
        <v>0.22828424350784007</v>
      </c>
      <c r="AE100" s="513">
        <f t="shared" si="22"/>
        <v>0.47495012067759401</v>
      </c>
      <c r="AF100" s="513">
        <f t="shared" si="22"/>
        <v>0.56460841263805928</v>
      </c>
    </row>
    <row r="101" spans="1:32">
      <c r="C101" s="513" t="s">
        <v>984</v>
      </c>
      <c r="F101" s="513">
        <f t="shared" ref="F101:M101" si="23">IF((F63+F64+F65)=0,0,IF((F88+F89+F90)=0,"Error",(F63+F64+F65)/(F88+F89+F90)/31.53))</f>
        <v>0.26071583794387471</v>
      </c>
      <c r="G101" s="513">
        <f t="shared" si="23"/>
        <v>8.7218522042499205E-2</v>
      </c>
      <c r="H101" s="513">
        <f>IF((H63+H64+H65)=0,0,IF((H88+H89+H90)=0,"Error",(H63+H64+H65)/(H88+H89+H90)/31.53))</f>
        <v>0</v>
      </c>
      <c r="I101" s="513" t="str">
        <f t="shared" si="23"/>
        <v>Error</v>
      </c>
      <c r="J101" s="513">
        <f t="shared" si="23"/>
        <v>0.40514410239096404</v>
      </c>
      <c r="K101" s="513">
        <f t="shared" si="23"/>
        <v>0.64422771963209635</v>
      </c>
      <c r="L101" s="513">
        <f t="shared" si="23"/>
        <v>7.4003594460302358E-2</v>
      </c>
      <c r="M101" s="513">
        <f t="shared" si="23"/>
        <v>0.12686330478908975</v>
      </c>
      <c r="N101" s="513" t="str">
        <f>IF((N63+N64+N65)=0,0,IF((N88+N89+N90)=0,"Error",(N63+N64+N65)/(N88+N89+N90)/31.53))</f>
        <v>Error</v>
      </c>
      <c r="O101" s="513">
        <f t="shared" ref="O101:AF101" si="24">IF((O63+O64+O65)=0,0,IF((O88+O89+O90)=0,"Error",(O63+O64+O65)/(O88+O89+O90)/31.53))</f>
        <v>0.57966771572861009</v>
      </c>
      <c r="P101" s="513">
        <f t="shared" si="24"/>
        <v>0.3266139120191161</v>
      </c>
      <c r="Q101" s="513">
        <f t="shared" si="24"/>
        <v>0</v>
      </c>
      <c r="R101" s="513">
        <f t="shared" si="24"/>
        <v>0</v>
      </c>
      <c r="S101" s="513">
        <f t="shared" si="24"/>
        <v>0</v>
      </c>
      <c r="T101" s="513">
        <f t="shared" si="24"/>
        <v>0.45781795115762758</v>
      </c>
      <c r="U101" s="513">
        <f t="shared" si="24"/>
        <v>0</v>
      </c>
      <c r="V101" s="513">
        <f t="shared" si="24"/>
        <v>0.10124667593744661</v>
      </c>
      <c r="W101" s="513">
        <f t="shared" si="24"/>
        <v>0.19029495718363459</v>
      </c>
      <c r="X101" s="513">
        <f t="shared" si="24"/>
        <v>0</v>
      </c>
      <c r="Y101" s="513">
        <f t="shared" si="24"/>
        <v>0.16650808753568028</v>
      </c>
      <c r="Z101" s="513">
        <f t="shared" si="24"/>
        <v>0.22201078338090707</v>
      </c>
      <c r="AA101" s="513">
        <f t="shared" si="24"/>
        <v>0.15329315995348344</v>
      </c>
      <c r="AB101" s="513">
        <f t="shared" si="24"/>
        <v>0.3778320164370717</v>
      </c>
      <c r="AC101" s="513">
        <f t="shared" si="24"/>
        <v>0.42287768263029918</v>
      </c>
      <c r="AD101" s="513">
        <f t="shared" si="24"/>
        <v>0.24701749249798727</v>
      </c>
      <c r="AE101" s="513">
        <f t="shared" si="24"/>
        <v>0.34668678981156426</v>
      </c>
      <c r="AF101" s="513">
        <f t="shared" si="24"/>
        <v>0.26391444994258595</v>
      </c>
    </row>
    <row r="102" spans="1:32">
      <c r="C102" s="513" t="s">
        <v>985</v>
      </c>
      <c r="F102" s="517">
        <f>F88+F89+F90</f>
        <v>0.54</v>
      </c>
      <c r="G102" s="517">
        <f t="shared" ref="G102:AF102" si="25">G88+G89+G90</f>
        <v>4.0000000000000001E-3</v>
      </c>
      <c r="H102" s="517">
        <f t="shared" si="25"/>
        <v>0</v>
      </c>
      <c r="I102" s="517">
        <f t="shared" si="25"/>
        <v>0</v>
      </c>
      <c r="J102" s="517">
        <f t="shared" si="25"/>
        <v>0.155</v>
      </c>
      <c r="K102" s="517">
        <f t="shared" si="25"/>
        <v>6.4000000000000001E-2</v>
      </c>
      <c r="L102" s="517">
        <f t="shared" si="25"/>
        <v>3.0000000000000001E-3</v>
      </c>
      <c r="M102" s="517">
        <f t="shared" si="25"/>
        <v>1E-3</v>
      </c>
      <c r="N102" s="517">
        <f t="shared" si="25"/>
        <v>0</v>
      </c>
      <c r="O102" s="517">
        <f t="shared" si="25"/>
        <v>0.19500000000000001</v>
      </c>
      <c r="P102" s="517">
        <f t="shared" si="25"/>
        <v>0.32200000000000001</v>
      </c>
      <c r="Q102" s="517">
        <f t="shared" si="25"/>
        <v>0</v>
      </c>
      <c r="R102" s="517">
        <f t="shared" si="25"/>
        <v>0</v>
      </c>
      <c r="S102" s="517">
        <f t="shared" si="25"/>
        <v>0</v>
      </c>
      <c r="T102" s="517">
        <f t="shared" si="25"/>
        <v>0.2</v>
      </c>
      <c r="U102" s="517">
        <f t="shared" si="25"/>
        <v>0</v>
      </c>
      <c r="V102" s="517">
        <f t="shared" si="25"/>
        <v>2.6000000000000002E-2</v>
      </c>
      <c r="W102" s="517">
        <f t="shared" si="25"/>
        <v>6.0000000000000001E-3</v>
      </c>
      <c r="X102" s="517">
        <f t="shared" si="25"/>
        <v>0</v>
      </c>
      <c r="Y102" s="517">
        <f t="shared" si="25"/>
        <v>0.21600000000000003</v>
      </c>
      <c r="Z102" s="517">
        <f t="shared" si="25"/>
        <v>1E-3</v>
      </c>
      <c r="AA102" s="517">
        <f t="shared" si="25"/>
        <v>6.0000000000000001E-3</v>
      </c>
      <c r="AB102" s="517">
        <f t="shared" si="25"/>
        <v>2.3E-2</v>
      </c>
      <c r="AC102" s="517">
        <f t="shared" si="25"/>
        <v>3.0000000000000001E-3</v>
      </c>
      <c r="AD102" s="517">
        <f t="shared" si="25"/>
        <v>0.104</v>
      </c>
      <c r="AE102" s="517">
        <f t="shared" si="25"/>
        <v>2.9000000000000001E-2</v>
      </c>
      <c r="AF102" s="517">
        <f t="shared" si="25"/>
        <v>1.7339999999999998</v>
      </c>
    </row>
    <row r="103" spans="1:32">
      <c r="C103" s="513" t="s">
        <v>987</v>
      </c>
      <c r="F103" s="517">
        <f>F86-F102</f>
        <v>1.2129999999999999</v>
      </c>
      <c r="G103" s="517">
        <f t="shared" ref="G103:AF103" si="26">G86-G102</f>
        <v>0.49</v>
      </c>
      <c r="H103" s="517">
        <f t="shared" si="26"/>
        <v>0.26300000000000001</v>
      </c>
      <c r="I103" s="517">
        <f t="shared" si="26"/>
        <v>6.0000000000000001E-3</v>
      </c>
      <c r="J103" s="517">
        <f t="shared" si="26"/>
        <v>2.1350000000000002</v>
      </c>
      <c r="K103" s="517">
        <f t="shared" si="26"/>
        <v>10.557</v>
      </c>
      <c r="L103" s="517">
        <f t="shared" si="26"/>
        <v>0.63600000000000001</v>
      </c>
      <c r="M103" s="517">
        <f t="shared" si="26"/>
        <v>3.1E-2</v>
      </c>
      <c r="N103" s="517">
        <f t="shared" si="26"/>
        <v>6.4809999999999999</v>
      </c>
      <c r="O103" s="517">
        <f t="shared" si="26"/>
        <v>2.27</v>
      </c>
      <c r="P103" s="517">
        <f t="shared" si="26"/>
        <v>6.4329999999999998</v>
      </c>
      <c r="Q103" s="517">
        <f t="shared" si="26"/>
        <v>0.25700000000000001</v>
      </c>
      <c r="R103" s="517">
        <f t="shared" si="26"/>
        <v>0.13500000000000001</v>
      </c>
      <c r="S103" s="517">
        <f t="shared" si="26"/>
        <v>0.14499999999999999</v>
      </c>
      <c r="T103" s="517">
        <f t="shared" si="26"/>
        <v>4.6399999999999997</v>
      </c>
      <c r="U103" s="517">
        <f t="shared" si="26"/>
        <v>6.2E-2</v>
      </c>
      <c r="V103" s="517">
        <f t="shared" si="26"/>
        <v>0.10600000000000001</v>
      </c>
      <c r="W103" s="517">
        <f t="shared" si="26"/>
        <v>2.7000000000000003E-2</v>
      </c>
      <c r="X103" s="517">
        <f t="shared" si="26"/>
        <v>0</v>
      </c>
      <c r="Y103" s="517">
        <f t="shared" si="26"/>
        <v>2.78</v>
      </c>
      <c r="Z103" s="517">
        <f t="shared" si="26"/>
        <v>2.0529999999999999</v>
      </c>
      <c r="AA103" s="517">
        <f t="shared" si="26"/>
        <v>1.306</v>
      </c>
      <c r="AB103" s="517">
        <f t="shared" si="26"/>
        <v>0.60399999999999998</v>
      </c>
      <c r="AC103" s="517">
        <f t="shared" si="26"/>
        <v>0.98399999999999999</v>
      </c>
      <c r="AD103" s="517">
        <f t="shared" si="26"/>
        <v>7.8E-2</v>
      </c>
      <c r="AE103" s="517">
        <f t="shared" si="26"/>
        <v>0.53499999999999992</v>
      </c>
      <c r="AF103" s="517">
        <f t="shared" si="26"/>
        <v>6.6340000000000003</v>
      </c>
    </row>
    <row r="104" spans="1:32">
      <c r="C104" s="513" t="s">
        <v>986</v>
      </c>
      <c r="F104" s="517">
        <f>F61/F103/31.53</f>
        <v>0.36061391171704987</v>
      </c>
      <c r="G104" s="517">
        <f t="shared" ref="G104:AF104" si="27">G61/G103/31.53</f>
        <v>0.32783808099833656</v>
      </c>
      <c r="H104" s="517">
        <f t="shared" si="27"/>
        <v>0.64299918358880848</v>
      </c>
      <c r="I104" s="517">
        <f t="shared" si="27"/>
        <v>0.53388307432075277</v>
      </c>
      <c r="J104" s="517">
        <f t="shared" si="27"/>
        <v>0.47532144769748297</v>
      </c>
      <c r="K104" s="517">
        <f t="shared" si="27"/>
        <v>0.256226142342803</v>
      </c>
      <c r="L104" s="517">
        <f t="shared" si="27"/>
        <v>0.51593071986946648</v>
      </c>
      <c r="M104" s="517">
        <f t="shared" si="27"/>
        <v>0.42355974340873509</v>
      </c>
      <c r="N104" s="517">
        <f t="shared" si="27"/>
        <v>0.59382146735195551</v>
      </c>
      <c r="O104" s="517">
        <f t="shared" si="27"/>
        <v>0.44689974305989261</v>
      </c>
      <c r="P104" s="517">
        <f t="shared" si="27"/>
        <v>0.23763451309008732</v>
      </c>
      <c r="Q104" s="517">
        <f t="shared" si="27"/>
        <v>0.47178834066993197</v>
      </c>
      <c r="R104" s="517">
        <f t="shared" si="27"/>
        <v>0.34581997157322242</v>
      </c>
      <c r="S104" s="517">
        <f t="shared" si="27"/>
        <v>0.4960792676925096</v>
      </c>
      <c r="T104" s="517">
        <f>T61/T103/31.53</f>
        <v>0.42914793792447259</v>
      </c>
      <c r="U104" s="517">
        <f t="shared" si="27"/>
        <v>0.31869289872420531</v>
      </c>
      <c r="V104" s="517">
        <f t="shared" si="27"/>
        <v>0.36203914810094001</v>
      </c>
      <c r="W104" s="517">
        <f t="shared" si="27"/>
        <v>0.33007952449753902</v>
      </c>
      <c r="X104" s="517" t="e">
        <f t="shared" si="27"/>
        <v>#DIV/0!</v>
      </c>
      <c r="Y104" s="517">
        <f t="shared" si="27"/>
        <v>0.5215199866747896</v>
      </c>
      <c r="Z104" s="517">
        <f t="shared" si="27"/>
        <v>0.45180762443518252</v>
      </c>
      <c r="AA104" s="517">
        <f t="shared" si="27"/>
        <v>0.42585660658144681</v>
      </c>
      <c r="AB104" s="517">
        <f t="shared" si="27"/>
        <v>0.41304087560884933</v>
      </c>
      <c r="AC104" s="517">
        <f t="shared" si="27"/>
        <v>0.54580874067541818</v>
      </c>
      <c r="AD104" s="517">
        <f t="shared" si="27"/>
        <v>0.5196516138476176</v>
      </c>
      <c r="AE104" s="517">
        <f t="shared" si="27"/>
        <v>0.49618965471246784</v>
      </c>
      <c r="AF104" s="517">
        <f t="shared" si="27"/>
        <v>0.46816938679835668</v>
      </c>
    </row>
  </sheetData>
  <mergeCells count="17">
    <mergeCell ref="B80:C80"/>
    <mergeCell ref="A84:C84"/>
    <mergeCell ref="A85:C85"/>
    <mergeCell ref="B86:C86"/>
    <mergeCell ref="B91:C91"/>
    <mergeCell ref="B77:C77"/>
    <mergeCell ref="A4:C4"/>
    <mergeCell ref="A5:C5"/>
    <mergeCell ref="B6:C6"/>
    <mergeCell ref="B50:C50"/>
    <mergeCell ref="A58:C58"/>
    <mergeCell ref="A59:C59"/>
    <mergeCell ref="B60:C60"/>
    <mergeCell ref="B71:C71"/>
    <mergeCell ref="B74:C74"/>
    <mergeCell ref="A75:C75"/>
    <mergeCell ref="A76:C76"/>
  </mergeCells>
  <conditionalFormatting sqref="F104:AF104">
    <cfRule type="cellIs" dxfId="13" priority="1" stopIfTrue="1" operator="greaterThan">
      <formula>0.9</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BY627"/>
  <sheetViews>
    <sheetView zoomScaleNormal="100" workbookViewId="0">
      <pane xSplit="3" ySplit="2" topLeftCell="U3" activePane="bottomRight" state="frozen"/>
      <selection pane="topRight" activeCell="C1" sqref="C1"/>
      <selection pane="bottomLeft" activeCell="A4" sqref="A4"/>
      <selection pane="bottomRight" activeCell="V235" sqref="V235"/>
    </sheetView>
  </sheetViews>
  <sheetFormatPr defaultRowHeight="12.75"/>
  <cols>
    <col min="1" max="1" width="13.28515625" style="594" customWidth="1"/>
    <col min="2" max="2" width="12.5703125" style="594" customWidth="1"/>
    <col min="3" max="3" width="73.85546875" customWidth="1"/>
    <col min="4" max="4" width="11.42578125" style="613" customWidth="1"/>
    <col min="5" max="5" width="10.5703125" bestFit="1" customWidth="1"/>
    <col min="6" max="9" width="9.5703125" bestFit="1" customWidth="1"/>
    <col min="10" max="10" width="10.7109375" bestFit="1" customWidth="1"/>
    <col min="11" max="11" width="9.7109375" bestFit="1" customWidth="1"/>
    <col min="12" max="12" width="9.5703125" bestFit="1" customWidth="1"/>
    <col min="13" max="15" width="9.7109375" bestFit="1" customWidth="1"/>
    <col min="16" max="18" width="9.5703125" bestFit="1" customWidth="1"/>
    <col min="19" max="19" width="9.7109375" bestFit="1" customWidth="1"/>
    <col min="20" max="24" width="9.5703125" bestFit="1" customWidth="1"/>
    <col min="25" max="25" width="11.5703125" bestFit="1" customWidth="1"/>
    <col min="26" max="34" width="9.5703125" bestFit="1" customWidth="1"/>
    <col min="35" max="39" width="9.140625" style="164"/>
    <col min="40" max="40" width="17.7109375" style="164" customWidth="1"/>
    <col min="41" max="67" width="9.140625" style="164"/>
  </cols>
  <sheetData>
    <row r="1" spans="1:67" s="164" customFormat="1">
      <c r="A1" s="593"/>
      <c r="B1" s="593"/>
      <c r="C1" s="491"/>
      <c r="D1" s="171"/>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row>
    <row r="2" spans="1:67" s="183" customFormat="1">
      <c r="A2" s="592" t="s">
        <v>462</v>
      </c>
      <c r="B2" s="592" t="s">
        <v>1016</v>
      </c>
      <c r="D2" s="614" t="s">
        <v>169</v>
      </c>
      <c r="E2" s="182" t="s">
        <v>56</v>
      </c>
      <c r="F2" s="182" t="s">
        <v>39</v>
      </c>
      <c r="G2" s="182" t="s">
        <v>40</v>
      </c>
      <c r="H2" s="182" t="s">
        <v>49</v>
      </c>
      <c r="I2" s="182" t="s">
        <v>41</v>
      </c>
      <c r="J2" s="182" t="s">
        <v>43</v>
      </c>
      <c r="K2" s="182" t="s">
        <v>42</v>
      </c>
      <c r="L2" s="182" t="s">
        <v>44</v>
      </c>
      <c r="M2" s="182" t="s">
        <v>45</v>
      </c>
      <c r="N2" s="182" t="s">
        <v>62</v>
      </c>
      <c r="O2" s="182" t="s">
        <v>46</v>
      </c>
      <c r="P2" s="182" t="s">
        <v>82</v>
      </c>
      <c r="Q2" s="182" t="s">
        <v>53</v>
      </c>
      <c r="R2" s="182" t="s">
        <v>47</v>
      </c>
      <c r="S2" s="182" t="s">
        <v>48</v>
      </c>
      <c r="T2" s="182" t="s">
        <v>51</v>
      </c>
      <c r="U2" s="182" t="s">
        <v>52</v>
      </c>
      <c r="V2" s="182" t="s">
        <v>50</v>
      </c>
      <c r="W2" s="182" t="s">
        <v>54</v>
      </c>
      <c r="X2" s="182" t="s">
        <v>55</v>
      </c>
      <c r="Y2" s="182" t="s">
        <v>57</v>
      </c>
      <c r="Z2" s="182" t="s">
        <v>58</v>
      </c>
      <c r="AA2" s="182" t="s">
        <v>59</v>
      </c>
      <c r="AB2" s="182" t="s">
        <v>63</v>
      </c>
      <c r="AC2" s="182" t="s">
        <v>60</v>
      </c>
      <c r="AD2" s="182" t="s">
        <v>61</v>
      </c>
      <c r="AE2" s="182" t="s">
        <v>64</v>
      </c>
      <c r="AF2" s="182" t="s">
        <v>81</v>
      </c>
      <c r="AG2" s="182" t="s">
        <v>83</v>
      </c>
      <c r="AH2" s="182" t="s">
        <v>84</v>
      </c>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row>
    <row r="3" spans="1:67" s="164" customFormat="1" ht="12.75" customHeight="1">
      <c r="A3" s="593"/>
      <c r="B3" s="593"/>
      <c r="C3" s="757" t="s">
        <v>1044</v>
      </c>
      <c r="D3" s="50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row>
    <row r="4" spans="1:67" s="164" customFormat="1" ht="12.75" customHeight="1">
      <c r="A4" s="593"/>
      <c r="B4" s="593"/>
      <c r="C4" s="757"/>
      <c r="D4" s="505"/>
      <c r="E4" s="165"/>
      <c r="F4" s="165"/>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row>
    <row r="5" spans="1:67" s="164" customFormat="1" ht="18.75">
      <c r="A5" s="593"/>
      <c r="B5" s="593"/>
      <c r="C5" s="600"/>
      <c r="D5" s="608"/>
      <c r="E5" s="165"/>
      <c r="F5" s="165"/>
      <c r="G5" s="165"/>
      <c r="H5" s="165"/>
      <c r="I5" s="165"/>
      <c r="J5" s="165"/>
      <c r="K5" s="165"/>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row>
    <row r="6" spans="1:67" s="164" customFormat="1">
      <c r="A6" s="593" t="s">
        <v>67</v>
      </c>
      <c r="B6" s="593"/>
      <c r="C6" s="616" t="s">
        <v>1033</v>
      </c>
      <c r="D6" s="610">
        <f>SUM(E6:AH6)</f>
        <v>57.001000000000012</v>
      </c>
      <c r="E6" s="606">
        <f>'Eurostat Resume'!F86</f>
        <v>1.7529999999999999</v>
      </c>
      <c r="F6" s="606">
        <f>'Eurostat Resume'!G86</f>
        <v>0.49399999999999999</v>
      </c>
      <c r="G6" s="606">
        <f>'Eurostat Resume'!H86</f>
        <v>0.26300000000000001</v>
      </c>
      <c r="H6" s="606">
        <f>'Eurostat Resume'!I86</f>
        <v>6.0000000000000001E-3</v>
      </c>
      <c r="I6" s="606">
        <f>'Eurostat Resume'!J86</f>
        <v>2.29</v>
      </c>
      <c r="J6" s="606">
        <f>'Eurostat Resume'!K86</f>
        <v>10.621</v>
      </c>
      <c r="K6" s="606">
        <f>'Eurostat Resume'!L86</f>
        <v>0.63900000000000001</v>
      </c>
      <c r="L6" s="606">
        <f>'Eurostat Resume'!M86</f>
        <v>3.2000000000000001E-2</v>
      </c>
      <c r="M6" s="606">
        <f>'Eurostat Resume'!N86</f>
        <v>6.4809999999999999</v>
      </c>
      <c r="N6" s="606">
        <f>'Eurostat Resume'!O86</f>
        <v>2.4649999999999999</v>
      </c>
      <c r="O6" s="606">
        <f>'Eurostat Resume'!P86</f>
        <v>6.7549999999999999</v>
      </c>
      <c r="P6" s="606">
        <f>'Eurostat Resume'!Q86</f>
        <v>0.25700000000000001</v>
      </c>
      <c r="Q6" s="606">
        <f>'Eurostat Resume'!R86</f>
        <v>0.13500000000000001</v>
      </c>
      <c r="R6" s="606">
        <f>'Eurostat Resume'!S86</f>
        <v>0.14499999999999999</v>
      </c>
      <c r="S6" s="606">
        <f>'Eurostat Resume'!T86</f>
        <v>4.84</v>
      </c>
      <c r="T6" s="606">
        <f>'Eurostat Resume'!U86</f>
        <v>6.2E-2</v>
      </c>
      <c r="U6" s="606">
        <f>'Eurostat Resume'!V86</f>
        <v>0.13200000000000001</v>
      </c>
      <c r="V6" s="606">
        <f>'Eurostat Resume'!W86</f>
        <v>3.3000000000000002E-2</v>
      </c>
      <c r="W6" s="606">
        <f>'Eurostat Resume'!X86</f>
        <v>0</v>
      </c>
      <c r="X6" s="606">
        <f>'Eurostat Resume'!Y86</f>
        <v>2.996</v>
      </c>
      <c r="Y6" s="606">
        <f>'Eurostat Resume'!Z86</f>
        <v>2.0539999999999998</v>
      </c>
      <c r="Z6" s="606">
        <f>'Eurostat Resume'!AA86</f>
        <v>1.3120000000000001</v>
      </c>
      <c r="AA6" s="606">
        <f>'Eurostat Resume'!AB86</f>
        <v>0.627</v>
      </c>
      <c r="AB6" s="606">
        <f>'Eurostat Resume'!AC86</f>
        <v>0.98699999999999999</v>
      </c>
      <c r="AC6" s="606">
        <f>'Eurostat Resume'!AD86</f>
        <v>0.182</v>
      </c>
      <c r="AD6" s="606">
        <f>'Eurostat Resume'!AE86</f>
        <v>0.56399999999999995</v>
      </c>
      <c r="AE6" s="606">
        <f>'Eurostat Resume'!AF86</f>
        <v>8.3680000000000003</v>
      </c>
      <c r="AF6" s="606">
        <f>'Eurostat Resume'!AG86</f>
        <v>1.429</v>
      </c>
      <c r="AG6" s="606">
        <f>'Eurostat Resume'!AH86</f>
        <v>3.1E-2</v>
      </c>
      <c r="AH6" s="606">
        <f>'Eurostat Resume'!AI86</f>
        <v>1.048</v>
      </c>
      <c r="AI6" s="165"/>
      <c r="AJ6" s="165">
        <v>0.56399999999999995</v>
      </c>
      <c r="AK6" s="165"/>
      <c r="AL6" s="165"/>
      <c r="AM6" s="165"/>
      <c r="AN6" s="165"/>
      <c r="AO6" s="165"/>
      <c r="AP6" s="165"/>
      <c r="AQ6" s="165"/>
      <c r="AR6" s="165"/>
      <c r="AS6" s="165"/>
      <c r="AT6" s="165"/>
      <c r="AU6" s="165"/>
      <c r="AV6" s="165"/>
      <c r="AW6" s="165"/>
      <c r="AX6" s="165"/>
    </row>
    <row r="7" spans="1:67" s="164" customFormat="1">
      <c r="A7" s="593" t="s">
        <v>1051</v>
      </c>
      <c r="B7" s="593"/>
      <c r="C7" s="616" t="s">
        <v>1050</v>
      </c>
      <c r="D7" s="629">
        <f>SUM(E7:AH7)</f>
        <v>881.48390000000018</v>
      </c>
      <c r="E7" s="606">
        <f>BY_Templates_DataAUTO!$D$47</f>
        <v>25.288272000000003</v>
      </c>
      <c r="F7" s="606">
        <f>BY_Templates_DataAUTO!$D$48</f>
        <v>6.0289920000000006</v>
      </c>
      <c r="G7" s="606">
        <f>BY_Templates_DataAUTO!$D$49</f>
        <v>5.9452560000000005</v>
      </c>
      <c r="H7" s="606">
        <f>BY_Templates_DataAUTO!$D$50</f>
        <v>8.3736000000000005E-2</v>
      </c>
      <c r="I7" s="606">
        <f>BY_Templates_DataAUTO!$D$51</f>
        <v>34.457364000000005</v>
      </c>
      <c r="J7" s="606">
        <f>BY_Templates_DataAUTO!$D$52</f>
        <v>179.15317200000001</v>
      </c>
      <c r="K7" s="606">
        <f>BY_Templates_DataAUTO!$D$53</f>
        <v>10.341396000000001</v>
      </c>
      <c r="L7" s="606">
        <f>BY_Templates_DataAUTO!$D$54</f>
        <v>0.54428399999999999</v>
      </c>
      <c r="M7" s="606">
        <f>BY_Templates_DataAUTO!$D$55</f>
        <v>131</v>
      </c>
      <c r="N7" s="606">
        <f>BY_Templates_DataAUTO!$D$56</f>
        <v>34.499231999999999</v>
      </c>
      <c r="O7" s="606">
        <f>BY_Templates_DataAUTO!$D$57</f>
        <v>73.059660000000008</v>
      </c>
      <c r="P7" s="606">
        <f>BY_Templates_DataAUTO!$D$58</f>
        <v>3.8937240000000002</v>
      </c>
      <c r="Q7" s="606">
        <f>BY_Templates_DataAUTO!$D$59</f>
        <v>1.4653800000000001</v>
      </c>
      <c r="R7" s="606">
        <f>BY_Templates_DataAUTO!$D$60</f>
        <v>2.260872</v>
      </c>
      <c r="S7" s="606">
        <f>BY_Templates_DataAUTO!$D$61</f>
        <v>68.370444000000006</v>
      </c>
      <c r="T7" s="606">
        <f>BY_Templates_DataAUTO!$D$62</f>
        <v>1.3397760000000001</v>
      </c>
      <c r="U7" s="606">
        <f>BY_Templates_DataAUTO!$D$63</f>
        <v>1.5909840000000002</v>
      </c>
      <c r="V7" s="606">
        <f>BY_Templates_DataAUTO!$D$64</f>
        <v>0.293076</v>
      </c>
      <c r="W7" s="606">
        <f>BY_Templates_DataAUTO!$D$65</f>
        <v>0</v>
      </c>
      <c r="X7" s="606">
        <f>BY_Templates_DataAUTO!$D$66</f>
        <v>54.177192000000005</v>
      </c>
      <c r="Y7" s="606">
        <f>BY_Templates_DataAUTO!$D$67</f>
        <v>29.265732000000003</v>
      </c>
      <c r="Z7" s="606">
        <f>BY_Templates_DataAUTO!$D$68</f>
        <v>19.8873</v>
      </c>
      <c r="AA7" s="606">
        <f>BY_Templates_DataAUTO!$D$69</f>
        <v>8.3317320000000006</v>
      </c>
      <c r="AB7" s="606">
        <f>BY_Templates_DataAUTO!$D$70</f>
        <v>17.835768000000002</v>
      </c>
      <c r="AC7" s="606">
        <f>BY_Templates_DataAUTO!$D$71</f>
        <v>1.2979080000000001</v>
      </c>
      <c r="AD7" s="606">
        <f>BY_Templates_DataAUTO!$D$72</f>
        <v>8.4573359999999997</v>
      </c>
      <c r="AE7" s="606">
        <f>BY_Templates_DataAUTO!$D$73</f>
        <v>148.96634400000002</v>
      </c>
      <c r="AF7" s="606">
        <f>BY_Templates_DataAUTO!$D$74</f>
        <v>10.927548</v>
      </c>
      <c r="AG7" s="606">
        <f>BY_Templates_DataAUTO!$D$75</f>
        <v>0</v>
      </c>
      <c r="AH7" s="606">
        <f>BY_Templates_DataAUTO!$D$76</f>
        <v>2.7214200000000002</v>
      </c>
      <c r="AI7" s="165"/>
      <c r="AJ7" s="165">
        <v>8.4573359999999997</v>
      </c>
      <c r="AK7" s="165"/>
      <c r="AL7" s="165"/>
      <c r="AM7" s="165"/>
      <c r="AN7" s="165"/>
      <c r="AO7" s="165"/>
      <c r="AP7" s="165"/>
      <c r="AQ7" s="165"/>
      <c r="AR7" s="165"/>
      <c r="AS7" s="165"/>
      <c r="AT7" s="165"/>
      <c r="AU7" s="165"/>
      <c r="AV7" s="165"/>
      <c r="AW7" s="165"/>
      <c r="AX7" s="165"/>
    </row>
    <row r="8" spans="1:67" s="164" customFormat="1">
      <c r="A8" s="593" t="s">
        <v>1049</v>
      </c>
      <c r="B8" s="593"/>
      <c r="C8" s="616" t="s">
        <v>1050</v>
      </c>
      <c r="D8" s="629">
        <f>SUM(E8:AH8)</f>
        <v>877.6149999999999</v>
      </c>
      <c r="E8" s="606">
        <f>'Eurostat Resume'!F60</f>
        <v>25.484000000000002</v>
      </c>
      <c r="F8" s="606">
        <f>'Eurostat Resume'!G60</f>
        <v>6.0410000000000004</v>
      </c>
      <c r="G8" s="606">
        <f>'Eurostat Resume'!H60</f>
        <v>5.9509999999999996</v>
      </c>
      <c r="H8" s="606">
        <f>'Eurostat Resume'!I60</f>
        <v>0.10100000000000001</v>
      </c>
      <c r="I8" s="606">
        <f>'Eurostat Resume'!J60</f>
        <v>34.451999999999998</v>
      </c>
      <c r="J8" s="606">
        <f>'Eurostat Resume'!K60</f>
        <v>158.87200000000001</v>
      </c>
      <c r="K8" s="606">
        <f>'Eurostat Resume'!L60</f>
        <v>10.353999999999999</v>
      </c>
      <c r="L8" s="606">
        <f>'Eurostat Resume'!M60</f>
        <v>0.53300000000000003</v>
      </c>
      <c r="M8" s="606">
        <f>'Eurostat Resume'!N60</f>
        <v>143.37700000000001</v>
      </c>
      <c r="N8" s="606">
        <f>'Eurostat Resume'!O60</f>
        <v>36.468000000000004</v>
      </c>
      <c r="O8" s="606">
        <f>'Eurostat Resume'!P60</f>
        <v>75.099999999999994</v>
      </c>
      <c r="P8" s="606">
        <f>'Eurostat Resume'!Q60</f>
        <v>3.91</v>
      </c>
      <c r="Q8" s="606">
        <f>'Eurostat Resume'!R60</f>
        <v>1.48</v>
      </c>
      <c r="R8" s="606">
        <f>'Eurostat Resume'!S60</f>
        <v>2.2679999999999998</v>
      </c>
      <c r="S8" s="606">
        <f>'Eurostat Resume'!T60</f>
        <v>68.356999999999999</v>
      </c>
      <c r="T8" s="606">
        <f>'Eurostat Resume'!U60</f>
        <v>1.343</v>
      </c>
      <c r="U8" s="606">
        <f>'Eurostat Resume'!V60</f>
        <v>1.21</v>
      </c>
      <c r="V8" s="606">
        <f>'Eurostat Resume'!W60</f>
        <v>0.28399999999999997</v>
      </c>
      <c r="W8" s="606">
        <f>'Eurostat Resume'!X60</f>
        <v>0</v>
      </c>
      <c r="X8" s="606">
        <f>'Eurostat Resume'!Y60</f>
        <v>54.186999999999998</v>
      </c>
      <c r="Y8" s="606">
        <f>'Eurostat Resume'!Z60</f>
        <v>29.245999999999999</v>
      </c>
      <c r="Z8" s="606">
        <f>'Eurostat Resume'!AA60</f>
        <v>19.882999999999999</v>
      </c>
      <c r="AA8" s="606">
        <f>'Eurostat Resume'!AB60</f>
        <v>8.3379999999999992</v>
      </c>
      <c r="AB8" s="606">
        <f>'Eurostat Resume'!AC60</f>
        <v>17.824000000000002</v>
      </c>
      <c r="AC8" s="606">
        <f>'Eurostat Resume'!AD60</f>
        <v>1.31</v>
      </c>
      <c r="AD8" s="606">
        <f>'Eurostat Resume'!AE60</f>
        <v>8.4459999999999997</v>
      </c>
      <c r="AE8" s="606">
        <f>'Eurostat Resume'!AF60</f>
        <v>148.96799999999999</v>
      </c>
      <c r="AF8" s="606">
        <f>'Eurostat Resume'!AG60</f>
        <v>10.98</v>
      </c>
      <c r="AG8" s="606">
        <f>'Eurostat Resume'!AH60</f>
        <v>4.0000000000000001E-3</v>
      </c>
      <c r="AH8" s="606">
        <f>'Eurostat Resume'!AI60</f>
        <v>2.8439999999999999</v>
      </c>
      <c r="AI8" s="165"/>
      <c r="AJ8" s="165"/>
      <c r="AK8" s="165"/>
      <c r="AL8" s="165"/>
      <c r="AM8" s="165"/>
      <c r="AN8" s="165"/>
      <c r="AO8" s="165"/>
      <c r="AP8" s="165"/>
      <c r="AQ8" s="165"/>
      <c r="AR8" s="165"/>
      <c r="AS8" s="165"/>
      <c r="AT8" s="165"/>
      <c r="AU8" s="165"/>
      <c r="AV8" s="165"/>
      <c r="AW8" s="165"/>
      <c r="AX8" s="165"/>
    </row>
    <row r="9" spans="1:67" s="164" customFormat="1">
      <c r="A9" s="593" t="s">
        <v>1051</v>
      </c>
      <c r="B9" s="593"/>
      <c r="C9" s="616" t="s">
        <v>1052</v>
      </c>
      <c r="D9" s="610">
        <f>SUM(E9:AH9)</f>
        <v>2212.30512</v>
      </c>
      <c r="E9" s="606">
        <f>BY_Templates_DataAUTO!$V$6-SUM(BY_Templates_DataAUTO!$R6:$U6)</f>
        <v>54.428399999999996</v>
      </c>
      <c r="F9" s="606">
        <f>BY_Templates_DataAUTO!$V$7-SUM(BY_Templates_DataAUTO!$R7:$U7)</f>
        <v>10.67634</v>
      </c>
      <c r="G9" s="606">
        <f>BY_Templates_DataAUTO!$V$8-SUM(BY_Templates_DataAUTO!$R$8:$U$8)</f>
        <v>16.370387999999998</v>
      </c>
      <c r="H9" s="606">
        <f>BY_Templates_DataAUTO!$V$9-SUM(BY_Templates_DataAUTO!$R$9:$U$9)</f>
        <v>0</v>
      </c>
      <c r="I9" s="606">
        <f>BY_Templates_DataAUTO!$V$10-SUM(BY_Templates_DataAUTO!$R$10:$U$10)</f>
        <v>80.093483999999989</v>
      </c>
      <c r="J9" s="606">
        <f>BY_Templates_DataAUTO!$V$11-SUM(BY_Templates_DataAUTO!$R$11:$U$11)</f>
        <v>522.13582800000006</v>
      </c>
      <c r="K9" s="606">
        <f>BY_Templates_DataAUTO!$V$12-SUM(BY_Templates_DataAUTO!$R$12:$U$12)</f>
        <v>35.462196000000006</v>
      </c>
      <c r="L9" s="606">
        <f>BY_Templates_DataAUTO!$V$13-SUM(BY_Templates_DataAUTO!$R$13:$U$13)</f>
        <v>1.0885680000000002</v>
      </c>
      <c r="M9" s="606">
        <f>BY_Templates_DataAUTO!$V$14-SUM(BY_Templates_DataAUTO!$R$14:$U$14)</f>
        <v>189.15962400000001</v>
      </c>
      <c r="N9" s="606">
        <f>BY_Templates_DataAUTO!$V$15-SUM(BY_Templates_DataAUTO!$R$15:$U$15)</f>
        <v>62.299584000000003</v>
      </c>
      <c r="O9" s="606">
        <f>BY_Templates_DataAUTO!$V$16-SUM(BY_Templates_DataAUTO!$R$16:$U$16)</f>
        <v>204.10650000000001</v>
      </c>
      <c r="P9" s="606">
        <f>BY_Templates_DataAUTO!$V$17-SUM(BY_Templates_DataAUTO!$R$17:$U$17)</f>
        <v>2.260872</v>
      </c>
      <c r="Q9" s="606">
        <f>BY_Templates_DataAUTO!$V$18-SUM(BY_Templates_DataAUTO!$R$18:$U$18)</f>
        <v>3.1401000000000003</v>
      </c>
      <c r="R9" s="606">
        <f>BY_Templates_DataAUTO!$V$19-SUM(BY_Templates_DataAUTO!$R$19:$U$19)</f>
        <v>4.60548</v>
      </c>
      <c r="S9" s="606">
        <f>BY_Templates_DataAUTO!$V$20-SUM(BY_Templates_DataAUTO!$R$20:$U$20)</f>
        <v>254.850516</v>
      </c>
      <c r="T9" s="606">
        <f>BY_Templates_DataAUTO!$V$21-SUM(BY_Templates_DataAUTO!$R$21:$U$21)</f>
        <v>1.3816440000000001</v>
      </c>
      <c r="U9" s="606">
        <f>BY_Templates_DataAUTO!$V$22-SUM(BY_Templates_DataAUTO!$R$22:$U$22)</f>
        <v>4.60548</v>
      </c>
      <c r="V9" s="606">
        <f>BY_Templates_DataAUTO!$V$23-SUM(BY_Templates_DataAUTO!$R$23:$U$23)</f>
        <v>0.92109600000000014</v>
      </c>
      <c r="W9" s="606">
        <f>BY_Templates_DataAUTO!$V$24-SUM(BY_Templates_DataAUTO!$R$24:$U$24)</f>
        <v>0</v>
      </c>
      <c r="X9" s="606">
        <f>BY_Templates_DataAUTO!$V$25-SUM(BY_Templates_DataAUTO!$R$25:$U$25)</f>
        <v>133.43331599999999</v>
      </c>
      <c r="Y9" s="606">
        <f>BY_Templates_DataAUTO!$V$26-SUM(BY_Templates_DataAUTO!$R$26:$U$26)</f>
        <v>86.834232</v>
      </c>
      <c r="Z9" s="606">
        <f>BY_Templates_DataAUTO!$V$27-SUM(BY_Templates_DataAUTO!$R$27:$U$27)</f>
        <v>45.636120000000005</v>
      </c>
      <c r="AA9" s="606">
        <f>BY_Templates_DataAUTO!$V$28-SUM(BY_Templates_DataAUTO!$R$28:$U$28)</f>
        <v>25.874423999999998</v>
      </c>
      <c r="AB9" s="606">
        <f>BY_Templates_DataAUTO!$V$29-SUM(BY_Templates_DataAUTO!$R$29:$U$29)</f>
        <v>58.489596000000006</v>
      </c>
      <c r="AC9" s="606">
        <f>BY_Templates_DataAUTO!$V$30-SUM(BY_Templates_DataAUTO!$R$30:$U$30)</f>
        <v>2.386476</v>
      </c>
      <c r="AD9" s="606">
        <f>BY_Templates_DataAUTO!$V$31-SUM(BY_Templates_DataAUTO!$R$31:$U$31)</f>
        <v>15.574896000000001</v>
      </c>
      <c r="AE9" s="606">
        <f>BY_Templates_DataAUTO!$V$32-SUM(BY_Templates_DataAUTO!$R$32:$U$32)</f>
        <v>365.92632000000003</v>
      </c>
      <c r="AF9" s="606">
        <f>BY_Templates_DataAUTO!$V$33-SUM(BY_Templates_DataAUTO!$R$33:$U$33)</f>
        <v>27.256068000000006</v>
      </c>
      <c r="AG9" s="606">
        <f>BY_Templates_DataAUTO!$V$34-SUM(BY_Templates_DataAUTO!$R$34:$U$34)</f>
        <v>0</v>
      </c>
      <c r="AH9" s="606">
        <f>BY_Templates_DataAUTO!$V$35-SUM(BY_Templates_DataAUTO!$R$35:$U$35)</f>
        <v>3.307572</v>
      </c>
      <c r="AI9" s="165"/>
      <c r="AJ9" s="165">
        <v>15.574896000000001</v>
      </c>
      <c r="AK9" s="165"/>
      <c r="AL9" s="165"/>
      <c r="AM9" s="165"/>
      <c r="AN9" s="165"/>
      <c r="AO9" s="165"/>
      <c r="AP9" s="165"/>
      <c r="AQ9" s="165"/>
      <c r="AR9" s="165"/>
      <c r="AS9" s="165"/>
      <c r="AT9" s="165"/>
      <c r="AU9" s="165"/>
      <c r="AV9" s="165"/>
      <c r="AW9" s="165"/>
      <c r="AX9" s="165"/>
    </row>
    <row r="10" spans="1:67" s="164" customFormat="1">
      <c r="A10" s="593" t="s">
        <v>1049</v>
      </c>
      <c r="B10" s="593"/>
      <c r="C10" s="616" t="s">
        <v>1052</v>
      </c>
      <c r="D10" s="610">
        <f>SUM(E10:AH10)</f>
        <v>2350.0069999999996</v>
      </c>
      <c r="E10" s="606">
        <f>'Eurostat Resume'!F6</f>
        <v>51.777999999999999</v>
      </c>
      <c r="F10" s="606">
        <f>'Eurostat Resume'!G6</f>
        <v>14.759</v>
      </c>
      <c r="G10" s="606">
        <f>'Eurostat Resume'!H6</f>
        <v>16.260999999999999</v>
      </c>
      <c r="H10" s="606">
        <f>'Eurostat Resume'!I6</f>
        <v>0</v>
      </c>
      <c r="I10" s="606">
        <f>'Eurostat Resume'!J6</f>
        <v>79.051000000000002</v>
      </c>
      <c r="J10" s="606">
        <f>'Eurostat Resume'!K6</f>
        <v>524.73199999999997</v>
      </c>
      <c r="K10" s="606">
        <f>'Eurostat Resume'!L6</f>
        <v>35.550000000000004</v>
      </c>
      <c r="L10" s="606">
        <f>'Eurostat Resume'!M6</f>
        <v>1.0960000000000001</v>
      </c>
      <c r="M10" s="606">
        <f>'Eurostat Resume'!N6</f>
        <v>189.92000000000002</v>
      </c>
      <c r="N10" s="606">
        <f>'Eurostat Resume'!O6</f>
        <v>65.938000000000002</v>
      </c>
      <c r="O10" s="606">
        <f>'Eurostat Resume'!P6</f>
        <v>278.22199999999998</v>
      </c>
      <c r="P10" s="606">
        <f>'Eurostat Resume'!Q6</f>
        <v>2.3980000000000001</v>
      </c>
      <c r="Q10" s="606">
        <f>'Eurostat Resume'!R6</f>
        <v>3.1419999999999999</v>
      </c>
      <c r="R10" s="606">
        <f>'Eurostat Resume'!S6</f>
        <v>4.5460000000000003</v>
      </c>
      <c r="S10" s="606">
        <f>'Eurostat Resume'!T6</f>
        <v>290.91899999999998</v>
      </c>
      <c r="T10" s="606">
        <f>'Eurostat Resume'!U6</f>
        <v>1.373</v>
      </c>
      <c r="U10" s="606">
        <f>'Eurostat Resume'!V6</f>
        <v>5.3019999999999996</v>
      </c>
      <c r="V10" s="606">
        <f>'Eurostat Resume'!W6</f>
        <v>0.94900000000000007</v>
      </c>
      <c r="W10" s="606">
        <f>'Eurostat Resume'!X6</f>
        <v>0</v>
      </c>
      <c r="X10" s="606">
        <f>'Eurostat Resume'!Y6</f>
        <v>127.896</v>
      </c>
      <c r="Y10" s="606">
        <f>'Eurostat Resume'!Z6</f>
        <v>94.149000000000001</v>
      </c>
      <c r="Z10" s="606">
        <f>'Eurostat Resume'!AA6</f>
        <v>45.557999999999993</v>
      </c>
      <c r="AA10" s="606">
        <f>'Eurostat Resume'!AB6</f>
        <v>25.832999999999998</v>
      </c>
      <c r="AB10" s="606">
        <f>'Eurostat Resume'!AC6</f>
        <v>58.566000000000003</v>
      </c>
      <c r="AC10" s="606">
        <f>'Eurostat Resume'!AD6</f>
        <v>2.4239999999999999</v>
      </c>
      <c r="AD10" s="606">
        <f>'Eurostat Resume'!AE6</f>
        <v>15.774000000000001</v>
      </c>
      <c r="AE10" s="606">
        <f>'Eurostat Resume'!AF6</f>
        <v>366.267</v>
      </c>
      <c r="AF10" s="606">
        <f>'Eurostat Resume'!AG6</f>
        <v>43.912999999999997</v>
      </c>
      <c r="AG10" s="606">
        <f>'Eurostat Resume'!AH6</f>
        <v>0</v>
      </c>
      <c r="AH10" s="606">
        <f>'Eurostat Resume'!AI6</f>
        <v>3.6909999999999998</v>
      </c>
      <c r="AI10" s="165"/>
      <c r="AJ10" s="165"/>
      <c r="AK10" s="165"/>
      <c r="AL10" s="165"/>
      <c r="AM10" s="165"/>
      <c r="AN10" s="165"/>
      <c r="AO10" s="165"/>
      <c r="AP10" s="165"/>
      <c r="AQ10" s="165"/>
      <c r="AR10" s="165"/>
      <c r="AS10" s="165"/>
      <c r="AT10" s="165"/>
      <c r="AU10" s="165"/>
      <c r="AV10" s="165"/>
      <c r="AW10" s="165"/>
      <c r="AX10" s="165"/>
    </row>
    <row r="11" spans="1:67" s="164" customFormat="1">
      <c r="A11" s="593" t="s">
        <v>67</v>
      </c>
      <c r="B11" s="593"/>
      <c r="C11" s="610" t="s">
        <v>312</v>
      </c>
      <c r="D11" s="610"/>
      <c r="E11" s="606">
        <f t="shared" ref="E11:AH11" si="0">IF(E9&gt;0,E7/E9,0)</f>
        <v>0.46461538461538471</v>
      </c>
      <c r="F11" s="606">
        <f t="shared" si="0"/>
        <v>0.56470588235294128</v>
      </c>
      <c r="G11" s="606">
        <f t="shared" si="0"/>
        <v>0.36317135549872132</v>
      </c>
      <c r="H11" s="606">
        <f t="shared" si="0"/>
        <v>0</v>
      </c>
      <c r="I11" s="606">
        <f t="shared" si="0"/>
        <v>0.43021432305279678</v>
      </c>
      <c r="J11" s="606">
        <f t="shared" si="0"/>
        <v>0.3431160291877155</v>
      </c>
      <c r="K11" s="606">
        <f t="shared" si="0"/>
        <v>0.29161747343565525</v>
      </c>
      <c r="L11" s="606">
        <f t="shared" si="0"/>
        <v>0.49999999999999989</v>
      </c>
      <c r="M11" s="606">
        <f t="shared" si="0"/>
        <v>0.6925367963302782</v>
      </c>
      <c r="N11" s="606">
        <f t="shared" si="0"/>
        <v>0.55376344086021501</v>
      </c>
      <c r="O11" s="606">
        <f t="shared" si="0"/>
        <v>0.35794871794871796</v>
      </c>
      <c r="P11" s="606">
        <f t="shared" si="0"/>
        <v>1.7222222222222223</v>
      </c>
      <c r="Q11" s="606">
        <f t="shared" si="0"/>
        <v>0.46666666666666667</v>
      </c>
      <c r="R11" s="606">
        <f t="shared" si="0"/>
        <v>0.49090909090909091</v>
      </c>
      <c r="S11" s="606">
        <f t="shared" si="0"/>
        <v>0.26827665516674881</v>
      </c>
      <c r="T11" s="606">
        <f t="shared" si="0"/>
        <v>0.96969696969696972</v>
      </c>
      <c r="U11" s="606">
        <f t="shared" si="0"/>
        <v>0.34545454545454551</v>
      </c>
      <c r="V11" s="606">
        <f t="shared" si="0"/>
        <v>0.31818181818181812</v>
      </c>
      <c r="W11" s="606">
        <f t="shared" si="0"/>
        <v>0</v>
      </c>
      <c r="X11" s="606">
        <f t="shared" si="0"/>
        <v>0.40602447442736123</v>
      </c>
      <c r="Y11" s="606">
        <f t="shared" si="0"/>
        <v>0.33702989392478305</v>
      </c>
      <c r="Z11" s="606">
        <f t="shared" si="0"/>
        <v>0.43577981651376141</v>
      </c>
      <c r="AA11" s="606">
        <f t="shared" si="0"/>
        <v>0.32200647249190945</v>
      </c>
      <c r="AB11" s="606">
        <f t="shared" si="0"/>
        <v>0.30493915533285609</v>
      </c>
      <c r="AC11" s="606">
        <f t="shared" si="0"/>
        <v>0.54385964912280704</v>
      </c>
      <c r="AD11" s="606">
        <f t="shared" si="0"/>
        <v>0.543010752688172</v>
      </c>
      <c r="AE11" s="606">
        <f t="shared" si="0"/>
        <v>0.40709382151029749</v>
      </c>
      <c r="AF11" s="606">
        <f t="shared" si="0"/>
        <v>0.40092165898617504</v>
      </c>
      <c r="AG11" s="606">
        <f t="shared" si="0"/>
        <v>0</v>
      </c>
      <c r="AH11" s="606">
        <f t="shared" si="0"/>
        <v>0.82278481012658233</v>
      </c>
      <c r="AI11" s="165"/>
      <c r="AJ11" s="165">
        <v>0.543010752688172</v>
      </c>
      <c r="AK11" s="165"/>
      <c r="AL11" s="165"/>
      <c r="AM11" s="165"/>
      <c r="AN11" s="165"/>
      <c r="AO11" s="165"/>
      <c r="AP11" s="165"/>
      <c r="AQ11" s="165"/>
      <c r="AR11" s="165"/>
      <c r="AS11" s="165"/>
      <c r="AT11" s="165"/>
      <c r="AU11" s="165"/>
      <c r="AV11" s="165"/>
      <c r="AW11" s="165"/>
      <c r="AX11" s="165"/>
    </row>
    <row r="12" spans="1:67" s="164" customFormat="1">
      <c r="A12" s="593"/>
      <c r="B12" s="593"/>
      <c r="C12" s="610"/>
      <c r="D12" s="610"/>
      <c r="E12" s="606"/>
      <c r="F12" s="606"/>
      <c r="G12" s="606"/>
      <c r="H12" s="606"/>
      <c r="I12" s="606"/>
      <c r="J12" s="606"/>
      <c r="K12" s="606"/>
      <c r="L12" s="606"/>
      <c r="M12" s="606"/>
      <c r="N12" s="606"/>
      <c r="O12" s="606"/>
      <c r="P12" s="606"/>
      <c r="Q12" s="606"/>
      <c r="R12" s="606"/>
      <c r="S12" s="606"/>
      <c r="T12" s="606"/>
      <c r="U12" s="606"/>
      <c r="V12" s="606"/>
      <c r="W12" s="606"/>
      <c r="X12" s="606"/>
      <c r="Y12" s="606"/>
      <c r="Z12" s="606"/>
      <c r="AA12" s="606"/>
      <c r="AB12" s="606"/>
      <c r="AC12" s="606"/>
      <c r="AD12" s="606"/>
      <c r="AE12" s="606"/>
      <c r="AF12" s="606"/>
      <c r="AG12" s="606"/>
      <c r="AH12" s="606"/>
      <c r="AI12" s="165"/>
      <c r="AJ12" s="165"/>
      <c r="AK12" s="165"/>
      <c r="AL12" s="165"/>
      <c r="AM12" s="165"/>
      <c r="AN12" s="165"/>
      <c r="AO12" s="165"/>
      <c r="AP12" s="165"/>
      <c r="AQ12" s="165"/>
      <c r="AR12" s="165"/>
      <c r="AS12" s="165"/>
      <c r="AT12" s="165"/>
      <c r="AU12" s="165"/>
      <c r="AV12" s="165"/>
      <c r="AW12" s="165"/>
      <c r="AX12" s="165"/>
    </row>
    <row r="13" spans="1:67" s="164" customFormat="1" ht="13.5" thickBot="1">
      <c r="A13" s="593"/>
      <c r="B13" s="593"/>
      <c r="C13" s="620" t="s">
        <v>470</v>
      </c>
      <c r="D13" s="621">
        <f t="shared" ref="D13:D19" si="1">SUM(E13:AH13)</f>
        <v>3740.5100768484999</v>
      </c>
      <c r="E13" s="620">
        <f>SUM(E14:E19)</f>
        <v>115.976010184042</v>
      </c>
      <c r="F13" s="620">
        <f t="shared" ref="F13:AH13" si="2">SUM(F14:F19)</f>
        <v>63.422513007506723</v>
      </c>
      <c r="G13" s="620">
        <f t="shared" si="2"/>
        <v>33.958097399347082</v>
      </c>
      <c r="H13" s="620">
        <f t="shared" si="2"/>
        <v>0.224</v>
      </c>
      <c r="I13" s="620">
        <f t="shared" si="2"/>
        <v>131.71605</v>
      </c>
      <c r="J13" s="620">
        <f t="shared" si="2"/>
        <v>682.47870495678796</v>
      </c>
      <c r="K13" s="620">
        <f t="shared" si="2"/>
        <v>46.733751857022213</v>
      </c>
      <c r="L13" s="620">
        <f t="shared" si="2"/>
        <v>3.2111275845016767</v>
      </c>
      <c r="M13" s="620">
        <f t="shared" si="2"/>
        <v>365.22494227650441</v>
      </c>
      <c r="N13" s="620">
        <f t="shared" si="2"/>
        <v>219.49863577105373</v>
      </c>
      <c r="O13" s="620">
        <f t="shared" si="2"/>
        <v>392.48752853993591</v>
      </c>
      <c r="P13" s="620">
        <f t="shared" si="2"/>
        <v>18.753395166798001</v>
      </c>
      <c r="Q13" s="620">
        <f t="shared" si="2"/>
        <v>13.658266852241312</v>
      </c>
      <c r="R13" s="620">
        <f t="shared" si="2"/>
        <v>10.164501499565155</v>
      </c>
      <c r="S13" s="620">
        <f t="shared" si="2"/>
        <v>313.36834229814735</v>
      </c>
      <c r="T13" s="620">
        <f t="shared" si="2"/>
        <v>11.372222222222222</v>
      </c>
      <c r="U13" s="620">
        <f t="shared" si="2"/>
        <v>4.0650026746140906</v>
      </c>
      <c r="V13" s="620">
        <f t="shared" si="2"/>
        <v>1.8817750939345141</v>
      </c>
      <c r="W13" s="620">
        <f t="shared" si="2"/>
        <v>0</v>
      </c>
      <c r="X13" s="620">
        <f t="shared" si="2"/>
        <v>247.85931740820121</v>
      </c>
      <c r="Y13" s="620">
        <f t="shared" si="2"/>
        <v>268.89939192753127</v>
      </c>
      <c r="Z13" s="620">
        <f t="shared" si="2"/>
        <v>67.401414491141608</v>
      </c>
      <c r="AA13" s="620">
        <f t="shared" si="2"/>
        <v>33.341999999999999</v>
      </c>
      <c r="AB13" s="620">
        <f t="shared" si="2"/>
        <v>114.49423809158746</v>
      </c>
      <c r="AC13" s="620">
        <f t="shared" si="2"/>
        <v>12.280853068779109</v>
      </c>
      <c r="AD13" s="620">
        <f t="shared" si="2"/>
        <v>32.247500000000002</v>
      </c>
      <c r="AE13" s="620">
        <f t="shared" si="2"/>
        <v>451.49045898354098</v>
      </c>
      <c r="AF13" s="620">
        <f t="shared" si="2"/>
        <v>80.672035493494008</v>
      </c>
      <c r="AG13" s="620">
        <f t="shared" si="2"/>
        <v>0</v>
      </c>
      <c r="AH13" s="620">
        <f t="shared" si="2"/>
        <v>3.6279999999999997</v>
      </c>
    </row>
    <row r="14" spans="1:67" s="164" customFormat="1">
      <c r="A14" s="593"/>
      <c r="B14" s="593"/>
      <c r="C14" s="607" t="s">
        <v>546</v>
      </c>
      <c r="D14" s="622">
        <f>SUM(E14:AH14)</f>
        <v>542.53737274953676</v>
      </c>
      <c r="E14" s="607">
        <f t="shared" ref="E14:AH14" si="3">E189+E316</f>
        <v>5.4044776789972726</v>
      </c>
      <c r="F14" s="607">
        <f t="shared" si="3"/>
        <v>3.7362778577514049</v>
      </c>
      <c r="G14" s="607">
        <f t="shared" si="3"/>
        <v>11.435966812309037</v>
      </c>
      <c r="H14" s="607">
        <f t="shared" si="3"/>
        <v>0</v>
      </c>
      <c r="I14" s="607">
        <f t="shared" si="3"/>
        <v>83.016108513147543</v>
      </c>
      <c r="J14" s="607">
        <f t="shared" si="3"/>
        <v>137.27204317372292</v>
      </c>
      <c r="K14" s="607">
        <f t="shared" si="3"/>
        <v>0.1605822950887556</v>
      </c>
      <c r="L14" s="607">
        <f t="shared" si="3"/>
        <v>0.7848596806025262</v>
      </c>
      <c r="M14" s="607">
        <f t="shared" si="3"/>
        <v>3.9772239199182824</v>
      </c>
      <c r="N14" s="607">
        <f t="shared" si="3"/>
        <v>12.560018515844058</v>
      </c>
      <c r="O14" s="607">
        <f t="shared" si="3"/>
        <v>29.624578402598569</v>
      </c>
      <c r="P14" s="607">
        <f t="shared" si="3"/>
        <v>0</v>
      </c>
      <c r="Q14" s="607">
        <f t="shared" si="3"/>
        <v>0</v>
      </c>
      <c r="R14" s="607">
        <f t="shared" si="3"/>
        <v>1.7717068984617683</v>
      </c>
      <c r="S14" s="607">
        <f t="shared" si="3"/>
        <v>4.3756827714204514</v>
      </c>
      <c r="T14" s="607">
        <f t="shared" si="3"/>
        <v>0</v>
      </c>
      <c r="U14" s="607">
        <f t="shared" si="3"/>
        <v>0</v>
      </c>
      <c r="V14" s="607">
        <f t="shared" si="3"/>
        <v>0</v>
      </c>
      <c r="W14" s="607">
        <f t="shared" si="3"/>
        <v>0</v>
      </c>
      <c r="X14" s="607">
        <f t="shared" si="3"/>
        <v>0</v>
      </c>
      <c r="Y14" s="607">
        <f t="shared" si="3"/>
        <v>169.6388301389089</v>
      </c>
      <c r="Z14" s="607">
        <f t="shared" si="3"/>
        <v>0</v>
      </c>
      <c r="AA14" s="607">
        <f t="shared" si="3"/>
        <v>23.372954366197177</v>
      </c>
      <c r="AB14" s="607">
        <f t="shared" si="3"/>
        <v>0.31431121687483021</v>
      </c>
      <c r="AC14" s="607">
        <f t="shared" si="3"/>
        <v>1.7464588003625894</v>
      </c>
      <c r="AD14" s="607">
        <f t="shared" si="3"/>
        <v>12.234097577121675</v>
      </c>
      <c r="AE14" s="607">
        <f t="shared" si="3"/>
        <v>41.111194130209</v>
      </c>
      <c r="AF14" s="607">
        <f t="shared" si="3"/>
        <v>0</v>
      </c>
      <c r="AG14" s="607">
        <f t="shared" si="3"/>
        <v>0</v>
      </c>
      <c r="AH14" s="607">
        <f t="shared" si="3"/>
        <v>0</v>
      </c>
    </row>
    <row r="15" spans="1:67" s="164" customFormat="1">
      <c r="A15" s="593"/>
      <c r="B15" s="593"/>
      <c r="C15" s="607" t="s">
        <v>307</v>
      </c>
      <c r="D15" s="622">
        <f t="shared" si="1"/>
        <v>397.95328895573886</v>
      </c>
      <c r="E15" s="607">
        <f t="shared" ref="E15:AH15" si="4">E190+E317</f>
        <v>1.5933007594008015</v>
      </c>
      <c r="F15" s="607">
        <f t="shared" si="4"/>
        <v>7.3861915602878625</v>
      </c>
      <c r="G15" s="607">
        <f t="shared" si="4"/>
        <v>8.1943943188736821</v>
      </c>
      <c r="H15" s="607">
        <f t="shared" si="4"/>
        <v>0</v>
      </c>
      <c r="I15" s="607">
        <f t="shared" si="4"/>
        <v>3.2727503953000787</v>
      </c>
      <c r="J15" s="607">
        <f t="shared" si="4"/>
        <v>57.710401751263767</v>
      </c>
      <c r="K15" s="607">
        <f t="shared" si="4"/>
        <v>25.178605005589823</v>
      </c>
      <c r="L15" s="607">
        <f t="shared" si="4"/>
        <v>0</v>
      </c>
      <c r="M15" s="607">
        <f t="shared" si="4"/>
        <v>37.261409118577347</v>
      </c>
      <c r="N15" s="607">
        <f t="shared" si="4"/>
        <v>9.7489805503142275</v>
      </c>
      <c r="O15" s="607">
        <f t="shared" si="4"/>
        <v>29.180450833925423</v>
      </c>
      <c r="P15" s="607">
        <f t="shared" si="4"/>
        <v>4.5451428396644742</v>
      </c>
      <c r="Q15" s="607">
        <f t="shared" si="4"/>
        <v>0.87282577429566932</v>
      </c>
      <c r="R15" s="607">
        <f t="shared" si="4"/>
        <v>0</v>
      </c>
      <c r="S15" s="607">
        <f t="shared" si="4"/>
        <v>107.72604116533277</v>
      </c>
      <c r="T15" s="607">
        <f t="shared" si="4"/>
        <v>0</v>
      </c>
      <c r="U15" s="607">
        <f t="shared" si="4"/>
        <v>0</v>
      </c>
      <c r="V15" s="607">
        <f t="shared" si="4"/>
        <v>0</v>
      </c>
      <c r="W15" s="607">
        <f t="shared" si="4"/>
        <v>0</v>
      </c>
      <c r="X15" s="607">
        <f t="shared" si="4"/>
        <v>16.594529878247076</v>
      </c>
      <c r="Y15" s="607">
        <f t="shared" si="4"/>
        <v>28.219437261463867</v>
      </c>
      <c r="Z15" s="607">
        <f t="shared" si="4"/>
        <v>18.514944767560081</v>
      </c>
      <c r="AA15" s="607">
        <f t="shared" si="4"/>
        <v>2.5976494969818908</v>
      </c>
      <c r="AB15" s="607">
        <f t="shared" si="4"/>
        <v>6.2090897225121946</v>
      </c>
      <c r="AC15" s="607">
        <f t="shared" si="4"/>
        <v>0.85715769342949155</v>
      </c>
      <c r="AD15" s="607">
        <f t="shared" si="4"/>
        <v>7.9397841917119027</v>
      </c>
      <c r="AE15" s="607">
        <f t="shared" si="4"/>
        <v>16.569454518077343</v>
      </c>
      <c r="AF15" s="607">
        <f t="shared" si="4"/>
        <v>7.6957473529290539</v>
      </c>
      <c r="AG15" s="607">
        <f t="shared" si="4"/>
        <v>0</v>
      </c>
      <c r="AH15" s="607">
        <f t="shared" si="4"/>
        <v>8.5000000000000006E-2</v>
      </c>
    </row>
    <row r="16" spans="1:67" s="164" customFormat="1">
      <c r="A16" s="593"/>
      <c r="B16" s="593"/>
      <c r="C16" s="607" t="s">
        <v>308</v>
      </c>
      <c r="D16" s="622">
        <f t="shared" si="1"/>
        <v>2110.1774065309864</v>
      </c>
      <c r="E16" s="607">
        <f t="shared" ref="E16:AH16" si="5">E191+E192+E318</f>
        <v>69.360381840905134</v>
      </c>
      <c r="F16" s="607">
        <f t="shared" si="5"/>
        <v>12.350074195737447</v>
      </c>
      <c r="G16" s="607">
        <f t="shared" si="5"/>
        <v>14.318736268164365</v>
      </c>
      <c r="H16" s="607">
        <f t="shared" si="5"/>
        <v>0</v>
      </c>
      <c r="I16" s="607">
        <f t="shared" si="5"/>
        <v>26.445909825718534</v>
      </c>
      <c r="J16" s="607">
        <f t="shared" si="5"/>
        <v>432.97064687696297</v>
      </c>
      <c r="K16" s="607">
        <f t="shared" si="5"/>
        <v>20.890402899722648</v>
      </c>
      <c r="L16" s="607">
        <f t="shared" si="5"/>
        <v>2.0308570630391616</v>
      </c>
      <c r="M16" s="607">
        <f t="shared" si="5"/>
        <v>286.60417364924342</v>
      </c>
      <c r="N16" s="607">
        <f t="shared" si="5"/>
        <v>57.582687650371234</v>
      </c>
      <c r="O16" s="607">
        <f t="shared" si="5"/>
        <v>254.62247427210008</v>
      </c>
      <c r="P16" s="607">
        <f t="shared" si="5"/>
        <v>9.2082523271335273</v>
      </c>
      <c r="Q16" s="607">
        <f t="shared" si="5"/>
        <v>12.017354396565453</v>
      </c>
      <c r="R16" s="607">
        <f t="shared" si="5"/>
        <v>8.1439156015633092</v>
      </c>
      <c r="S16" s="607">
        <f t="shared" si="5"/>
        <v>185.67711241853161</v>
      </c>
      <c r="T16" s="607">
        <f t="shared" si="5"/>
        <v>9.7786092769218218</v>
      </c>
      <c r="U16" s="607">
        <f t="shared" si="5"/>
        <v>4.0650026746140906</v>
      </c>
      <c r="V16" s="607">
        <f t="shared" si="5"/>
        <v>1.84364518282864</v>
      </c>
      <c r="W16" s="607">
        <f t="shared" si="5"/>
        <v>0</v>
      </c>
      <c r="X16" s="607">
        <f t="shared" si="5"/>
        <v>215.97478752995414</v>
      </c>
      <c r="Y16" s="607">
        <f t="shared" si="5"/>
        <v>43.480288792325872</v>
      </c>
      <c r="Z16" s="607">
        <f t="shared" si="5"/>
        <v>30.995582217391227</v>
      </c>
      <c r="AA16" s="607">
        <f t="shared" si="5"/>
        <v>7.0424109456740434</v>
      </c>
      <c r="AB16" s="607">
        <f t="shared" si="5"/>
        <v>3.8809423048908611</v>
      </c>
      <c r="AC16" s="607">
        <f t="shared" si="5"/>
        <v>4.5590074819281083</v>
      </c>
      <c r="AD16" s="607">
        <f t="shared" si="5"/>
        <v>10.180852310340264</v>
      </c>
      <c r="AE16" s="607">
        <f t="shared" si="5"/>
        <v>324.937319932631</v>
      </c>
      <c r="AF16" s="607">
        <f t="shared" si="5"/>
        <v>59.185978595727406</v>
      </c>
      <c r="AG16" s="607">
        <f t="shared" si="5"/>
        <v>0</v>
      </c>
      <c r="AH16" s="607">
        <f t="shared" si="5"/>
        <v>2.0299999999999998</v>
      </c>
    </row>
    <row r="17" spans="1:50" s="164" customFormat="1">
      <c r="A17" s="593"/>
      <c r="B17" s="593"/>
      <c r="C17" s="607" t="s">
        <v>559</v>
      </c>
      <c r="D17" s="622">
        <f t="shared" si="1"/>
        <v>1.9E-2</v>
      </c>
      <c r="E17" s="607">
        <f>E319</f>
        <v>1.9E-2</v>
      </c>
      <c r="F17" s="607">
        <f t="shared" ref="F17:AH17" si="6">F319</f>
        <v>0</v>
      </c>
      <c r="G17" s="607">
        <f t="shared" si="6"/>
        <v>0</v>
      </c>
      <c r="H17" s="607">
        <f t="shared" si="6"/>
        <v>0</v>
      </c>
      <c r="I17" s="607">
        <f t="shared" si="6"/>
        <v>0</v>
      </c>
      <c r="J17" s="607">
        <f t="shared" si="6"/>
        <v>0</v>
      </c>
      <c r="K17" s="607">
        <f t="shared" si="6"/>
        <v>0</v>
      </c>
      <c r="L17" s="607">
        <f t="shared" si="6"/>
        <v>0</v>
      </c>
      <c r="M17" s="607">
        <f t="shared" si="6"/>
        <v>0</v>
      </c>
      <c r="N17" s="607">
        <f t="shared" si="6"/>
        <v>0</v>
      </c>
      <c r="O17" s="607">
        <f t="shared" si="6"/>
        <v>0</v>
      </c>
      <c r="P17" s="607">
        <f t="shared" si="6"/>
        <v>0</v>
      </c>
      <c r="Q17" s="607">
        <f t="shared" si="6"/>
        <v>0</v>
      </c>
      <c r="R17" s="607">
        <f t="shared" si="6"/>
        <v>0</v>
      </c>
      <c r="S17" s="607">
        <f t="shared" si="6"/>
        <v>0</v>
      </c>
      <c r="T17" s="607">
        <f t="shared" si="6"/>
        <v>0</v>
      </c>
      <c r="U17" s="607">
        <f t="shared" si="6"/>
        <v>0</v>
      </c>
      <c r="V17" s="607">
        <f t="shared" si="6"/>
        <v>0</v>
      </c>
      <c r="W17" s="607">
        <f t="shared" si="6"/>
        <v>0</v>
      </c>
      <c r="X17" s="607">
        <f t="shared" si="6"/>
        <v>0</v>
      </c>
      <c r="Y17" s="607">
        <f t="shared" si="6"/>
        <v>0</v>
      </c>
      <c r="Z17" s="607">
        <f t="shared" si="6"/>
        <v>0</v>
      </c>
      <c r="AA17" s="607">
        <f t="shared" si="6"/>
        <v>0</v>
      </c>
      <c r="AB17" s="607">
        <f t="shared" si="6"/>
        <v>0</v>
      </c>
      <c r="AC17" s="607">
        <f t="shared" si="6"/>
        <v>0</v>
      </c>
      <c r="AD17" s="607">
        <f t="shared" si="6"/>
        <v>0</v>
      </c>
      <c r="AE17" s="607">
        <f t="shared" si="6"/>
        <v>0</v>
      </c>
      <c r="AF17" s="607">
        <f t="shared" si="6"/>
        <v>0</v>
      </c>
      <c r="AG17" s="607">
        <f t="shared" si="6"/>
        <v>0</v>
      </c>
      <c r="AH17" s="607">
        <f t="shared" si="6"/>
        <v>0</v>
      </c>
    </row>
    <row r="18" spans="1:50" s="164" customFormat="1">
      <c r="A18" s="593"/>
      <c r="B18" s="593"/>
      <c r="C18" s="607" t="s">
        <v>566</v>
      </c>
      <c r="D18" s="622">
        <f t="shared" si="1"/>
        <v>147.47269067787613</v>
      </c>
      <c r="E18" s="607">
        <f t="shared" ref="E18:AH18" si="7">E194+E320</f>
        <v>2.5166882910425015</v>
      </c>
      <c r="F18" s="607">
        <f t="shared" si="7"/>
        <v>0.78805223929500579</v>
      </c>
      <c r="G18" s="607">
        <f t="shared" si="7"/>
        <v>0</v>
      </c>
      <c r="H18" s="607">
        <f t="shared" si="7"/>
        <v>0</v>
      </c>
      <c r="I18" s="607">
        <f t="shared" si="7"/>
        <v>0.81164691403861289</v>
      </c>
      <c r="J18" s="607">
        <f t="shared" si="7"/>
        <v>0</v>
      </c>
      <c r="K18" s="607">
        <f t="shared" si="7"/>
        <v>0.30856517688881741</v>
      </c>
      <c r="L18" s="607">
        <f t="shared" si="7"/>
        <v>1.6E-2</v>
      </c>
      <c r="M18" s="607">
        <f t="shared" si="7"/>
        <v>11.215</v>
      </c>
      <c r="N18" s="607">
        <f t="shared" si="7"/>
        <v>1.5535723212750163</v>
      </c>
      <c r="O18" s="607">
        <f t="shared" si="7"/>
        <v>18.812000000000001</v>
      </c>
      <c r="P18" s="607">
        <f t="shared" si="7"/>
        <v>0</v>
      </c>
      <c r="Q18" s="607">
        <f t="shared" si="7"/>
        <v>0.53242372232035828</v>
      </c>
      <c r="R18" s="607">
        <f t="shared" si="7"/>
        <v>0</v>
      </c>
      <c r="S18" s="607">
        <f t="shared" si="7"/>
        <v>1.5552675355695165</v>
      </c>
      <c r="T18" s="607">
        <f t="shared" si="7"/>
        <v>0</v>
      </c>
      <c r="U18" s="607">
        <f t="shared" si="7"/>
        <v>0</v>
      </c>
      <c r="V18" s="607">
        <f t="shared" si="7"/>
        <v>1.9E-2</v>
      </c>
      <c r="W18" s="607">
        <f t="shared" si="7"/>
        <v>0</v>
      </c>
      <c r="X18" s="607">
        <f t="shared" si="7"/>
        <v>15.29</v>
      </c>
      <c r="Y18" s="607">
        <f t="shared" si="7"/>
        <v>5.3597668482518799</v>
      </c>
      <c r="Z18" s="607">
        <f t="shared" si="7"/>
        <v>4.6680000000000001</v>
      </c>
      <c r="AA18" s="607">
        <f t="shared" si="7"/>
        <v>0</v>
      </c>
      <c r="AB18" s="607">
        <f t="shared" si="7"/>
        <v>0</v>
      </c>
      <c r="AC18" s="607">
        <f t="shared" si="7"/>
        <v>0.59386567372195764</v>
      </c>
      <c r="AD18" s="607">
        <f t="shared" si="7"/>
        <v>1.4146713888521121</v>
      </c>
      <c r="AE18" s="607">
        <f t="shared" si="7"/>
        <v>68.872490402623598</v>
      </c>
      <c r="AF18" s="607">
        <f t="shared" si="7"/>
        <v>13.145680163996758</v>
      </c>
      <c r="AG18" s="607">
        <f t="shared" si="7"/>
        <v>0</v>
      </c>
      <c r="AH18" s="607">
        <f t="shared" si="7"/>
        <v>0</v>
      </c>
    </row>
    <row r="19" spans="1:50" s="164" customFormat="1">
      <c r="A19" s="593"/>
      <c r="B19" s="593"/>
      <c r="C19" s="670" t="s">
        <v>567</v>
      </c>
      <c r="D19" s="671">
        <f t="shared" si="1"/>
        <v>542.35031793436201</v>
      </c>
      <c r="E19" s="607">
        <f t="shared" ref="E19:AH19" si="8">E193+E321</f>
        <v>37.082161613696286</v>
      </c>
      <c r="F19" s="607">
        <f t="shared" si="8"/>
        <v>39.161917154435002</v>
      </c>
      <c r="G19" s="607">
        <f t="shared" si="8"/>
        <v>8.9999999999999993E-3</v>
      </c>
      <c r="H19" s="607">
        <f t="shared" si="8"/>
        <v>0.224</v>
      </c>
      <c r="I19" s="607">
        <f t="shared" si="8"/>
        <v>18.169634351795231</v>
      </c>
      <c r="J19" s="607">
        <f t="shared" si="8"/>
        <v>54.525613154838297</v>
      </c>
      <c r="K19" s="607">
        <f t="shared" si="8"/>
        <v>0.19559647973216851</v>
      </c>
      <c r="L19" s="607">
        <f t="shared" si="8"/>
        <v>0.37941084085998894</v>
      </c>
      <c r="M19" s="607">
        <f t="shared" si="8"/>
        <v>26.167135588765404</v>
      </c>
      <c r="N19" s="607">
        <f t="shared" si="8"/>
        <v>138.05337673324919</v>
      </c>
      <c r="O19" s="607">
        <f t="shared" si="8"/>
        <v>60.24802503131184</v>
      </c>
      <c r="P19" s="607">
        <f t="shared" si="8"/>
        <v>5</v>
      </c>
      <c r="Q19" s="607">
        <f t="shared" si="8"/>
        <v>0.23566295905983073</v>
      </c>
      <c r="R19" s="607">
        <f t="shared" si="8"/>
        <v>0.24887899954007775</v>
      </c>
      <c r="S19" s="607">
        <f t="shared" si="8"/>
        <v>14.034238407292987</v>
      </c>
      <c r="T19" s="607">
        <f t="shared" si="8"/>
        <v>1.5936129453003995</v>
      </c>
      <c r="U19" s="607">
        <f t="shared" si="8"/>
        <v>0</v>
      </c>
      <c r="V19" s="607">
        <f t="shared" si="8"/>
        <v>1.9129911105874343E-2</v>
      </c>
      <c r="W19" s="607">
        <f t="shared" si="8"/>
        <v>0</v>
      </c>
      <c r="X19" s="607">
        <f t="shared" si="8"/>
        <v>0</v>
      </c>
      <c r="Y19" s="607">
        <f t="shared" si="8"/>
        <v>22.201068886580721</v>
      </c>
      <c r="Z19" s="607">
        <f t="shared" si="8"/>
        <v>13.222887506190302</v>
      </c>
      <c r="AA19" s="607">
        <f t="shared" si="8"/>
        <v>0.32898519114688124</v>
      </c>
      <c r="AB19" s="607">
        <f t="shared" si="8"/>
        <v>104.08989484730958</v>
      </c>
      <c r="AC19" s="607">
        <f t="shared" si="8"/>
        <v>4.5243634193369617</v>
      </c>
      <c r="AD19" s="607">
        <f t="shared" si="8"/>
        <v>0.47809453197405011</v>
      </c>
      <c r="AE19" s="607">
        <f t="shared" si="8"/>
        <v>0</v>
      </c>
      <c r="AF19" s="607">
        <f t="shared" si="8"/>
        <v>0.64462938084080323</v>
      </c>
      <c r="AG19" s="607">
        <f t="shared" si="8"/>
        <v>0</v>
      </c>
      <c r="AH19" s="607">
        <f t="shared" si="8"/>
        <v>1.5129999999999999</v>
      </c>
      <c r="AI19" s="165"/>
      <c r="AJ19" s="165"/>
      <c r="AK19" s="165"/>
      <c r="AL19" s="165"/>
      <c r="AM19" s="165"/>
      <c r="AN19" s="165"/>
      <c r="AO19" s="165"/>
      <c r="AP19" s="165"/>
      <c r="AQ19" s="165"/>
      <c r="AR19" s="165"/>
      <c r="AS19" s="165"/>
      <c r="AT19" s="165"/>
      <c r="AU19" s="165"/>
      <c r="AV19" s="165"/>
      <c r="AW19" s="165"/>
      <c r="AX19" s="165"/>
    </row>
    <row r="20" spans="1:50" s="164" customFormat="1">
      <c r="A20" s="593"/>
      <c r="B20" s="593"/>
      <c r="C20" s="502"/>
      <c r="D20" s="615"/>
      <c r="E20" s="165"/>
      <c r="F20" s="165"/>
      <c r="G20" s="165"/>
      <c r="H20" s="165"/>
      <c r="I20" s="165"/>
      <c r="J20" s="165"/>
      <c r="K20" s="165"/>
      <c r="L20" s="165"/>
      <c r="M20" s="165"/>
      <c r="N20" s="165"/>
      <c r="O20" s="165"/>
      <c r="P20" s="165"/>
      <c r="Q20" s="165"/>
      <c r="R20" s="165"/>
      <c r="S20" s="165"/>
      <c r="T20" s="165"/>
      <c r="U20" s="165"/>
      <c r="V20" s="165"/>
      <c r="W20" s="165"/>
      <c r="X20" s="165"/>
      <c r="Y20" s="165"/>
      <c r="Z20" s="165"/>
      <c r="AA20" s="165"/>
      <c r="AB20" s="165"/>
      <c r="AC20" s="165"/>
      <c r="AD20" s="165"/>
      <c r="AE20" s="165"/>
      <c r="AF20" s="165"/>
      <c r="AG20" s="165"/>
      <c r="AH20" s="165"/>
      <c r="AI20" s="165"/>
      <c r="AJ20" s="165"/>
      <c r="AK20" s="165"/>
      <c r="AL20" s="165"/>
      <c r="AM20" s="165"/>
      <c r="AN20" s="165"/>
      <c r="AO20" s="165"/>
      <c r="AP20" s="165"/>
      <c r="AQ20" s="165"/>
      <c r="AR20" s="165"/>
      <c r="AS20" s="165"/>
      <c r="AT20" s="165"/>
      <c r="AU20" s="165"/>
      <c r="AV20" s="165"/>
      <c r="AW20" s="165"/>
      <c r="AX20" s="165"/>
    </row>
    <row r="21" spans="1:50" s="164" customFormat="1" ht="12.75" customHeight="1">
      <c r="A21" s="593"/>
      <c r="B21" s="593"/>
      <c r="C21" s="757" t="s">
        <v>1055</v>
      </c>
      <c r="D21" s="505"/>
      <c r="E21" s="165"/>
      <c r="F21" s="165"/>
      <c r="G21" s="165"/>
      <c r="H21" s="165"/>
      <c r="I21" s="165"/>
      <c r="J21" s="165"/>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row>
    <row r="22" spans="1:50" s="164" customFormat="1" ht="12.75" customHeight="1">
      <c r="A22" s="593"/>
      <c r="B22" s="593"/>
      <c r="C22" s="757"/>
      <c r="D22" s="50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c r="AX22" s="165"/>
    </row>
    <row r="23" spans="1:50" s="164" customFormat="1">
      <c r="A23" s="593"/>
      <c r="B23" s="593"/>
      <c r="C23" s="502"/>
      <c r="D23" s="171"/>
      <c r="L23" s="164" t="s">
        <v>302</v>
      </c>
      <c r="O23" s="164">
        <v>1.07</v>
      </c>
      <c r="P23" s="164" t="s">
        <v>303</v>
      </c>
    </row>
    <row r="24" spans="1:50" s="164" customFormat="1">
      <c r="A24" s="593"/>
      <c r="B24" s="593"/>
      <c r="D24" s="171"/>
    </row>
    <row r="25" spans="1:50" s="164" customFormat="1" ht="13.5" thickBot="1">
      <c r="A25" s="593" t="s">
        <v>1009</v>
      </c>
      <c r="B25" s="593"/>
      <c r="C25" s="620" t="s">
        <v>470</v>
      </c>
      <c r="D25" s="621">
        <f>CHP_DATA2005!B$57</f>
        <v>8259.4</v>
      </c>
      <c r="E25" s="620">
        <f>CHP_DATA2005!B$60</f>
        <v>252.6</v>
      </c>
      <c r="F25" s="620">
        <f>CHP_DATA2005!B$61</f>
        <v>141.1</v>
      </c>
      <c r="G25" s="620">
        <f>CHP_DATA2005!B$62</f>
        <v>110</v>
      </c>
      <c r="H25" s="620">
        <f>CHP_DATA2005!B$63</f>
        <v>0.3</v>
      </c>
      <c r="I25" s="620">
        <f>CHP_DATA2005!B$64</f>
        <v>431.3</v>
      </c>
      <c r="J25" s="620">
        <f>CHP_DATA2005!B$65</f>
        <v>1204.8</v>
      </c>
      <c r="K25" s="620">
        <f>CHP_DATA2005!B$66</f>
        <v>299.2</v>
      </c>
      <c r="L25" s="620">
        <f>CHP_DATA2005!B$67</f>
        <v>21.8</v>
      </c>
      <c r="M25" s="620">
        <f>CHP_DATA2005!B$68</f>
        <v>406.3</v>
      </c>
      <c r="N25" s="620">
        <f>CHP_DATA2005!B$69</f>
        <v>466.9</v>
      </c>
      <c r="O25" s="620">
        <f>CHP_DATA2005!B$70</f>
        <v>407.5</v>
      </c>
      <c r="P25" s="620">
        <f>CHP_DATA2005!B$71</f>
        <v>85.3</v>
      </c>
      <c r="Q25" s="620">
        <f>CHP_DATA2005!B$72</f>
        <v>97.7</v>
      </c>
      <c r="R25" s="620">
        <f>CHP_DATA2005!B$73</f>
        <v>8.4</v>
      </c>
      <c r="S25" s="620">
        <f>CHP_DATA2005!B$74</f>
        <v>887.8</v>
      </c>
      <c r="T25" s="620">
        <f>CHP_DATA2005!B$75</f>
        <v>45</v>
      </c>
      <c r="U25" s="620">
        <f>CHP_DATA2005!B$76</f>
        <v>4.8</v>
      </c>
      <c r="V25" s="620">
        <f>CHP_DATA2005!B$77</f>
        <v>21.9</v>
      </c>
      <c r="W25" s="620">
        <f>CHP_DATA2005!B$78</f>
        <v>0</v>
      </c>
      <c r="X25" s="620">
        <f>CHP_DATA2005!B$79</f>
        <v>597.5</v>
      </c>
      <c r="Y25" s="620">
        <f>CHP_DATA2005!B$80</f>
        <v>1489.8</v>
      </c>
      <c r="Z25" s="620">
        <f>CHP_DATA2005!B$81</f>
        <v>103.7</v>
      </c>
      <c r="AA25" s="620">
        <f>CHP_DATA2005!B$82</f>
        <v>265.39999999999998</v>
      </c>
      <c r="AB25" s="620">
        <f>CHP_DATA2005!B$85</f>
        <v>211.4</v>
      </c>
      <c r="AC25" s="620">
        <f>CHP_DATA2005!B$83</f>
        <v>64</v>
      </c>
      <c r="AD25" s="620">
        <f>CHP_DATA2005!B$84</f>
        <v>327.7</v>
      </c>
      <c r="AE25" s="620">
        <f>CHP_DATA2005!B$86</f>
        <v>343.4</v>
      </c>
      <c r="AF25" s="620" t="s">
        <v>36</v>
      </c>
      <c r="AG25" s="620" t="s">
        <v>36</v>
      </c>
      <c r="AH25" s="620" t="s">
        <v>36</v>
      </c>
    </row>
    <row r="26" spans="1:50" s="164" customFormat="1">
      <c r="A26" s="593" t="s">
        <v>1009</v>
      </c>
      <c r="B26" s="593"/>
      <c r="C26" s="607" t="str">
        <f>CHP_DATA2005!C$56</f>
        <v>Solid Fuels</v>
      </c>
      <c r="D26" s="622">
        <f>D$25*CHP_DATA2005!C$57</f>
        <v>2923.8275999999996</v>
      </c>
      <c r="E26" s="607">
        <f>E$25*CHP_DATA2005!C$60</f>
        <v>37.6374</v>
      </c>
      <c r="F26" s="607">
        <f>F$25*CHP_DATA2005!C$61</f>
        <v>2.5397999999999996</v>
      </c>
      <c r="G26" s="607">
        <f>G$25*CHP_DATA2005!C$62</f>
        <v>60.830000000000005</v>
      </c>
      <c r="H26" s="607">
        <f>H$25*CHP_DATA2005!C$63</f>
        <v>0</v>
      </c>
      <c r="I26" s="607">
        <f>I$25*CHP_DATA2005!C$64</f>
        <v>341.1583</v>
      </c>
      <c r="J26" s="607">
        <f>J$25*CHP_DATA2005!C$65</f>
        <v>373.488</v>
      </c>
      <c r="K26" s="607">
        <f>K$25*CHP_DATA2005!C$66</f>
        <v>138.8288</v>
      </c>
      <c r="L26" s="607">
        <f>L$25*CHP_DATA2005!C$67</f>
        <v>10.703799999999999</v>
      </c>
      <c r="M26" s="607">
        <f>M$25*CHP_DATA2005!C$68</f>
        <v>7.3133999999999997</v>
      </c>
      <c r="N26" s="607">
        <f>N$25*CHP_DATA2005!C$69</f>
        <v>126.99680000000001</v>
      </c>
      <c r="O26" s="607">
        <f>O$25*CHP_DATA2005!C$70</f>
        <v>20.375</v>
      </c>
      <c r="P26" s="607">
        <f>P$25*CHP_DATA2005!C$71</f>
        <v>70.713699999999989</v>
      </c>
      <c r="Q26" s="607">
        <f>Q$25*CHP_DATA2005!C$72</f>
        <v>6.8390000000000004</v>
      </c>
      <c r="R26" s="607">
        <f>R$25*CHP_DATA2005!C$73</f>
        <v>1.2263999999999999</v>
      </c>
      <c r="S26" s="607">
        <f>S$25*CHP_DATA2005!C$74</f>
        <v>7.1023999999999994</v>
      </c>
      <c r="T26" s="607">
        <f>T$25*CHP_DATA2005!C$75</f>
        <v>0</v>
      </c>
      <c r="U26" s="607">
        <f>U$25*CHP_DATA2005!C$76</f>
        <v>0</v>
      </c>
      <c r="V26" s="607">
        <f>V$25*CHP_DATA2005!C$77</f>
        <v>0</v>
      </c>
      <c r="W26" s="607">
        <f>W$25*CHP_DATA2005!C$78</f>
        <v>0</v>
      </c>
      <c r="X26" s="607">
        <f>X$25*CHP_DATA2005!C$79</f>
        <v>84.247499999999988</v>
      </c>
      <c r="Y26" s="607">
        <f>Y$25*CHP_DATA2005!C$80</f>
        <v>1372.1058</v>
      </c>
      <c r="Z26" s="607">
        <f>Z$25*CHP_DATA2005!C$81</f>
        <v>0</v>
      </c>
      <c r="AA26" s="607">
        <f>AA$25*CHP_DATA2005!C$82</f>
        <v>120.75699999999999</v>
      </c>
      <c r="AB26" s="607">
        <f>AB$25*CHP_DATA2005!C$85</f>
        <v>20.2944</v>
      </c>
      <c r="AC26" s="607">
        <f>AC$25*CHP_DATA2005!C$83</f>
        <v>53.76</v>
      </c>
      <c r="AD26" s="607">
        <f>AD$25*CHP_DATA2005!C$84</f>
        <v>84.218900000000005</v>
      </c>
      <c r="AE26" s="607">
        <f>AE$25*CHP_DATA2005!C$86</f>
        <v>10.302</v>
      </c>
      <c r="AF26" s="676"/>
      <c r="AG26" s="676" t="s">
        <v>36</v>
      </c>
      <c r="AH26" s="676" t="s">
        <v>36</v>
      </c>
    </row>
    <row r="27" spans="1:50" s="164" customFormat="1">
      <c r="A27" s="593" t="s">
        <v>1009</v>
      </c>
      <c r="B27" s="593"/>
      <c r="C27" s="607" t="str">
        <f>CHP_DATA2005!D$56</f>
        <v>OIL</v>
      </c>
      <c r="D27" s="622">
        <f>D$25*CHP_DATA2005!D$57</f>
        <v>536.86099999999999</v>
      </c>
      <c r="E27" s="607">
        <f>E$25*CHP_DATA2005!D$60</f>
        <v>23.491799999999998</v>
      </c>
      <c r="F27" s="607">
        <f>F$25*CHP_DATA2005!D$61</f>
        <v>4.5152000000000001</v>
      </c>
      <c r="G27" s="607">
        <f>G$25*CHP_DATA2005!D$62</f>
        <v>9.02</v>
      </c>
      <c r="H27" s="607">
        <f>H$25*CHP_DATA2005!D$63</f>
        <v>0.3</v>
      </c>
      <c r="I27" s="607">
        <f>I$25*CHP_DATA2005!D$64</f>
        <v>7.3321000000000005</v>
      </c>
      <c r="J27" s="607">
        <f>J$25*CHP_DATA2005!D$65</f>
        <v>62.649599999999992</v>
      </c>
      <c r="K27" s="607">
        <f>K$25*CHP_DATA2005!D$66</f>
        <v>13.763199999999999</v>
      </c>
      <c r="L27" s="607">
        <f>L$25*CHP_DATA2005!D$67</f>
        <v>8.72E-2</v>
      </c>
      <c r="M27" s="607">
        <f>M$25*CHP_DATA2005!D$68</f>
        <v>36.567</v>
      </c>
      <c r="N27" s="607">
        <f>N$25*CHP_DATA2005!D$69</f>
        <v>10.7387</v>
      </c>
      <c r="O27" s="607">
        <f>O$25*CHP_DATA2005!D$70</f>
        <v>17.522499999999997</v>
      </c>
      <c r="P27" s="607">
        <f>P$25*CHP_DATA2005!D$71</f>
        <v>2.8149000000000002</v>
      </c>
      <c r="Q27" s="607">
        <f>Q$25*CHP_DATA2005!D$72</f>
        <v>1.6609000000000003</v>
      </c>
      <c r="R27" s="607">
        <f>R$25*CHP_DATA2005!D$73</f>
        <v>8.4000000000000012E-3</v>
      </c>
      <c r="S27" s="607">
        <f>S$25*CHP_DATA2005!D$74</f>
        <v>166.90639999999999</v>
      </c>
      <c r="T27" s="607">
        <f>T$25*CHP_DATA2005!D$75</f>
        <v>5.67</v>
      </c>
      <c r="U27" s="607">
        <f>U$25*CHP_DATA2005!D$76</f>
        <v>0</v>
      </c>
      <c r="V27" s="607">
        <f>V$25*CHP_DATA2005!D$77</f>
        <v>0.52559999999999996</v>
      </c>
      <c r="W27" s="607">
        <f>W$25*CHP_DATA2005!D$78</f>
        <v>0</v>
      </c>
      <c r="X27" s="607">
        <f>X$25*CHP_DATA2005!D$79</f>
        <v>14.34</v>
      </c>
      <c r="Y27" s="607">
        <f>Y$25*CHP_DATA2005!D$80</f>
        <v>43.2042</v>
      </c>
      <c r="Z27" s="607">
        <f>Z$25*CHP_DATA2005!D$81</f>
        <v>38.472700000000003</v>
      </c>
      <c r="AA27" s="607">
        <f>AA$25*CHP_DATA2005!D$82</f>
        <v>27.866999999999997</v>
      </c>
      <c r="AB27" s="607">
        <f>AB$25*CHP_DATA2005!D$85</f>
        <v>23.6768</v>
      </c>
      <c r="AC27" s="607">
        <f>AC$25*CHP_DATA2005!D$83</f>
        <v>1.1519999999999999</v>
      </c>
      <c r="AD27" s="607">
        <f>AD$25*CHP_DATA2005!D$84</f>
        <v>14.746499999999999</v>
      </c>
      <c r="AE27" s="607">
        <f>AE$25*CHP_DATA2005!D$86</f>
        <v>13.735999999999999</v>
      </c>
      <c r="AF27" s="676"/>
      <c r="AG27" s="676" t="s">
        <v>36</v>
      </c>
      <c r="AH27" s="676" t="s">
        <v>36</v>
      </c>
    </row>
    <row r="28" spans="1:50" s="164" customFormat="1">
      <c r="A28" s="593" t="s">
        <v>1009</v>
      </c>
      <c r="B28" s="593"/>
      <c r="C28" s="607" t="str">
        <f>CHP_DATA2005!E$56</f>
        <v>Natural Gas</v>
      </c>
      <c r="D28" s="622">
        <f>D$25*CHP_DATA2005!E$57</f>
        <v>3237.6848</v>
      </c>
      <c r="E28" s="607">
        <f>E$25*CHP_DATA2005!E$60</f>
        <v>113.67</v>
      </c>
      <c r="F28" s="607">
        <f>F$25*CHP_DATA2005!E$61</f>
        <v>85.224399999999989</v>
      </c>
      <c r="G28" s="607">
        <f>G$25*CHP_DATA2005!E$62</f>
        <v>33.549999999999997</v>
      </c>
      <c r="H28" s="607">
        <f>H$25*CHP_DATA2005!E$63</f>
        <v>0</v>
      </c>
      <c r="I28" s="607">
        <f>I$25*CHP_DATA2005!E$64</f>
        <v>39.679600000000001</v>
      </c>
      <c r="J28" s="607">
        <f>J$25*CHP_DATA2005!E$65</f>
        <v>609.62879999999996</v>
      </c>
      <c r="K28" s="607">
        <f>K$25*CHP_DATA2005!E$66</f>
        <v>87.067199999999985</v>
      </c>
      <c r="L28" s="607">
        <f>L$25*CHP_DATA2005!E$67</f>
        <v>9.4394000000000009</v>
      </c>
      <c r="M28" s="607">
        <f>M$25*CHP_DATA2005!E$68</f>
        <v>309.1943</v>
      </c>
      <c r="N28" s="607">
        <f>N$25*CHP_DATA2005!E$69</f>
        <v>108.7877</v>
      </c>
      <c r="O28" s="607">
        <f>O$25*CHP_DATA2005!E$70</f>
        <v>218.01250000000002</v>
      </c>
      <c r="P28" s="607">
        <f>P$25*CHP_DATA2005!E$71</f>
        <v>3.2413999999999996</v>
      </c>
      <c r="Q28" s="607">
        <f>Q$25*CHP_DATA2005!E$72</f>
        <v>77.769200000000012</v>
      </c>
      <c r="R28" s="607">
        <f>R$25*CHP_DATA2005!E$73</f>
        <v>6.4596</v>
      </c>
      <c r="S28" s="607">
        <f>S$25*CHP_DATA2005!E$74</f>
        <v>598.37720000000002</v>
      </c>
      <c r="T28" s="607">
        <f>T$25*CHP_DATA2005!E$75</f>
        <v>39.104999999999997</v>
      </c>
      <c r="U28" s="607">
        <f>U$25*CHP_DATA2005!E$76</f>
        <v>4.8</v>
      </c>
      <c r="V28" s="607">
        <f>V$25*CHP_DATA2005!E$77</f>
        <v>20.126100000000001</v>
      </c>
      <c r="W28" s="607">
        <f>W$25*CHP_DATA2005!E$78</f>
        <v>0</v>
      </c>
      <c r="X28" s="607">
        <f>X$25*CHP_DATA2005!E$79</f>
        <v>415.26249999999999</v>
      </c>
      <c r="Y28" s="607">
        <f>Y$25*CHP_DATA2005!E$80</f>
        <v>40.224599999999995</v>
      </c>
      <c r="Z28" s="607">
        <f>Z$25*CHP_DATA2005!E$81</f>
        <v>21.777000000000001</v>
      </c>
      <c r="AA28" s="607">
        <f>AA$25*CHP_DATA2005!E$82</f>
        <v>113.85659999999999</v>
      </c>
      <c r="AB28" s="607">
        <f>AB$25*CHP_DATA2005!E$85</f>
        <v>8.8788</v>
      </c>
      <c r="AC28" s="607">
        <f>AC$25*CHP_DATA2005!E$83</f>
        <v>5.5039999999999996</v>
      </c>
      <c r="AD28" s="607">
        <f>AD$25*CHP_DATA2005!E$84</f>
        <v>26.871400000000001</v>
      </c>
      <c r="AE28" s="607">
        <f>AE$25*CHP_DATA2005!E$86</f>
        <v>246.21779999999998</v>
      </c>
      <c r="AF28" s="676"/>
      <c r="AG28" s="676" t="s">
        <v>36</v>
      </c>
      <c r="AH28" s="676" t="s">
        <v>36</v>
      </c>
    </row>
    <row r="29" spans="1:50" s="164" customFormat="1">
      <c r="A29" s="593" t="s">
        <v>1009</v>
      </c>
      <c r="B29" s="593"/>
      <c r="C29" s="607" t="str">
        <f>CHP_DATA2005!F$56</f>
        <v>REN</v>
      </c>
      <c r="D29" s="622">
        <f>D$25*CHP_DATA2005!F$57</f>
        <v>743.34599999999989</v>
      </c>
      <c r="E29" s="607">
        <f>E$25*CHP_DATA2005!F$60</f>
        <v>51.025200000000005</v>
      </c>
      <c r="F29" s="607">
        <f>F$25*CHP_DATA2005!F$61</f>
        <v>1.9754</v>
      </c>
      <c r="G29" s="607">
        <f>G$25*CHP_DATA2005!F$62</f>
        <v>0</v>
      </c>
      <c r="H29" s="607">
        <f>H$25*CHP_DATA2005!F$63</f>
        <v>0</v>
      </c>
      <c r="I29" s="607">
        <f>I$25*CHP_DATA2005!F$64</f>
        <v>21.565000000000001</v>
      </c>
      <c r="J29" s="607">
        <f>J$25*CHP_DATA2005!F$65</f>
        <v>63.854399999999998</v>
      </c>
      <c r="K29" s="607">
        <f>K$25*CHP_DATA2005!F$66</f>
        <v>50.564799999999998</v>
      </c>
      <c r="L29" s="607">
        <f>L$25*CHP_DATA2005!F$67</f>
        <v>1.5477999999999998</v>
      </c>
      <c r="M29" s="673">
        <f>M$25*CHP_DATA2005!F$68+27</f>
        <v>27</v>
      </c>
      <c r="N29" s="607">
        <f>N$25*CHP_DATA2005!F$69</f>
        <v>208.23739999999998</v>
      </c>
      <c r="O29" s="607">
        <f>O$25*CHP_DATA2005!F$70</f>
        <v>94.54</v>
      </c>
      <c r="P29" s="607">
        <f>P$25*CHP_DATA2005!F$71</f>
        <v>0.3412</v>
      </c>
      <c r="Q29" s="607">
        <f>Q$25*CHP_DATA2005!F$72</f>
        <v>1.1724000000000001</v>
      </c>
      <c r="R29" s="607">
        <f>R$25*CHP_DATA2005!F$73</f>
        <v>0.1512</v>
      </c>
      <c r="S29" s="607">
        <f>S$25*CHP_DATA2005!F$74</f>
        <v>31.073</v>
      </c>
      <c r="T29" s="607">
        <f>T$25*CHP_DATA2005!F$75</f>
        <v>0.22500000000000001</v>
      </c>
      <c r="U29" s="607">
        <f>U$25*CHP_DATA2005!F$76</f>
        <v>0</v>
      </c>
      <c r="V29" s="607">
        <f>V$25*CHP_DATA2005!F$77</f>
        <v>1.2483</v>
      </c>
      <c r="W29" s="607">
        <f>W$25*CHP_DATA2005!F$78</f>
        <v>0</v>
      </c>
      <c r="X29" s="607">
        <f>X$25*CHP_DATA2005!F$79</f>
        <v>12.547500000000001</v>
      </c>
      <c r="Y29" s="607">
        <f>Y$25*CHP_DATA2005!F$80</f>
        <v>14.898</v>
      </c>
      <c r="Z29" s="607">
        <f>Z$25*CHP_DATA2005!F$81</f>
        <v>38.1616</v>
      </c>
      <c r="AA29" s="607">
        <f>AA$25*CHP_DATA2005!F$82</f>
        <v>0</v>
      </c>
      <c r="AB29" s="607">
        <f>AB$25*CHP_DATA2005!F$85</f>
        <v>138.67840000000001</v>
      </c>
      <c r="AC29" s="607">
        <f>AC$25*CHP_DATA2005!F$83</f>
        <v>3.52</v>
      </c>
      <c r="AD29" s="607">
        <f>AD$25*CHP_DATA2005!F$84</f>
        <v>0.65539999999999998</v>
      </c>
      <c r="AE29" s="607">
        <f>AE$25*CHP_DATA2005!F$86</f>
        <v>6.5245999999999995</v>
      </c>
      <c r="AF29" s="676"/>
      <c r="AG29" s="676" t="s">
        <v>36</v>
      </c>
      <c r="AH29" s="676" t="s">
        <v>36</v>
      </c>
    </row>
    <row r="30" spans="1:50" s="164" customFormat="1">
      <c r="A30" s="593" t="s">
        <v>1009</v>
      </c>
      <c r="B30" s="593"/>
      <c r="C30" s="607" t="str">
        <f>CHP_DATA2005!G$56</f>
        <v>Other</v>
      </c>
      <c r="D30" s="622">
        <f>D$25*CHP_DATA2005!G$57</f>
        <v>817.68060000000003</v>
      </c>
      <c r="E30" s="607">
        <f>E$25*CHP_DATA2005!G$60</f>
        <v>26.775599999999997</v>
      </c>
      <c r="F30" s="607">
        <f>F$25*CHP_DATA2005!G$61</f>
        <v>46.704100000000004</v>
      </c>
      <c r="G30" s="607">
        <f>G$25*CHP_DATA2005!G$62</f>
        <v>6.6</v>
      </c>
      <c r="H30" s="607">
        <f>H$25*CHP_DATA2005!G$63</f>
        <v>0</v>
      </c>
      <c r="I30" s="607">
        <f>I$25*CHP_DATA2005!G$64</f>
        <v>21.565000000000001</v>
      </c>
      <c r="J30" s="607">
        <f>J$25*CHP_DATA2005!G$65</f>
        <v>95.179199999999994</v>
      </c>
      <c r="K30" s="607">
        <f>K$25*CHP_DATA2005!G$66</f>
        <v>8.9759999999999991</v>
      </c>
      <c r="L30" s="607">
        <f>L$25*CHP_DATA2005!G$67</f>
        <v>0</v>
      </c>
      <c r="M30" s="673">
        <f>M$25*CHP_DATA2005!G$68-27</f>
        <v>26.225300000000004</v>
      </c>
      <c r="N30" s="607">
        <f>N$25*CHP_DATA2005!G$69</f>
        <v>12.606299999999999</v>
      </c>
      <c r="O30" s="607">
        <f>O$25*CHP_DATA2005!G$70</f>
        <v>57.050000000000004</v>
      </c>
      <c r="P30" s="607">
        <f>P$25*CHP_DATA2005!G$71</f>
        <v>8.2741000000000007</v>
      </c>
      <c r="Q30" s="607">
        <f>Q$25*CHP_DATA2005!G$72</f>
        <v>10.2585</v>
      </c>
      <c r="R30" s="607">
        <f>R$25*CHP_DATA2005!G$73</f>
        <v>0.56280000000000008</v>
      </c>
      <c r="S30" s="607">
        <f>S$25*CHP_DATA2005!G$74</f>
        <v>84.340999999999994</v>
      </c>
      <c r="T30" s="607">
        <f>T$25*CHP_DATA2005!G$75</f>
        <v>0</v>
      </c>
      <c r="U30" s="607">
        <f>U$25*CHP_DATA2005!G$76</f>
        <v>0</v>
      </c>
      <c r="V30" s="607">
        <f>V$25*CHP_DATA2005!G$77</f>
        <v>0</v>
      </c>
      <c r="W30" s="607">
        <f>W$25*CHP_DATA2005!G$78</f>
        <v>0</v>
      </c>
      <c r="X30" s="607">
        <f>X$25*CHP_DATA2005!G$79</f>
        <v>71.102499999999992</v>
      </c>
      <c r="Y30" s="607">
        <f>Y$25*CHP_DATA2005!G$80</f>
        <v>17.877600000000001</v>
      </c>
      <c r="Z30" s="607">
        <f>Z$25*CHP_DATA2005!G$81</f>
        <v>5.2886999999999995</v>
      </c>
      <c r="AA30" s="607">
        <f>AA$25*CHP_DATA2005!G$82</f>
        <v>2.9193999999999996</v>
      </c>
      <c r="AB30" s="607">
        <f>AB$25*CHP_DATA2005!G$85</f>
        <v>19.871600000000001</v>
      </c>
      <c r="AC30" s="607">
        <f>AC$25*CHP_DATA2005!G$83</f>
        <v>0.128</v>
      </c>
      <c r="AD30" s="607">
        <f>AD$25*CHP_DATA2005!G$84</f>
        <v>201.20779999999999</v>
      </c>
      <c r="AE30" s="607">
        <f>AE$25*CHP_DATA2005!G$86</f>
        <v>66.276200000000003</v>
      </c>
      <c r="AF30" s="676"/>
      <c r="AG30" s="676" t="s">
        <v>36</v>
      </c>
      <c r="AH30" s="676" t="s">
        <v>36</v>
      </c>
    </row>
    <row r="31" spans="1:50" s="164" customFormat="1">
      <c r="A31" s="593"/>
      <c r="B31" s="593"/>
      <c r="D31" s="171"/>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row>
    <row r="32" spans="1:50" s="164" customFormat="1">
      <c r="A32" s="593"/>
      <c r="B32" s="593"/>
      <c r="C32" s="502" t="s">
        <v>1043</v>
      </c>
      <c r="D32" s="610">
        <f>3.6*CHP_DATA2005!B$19</f>
        <v>1316.52</v>
      </c>
      <c r="E32" s="606">
        <f>3.6*CHP_DATA2005!B$22</f>
        <v>36.468000000000004</v>
      </c>
      <c r="F32" s="606">
        <f>3.6*CHP_DATA2005!B$23</f>
        <v>26.496000000000002</v>
      </c>
      <c r="G32" s="606">
        <f>3.6*CHP_DATA2005!B$24</f>
        <v>9.7920000000000016</v>
      </c>
      <c r="H32" s="606">
        <f>3.6*CHP_DATA2005!B$25</f>
        <v>3.6000000000000004E-2</v>
      </c>
      <c r="I32" s="606">
        <f>3.6*CHP_DATA2005!B$26</f>
        <v>49.931999999999995</v>
      </c>
      <c r="J32" s="606">
        <f>3.6*CHP_DATA2005!B$27</f>
        <v>280.26</v>
      </c>
      <c r="K32" s="606">
        <f>3.6*CHP_DATA2005!B$28</f>
        <v>68.004000000000005</v>
      </c>
      <c r="L32" s="606">
        <f>3.6*CHP_DATA2005!B$29</f>
        <v>3.7440000000000002</v>
      </c>
      <c r="M32" s="606">
        <f>3.6*CHP_DATA2005!B$30</f>
        <v>82.367999999999995</v>
      </c>
      <c r="N32" s="606">
        <f>3.6*CHP_DATA2005!B$31</f>
        <v>98.856000000000009</v>
      </c>
      <c r="O32" s="606">
        <f>3.6*CHP_DATA2005!B$32</f>
        <v>83.556000000000012</v>
      </c>
      <c r="P32" s="606">
        <f>3.6*CHP_DATA2005!B$33</f>
        <v>3.6720000000000002</v>
      </c>
      <c r="Q32" s="606">
        <f>3.6*CHP_DATA2005!B$34</f>
        <v>24.623999999999999</v>
      </c>
      <c r="R32" s="606">
        <f>3.6*CHP_DATA2005!B$35</f>
        <v>2.16</v>
      </c>
      <c r="S32" s="606">
        <f>3.6*CHP_DATA2005!B$36</f>
        <v>98.603999999999999</v>
      </c>
      <c r="T32" s="606">
        <f>3.6*CHP_DATA2005!B$37</f>
        <v>8.2799999999999994</v>
      </c>
      <c r="U32" s="606">
        <f>3.6*CHP_DATA2005!B$38</f>
        <v>1.512</v>
      </c>
      <c r="V32" s="606">
        <f>3.6*CHP_DATA2005!B$39</f>
        <v>5.4359999999999999</v>
      </c>
      <c r="W32" s="606">
        <f>3.6*CHP_DATA2005!B$40</f>
        <v>0</v>
      </c>
      <c r="X32" s="606">
        <f>3.6*CHP_DATA2005!B$41</f>
        <v>106.092</v>
      </c>
      <c r="Y32" s="606">
        <f>3.6*CHP_DATA2005!B$42</f>
        <v>94.68</v>
      </c>
      <c r="Z32" s="606">
        <f>3.6*CHP_DATA2005!B$43</f>
        <v>19.512</v>
      </c>
      <c r="AA32" s="606">
        <f>3.6*CHP_DATA2005!B$44</f>
        <v>55.980000000000004</v>
      </c>
      <c r="AB32" s="606">
        <f>3.6*CHP_DATA2005!B$47</f>
        <v>38.411999999999999</v>
      </c>
      <c r="AC32" s="606">
        <f>3.6*CHP_DATA2005!B$45</f>
        <v>3.9600000000000004</v>
      </c>
      <c r="AD32" s="606">
        <f>3.6*CHP_DATA2005!B$46</f>
        <v>17.28</v>
      </c>
      <c r="AE32" s="606">
        <f>3.6*CHP_DATA2005!B$48</f>
        <v>98.063999999999993</v>
      </c>
    </row>
    <row r="33" spans="1:50" s="164" customFormat="1">
      <c r="A33" s="593" t="s">
        <v>1009</v>
      </c>
      <c r="B33" s="593"/>
      <c r="C33" s="164" t="s">
        <v>176</v>
      </c>
      <c r="D33" s="610"/>
      <c r="E33" s="659">
        <f>CHP_DATA2005!C$22</f>
        <v>0.47399999999999998</v>
      </c>
      <c r="F33" s="660">
        <f>CHP_DATA2005!C$23</f>
        <v>0.71699999999999997</v>
      </c>
      <c r="G33" s="659">
        <f>CHP_DATA2005!C$24</f>
        <v>0.84099999999999997</v>
      </c>
      <c r="H33" s="659">
        <f>CHP_DATA2005!C$25</f>
        <v>0</v>
      </c>
      <c r="I33" s="659">
        <f>CHP_DATA2005!C$26</f>
        <v>0.71099999999999997</v>
      </c>
      <c r="J33" s="659">
        <f>CHP_DATA2005!C$27</f>
        <v>0.67200000000000004</v>
      </c>
      <c r="K33" s="661">
        <f>CHP_DATA2005!D$27</f>
        <v>0.32800000000000001</v>
      </c>
      <c r="L33" s="659">
        <f>CHP_DATA2005!C$29</f>
        <v>0.88800000000000001</v>
      </c>
      <c r="M33" s="659">
        <f>CHP_DATA2005!C$30</f>
        <v>0</v>
      </c>
      <c r="N33" s="659">
        <f>CHP_DATA2005!C$31</f>
        <v>0.69099999999999995</v>
      </c>
      <c r="O33" s="659">
        <f>CHP_DATA2005!C$32</f>
        <v>0.41899999999999998</v>
      </c>
      <c r="P33" s="174" t="e">
        <f>#REF!</f>
        <v>#REF!</v>
      </c>
      <c r="Q33" s="659">
        <f>CHP_DATA2005!C$34</f>
        <v>0.93400000000000005</v>
      </c>
      <c r="R33" s="659">
        <f>CHP_DATA2005!C$35</f>
        <v>0</v>
      </c>
      <c r="S33" s="173">
        <f>CHP_DATA2005!C$36</f>
        <v>0.59099999999999997</v>
      </c>
      <c r="T33" s="659">
        <f>CHP_DATA2005!C$37-0.2</f>
        <v>0.72500000000000009</v>
      </c>
      <c r="U33" s="659">
        <f>CHP_DATA2005!C$38</f>
        <v>0</v>
      </c>
      <c r="V33" s="659">
        <f>CHP_DATA2005!C$39</f>
        <v>0.96299999999999997</v>
      </c>
      <c r="W33" s="659">
        <f>CHP_DATA2005!C$40</f>
        <v>0</v>
      </c>
      <c r="X33" s="659">
        <v>0.6</v>
      </c>
      <c r="Y33" s="659">
        <f>CHP_DATA2005!C$42</f>
        <v>0.77400000000000002</v>
      </c>
      <c r="Z33" s="659">
        <f>CHP_DATA2005!C$43</f>
        <v>0.68100000000000005</v>
      </c>
      <c r="AA33" s="659">
        <f>CHP_DATA2005!C$44</f>
        <v>0.94599999999999995</v>
      </c>
      <c r="AB33" s="659">
        <f>CHP_DATA2005!C$47</f>
        <v>0.621</v>
      </c>
      <c r="AC33" s="659">
        <f>CHP_DATA2005!C$45</f>
        <v>0.74199999999999999</v>
      </c>
      <c r="AD33" s="659">
        <f>CHP_DATA2005!C$46</f>
        <v>0.55000000000000004</v>
      </c>
      <c r="AE33" s="659">
        <f>CHP_DATA2005!C$48</f>
        <v>9.4E-2</v>
      </c>
      <c r="AF33" s="172"/>
      <c r="AG33" s="172"/>
    </row>
    <row r="34" spans="1:50" s="164" customFormat="1">
      <c r="A34" s="593" t="s">
        <v>1009</v>
      </c>
      <c r="B34" s="593"/>
      <c r="C34" s="164" t="s">
        <v>177</v>
      </c>
      <c r="D34" s="610"/>
      <c r="E34" s="659">
        <f t="shared" ref="E34:AE34" si="9">1-E33</f>
        <v>0.52600000000000002</v>
      </c>
      <c r="F34" s="659">
        <f t="shared" si="9"/>
        <v>0.28300000000000003</v>
      </c>
      <c r="G34" s="659">
        <f t="shared" si="9"/>
        <v>0.15900000000000003</v>
      </c>
      <c r="H34" s="659">
        <f t="shared" si="9"/>
        <v>1</v>
      </c>
      <c r="I34" s="659">
        <f t="shared" si="9"/>
        <v>0.28900000000000003</v>
      </c>
      <c r="J34" s="659">
        <f t="shared" si="9"/>
        <v>0.32799999999999996</v>
      </c>
      <c r="K34" s="174">
        <f t="shared" si="9"/>
        <v>0.67199999999999993</v>
      </c>
      <c r="L34" s="659">
        <f t="shared" si="9"/>
        <v>0.11199999999999999</v>
      </c>
      <c r="M34" s="659">
        <f t="shared" si="9"/>
        <v>1</v>
      </c>
      <c r="N34" s="659">
        <f t="shared" si="9"/>
        <v>0.30900000000000005</v>
      </c>
      <c r="O34" s="659">
        <f t="shared" si="9"/>
        <v>0.58099999999999996</v>
      </c>
      <c r="P34" s="659" t="e">
        <f t="shared" si="9"/>
        <v>#REF!</v>
      </c>
      <c r="Q34" s="659">
        <f t="shared" si="9"/>
        <v>6.5999999999999948E-2</v>
      </c>
      <c r="R34" s="659">
        <f t="shared" si="9"/>
        <v>1</v>
      </c>
      <c r="S34" s="659">
        <f t="shared" si="9"/>
        <v>0.40900000000000003</v>
      </c>
      <c r="T34" s="659">
        <f t="shared" si="9"/>
        <v>0.27499999999999991</v>
      </c>
      <c r="U34" s="659">
        <f t="shared" si="9"/>
        <v>1</v>
      </c>
      <c r="V34" s="659">
        <f t="shared" si="9"/>
        <v>3.7000000000000033E-2</v>
      </c>
      <c r="W34" s="659">
        <f t="shared" si="9"/>
        <v>1</v>
      </c>
      <c r="X34" s="174">
        <f t="shared" si="9"/>
        <v>0.4</v>
      </c>
      <c r="Y34" s="659">
        <f t="shared" si="9"/>
        <v>0.22599999999999998</v>
      </c>
      <c r="Z34" s="659">
        <f t="shared" si="9"/>
        <v>0.31899999999999995</v>
      </c>
      <c r="AA34" s="659">
        <f t="shared" si="9"/>
        <v>5.4000000000000048E-2</v>
      </c>
      <c r="AB34" s="659">
        <f t="shared" si="9"/>
        <v>0.379</v>
      </c>
      <c r="AC34" s="659">
        <f t="shared" si="9"/>
        <v>0.25800000000000001</v>
      </c>
      <c r="AD34" s="659">
        <f t="shared" si="9"/>
        <v>0.44999999999999996</v>
      </c>
      <c r="AE34" s="659">
        <f t="shared" si="9"/>
        <v>0.90600000000000003</v>
      </c>
      <c r="AI34" s="165"/>
    </row>
    <row r="35" spans="1:50" s="164" customFormat="1">
      <c r="A35" s="593" t="s">
        <v>1009</v>
      </c>
      <c r="B35" s="593"/>
      <c r="C35" s="502" t="s">
        <v>1006</v>
      </c>
      <c r="D35" s="610">
        <f>CHP_DATA2005!G$19</f>
        <v>3112.4</v>
      </c>
      <c r="E35" s="606">
        <f>CHP_DATA2005!G$22</f>
        <v>95.8</v>
      </c>
      <c r="F35" s="606">
        <f>CHP_DATA2005!G$23</f>
        <v>75.900000000000006</v>
      </c>
      <c r="G35" s="606">
        <f>CHP_DATA2005!G$24</f>
        <v>50.4</v>
      </c>
      <c r="H35" s="606">
        <f>CHP_DATA2005!G$25</f>
        <v>0.1</v>
      </c>
      <c r="I35" s="606">
        <f>CHP_DATA2005!G$26</f>
        <v>150.69999999999999</v>
      </c>
      <c r="J35" s="606">
        <f>CHP_DATA2005!G$27</f>
        <v>652.5</v>
      </c>
      <c r="K35" s="606">
        <f>CHP_DATA2005!G$28</f>
        <v>119</v>
      </c>
      <c r="L35" s="606">
        <f>CHP_DATA2005!G$29</f>
        <v>11.5</v>
      </c>
      <c r="M35" s="606">
        <f>CHP_DATA2005!G$30</f>
        <v>192.5</v>
      </c>
      <c r="N35" s="606">
        <f>CHP_DATA2005!G$31</f>
        <v>250</v>
      </c>
      <c r="O35" s="606">
        <f>CHP_DATA2005!G$32</f>
        <v>209.2</v>
      </c>
      <c r="P35" s="606">
        <f>CHP_DATA2005!G$33</f>
        <v>9.6999999999999993</v>
      </c>
      <c r="Q35" s="606">
        <f>CHP_DATA2005!G$34</f>
        <v>47.4</v>
      </c>
      <c r="R35" s="606">
        <f>CHP_DATA2005!G$35</f>
        <v>4.4000000000000004</v>
      </c>
      <c r="S35" s="606">
        <f>CHP_DATA2005!G$36</f>
        <v>193.1</v>
      </c>
      <c r="T35" s="606">
        <f>CHP_DATA2005!G$37</f>
        <v>19.899999999999999</v>
      </c>
      <c r="U35" s="606">
        <f>CHP_DATA2005!G$38</f>
        <v>1.2</v>
      </c>
      <c r="V35" s="606">
        <f>CHP_DATA2005!G$39</f>
        <v>11.9</v>
      </c>
      <c r="W35" s="606">
        <f>CHP_DATA2005!G$40</f>
        <v>0</v>
      </c>
      <c r="X35" s="606">
        <f>CHP_DATA2005!G$41</f>
        <v>220.3</v>
      </c>
      <c r="Y35" s="606">
        <f>CHP_DATA2005!G$42</f>
        <v>275.39999999999998</v>
      </c>
      <c r="Z35" s="606">
        <f>CHP_DATA2005!G$43</f>
        <v>59.6</v>
      </c>
      <c r="AA35" s="606">
        <f>CHP_DATA2005!G$44</f>
        <v>95.4</v>
      </c>
      <c r="AB35" s="606">
        <f>CHP_DATA2005!G$47</f>
        <v>132.69999999999999</v>
      </c>
      <c r="AC35" s="606">
        <f>CHP_DATA2005!G$45</f>
        <v>15</v>
      </c>
      <c r="AD35" s="606">
        <f>CHP_DATA2005!G$46</f>
        <v>33.700000000000003</v>
      </c>
      <c r="AE35" s="606">
        <f>CHP_DATA2005!G$48</f>
        <v>185.2</v>
      </c>
    </row>
    <row r="36" spans="1:50" s="164" customFormat="1">
      <c r="A36" s="593" t="s">
        <v>1009</v>
      </c>
      <c r="B36" s="593"/>
      <c r="C36" s="164" t="s">
        <v>176</v>
      </c>
      <c r="D36" s="610"/>
      <c r="E36" s="659">
        <f>CHP_DATA2005!H$22</f>
        <v>0.31900000000000001</v>
      </c>
      <c r="F36" s="660">
        <f>CHP_DATA2005!H$23</f>
        <v>0.35299999999999998</v>
      </c>
      <c r="G36" s="659">
        <f>CHP_DATA2005!H$24</f>
        <v>0.67300000000000004</v>
      </c>
      <c r="H36" s="659">
        <f>CHP_DATA2005!H$25</f>
        <v>0</v>
      </c>
      <c r="I36" s="659">
        <f>CHP_DATA2005!H$26</f>
        <v>0.67500000000000004</v>
      </c>
      <c r="J36" s="659">
        <f>CHP_DATA2005!H$27</f>
        <v>0.56000000000000005</v>
      </c>
      <c r="K36" s="661">
        <f>CHP_DATA2005!I$27</f>
        <v>0.44</v>
      </c>
      <c r="L36" s="659">
        <f>CHP_DATA2005!H$29</f>
        <v>0.80900000000000005</v>
      </c>
      <c r="M36" s="659">
        <f>CHP_DATA2005!H$30</f>
        <v>0</v>
      </c>
      <c r="N36" s="659">
        <f>CHP_DATA2005!H$31</f>
        <v>0.50700000000000001</v>
      </c>
      <c r="O36" s="659">
        <f>CHP_DATA2005!H$32</f>
        <v>0.26700000000000002</v>
      </c>
      <c r="P36" s="659">
        <f>CHP_DATA2005!H$33</f>
        <v>0.222</v>
      </c>
      <c r="Q36" s="659">
        <f>CHP_DATA2005!H$34</f>
        <v>0.82599999999999996</v>
      </c>
      <c r="R36" s="659">
        <f>CHP_DATA2005!H$35</f>
        <v>0</v>
      </c>
      <c r="S36" s="173">
        <f>CHP_DATA2005!H$36</f>
        <v>0.39600000000000002</v>
      </c>
      <c r="T36" s="659">
        <f>CHP_DATA2005!H$37-0.2</f>
        <v>0.74</v>
      </c>
      <c r="U36" s="659">
        <f>CHP_DATA2005!H$38</f>
        <v>0</v>
      </c>
      <c r="V36" s="659">
        <f>CHP_DATA2005!H$39</f>
        <v>0.93</v>
      </c>
      <c r="W36" s="659">
        <f>CHP_DATA2005!H$40</f>
        <v>0</v>
      </c>
      <c r="X36" s="174">
        <v>0.6</v>
      </c>
      <c r="Y36" s="659">
        <f>CHP_DATA2005!H$42</f>
        <v>0.61599999999999999</v>
      </c>
      <c r="Z36" s="659">
        <f>CHP_DATA2005!H$43</f>
        <v>0.46400000000000002</v>
      </c>
      <c r="AA36" s="659">
        <f>CHP_DATA2005!H$44</f>
        <v>0.85499999999999998</v>
      </c>
      <c r="AB36" s="659">
        <f>CHP_DATA2005!H$47</f>
        <v>0.48399999999999999</v>
      </c>
      <c r="AC36" s="659">
        <f>CHP_DATA2005!H$45</f>
        <v>0.50900000000000001</v>
      </c>
      <c r="AD36" s="659">
        <f>CHP_DATA2005!H$46</f>
        <v>0.58399999999999996</v>
      </c>
      <c r="AE36" s="659">
        <f>CHP_DATA2005!H$48</f>
        <v>7.2999999999999995E-2</v>
      </c>
    </row>
    <row r="37" spans="1:50" s="164" customFormat="1">
      <c r="A37" s="593" t="s">
        <v>1009</v>
      </c>
      <c r="B37" s="593"/>
      <c r="C37" s="164" t="s">
        <v>177</v>
      </c>
      <c r="D37" s="610"/>
      <c r="E37" s="659">
        <f t="shared" ref="E37:AE37" si="10">1-E36</f>
        <v>0.68100000000000005</v>
      </c>
      <c r="F37" s="659">
        <f t="shared" si="10"/>
        <v>0.64700000000000002</v>
      </c>
      <c r="G37" s="659">
        <f t="shared" si="10"/>
        <v>0.32699999999999996</v>
      </c>
      <c r="H37" s="659">
        <f t="shared" si="10"/>
        <v>1</v>
      </c>
      <c r="I37" s="659">
        <f t="shared" si="10"/>
        <v>0.32499999999999996</v>
      </c>
      <c r="J37" s="659">
        <f t="shared" si="10"/>
        <v>0.43999999999999995</v>
      </c>
      <c r="K37" s="174">
        <f t="shared" si="10"/>
        <v>0.56000000000000005</v>
      </c>
      <c r="L37" s="659">
        <f t="shared" si="10"/>
        <v>0.19099999999999995</v>
      </c>
      <c r="M37" s="659">
        <f t="shared" si="10"/>
        <v>1</v>
      </c>
      <c r="N37" s="659">
        <f t="shared" si="10"/>
        <v>0.49299999999999999</v>
      </c>
      <c r="O37" s="659">
        <f t="shared" si="10"/>
        <v>0.73299999999999998</v>
      </c>
      <c r="P37" s="659">
        <f t="shared" si="10"/>
        <v>0.77800000000000002</v>
      </c>
      <c r="Q37" s="659">
        <f t="shared" si="10"/>
        <v>0.17400000000000004</v>
      </c>
      <c r="R37" s="659">
        <f t="shared" si="10"/>
        <v>1</v>
      </c>
      <c r="S37" s="659">
        <f t="shared" si="10"/>
        <v>0.60399999999999998</v>
      </c>
      <c r="T37" s="659">
        <f t="shared" si="10"/>
        <v>0.26</v>
      </c>
      <c r="U37" s="659">
        <f t="shared" si="10"/>
        <v>1</v>
      </c>
      <c r="V37" s="659">
        <f t="shared" si="10"/>
        <v>6.9999999999999951E-2</v>
      </c>
      <c r="W37" s="659">
        <f t="shared" si="10"/>
        <v>1</v>
      </c>
      <c r="X37" s="174">
        <f t="shared" si="10"/>
        <v>0.4</v>
      </c>
      <c r="Y37" s="659">
        <f t="shared" si="10"/>
        <v>0.38400000000000001</v>
      </c>
      <c r="Z37" s="659">
        <f t="shared" si="10"/>
        <v>0.53600000000000003</v>
      </c>
      <c r="AA37" s="659">
        <f t="shared" si="10"/>
        <v>0.14500000000000002</v>
      </c>
      <c r="AB37" s="659">
        <f t="shared" si="10"/>
        <v>0.51600000000000001</v>
      </c>
      <c r="AC37" s="659">
        <f t="shared" si="10"/>
        <v>0.49099999999999999</v>
      </c>
      <c r="AD37" s="659">
        <f t="shared" si="10"/>
        <v>0.41600000000000004</v>
      </c>
      <c r="AE37" s="659">
        <f t="shared" si="10"/>
        <v>0.92700000000000005</v>
      </c>
      <c r="AI37" s="165"/>
    </row>
    <row r="38" spans="1:50" s="164" customFormat="1">
      <c r="A38" s="593" t="s">
        <v>1009</v>
      </c>
      <c r="B38" s="593"/>
      <c r="C38" s="616" t="s">
        <v>1045</v>
      </c>
      <c r="D38" s="610">
        <f>CHP_DATA2005!F$19</f>
        <v>101.6</v>
      </c>
      <c r="E38" s="606">
        <f>CHP_DATA2005!F$22</f>
        <v>3.25</v>
      </c>
      <c r="F38" s="606">
        <f>CHP_DATA2005!F$23</f>
        <v>1.89</v>
      </c>
      <c r="G38" s="606">
        <f>CHP_DATA2005!F$24</f>
        <v>1.19</v>
      </c>
      <c r="H38" s="606">
        <f>CHP_DATA2005!F$25</f>
        <v>0.01</v>
      </c>
      <c r="I38" s="606">
        <f>CHP_DATA2005!F$26/$O$23</f>
        <v>4.8598130841121492</v>
      </c>
      <c r="J38" s="606">
        <f>CHP_DATA2005!F$27</f>
        <v>20.84</v>
      </c>
      <c r="K38" s="606">
        <f>CHP_DATA2005!F$28</f>
        <v>5.69</v>
      </c>
      <c r="L38" s="606">
        <f>CHP_DATA2005!F$29/$O$23</f>
        <v>1.4953271028037383</v>
      </c>
      <c r="M38" s="606">
        <f>CHP_DATA2005!F$30</f>
        <v>3.05</v>
      </c>
      <c r="N38" s="606">
        <f>CHP_DATA2005!F$31</f>
        <v>5.83</v>
      </c>
      <c r="O38" s="606">
        <f>CHP_DATA2005!F$32</f>
        <v>6.6</v>
      </c>
      <c r="P38" s="606">
        <f>CHP_DATA2005!F$33</f>
        <v>0.24</v>
      </c>
      <c r="Q38" s="606">
        <f>CHP_DATA2005!F$34/$O$23</f>
        <v>1.9158878504672894</v>
      </c>
      <c r="R38" s="606">
        <f>CHP_DATA2005!F$35</f>
        <v>0.11</v>
      </c>
      <c r="S38" s="606">
        <f>CHP_DATA2005!F$36</f>
        <v>5.89</v>
      </c>
      <c r="T38" s="606">
        <f>CHP_DATA2005!F$37</f>
        <v>1.04</v>
      </c>
      <c r="U38" s="606">
        <f>CHP_DATA2005!F$38</f>
        <v>0.1</v>
      </c>
      <c r="V38" s="606">
        <f>CHP_DATA2005!F$39</f>
        <v>0.59</v>
      </c>
      <c r="W38" s="606">
        <f>CHP_DATA2005!F$40</f>
        <v>0</v>
      </c>
      <c r="X38" s="606">
        <f>CHP_DATA2005!F$41</f>
        <v>7.16</v>
      </c>
      <c r="Y38" s="606">
        <f>CHP_DATA2005!F$42</f>
        <v>8.31</v>
      </c>
      <c r="Z38" s="606">
        <f>CHP_DATA2005!F$43</f>
        <v>1.08</v>
      </c>
      <c r="AA38" s="606">
        <f>CHP_DATA2005!F$44</f>
        <v>5.25</v>
      </c>
      <c r="AB38" s="606">
        <f>CHP_DATA2005!F$47</f>
        <v>3.49</v>
      </c>
      <c r="AC38" s="606">
        <f>CHP_DATA2005!F$45</f>
        <v>0.34</v>
      </c>
      <c r="AD38" s="606">
        <f>CHP_DATA2005!F$46</f>
        <v>5.41</v>
      </c>
      <c r="AE38" s="606">
        <f>CHP_DATA2005!F$48</f>
        <v>5.44</v>
      </c>
      <c r="AF38" s="606"/>
      <c r="AG38" s="606"/>
      <c r="AH38" s="606"/>
    </row>
    <row r="39" spans="1:50" s="164" customFormat="1">
      <c r="A39" s="593"/>
      <c r="B39" s="593"/>
      <c r="C39" s="618"/>
      <c r="D39" s="610"/>
      <c r="E39" s="606"/>
      <c r="F39" s="606"/>
      <c r="G39" s="606"/>
      <c r="H39" s="606"/>
      <c r="I39" s="606"/>
      <c r="J39" s="606"/>
      <c r="K39" s="606"/>
      <c r="L39" s="606"/>
      <c r="M39" s="606"/>
      <c r="N39" s="606"/>
      <c r="O39" s="606"/>
      <c r="P39" s="606"/>
      <c r="Q39" s="606"/>
      <c r="R39" s="606"/>
      <c r="S39" s="606"/>
      <c r="T39" s="606"/>
      <c r="U39" s="606"/>
      <c r="V39" s="606"/>
      <c r="W39" s="606"/>
      <c r="X39" s="606"/>
      <c r="Y39" s="606"/>
      <c r="Z39" s="606"/>
      <c r="AA39" s="606"/>
      <c r="AB39" s="606"/>
      <c r="AC39" s="606"/>
      <c r="AD39" s="606"/>
      <c r="AE39" s="606"/>
      <c r="AF39" s="606"/>
      <c r="AG39" s="606"/>
      <c r="AH39" s="606"/>
      <c r="AI39" s="165"/>
      <c r="AJ39" s="165"/>
      <c r="AK39" s="165"/>
      <c r="AL39" s="165"/>
      <c r="AM39" s="165"/>
      <c r="AN39" s="165"/>
      <c r="AO39" s="165"/>
      <c r="AP39" s="165"/>
      <c r="AQ39" s="165"/>
      <c r="AR39" s="165"/>
      <c r="AS39" s="165"/>
      <c r="AT39" s="165"/>
      <c r="AU39" s="165"/>
      <c r="AV39" s="165"/>
      <c r="AW39" s="165"/>
      <c r="AX39" s="165"/>
    </row>
    <row r="40" spans="1:50" s="164" customFormat="1">
      <c r="A40" s="593"/>
      <c r="B40" s="593"/>
      <c r="C40" s="616"/>
      <c r="D40" s="610"/>
      <c r="E40" s="606"/>
      <c r="F40" s="606"/>
      <c r="G40" s="606"/>
      <c r="H40" s="606"/>
      <c r="I40" s="606"/>
      <c r="J40" s="606"/>
      <c r="K40" s="606"/>
      <c r="L40" s="606"/>
      <c r="M40" s="606"/>
      <c r="N40" s="606"/>
      <c r="O40" s="606"/>
      <c r="P40" s="606"/>
      <c r="Q40" s="606"/>
      <c r="R40" s="606"/>
      <c r="S40" s="606"/>
      <c r="T40" s="606"/>
      <c r="U40" s="606"/>
      <c r="V40" s="606"/>
      <c r="W40" s="606"/>
      <c r="X40" s="606"/>
      <c r="Y40" s="606"/>
      <c r="Z40" s="606"/>
      <c r="AA40" s="606"/>
      <c r="AB40" s="606"/>
      <c r="AC40" s="606"/>
      <c r="AD40" s="606"/>
      <c r="AE40" s="606"/>
      <c r="AF40" s="606"/>
      <c r="AG40" s="606"/>
      <c r="AH40" s="606"/>
      <c r="AI40" s="165"/>
      <c r="AJ40" s="165"/>
      <c r="AK40" s="165"/>
      <c r="AL40" s="165"/>
      <c r="AM40" s="165"/>
      <c r="AN40" s="165"/>
      <c r="AO40" s="165"/>
      <c r="AP40" s="165"/>
      <c r="AQ40" s="165"/>
      <c r="AR40" s="165"/>
      <c r="AS40" s="165"/>
      <c r="AT40" s="165"/>
      <c r="AU40" s="165"/>
      <c r="AV40" s="165"/>
      <c r="AW40" s="165"/>
      <c r="AX40" s="165"/>
    </row>
    <row r="41" spans="1:50" s="164" customFormat="1" ht="12.75" customHeight="1">
      <c r="A41" s="593"/>
      <c r="B41" s="593"/>
      <c r="C41" s="758" t="s">
        <v>1060</v>
      </c>
      <c r="D41" s="610"/>
      <c r="E41" s="606"/>
      <c r="F41" s="606"/>
      <c r="G41" s="606"/>
      <c r="H41" s="606"/>
      <c r="I41" s="606"/>
      <c r="J41" s="606"/>
      <c r="K41" s="606"/>
      <c r="L41" s="606"/>
      <c r="M41" s="606"/>
      <c r="N41" s="606"/>
      <c r="O41" s="606"/>
      <c r="P41" s="606"/>
      <c r="Q41" s="606"/>
      <c r="R41" s="606"/>
      <c r="S41" s="606"/>
      <c r="T41" s="606"/>
      <c r="U41" s="606"/>
      <c r="V41" s="606"/>
      <c r="W41" s="606"/>
      <c r="X41" s="606"/>
      <c r="Y41" s="606"/>
      <c r="Z41" s="606"/>
      <c r="AA41" s="606"/>
      <c r="AB41" s="606"/>
      <c r="AC41" s="606"/>
      <c r="AD41" s="606"/>
      <c r="AE41" s="606"/>
      <c r="AF41" s="606"/>
      <c r="AG41" s="606"/>
      <c r="AH41" s="606"/>
      <c r="AI41" s="165"/>
      <c r="AJ41" s="165"/>
      <c r="AK41" s="165"/>
      <c r="AL41" s="165"/>
      <c r="AM41" s="165"/>
      <c r="AN41" s="165"/>
      <c r="AO41" s="165"/>
      <c r="AP41" s="165"/>
      <c r="AQ41" s="165"/>
      <c r="AR41" s="165"/>
      <c r="AS41" s="165"/>
      <c r="AT41" s="165"/>
      <c r="AU41" s="165"/>
      <c r="AV41" s="165"/>
      <c r="AW41" s="165"/>
      <c r="AX41" s="165"/>
    </row>
    <row r="42" spans="1:50" s="164" customFormat="1" ht="12.75" customHeight="1">
      <c r="A42" s="593"/>
      <c r="B42" s="593"/>
      <c r="C42" s="758"/>
      <c r="D42" s="606"/>
      <c r="E42" s="606"/>
      <c r="F42" s="606"/>
      <c r="G42" s="606"/>
      <c r="H42" s="606"/>
      <c r="I42" s="606"/>
      <c r="J42" s="606"/>
      <c r="K42" s="606"/>
      <c r="L42" s="606"/>
      <c r="M42" s="606"/>
      <c r="N42" s="606"/>
      <c r="O42" s="606"/>
      <c r="P42" s="606"/>
      <c r="Q42" s="606"/>
      <c r="R42" s="606"/>
      <c r="S42" s="606"/>
      <c r="T42" s="606"/>
      <c r="U42" s="606"/>
      <c r="V42" s="606"/>
      <c r="W42" s="606"/>
      <c r="X42" s="606"/>
      <c r="Y42" s="606"/>
      <c r="Z42" s="606"/>
      <c r="AA42" s="606"/>
      <c r="AB42" s="606"/>
      <c r="AC42" s="606"/>
      <c r="AD42" s="606"/>
      <c r="AE42" s="606"/>
      <c r="AF42" s="606"/>
      <c r="AG42" s="606"/>
      <c r="AH42" s="606"/>
      <c r="AI42" s="165"/>
      <c r="AJ42" s="165"/>
      <c r="AK42" s="165"/>
      <c r="AL42" s="165"/>
      <c r="AM42" s="165"/>
      <c r="AN42" s="165"/>
      <c r="AO42" s="165"/>
      <c r="AP42" s="165"/>
      <c r="AQ42" s="165"/>
      <c r="AR42" s="165"/>
      <c r="AS42" s="165"/>
      <c r="AT42" s="165"/>
      <c r="AU42" s="165"/>
      <c r="AV42" s="165"/>
      <c r="AW42" s="165"/>
      <c r="AX42" s="165"/>
    </row>
    <row r="43" spans="1:50" s="164" customFormat="1">
      <c r="A43" s="593"/>
      <c r="B43" s="593"/>
      <c r="C43" s="610"/>
      <c r="D43" s="606"/>
      <c r="E43" s="606"/>
      <c r="F43" s="606"/>
      <c r="G43" s="606"/>
      <c r="H43" s="606"/>
      <c r="I43" s="606"/>
      <c r="J43" s="606"/>
      <c r="K43" s="606"/>
      <c r="L43" s="606"/>
      <c r="M43" s="606"/>
      <c r="N43" s="606"/>
      <c r="O43" s="606"/>
      <c r="P43" s="606"/>
      <c r="Q43" s="606"/>
      <c r="R43" s="606"/>
      <c r="S43" s="606"/>
      <c r="T43" s="606"/>
      <c r="U43" s="606"/>
      <c r="V43" s="606"/>
      <c r="W43" s="606"/>
      <c r="X43" s="606"/>
      <c r="Y43" s="606"/>
      <c r="Z43" s="606"/>
      <c r="AA43" s="606"/>
      <c r="AB43" s="606"/>
      <c r="AC43" s="606"/>
      <c r="AD43" s="606"/>
      <c r="AE43" s="606"/>
      <c r="AF43" s="606"/>
      <c r="AG43" s="606"/>
      <c r="AH43" s="606"/>
      <c r="AI43" s="165"/>
      <c r="AJ43" s="165"/>
      <c r="AK43" s="165"/>
      <c r="AL43" s="165"/>
      <c r="AM43" s="165"/>
      <c r="AN43" s="165"/>
      <c r="AO43" s="165"/>
      <c r="AP43" s="165"/>
      <c r="AQ43" s="165"/>
      <c r="AR43" s="165"/>
      <c r="AS43" s="165"/>
      <c r="AT43" s="165"/>
      <c r="AU43" s="165"/>
      <c r="AV43" s="165"/>
      <c r="AW43" s="165"/>
      <c r="AX43" s="165"/>
    </row>
    <row r="44" spans="1:50" s="164" customFormat="1" ht="13.5" thickBot="1">
      <c r="A44" s="593" t="s">
        <v>1331</v>
      </c>
      <c r="B44" s="593"/>
      <c r="C44" s="628" t="s">
        <v>470</v>
      </c>
      <c r="D44" s="627">
        <f>SUM(E44:AH44)</f>
        <v>5241.5724586449942</v>
      </c>
      <c r="E44" s="628">
        <f t="shared" ref="E44:F44" si="11">SUM(E45:E49)</f>
        <v>160.088989815958</v>
      </c>
      <c r="F44" s="628">
        <f t="shared" si="11"/>
        <v>113.21338699249327</v>
      </c>
      <c r="G44" s="628">
        <f t="shared" ref="G44:AE44" si="12">SUM(G45:G49)</f>
        <v>76.828902600652924</v>
      </c>
      <c r="H44" s="628">
        <f t="shared" si="12"/>
        <v>0.3</v>
      </c>
      <c r="I44" s="628">
        <f t="shared" si="12"/>
        <v>308.50394999999992</v>
      </c>
      <c r="J44" s="628">
        <f t="shared" si="12"/>
        <v>729.17429504321206</v>
      </c>
      <c r="K44" s="628">
        <f t="shared" si="12"/>
        <v>252.48624814297781</v>
      </c>
      <c r="L44" s="628">
        <f t="shared" si="12"/>
        <v>18.754072415498321</v>
      </c>
      <c r="M44" s="628">
        <f t="shared" si="12"/>
        <v>54.253057723495573</v>
      </c>
      <c r="N44" s="628">
        <f t="shared" si="12"/>
        <v>256.20026422894625</v>
      </c>
      <c r="O44" s="628">
        <f t="shared" si="12"/>
        <v>88.614471460064124</v>
      </c>
      <c r="P44" s="628">
        <f t="shared" si="12"/>
        <v>66.844904833201994</v>
      </c>
      <c r="Q44" s="628">
        <f t="shared" si="12"/>
        <v>84.057733147758697</v>
      </c>
      <c r="R44" s="628">
        <f t="shared" si="12"/>
        <v>-1.7401014995651551</v>
      </c>
      <c r="S44" s="628">
        <f t="shared" si="12"/>
        <v>616.73265770185265</v>
      </c>
      <c r="T44" s="628">
        <f t="shared" si="12"/>
        <v>33.62777777777778</v>
      </c>
      <c r="U44" s="628">
        <f t="shared" si="12"/>
        <v>0.73499732538590923</v>
      </c>
      <c r="V44" s="628">
        <f t="shared" si="12"/>
        <v>20.037224906065486</v>
      </c>
      <c r="W44" s="628">
        <f t="shared" si="12"/>
        <v>0</v>
      </c>
      <c r="X44" s="628">
        <f t="shared" si="12"/>
        <v>366.18268259179877</v>
      </c>
      <c r="Y44" s="628">
        <f t="shared" si="12"/>
        <v>1223.1478080724689</v>
      </c>
      <c r="Z44" s="628">
        <f t="shared" si="12"/>
        <v>41.202585508858391</v>
      </c>
      <c r="AA44" s="628">
        <f t="shared" si="12"/>
        <v>233.25199999999998</v>
      </c>
      <c r="AB44" s="628">
        <f t="shared" si="12"/>
        <v>103.12076190841255</v>
      </c>
      <c r="AC44" s="628">
        <f t="shared" si="12"/>
        <v>51.919146931220887</v>
      </c>
      <c r="AD44" s="628">
        <f t="shared" si="12"/>
        <v>295.45850000000002</v>
      </c>
      <c r="AE44" s="628">
        <f t="shared" si="12"/>
        <v>48.576141016459054</v>
      </c>
      <c r="AF44" s="628"/>
      <c r="AG44" s="628"/>
      <c r="AH44" s="628"/>
    </row>
    <row r="45" spans="1:50" s="164" customFormat="1">
      <c r="A45" s="593" t="s">
        <v>1331</v>
      </c>
      <c r="B45" s="593"/>
      <c r="C45" s="606" t="str">
        <f>CHP_DATA2005!C$56</f>
        <v>Solid Fuels</v>
      </c>
      <c r="D45" s="610">
        <f>SUM(E45:AH45)</f>
        <v>2567.0230272504632</v>
      </c>
      <c r="E45" s="606">
        <f t="shared" ref="E45:AE45" si="13">E26-E189</f>
        <v>32.439922321002726</v>
      </c>
      <c r="F45" s="606">
        <f t="shared" si="13"/>
        <v>-1.1964778577514052</v>
      </c>
      <c r="G45" s="606">
        <f t="shared" si="13"/>
        <v>49.394033187690965</v>
      </c>
      <c r="H45" s="606">
        <f t="shared" si="13"/>
        <v>0</v>
      </c>
      <c r="I45" s="606">
        <f t="shared" si="13"/>
        <v>264.86519148685244</v>
      </c>
      <c r="J45" s="606">
        <f t="shared" si="13"/>
        <v>347.20595682627709</v>
      </c>
      <c r="K45" s="606">
        <f t="shared" si="13"/>
        <v>138.66821770491126</v>
      </c>
      <c r="L45" s="606">
        <f t="shared" si="13"/>
        <v>9.918940319397473</v>
      </c>
      <c r="M45" s="606">
        <f t="shared" si="13"/>
        <v>3.3361760800817173</v>
      </c>
      <c r="N45" s="606">
        <f t="shared" si="13"/>
        <v>114.48478148415595</v>
      </c>
      <c r="O45" s="606">
        <f t="shared" si="13"/>
        <v>-2.4375784025985681</v>
      </c>
      <c r="P45" s="606">
        <f t="shared" si="13"/>
        <v>70.713699999999989</v>
      </c>
      <c r="Q45" s="606">
        <f t="shared" si="13"/>
        <v>6.8390000000000004</v>
      </c>
      <c r="R45" s="606">
        <f t="shared" si="13"/>
        <v>-0.54530689846176839</v>
      </c>
      <c r="S45" s="606">
        <f t="shared" si="13"/>
        <v>4.2157172285795479</v>
      </c>
      <c r="T45" s="606">
        <f t="shared" si="13"/>
        <v>0</v>
      </c>
      <c r="U45" s="606">
        <f t="shared" si="13"/>
        <v>0</v>
      </c>
      <c r="V45" s="606">
        <f t="shared" si="13"/>
        <v>0</v>
      </c>
      <c r="W45" s="606">
        <f t="shared" si="13"/>
        <v>0</v>
      </c>
      <c r="X45" s="606">
        <f t="shared" si="13"/>
        <v>84.247499999999988</v>
      </c>
      <c r="Y45" s="606">
        <f t="shared" si="13"/>
        <v>1202.4669698610912</v>
      </c>
      <c r="Z45" s="606">
        <f t="shared" si="13"/>
        <v>0</v>
      </c>
      <c r="AA45" s="606">
        <f t="shared" si="13"/>
        <v>97.384045633802813</v>
      </c>
      <c r="AB45" s="606">
        <f t="shared" si="13"/>
        <v>19.980088783125169</v>
      </c>
      <c r="AC45" s="606">
        <f t="shared" si="13"/>
        <v>52.013541199637409</v>
      </c>
      <c r="AD45" s="606">
        <f t="shared" si="13"/>
        <v>71.984802422878332</v>
      </c>
      <c r="AE45" s="606">
        <f t="shared" si="13"/>
        <v>1.0438058697910026</v>
      </c>
      <c r="AF45" s="606"/>
      <c r="AG45" s="606"/>
      <c r="AH45" s="606"/>
    </row>
    <row r="46" spans="1:50" s="164" customFormat="1">
      <c r="A46" s="593" t="s">
        <v>1331</v>
      </c>
      <c r="B46" s="593"/>
      <c r="C46" s="606" t="str">
        <f>CHP_DATA2005!D$56</f>
        <v>OIL</v>
      </c>
      <c r="D46" s="610">
        <f t="shared" ref="D46:D49" si="14">SUM(E46:AH46)</f>
        <v>203.9921583971902</v>
      </c>
      <c r="E46" s="606">
        <f t="shared" ref="E46:AE46" si="15">E27-E190</f>
        <v>22.018499240599198</v>
      </c>
      <c r="F46" s="606">
        <f t="shared" si="15"/>
        <v>-2.8709915602878624</v>
      </c>
      <c r="G46" s="606">
        <f t="shared" si="15"/>
        <v>1.6036056811263171</v>
      </c>
      <c r="H46" s="606">
        <f t="shared" si="15"/>
        <v>0.3</v>
      </c>
      <c r="I46" s="606">
        <f t="shared" si="15"/>
        <v>5.351349604699922</v>
      </c>
      <c r="J46" s="606">
        <f t="shared" si="15"/>
        <v>24.719198248736227</v>
      </c>
      <c r="K46" s="606">
        <f t="shared" si="15"/>
        <v>-11.415405005589824</v>
      </c>
      <c r="L46" s="606">
        <f t="shared" si="15"/>
        <v>8.72E-2</v>
      </c>
      <c r="M46" s="606">
        <f t="shared" si="15"/>
        <v>-0.69440911857734733</v>
      </c>
      <c r="N46" s="606">
        <f t="shared" si="15"/>
        <v>1.3497194496857716</v>
      </c>
      <c r="O46" s="606">
        <f t="shared" si="15"/>
        <v>-2.0129508339254265</v>
      </c>
      <c r="P46" s="606">
        <f t="shared" si="15"/>
        <v>-1.730242839664474</v>
      </c>
      <c r="Q46" s="606">
        <f t="shared" si="15"/>
        <v>0.78807422570433094</v>
      </c>
      <c r="R46" s="606">
        <f t="shared" si="15"/>
        <v>8.4000000000000012E-3</v>
      </c>
      <c r="S46" s="606">
        <f t="shared" si="15"/>
        <v>79.035358834667221</v>
      </c>
      <c r="T46" s="606">
        <f t="shared" si="15"/>
        <v>5.67</v>
      </c>
      <c r="U46" s="606">
        <f t="shared" si="15"/>
        <v>0</v>
      </c>
      <c r="V46" s="606">
        <f t="shared" si="15"/>
        <v>0.52559999999999996</v>
      </c>
      <c r="W46" s="606">
        <f t="shared" si="15"/>
        <v>0</v>
      </c>
      <c r="X46" s="606">
        <f t="shared" si="15"/>
        <v>-2.2545298782470766</v>
      </c>
      <c r="Y46" s="606">
        <f t="shared" si="15"/>
        <v>14.984762738536133</v>
      </c>
      <c r="Z46" s="606">
        <f t="shared" si="15"/>
        <v>20.120755232439922</v>
      </c>
      <c r="AA46" s="606">
        <f t="shared" si="15"/>
        <v>25.952350503018106</v>
      </c>
      <c r="AB46" s="606">
        <f t="shared" si="15"/>
        <v>17.507710277487806</v>
      </c>
      <c r="AC46" s="606">
        <f t="shared" si="15"/>
        <v>0.29484230657050836</v>
      </c>
      <c r="AD46" s="606">
        <f t="shared" si="15"/>
        <v>6.8067158082880965</v>
      </c>
      <c r="AE46" s="606">
        <f t="shared" si="15"/>
        <v>-2.1534545180773428</v>
      </c>
      <c r="AF46" s="606"/>
      <c r="AG46" s="606"/>
      <c r="AH46" s="606"/>
    </row>
    <row r="47" spans="1:50" s="164" customFormat="1">
      <c r="A47" s="593" t="s">
        <v>1331</v>
      </c>
      <c r="B47" s="593"/>
      <c r="C47" s="606" t="str">
        <f>CHP_DATA2005!E$56</f>
        <v>Natural Gas</v>
      </c>
      <c r="D47" s="610">
        <f t="shared" si="14"/>
        <v>1482.8825902374383</v>
      </c>
      <c r="E47" s="606">
        <f t="shared" ref="E47:AE47" si="16">E28-E191</f>
        <v>66.446618159094868</v>
      </c>
      <c r="F47" s="606">
        <f t="shared" si="16"/>
        <v>72.87432580426254</v>
      </c>
      <c r="G47" s="606">
        <f t="shared" si="16"/>
        <v>19.94912541094493</v>
      </c>
      <c r="H47" s="606">
        <f t="shared" si="16"/>
        <v>0</v>
      </c>
      <c r="I47" s="606">
        <f t="shared" si="16"/>
        <v>13.692690174281466</v>
      </c>
      <c r="J47" s="606">
        <f t="shared" si="16"/>
        <v>254.90955381234841</v>
      </c>
      <c r="K47" s="606">
        <f t="shared" si="16"/>
        <v>68.060318756957486</v>
      </c>
      <c r="L47" s="606">
        <f t="shared" si="16"/>
        <v>7.5795429369608396</v>
      </c>
      <c r="M47" s="606">
        <f t="shared" si="16"/>
        <v>24.5531263507566</v>
      </c>
      <c r="N47" s="606">
        <f t="shared" si="16"/>
        <v>59.129012349628766</v>
      </c>
      <c r="O47" s="606">
        <f t="shared" si="16"/>
        <v>-2.2712332627538387</v>
      </c>
      <c r="P47" s="606">
        <f t="shared" si="16"/>
        <v>-5.7538523271335285</v>
      </c>
      <c r="Q47" s="606">
        <f t="shared" si="16"/>
        <v>65.767845603434552</v>
      </c>
      <c r="R47" s="606">
        <f t="shared" si="16"/>
        <v>-1.6843156015633092</v>
      </c>
      <c r="S47" s="606">
        <f t="shared" si="16"/>
        <v>450.01527765605158</v>
      </c>
      <c r="T47" s="606">
        <f t="shared" si="16"/>
        <v>29.326390723078177</v>
      </c>
      <c r="U47" s="606">
        <f t="shared" si="16"/>
        <v>0.73499732538590923</v>
      </c>
      <c r="V47" s="606">
        <f t="shared" si="16"/>
        <v>18.282454817171359</v>
      </c>
      <c r="W47" s="606">
        <f t="shared" si="16"/>
        <v>0</v>
      </c>
      <c r="X47" s="606">
        <f t="shared" si="16"/>
        <v>240.05064396019384</v>
      </c>
      <c r="Y47" s="606">
        <f t="shared" si="16"/>
        <v>-3.255688792325877</v>
      </c>
      <c r="Z47" s="606">
        <f t="shared" si="16"/>
        <v>-9.145582217391226</v>
      </c>
      <c r="AA47" s="606">
        <f t="shared" si="16"/>
        <v>107.47615991951709</v>
      </c>
      <c r="AB47" s="606">
        <f t="shared" si="16"/>
        <v>8.058857695109138</v>
      </c>
      <c r="AC47" s="606">
        <f t="shared" si="16"/>
        <v>0.94499251807189122</v>
      </c>
      <c r="AD47" s="606">
        <f t="shared" si="16"/>
        <v>16.901848397987557</v>
      </c>
      <c r="AE47" s="606">
        <f t="shared" si="16"/>
        <v>-19.760519932631013</v>
      </c>
      <c r="AF47" s="606"/>
      <c r="AG47" s="606"/>
      <c r="AH47" s="606"/>
    </row>
    <row r="48" spans="1:50" s="164" customFormat="1">
      <c r="A48" s="593" t="s">
        <v>1331</v>
      </c>
      <c r="B48" s="593"/>
      <c r="C48" s="606" t="str">
        <f>CHP_DATA2005!F$56</f>
        <v>REN</v>
      </c>
      <c r="D48" s="610">
        <f t="shared" si="14"/>
        <v>290.52691144647895</v>
      </c>
      <c r="E48" s="606">
        <f t="shared" ref="E48:AE48" si="17">E29-E193</f>
        <v>13.943038386303719</v>
      </c>
      <c r="F48" s="606">
        <f t="shared" si="17"/>
        <v>-1.5285171544349994</v>
      </c>
      <c r="G48" s="606">
        <f t="shared" si="17"/>
        <v>0</v>
      </c>
      <c r="H48" s="606">
        <f t="shared" si="17"/>
        <v>0</v>
      </c>
      <c r="I48" s="606">
        <f t="shared" si="17"/>
        <v>3.3953656482047698</v>
      </c>
      <c r="J48" s="606">
        <f t="shared" si="17"/>
        <v>9.3287868451617015</v>
      </c>
      <c r="K48" s="606">
        <f t="shared" si="17"/>
        <v>50.369203520267831</v>
      </c>
      <c r="L48" s="606">
        <f t="shared" si="17"/>
        <v>1.1683891591400108</v>
      </c>
      <c r="M48" s="606">
        <f t="shared" si="17"/>
        <v>0.83286441123459554</v>
      </c>
      <c r="N48" s="606">
        <f t="shared" si="17"/>
        <v>70.184023266750785</v>
      </c>
      <c r="O48" s="606">
        <f t="shared" si="17"/>
        <v>39.204974968688163</v>
      </c>
      <c r="P48" s="606">
        <f t="shared" si="17"/>
        <v>-4.6588000000000003</v>
      </c>
      <c r="Q48" s="606">
        <f t="shared" si="17"/>
        <v>0.93673704094016941</v>
      </c>
      <c r="R48" s="606">
        <f t="shared" si="17"/>
        <v>-8.1678999540077762E-2</v>
      </c>
      <c r="S48" s="606">
        <f t="shared" si="17"/>
        <v>30.260761592707013</v>
      </c>
      <c r="T48" s="606">
        <f t="shared" si="17"/>
        <v>-1.3686129453003995</v>
      </c>
      <c r="U48" s="606">
        <f t="shared" si="17"/>
        <v>0</v>
      </c>
      <c r="V48" s="606">
        <f t="shared" si="17"/>
        <v>1.2291700888941257</v>
      </c>
      <c r="W48" s="606">
        <f t="shared" si="17"/>
        <v>0</v>
      </c>
      <c r="X48" s="606">
        <f t="shared" si="17"/>
        <v>12.547500000000001</v>
      </c>
      <c r="Y48" s="606">
        <f t="shared" si="17"/>
        <v>-3.5660688865807231</v>
      </c>
      <c r="Z48" s="606">
        <f t="shared" si="17"/>
        <v>24.938712493809696</v>
      </c>
      <c r="AA48" s="606">
        <f t="shared" si="17"/>
        <v>-4.3985191146881285E-2</v>
      </c>
      <c r="AB48" s="606">
        <f t="shared" si="17"/>
        <v>37.702505152690435</v>
      </c>
      <c r="AC48" s="606">
        <f t="shared" si="17"/>
        <v>-0.96936341933696157</v>
      </c>
      <c r="AD48" s="606">
        <f t="shared" si="17"/>
        <v>0.17730546802594987</v>
      </c>
      <c r="AE48" s="606">
        <f t="shared" si="17"/>
        <v>6.5245999999999995</v>
      </c>
      <c r="AF48" s="606"/>
      <c r="AG48" s="606"/>
      <c r="AH48" s="606"/>
    </row>
    <row r="49" spans="1:50" s="164" customFormat="1">
      <c r="A49" s="593" t="s">
        <v>1331</v>
      </c>
      <c r="B49" s="593"/>
      <c r="C49" s="606" t="str">
        <f>CHP_DATA2005!G$56</f>
        <v>Other</v>
      </c>
      <c r="D49" s="610">
        <f t="shared" si="14"/>
        <v>697.14777131342328</v>
      </c>
      <c r="E49" s="606">
        <f t="shared" ref="E49:AE49" si="18">E30-E192-E194</f>
        <v>25.240911708957494</v>
      </c>
      <c r="F49" s="606">
        <f t="shared" si="18"/>
        <v>45.935047760704997</v>
      </c>
      <c r="G49" s="606">
        <f t="shared" si="18"/>
        <v>5.8821383208907001</v>
      </c>
      <c r="H49" s="606">
        <f t="shared" si="18"/>
        <v>0</v>
      </c>
      <c r="I49" s="606">
        <f t="shared" si="18"/>
        <v>21.199353085961388</v>
      </c>
      <c r="J49" s="606">
        <f t="shared" si="18"/>
        <v>93.010799310688526</v>
      </c>
      <c r="K49" s="606">
        <f t="shared" si="18"/>
        <v>6.8039131664310402</v>
      </c>
      <c r="L49" s="606">
        <f t="shared" si="18"/>
        <v>0</v>
      </c>
      <c r="M49" s="606">
        <f t="shared" si="18"/>
        <v>26.225300000000004</v>
      </c>
      <c r="N49" s="606">
        <f t="shared" si="18"/>
        <v>11.052727678724983</v>
      </c>
      <c r="O49" s="606">
        <f t="shared" si="18"/>
        <v>56.131258990653798</v>
      </c>
      <c r="P49" s="606">
        <f t="shared" si="18"/>
        <v>8.2741000000000007</v>
      </c>
      <c r="Q49" s="606">
        <f t="shared" si="18"/>
        <v>9.7260762776796419</v>
      </c>
      <c r="R49" s="606">
        <f t="shared" si="18"/>
        <v>0.56280000000000008</v>
      </c>
      <c r="S49" s="606">
        <f t="shared" si="18"/>
        <v>53.205542389847324</v>
      </c>
      <c r="T49" s="606">
        <f t="shared" si="18"/>
        <v>0</v>
      </c>
      <c r="U49" s="606">
        <f t="shared" si="18"/>
        <v>0</v>
      </c>
      <c r="V49" s="606">
        <f t="shared" si="18"/>
        <v>0</v>
      </c>
      <c r="W49" s="606">
        <f t="shared" si="18"/>
        <v>0</v>
      </c>
      <c r="X49" s="606">
        <f t="shared" si="18"/>
        <v>31.59156850985201</v>
      </c>
      <c r="Y49" s="606">
        <f t="shared" si="18"/>
        <v>12.517833151748121</v>
      </c>
      <c r="Z49" s="606">
        <f t="shared" si="18"/>
        <v>5.2886999999999995</v>
      </c>
      <c r="AA49" s="606">
        <f t="shared" si="18"/>
        <v>2.4834291348088526</v>
      </c>
      <c r="AB49" s="606">
        <f t="shared" si="18"/>
        <v>19.871600000000001</v>
      </c>
      <c r="AC49" s="606">
        <f t="shared" si="18"/>
        <v>-0.36486567372195761</v>
      </c>
      <c r="AD49" s="606">
        <f t="shared" si="18"/>
        <v>199.58782790282007</v>
      </c>
      <c r="AE49" s="606">
        <f t="shared" si="18"/>
        <v>62.921709597376406</v>
      </c>
      <c r="AF49" s="606"/>
      <c r="AG49" s="606"/>
      <c r="AH49" s="606"/>
    </row>
    <row r="50" spans="1:50" s="164" customFormat="1">
      <c r="A50" s="593"/>
      <c r="B50" s="593"/>
      <c r="C50" s="502"/>
      <c r="D50" s="61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row>
    <row r="51" spans="1:50" s="164" customFormat="1">
      <c r="A51" s="593" t="s">
        <v>1332</v>
      </c>
      <c r="B51" s="593"/>
      <c r="C51" s="606" t="str">
        <f>CHP_DATA2005!C$56</f>
        <v>Solid Fuels</v>
      </c>
      <c r="D51" s="615"/>
      <c r="E51" s="659">
        <f t="shared" ref="E51:AE51" si="19">E189/E26</f>
        <v>0.13809343044411337</v>
      </c>
      <c r="F51" s="659">
        <f t="shared" si="19"/>
        <v>1.4710913685138221</v>
      </c>
      <c r="G51" s="659">
        <f t="shared" si="19"/>
        <v>0.18799879684874299</v>
      </c>
      <c r="H51" s="659" t="e">
        <f t="shared" si="19"/>
        <v>#DIV/0!</v>
      </c>
      <c r="I51" s="659">
        <f t="shared" si="19"/>
        <v>0.22362964205516192</v>
      </c>
      <c r="J51" s="659">
        <f t="shared" si="19"/>
        <v>7.0369176984864071E-2</v>
      </c>
      <c r="K51" s="659">
        <f t="shared" si="19"/>
        <v>1.1566929562796451E-3</v>
      </c>
      <c r="L51" s="659">
        <f t="shared" si="19"/>
        <v>7.3325331247082931E-2</v>
      </c>
      <c r="M51" s="659">
        <f t="shared" si="19"/>
        <v>0.54382693684446115</v>
      </c>
      <c r="N51" s="659">
        <f t="shared" si="19"/>
        <v>9.8522313285406074E-2</v>
      </c>
      <c r="O51" s="659">
        <f t="shared" si="19"/>
        <v>1.1196357498207885</v>
      </c>
      <c r="P51" s="659">
        <f t="shared" si="19"/>
        <v>0</v>
      </c>
      <c r="Q51" s="659">
        <f t="shared" si="19"/>
        <v>0</v>
      </c>
      <c r="R51" s="659">
        <f t="shared" si="19"/>
        <v>1.4446403281651732</v>
      </c>
      <c r="S51" s="659">
        <f t="shared" si="19"/>
        <v>0.40643765085329631</v>
      </c>
      <c r="T51" s="659" t="e">
        <f t="shared" si="19"/>
        <v>#DIV/0!</v>
      </c>
      <c r="U51" s="659" t="e">
        <f t="shared" si="19"/>
        <v>#DIV/0!</v>
      </c>
      <c r="V51" s="659" t="e">
        <f t="shared" si="19"/>
        <v>#DIV/0!</v>
      </c>
      <c r="W51" s="659" t="e">
        <f t="shared" si="19"/>
        <v>#DIV/0!</v>
      </c>
      <c r="X51" s="659">
        <f t="shared" si="19"/>
        <v>0</v>
      </c>
      <c r="Y51" s="659">
        <f t="shared" si="19"/>
        <v>0.12363392833038742</v>
      </c>
      <c r="Z51" s="659" t="e">
        <f t="shared" si="19"/>
        <v>#DIV/0!</v>
      </c>
      <c r="AA51" s="659">
        <f t="shared" si="19"/>
        <v>0.19355361897196169</v>
      </c>
      <c r="AB51" s="659">
        <f t="shared" si="19"/>
        <v>1.5487583612958758E-2</v>
      </c>
      <c r="AC51" s="659">
        <f t="shared" si="19"/>
        <v>3.2486212804363646E-2</v>
      </c>
      <c r="AD51" s="659">
        <f t="shared" si="19"/>
        <v>0.14526546389375394</v>
      </c>
      <c r="AE51" s="659">
        <f t="shared" si="19"/>
        <v>0.89867929821481241</v>
      </c>
      <c r="AF51" s="165"/>
      <c r="AG51" s="165"/>
      <c r="AH51" s="165"/>
      <c r="AI51" s="165"/>
      <c r="AJ51" s="165"/>
      <c r="AK51" s="165"/>
      <c r="AL51" s="165"/>
      <c r="AM51" s="165"/>
      <c r="AN51" s="165"/>
      <c r="AO51" s="165"/>
      <c r="AP51" s="165"/>
      <c r="AQ51" s="165"/>
      <c r="AR51" s="165"/>
      <c r="AS51" s="165"/>
      <c r="AT51" s="165"/>
      <c r="AU51" s="165"/>
      <c r="AV51" s="165"/>
      <c r="AW51" s="165"/>
      <c r="AX51" s="165"/>
    </row>
    <row r="52" spans="1:50" s="164" customFormat="1">
      <c r="A52" s="593" t="s">
        <v>1332</v>
      </c>
      <c r="B52" s="593"/>
      <c r="C52" s="606" t="str">
        <f>CHP_DATA2005!D$56</f>
        <v>OIL</v>
      </c>
      <c r="D52" s="615"/>
      <c r="E52" s="659">
        <f t="shared" ref="E52:AE52" si="20">E190/E27</f>
        <v>6.2715533054121086E-2</v>
      </c>
      <c r="F52" s="659">
        <f t="shared" si="20"/>
        <v>1.6358503632813302</v>
      </c>
      <c r="G52" s="659">
        <f t="shared" si="20"/>
        <v>0.82221666506360125</v>
      </c>
      <c r="H52" s="659">
        <f t="shared" si="20"/>
        <v>0</v>
      </c>
      <c r="I52" s="659">
        <f t="shared" si="20"/>
        <v>0.27014776057337986</v>
      </c>
      <c r="J52" s="659">
        <f t="shared" si="20"/>
        <v>0.60543725341045707</v>
      </c>
      <c r="K52" s="659">
        <f t="shared" si="20"/>
        <v>1.8294150347004929</v>
      </c>
      <c r="L52" s="659">
        <f t="shared" si="20"/>
        <v>0</v>
      </c>
      <c r="M52" s="659">
        <f t="shared" si="20"/>
        <v>1.0189900489123349</v>
      </c>
      <c r="N52" s="659">
        <f t="shared" si="20"/>
        <v>0.87431258442029558</v>
      </c>
      <c r="O52" s="659">
        <f t="shared" si="20"/>
        <v>1.1148780615737153</v>
      </c>
      <c r="P52" s="659">
        <f t="shared" si="20"/>
        <v>1.6146729331999268</v>
      </c>
      <c r="Q52" s="659">
        <f t="shared" si="20"/>
        <v>0.52551374212515456</v>
      </c>
      <c r="R52" s="659">
        <f t="shared" si="20"/>
        <v>0</v>
      </c>
      <c r="S52" s="659">
        <f t="shared" si="20"/>
        <v>0.52646897401976667</v>
      </c>
      <c r="T52" s="659">
        <f t="shared" si="20"/>
        <v>0</v>
      </c>
      <c r="U52" s="659" t="e">
        <f t="shared" si="20"/>
        <v>#DIV/0!</v>
      </c>
      <c r="V52" s="659">
        <f t="shared" si="20"/>
        <v>0</v>
      </c>
      <c r="W52" s="659" t="e">
        <f t="shared" si="20"/>
        <v>#DIV/0!</v>
      </c>
      <c r="X52" s="659">
        <f t="shared" si="20"/>
        <v>1.1572196567815256</v>
      </c>
      <c r="Y52" s="659">
        <f t="shared" si="20"/>
        <v>0.65316421230954091</v>
      </c>
      <c r="Z52" s="659">
        <f t="shared" si="20"/>
        <v>0.47701213503497492</v>
      </c>
      <c r="AA52" s="659">
        <f t="shared" si="20"/>
        <v>6.870669598384796E-2</v>
      </c>
      <c r="AB52" s="659">
        <f t="shared" si="20"/>
        <v>0.2605542016873984</v>
      </c>
      <c r="AC52" s="659">
        <f t="shared" si="20"/>
        <v>0.7440604977686559</v>
      </c>
      <c r="AD52" s="659">
        <f t="shared" si="20"/>
        <v>0.53841821392953604</v>
      </c>
      <c r="AE52" s="659">
        <f t="shared" si="20"/>
        <v>1.156774498986411</v>
      </c>
      <c r="AF52" s="165"/>
      <c r="AG52" s="165"/>
      <c r="AH52" s="165"/>
      <c r="AI52" s="165"/>
      <c r="AJ52" s="165"/>
      <c r="AK52" s="165"/>
      <c r="AL52" s="165"/>
      <c r="AM52" s="165"/>
      <c r="AN52" s="165"/>
      <c r="AO52" s="165"/>
      <c r="AP52" s="165"/>
      <c r="AQ52" s="165"/>
      <c r="AR52" s="165"/>
      <c r="AS52" s="165"/>
      <c r="AT52" s="165"/>
      <c r="AU52" s="165"/>
      <c r="AV52" s="165"/>
      <c r="AW52" s="165"/>
      <c r="AX52" s="165"/>
    </row>
    <row r="53" spans="1:50" s="164" customFormat="1">
      <c r="A53" s="593" t="s">
        <v>1332</v>
      </c>
      <c r="B53" s="593"/>
      <c r="C53" s="606" t="str">
        <f>CHP_DATA2005!E$56</f>
        <v>Natural Gas</v>
      </c>
      <c r="D53" s="615"/>
      <c r="E53" s="659">
        <f t="shared" ref="E53:AE53" si="21">E191/E28</f>
        <v>0.41544278913438137</v>
      </c>
      <c r="F53" s="659">
        <f t="shared" si="21"/>
        <v>0.14491242174468166</v>
      </c>
      <c r="G53" s="659">
        <f t="shared" si="21"/>
        <v>0.40539119490477099</v>
      </c>
      <c r="H53" s="659" t="e">
        <f t="shared" si="21"/>
        <v>#DIV/0!</v>
      </c>
      <c r="I53" s="659">
        <f t="shared" si="21"/>
        <v>0.65491864398125321</v>
      </c>
      <c r="J53" s="659">
        <f t="shared" si="21"/>
        <v>0.58186103771286979</v>
      </c>
      <c r="K53" s="659">
        <f t="shared" si="21"/>
        <v>0.21830128042526359</v>
      </c>
      <c r="L53" s="659">
        <f t="shared" si="21"/>
        <v>0.19703127985244415</v>
      </c>
      <c r="M53" s="659">
        <f t="shared" si="21"/>
        <v>0.92058997740011184</v>
      </c>
      <c r="N53" s="659">
        <f t="shared" si="21"/>
        <v>0.45647336647774733</v>
      </c>
      <c r="O53" s="659">
        <f t="shared" si="21"/>
        <v>1.0104179038484209</v>
      </c>
      <c r="P53" s="659">
        <f t="shared" si="21"/>
        <v>2.7751133236050869</v>
      </c>
      <c r="Q53" s="659">
        <f t="shared" si="21"/>
        <v>0.15432014726351115</v>
      </c>
      <c r="R53" s="659">
        <f t="shared" si="21"/>
        <v>1.260746114552497</v>
      </c>
      <c r="S53" s="659">
        <f t="shared" si="21"/>
        <v>0.24794046688936086</v>
      </c>
      <c r="T53" s="659">
        <f t="shared" si="21"/>
        <v>0.25006033184814785</v>
      </c>
      <c r="U53" s="659">
        <f t="shared" si="21"/>
        <v>0.84687555721126895</v>
      </c>
      <c r="V53" s="659">
        <f t="shared" si="21"/>
        <v>9.1604691561139012E-2</v>
      </c>
      <c r="W53" s="659" t="e">
        <f t="shared" si="21"/>
        <v>#DIV/0!</v>
      </c>
      <c r="X53" s="659">
        <f t="shared" si="21"/>
        <v>0.42193035980808802</v>
      </c>
      <c r="Y53" s="659">
        <f t="shared" si="21"/>
        <v>1.0809377543176533</v>
      </c>
      <c r="Z53" s="659">
        <f t="shared" si="21"/>
        <v>1.4199652026170375</v>
      </c>
      <c r="AA53" s="659">
        <f t="shared" si="21"/>
        <v>5.6039264131222059E-2</v>
      </c>
      <c r="AB53" s="659">
        <f t="shared" si="21"/>
        <v>9.234832464869816E-2</v>
      </c>
      <c r="AC53" s="659">
        <f t="shared" si="21"/>
        <v>0.82830804540844993</v>
      </c>
      <c r="AD53" s="659">
        <f t="shared" si="21"/>
        <v>0.37100975766102418</v>
      </c>
      <c r="AE53" s="659">
        <f t="shared" si="21"/>
        <v>1.0802562606465942</v>
      </c>
      <c r="AF53" s="165"/>
      <c r="AG53" s="165"/>
      <c r="AH53" s="165"/>
      <c r="AI53" s="165"/>
      <c r="AJ53" s="165"/>
      <c r="AK53" s="165"/>
      <c r="AL53" s="165"/>
      <c r="AM53" s="165"/>
      <c r="AN53" s="165"/>
      <c r="AO53" s="165"/>
      <c r="AP53" s="165"/>
      <c r="AQ53" s="165"/>
      <c r="AR53" s="165"/>
      <c r="AS53" s="165"/>
      <c r="AT53" s="165"/>
      <c r="AU53" s="165"/>
      <c r="AV53" s="165"/>
      <c r="AW53" s="165"/>
      <c r="AX53" s="165"/>
    </row>
    <row r="54" spans="1:50" s="164" customFormat="1">
      <c r="A54" s="593" t="s">
        <v>1332</v>
      </c>
      <c r="B54" s="593"/>
      <c r="C54" s="606" t="str">
        <f>CHP_DATA2005!F$56</f>
        <v>REN</v>
      </c>
      <c r="D54" s="615"/>
      <c r="E54" s="659">
        <f t="shared" ref="E54:AE54" si="22">E193/E29</f>
        <v>0.72674211200928718</v>
      </c>
      <c r="F54" s="659">
        <f t="shared" si="22"/>
        <v>1.7737760222916874</v>
      </c>
      <c r="G54" s="659" t="e">
        <f t="shared" si="22"/>
        <v>#DIV/0!</v>
      </c>
      <c r="H54" s="659" t="e">
        <f t="shared" si="22"/>
        <v>#DIV/0!</v>
      </c>
      <c r="I54" s="659">
        <f t="shared" si="22"/>
        <v>0.84255202187782197</v>
      </c>
      <c r="J54" s="659">
        <f t="shared" si="22"/>
        <v>0.85390534019328812</v>
      </c>
      <c r="K54" s="659">
        <f t="shared" si="22"/>
        <v>3.8682340231182269E-3</v>
      </c>
      <c r="L54" s="659">
        <f t="shared" si="22"/>
        <v>0.24512911284402958</v>
      </c>
      <c r="M54" s="659">
        <f t="shared" si="22"/>
        <v>0.96915316995427425</v>
      </c>
      <c r="N54" s="659">
        <f t="shared" si="22"/>
        <v>0.66296148882597083</v>
      </c>
      <c r="O54" s="659">
        <f t="shared" si="22"/>
        <v>0.58530807098912463</v>
      </c>
      <c r="P54" s="659">
        <f t="shared" si="22"/>
        <v>14.654161781946073</v>
      </c>
      <c r="Q54" s="659">
        <f t="shared" si="22"/>
        <v>0.20100900636287164</v>
      </c>
      <c r="R54" s="659">
        <f t="shared" si="22"/>
        <v>1.5402050234132127</v>
      </c>
      <c r="S54" s="659">
        <f t="shared" si="22"/>
        <v>2.6139684204711092E-2</v>
      </c>
      <c r="T54" s="659">
        <f t="shared" si="22"/>
        <v>7.0827242013351093</v>
      </c>
      <c r="U54" s="659" t="e">
        <f t="shared" si="22"/>
        <v>#DIV/0!</v>
      </c>
      <c r="V54" s="659">
        <f t="shared" si="22"/>
        <v>1.5324770572678318E-2</v>
      </c>
      <c r="W54" s="659" t="e">
        <f t="shared" si="22"/>
        <v>#DIV/0!</v>
      </c>
      <c r="X54" s="659">
        <f t="shared" si="22"/>
        <v>0</v>
      </c>
      <c r="Y54" s="659">
        <f t="shared" si="22"/>
        <v>1.2393656119331939</v>
      </c>
      <c r="Z54" s="659">
        <f t="shared" si="22"/>
        <v>0.34649719891698205</v>
      </c>
      <c r="AA54" s="659" t="e">
        <f t="shared" si="22"/>
        <v>#DIV/0!</v>
      </c>
      <c r="AB54" s="659">
        <f t="shared" si="22"/>
        <v>0.72812993838484985</v>
      </c>
      <c r="AC54" s="659">
        <f t="shared" si="22"/>
        <v>1.2753873350389096</v>
      </c>
      <c r="AD54" s="659">
        <f t="shared" si="22"/>
        <v>0.72946983822711342</v>
      </c>
      <c r="AE54" s="659">
        <f t="shared" si="22"/>
        <v>0</v>
      </c>
      <c r="AF54" s="165"/>
      <c r="AG54" s="165"/>
      <c r="AH54" s="165"/>
      <c r="AI54" s="165"/>
      <c r="AJ54" s="165"/>
      <c r="AK54" s="165"/>
      <c r="AL54" s="165"/>
      <c r="AM54" s="165"/>
      <c r="AN54" s="165"/>
      <c r="AO54" s="165"/>
      <c r="AP54" s="165"/>
      <c r="AQ54" s="165"/>
      <c r="AR54" s="165"/>
      <c r="AS54" s="165"/>
      <c r="AT54" s="165"/>
      <c r="AU54" s="165"/>
      <c r="AV54" s="165"/>
      <c r="AW54" s="165"/>
      <c r="AX54" s="165"/>
    </row>
    <row r="55" spans="1:50" s="164" customFormat="1">
      <c r="A55" s="593" t="s">
        <v>1332</v>
      </c>
      <c r="B55" s="593"/>
      <c r="C55" s="606" t="str">
        <f>CHP_DATA2005!G$56</f>
        <v>Other</v>
      </c>
      <c r="D55" s="615"/>
      <c r="E55" s="659">
        <f t="shared" ref="E55:AE55" si="23">(E192+E194)/E30</f>
        <v>5.7316672307716796E-2</v>
      </c>
      <c r="F55" s="659">
        <f t="shared" si="23"/>
        <v>1.6466482370819813E-2</v>
      </c>
      <c r="G55" s="659">
        <f t="shared" si="23"/>
        <v>0.10876692107716665</v>
      </c>
      <c r="H55" s="659" t="e">
        <f t="shared" si="23"/>
        <v>#DIV/0!</v>
      </c>
      <c r="I55" s="659">
        <f t="shared" si="23"/>
        <v>1.6955572178929415E-2</v>
      </c>
      <c r="J55" s="659">
        <f t="shared" si="23"/>
        <v>2.2782295809499004E-2</v>
      </c>
      <c r="K55" s="659">
        <f t="shared" si="23"/>
        <v>0.24198828359725474</v>
      </c>
      <c r="L55" s="659" t="e">
        <f t="shared" si="23"/>
        <v>#DIV/0!</v>
      </c>
      <c r="M55" s="659">
        <f t="shared" si="23"/>
        <v>0</v>
      </c>
      <c r="N55" s="659">
        <f t="shared" si="23"/>
        <v>0.12323777169153649</v>
      </c>
      <c r="O55" s="659">
        <f t="shared" si="23"/>
        <v>1.6104136885998353E-2</v>
      </c>
      <c r="P55" s="659">
        <f t="shared" si="23"/>
        <v>0</v>
      </c>
      <c r="Q55" s="659">
        <f t="shared" si="23"/>
        <v>5.1900738150836699E-2</v>
      </c>
      <c r="R55" s="659">
        <f t="shared" si="23"/>
        <v>0</v>
      </c>
      <c r="S55" s="659">
        <f t="shared" si="23"/>
        <v>0.36916158938301258</v>
      </c>
      <c r="T55" s="659" t="e">
        <f t="shared" si="23"/>
        <v>#DIV/0!</v>
      </c>
      <c r="U55" s="659" t="e">
        <f t="shared" si="23"/>
        <v>#DIV/0!</v>
      </c>
      <c r="V55" s="659" t="e">
        <f t="shared" si="23"/>
        <v>#DIV/0!</v>
      </c>
      <c r="W55" s="659" t="e">
        <f t="shared" si="23"/>
        <v>#DIV/0!</v>
      </c>
      <c r="X55" s="659">
        <f t="shared" si="23"/>
        <v>0.55568976463764264</v>
      </c>
      <c r="Y55" s="659">
        <f t="shared" si="23"/>
        <v>0.29980348862553585</v>
      </c>
      <c r="Z55" s="659">
        <f t="shared" si="23"/>
        <v>0</v>
      </c>
      <c r="AA55" s="659">
        <f t="shared" si="23"/>
        <v>0.14933577625236244</v>
      </c>
      <c r="AB55" s="659">
        <f t="shared" si="23"/>
        <v>0</v>
      </c>
      <c r="AC55" s="659">
        <f t="shared" si="23"/>
        <v>3.8505130759527937</v>
      </c>
      <c r="AD55" s="659">
        <f t="shared" si="23"/>
        <v>8.0512390532570255E-3</v>
      </c>
      <c r="AE55" s="659">
        <f t="shared" si="23"/>
        <v>5.0613801072233983E-2</v>
      </c>
      <c r="AF55" s="165"/>
      <c r="AG55" s="165"/>
      <c r="AH55" s="165"/>
      <c r="AI55" s="165"/>
      <c r="AJ55" s="165"/>
      <c r="AK55" s="165"/>
      <c r="AL55" s="165"/>
      <c r="AM55" s="165"/>
      <c r="AN55" s="165"/>
      <c r="AO55" s="165"/>
      <c r="AP55" s="165"/>
      <c r="AQ55" s="165"/>
      <c r="AR55" s="165"/>
      <c r="AS55" s="165"/>
      <c r="AT55" s="165"/>
      <c r="AU55" s="165"/>
      <c r="AV55" s="165"/>
      <c r="AW55" s="165"/>
      <c r="AX55" s="165"/>
    </row>
    <row r="56" spans="1:50" s="164" customFormat="1">
      <c r="A56" s="593"/>
      <c r="B56" s="593"/>
      <c r="C56" s="502"/>
      <c r="D56" s="61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row>
    <row r="57" spans="1:50" s="164" customFormat="1">
      <c r="A57" s="593"/>
      <c r="B57" s="593"/>
      <c r="C57" s="502"/>
      <c r="D57" s="61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row>
    <row r="58" spans="1:50" s="164" customFormat="1">
      <c r="A58" s="593"/>
      <c r="B58" s="593"/>
      <c r="C58" s="616"/>
      <c r="D58" s="610"/>
      <c r="E58" s="606"/>
      <c r="F58" s="606"/>
      <c r="G58" s="606"/>
      <c r="H58" s="606"/>
      <c r="I58" s="606"/>
      <c r="J58" s="606"/>
      <c r="K58" s="606"/>
      <c r="L58" s="606"/>
      <c r="M58" s="606"/>
      <c r="N58" s="606"/>
      <c r="O58" s="606"/>
      <c r="P58" s="606"/>
      <c r="Q58" s="606"/>
      <c r="R58" s="606"/>
      <c r="S58" s="606"/>
      <c r="T58" s="606"/>
      <c r="U58" s="606"/>
      <c r="V58" s="606"/>
      <c r="W58" s="606"/>
      <c r="X58" s="606"/>
      <c r="Y58" s="606"/>
      <c r="Z58" s="606"/>
      <c r="AA58" s="606"/>
      <c r="AB58" s="606"/>
      <c r="AC58" s="606"/>
      <c r="AD58" s="606"/>
      <c r="AE58" s="606"/>
      <c r="AF58" s="606"/>
      <c r="AG58" s="606"/>
      <c r="AH58" s="606"/>
      <c r="AI58" s="165"/>
      <c r="AJ58" s="165"/>
      <c r="AK58" s="165"/>
      <c r="AL58" s="165"/>
      <c r="AM58" s="165"/>
      <c r="AN58" s="165"/>
      <c r="AO58" s="165"/>
      <c r="AP58" s="165"/>
      <c r="AQ58" s="165"/>
      <c r="AR58" s="165"/>
      <c r="AS58" s="165"/>
      <c r="AT58" s="165"/>
      <c r="AU58" s="165"/>
      <c r="AV58" s="165"/>
      <c r="AW58" s="165"/>
      <c r="AX58" s="165"/>
    </row>
    <row r="59" spans="1:50" s="164" customFormat="1" ht="12.75" customHeight="1">
      <c r="A59" s="593"/>
      <c r="B59" s="593"/>
      <c r="C59" s="756" t="s">
        <v>1061</v>
      </c>
      <c r="D59" s="610"/>
      <c r="E59" s="606"/>
      <c r="F59" s="606"/>
      <c r="G59" s="606"/>
      <c r="H59" s="606"/>
      <c r="I59" s="606"/>
      <c r="J59" s="606"/>
      <c r="K59" s="606"/>
      <c r="L59" s="606"/>
      <c r="M59" s="606"/>
      <c r="N59" s="606"/>
      <c r="O59" s="606"/>
      <c r="P59" s="606"/>
      <c r="Q59" s="606"/>
      <c r="R59" s="606"/>
      <c r="S59" s="606"/>
      <c r="T59" s="606"/>
      <c r="U59" s="606"/>
      <c r="V59" s="606"/>
      <c r="W59" s="606"/>
      <c r="X59" s="606"/>
      <c r="Y59" s="606"/>
      <c r="Z59" s="606"/>
      <c r="AA59" s="606"/>
      <c r="AB59" s="606"/>
      <c r="AC59" s="606"/>
      <c r="AD59" s="606"/>
      <c r="AE59" s="606"/>
      <c r="AF59" s="606"/>
      <c r="AG59" s="606"/>
      <c r="AH59" s="606"/>
      <c r="AI59" s="165"/>
      <c r="AJ59" s="165"/>
      <c r="AK59" s="165"/>
      <c r="AL59" s="165"/>
      <c r="AM59" s="165"/>
      <c r="AN59" s="165"/>
      <c r="AO59" s="165"/>
      <c r="AP59" s="165"/>
      <c r="AQ59" s="165"/>
      <c r="AR59" s="165"/>
      <c r="AS59" s="165"/>
      <c r="AT59" s="165"/>
      <c r="AU59" s="165"/>
      <c r="AV59" s="165"/>
      <c r="AW59" s="165"/>
      <c r="AX59" s="165"/>
    </row>
    <row r="60" spans="1:50" s="164" customFormat="1" ht="12.75" customHeight="1">
      <c r="A60" s="593"/>
      <c r="B60" s="593"/>
      <c r="C60" s="756"/>
      <c r="D60" s="610"/>
      <c r="E60" s="606"/>
      <c r="F60" s="606"/>
      <c r="G60" s="606"/>
      <c r="H60" s="606"/>
      <c r="I60" s="606"/>
      <c r="J60" s="606"/>
      <c r="K60" s="606"/>
      <c r="L60" s="606"/>
      <c r="M60" s="606"/>
      <c r="N60" s="606"/>
      <c r="O60" s="606"/>
      <c r="P60" s="606"/>
      <c r="Q60" s="606"/>
      <c r="R60" s="606"/>
      <c r="S60" s="606"/>
      <c r="T60" s="606"/>
      <c r="U60" s="606"/>
      <c r="V60" s="606"/>
      <c r="W60" s="606"/>
      <c r="X60" s="606"/>
      <c r="Y60" s="606"/>
      <c r="Z60" s="606"/>
      <c r="AA60" s="606"/>
      <c r="AB60" s="606"/>
      <c r="AC60" s="606"/>
      <c r="AD60" s="606"/>
      <c r="AE60" s="606"/>
      <c r="AF60" s="606"/>
      <c r="AG60" s="606"/>
      <c r="AH60" s="606"/>
      <c r="AI60" s="165"/>
      <c r="AJ60" s="165"/>
      <c r="AK60" s="165"/>
      <c r="AL60" s="165"/>
      <c r="AM60" s="165"/>
      <c r="AN60" s="165"/>
      <c r="AO60" s="165"/>
      <c r="AP60" s="165"/>
      <c r="AQ60" s="165"/>
      <c r="AR60" s="165"/>
      <c r="AS60" s="165"/>
      <c r="AT60" s="165"/>
      <c r="AU60" s="165"/>
      <c r="AV60" s="165"/>
      <c r="AW60" s="165"/>
      <c r="AX60" s="165"/>
    </row>
    <row r="61" spans="1:50" s="164" customFormat="1">
      <c r="A61" s="593"/>
      <c r="B61" s="593"/>
      <c r="C61" s="619"/>
      <c r="D61" s="610"/>
      <c r="E61" s="606"/>
      <c r="F61" s="606"/>
      <c r="G61" s="606"/>
      <c r="H61" s="606"/>
      <c r="I61" s="606"/>
      <c r="J61" s="606"/>
      <c r="K61" s="606"/>
      <c r="L61" s="606"/>
      <c r="M61" s="606"/>
      <c r="N61" s="606"/>
      <c r="O61" s="606"/>
      <c r="P61" s="606"/>
      <c r="Q61" s="606"/>
      <c r="R61" s="606"/>
      <c r="S61" s="606"/>
      <c r="T61" s="606"/>
      <c r="U61" s="606"/>
      <c r="V61" s="606"/>
      <c r="W61" s="606"/>
      <c r="X61" s="606"/>
      <c r="Y61" s="606"/>
      <c r="Z61" s="606"/>
      <c r="AA61" s="606"/>
      <c r="AB61" s="606"/>
      <c r="AC61" s="606"/>
      <c r="AD61" s="606"/>
      <c r="AE61" s="606"/>
      <c r="AF61" s="606"/>
      <c r="AG61" s="606"/>
      <c r="AH61" s="606"/>
      <c r="AI61" s="165"/>
      <c r="AJ61" s="165"/>
      <c r="AK61" s="165"/>
      <c r="AL61" s="165"/>
      <c r="AM61" s="165"/>
      <c r="AN61" s="165"/>
      <c r="AO61" s="165"/>
      <c r="AP61" s="165"/>
      <c r="AQ61" s="165"/>
      <c r="AR61" s="165"/>
      <c r="AS61" s="165"/>
      <c r="AT61" s="165"/>
      <c r="AU61" s="165"/>
      <c r="AV61" s="165"/>
      <c r="AW61" s="165"/>
      <c r="AX61" s="165"/>
    </row>
    <row r="62" spans="1:50" s="164" customFormat="1">
      <c r="A62" s="593"/>
      <c r="B62" s="593"/>
      <c r="C62" s="618"/>
      <c r="D62" s="610"/>
      <c r="E62" s="606"/>
      <c r="F62" s="606"/>
      <c r="G62" s="606"/>
      <c r="H62" s="606"/>
      <c r="I62" s="606"/>
      <c r="J62" s="606"/>
      <c r="K62" s="606"/>
      <c r="L62" s="606"/>
      <c r="M62" s="606"/>
      <c r="N62" s="606"/>
      <c r="O62" s="606"/>
      <c r="P62" s="606"/>
      <c r="Q62" s="606"/>
      <c r="R62" s="606"/>
      <c r="S62" s="606"/>
      <c r="T62" s="606"/>
      <c r="U62" s="606"/>
      <c r="V62" s="606"/>
      <c r="W62" s="606"/>
      <c r="X62" s="606"/>
      <c r="Y62" s="606"/>
      <c r="Z62" s="606"/>
      <c r="AA62" s="606"/>
      <c r="AB62" s="606"/>
      <c r="AC62" s="606"/>
      <c r="AD62" s="606"/>
      <c r="AE62" s="606"/>
      <c r="AF62" s="606"/>
      <c r="AG62" s="606"/>
      <c r="AH62" s="606"/>
      <c r="AI62" s="165"/>
      <c r="AJ62" s="165"/>
      <c r="AK62" s="165"/>
      <c r="AL62" s="165"/>
      <c r="AM62" s="165"/>
      <c r="AN62" s="165"/>
      <c r="AO62" s="165"/>
      <c r="AP62" s="165"/>
      <c r="AQ62" s="165"/>
      <c r="AR62" s="165"/>
      <c r="AS62" s="165"/>
      <c r="AT62" s="165"/>
      <c r="AU62" s="165"/>
      <c r="AV62" s="165"/>
      <c r="AW62" s="165"/>
      <c r="AX62" s="165"/>
    </row>
    <row r="63" spans="1:50" s="164" customFormat="1" ht="13.5" thickBot="1">
      <c r="A63" s="574"/>
      <c r="B63" s="574"/>
      <c r="C63" s="620" t="s">
        <v>1058</v>
      </c>
      <c r="D63" s="621">
        <f t="shared" ref="D63:D68" si="24">SUM(E63:AH63)</f>
        <v>1634.9992205580616</v>
      </c>
      <c r="E63" s="620">
        <f>SUM(E64:E66,E67:E68)</f>
        <v>22.605</v>
      </c>
      <c r="F63" s="620">
        <f t="shared" ref="F63:AD63" si="25">SUM(F64:F66,F67:F68)</f>
        <v>13.493</v>
      </c>
      <c r="G63" s="620">
        <f t="shared" si="25"/>
        <v>14.648</v>
      </c>
      <c r="H63" s="620">
        <f t="shared" si="25"/>
        <v>0</v>
      </c>
      <c r="I63" s="620">
        <f t="shared" si="25"/>
        <v>68.682000000000002</v>
      </c>
      <c r="J63" s="620">
        <f t="shared" si="25"/>
        <v>314.97799999999995</v>
      </c>
      <c r="K63" s="620">
        <f t="shared" si="25"/>
        <v>38.690000000000005</v>
      </c>
      <c r="L63" s="620">
        <f t="shared" si="25"/>
        <v>0.81299999999999994</v>
      </c>
      <c r="M63" s="620">
        <f t="shared" si="25"/>
        <v>171.45499999999998</v>
      </c>
      <c r="N63" s="620">
        <f t="shared" si="25"/>
        <v>53.145999999999994</v>
      </c>
      <c r="O63" s="620">
        <f t="shared" si="25"/>
        <v>154.80199999999999</v>
      </c>
      <c r="P63" s="620">
        <f t="shared" si="25"/>
        <v>0.97899999999999998</v>
      </c>
      <c r="Q63" s="620">
        <f t="shared" si="25"/>
        <v>3.1259999999999999</v>
      </c>
      <c r="R63" s="620">
        <f t="shared" si="25"/>
        <v>4.4450000000000003</v>
      </c>
      <c r="S63" s="620">
        <f t="shared" si="25"/>
        <v>259.64100000000002</v>
      </c>
      <c r="T63" s="620">
        <f t="shared" si="25"/>
        <v>1.363</v>
      </c>
      <c r="U63" s="620">
        <f t="shared" si="25"/>
        <v>5.1890000000000001</v>
      </c>
      <c r="V63" s="620">
        <f t="shared" si="25"/>
        <v>0.77900000000000003</v>
      </c>
      <c r="W63" s="620">
        <f t="shared" si="25"/>
        <v>0</v>
      </c>
      <c r="X63" s="620">
        <f t="shared" si="25"/>
        <v>75.412000000000006</v>
      </c>
      <c r="Y63" s="620">
        <f t="shared" si="25"/>
        <v>88.951999999999998</v>
      </c>
      <c r="Z63" s="620">
        <f t="shared" si="25"/>
        <v>35.835999999999999</v>
      </c>
      <c r="AA63" s="620">
        <f t="shared" si="25"/>
        <v>24.85</v>
      </c>
      <c r="AB63" s="620">
        <f t="shared" si="25"/>
        <v>55.463999999999999</v>
      </c>
      <c r="AC63" s="620">
        <f t="shared" si="25"/>
        <v>2.2669999999999999</v>
      </c>
      <c r="AD63" s="620">
        <f t="shared" si="25"/>
        <v>15.106000000000002</v>
      </c>
      <c r="AE63" s="620">
        <f>SUM(AE64:AE66,AE67:AE68)</f>
        <v>172.74679599999999</v>
      </c>
      <c r="AF63" s="620">
        <f>SUM(AF64:AF66,AF67:AF68)</f>
        <v>35.531424558061602</v>
      </c>
      <c r="AG63" s="620">
        <f t="shared" ref="AG63:AH63" si="26">SUM(AG64:AG66,AG67:AG68)</f>
        <v>0</v>
      </c>
      <c r="AH63" s="620">
        <f t="shared" si="26"/>
        <v>0</v>
      </c>
      <c r="AI63" s="165"/>
      <c r="AJ63" s="165"/>
      <c r="AK63" s="165"/>
      <c r="AL63" s="165"/>
      <c r="AM63" s="165"/>
      <c r="AN63" s="165"/>
      <c r="AO63" s="165"/>
      <c r="AP63" s="165"/>
      <c r="AQ63" s="165"/>
      <c r="AR63" s="165"/>
      <c r="AS63" s="165"/>
      <c r="AT63" s="165"/>
      <c r="AU63" s="165"/>
      <c r="AV63" s="165"/>
      <c r="AW63" s="165"/>
      <c r="AX63" s="165"/>
    </row>
    <row r="64" spans="1:50" s="164" customFormat="1">
      <c r="A64" s="587" t="s">
        <v>1008</v>
      </c>
      <c r="B64" s="587"/>
      <c r="C64" s="607" t="str">
        <f>'Eurostat Resume'!C9</f>
        <v>Solid Fuels</v>
      </c>
      <c r="D64" s="622">
        <f t="shared" si="24"/>
        <v>186.898</v>
      </c>
      <c r="E64" s="607">
        <f>'Eurostat Resume'!F9</f>
        <v>1.27</v>
      </c>
      <c r="F64" s="607">
        <f>'Eurostat Resume'!G9</f>
        <v>1.8169999999999999</v>
      </c>
      <c r="G64" s="607">
        <f>'Eurostat Resume'!H9</f>
        <v>5.05</v>
      </c>
      <c r="H64" s="607">
        <f>'Eurostat Resume'!I9</f>
        <v>0</v>
      </c>
      <c r="I64" s="607">
        <f>'Eurostat Resume'!J9</f>
        <v>39.018000000000001</v>
      </c>
      <c r="J64" s="607">
        <f>'Eurostat Resume'!K9</f>
        <v>17.405000000000001</v>
      </c>
      <c r="K64" s="607">
        <f>'Eurostat Resume'!L9</f>
        <v>0.13300000000000001</v>
      </c>
      <c r="L64" s="607">
        <f>'Eurostat Resume'!M9</f>
        <v>0.21099999999999999</v>
      </c>
      <c r="M64" s="607">
        <f>'Eurostat Resume'!N9</f>
        <v>1.9370000000000001</v>
      </c>
      <c r="N64" s="607">
        <f>'Eurostat Resume'!O9</f>
        <v>3.149</v>
      </c>
      <c r="O64" s="607">
        <f>'Eurostat Resume'!P9</f>
        <v>18.356000000000002</v>
      </c>
      <c r="P64" s="607">
        <f>'Eurostat Resume'!Q9</f>
        <v>0</v>
      </c>
      <c r="Q64" s="607">
        <f>'Eurostat Resume'!R9</f>
        <v>0</v>
      </c>
      <c r="R64" s="607">
        <f>'Eurostat Resume'!S9</f>
        <v>0.77600000000000002</v>
      </c>
      <c r="S64" s="607">
        <f>'Eurostat Resume'!T9</f>
        <v>2.7650000000000001</v>
      </c>
      <c r="T64" s="607">
        <f>'Eurostat Resume'!U9</f>
        <v>0</v>
      </c>
      <c r="U64" s="607">
        <f>'Eurostat Resume'!V9</f>
        <v>0</v>
      </c>
      <c r="V64" s="607">
        <f>'Eurostat Resume'!W9</f>
        <v>0</v>
      </c>
      <c r="W64" s="607">
        <f>'Eurostat Resume'!X9</f>
        <v>0</v>
      </c>
      <c r="X64" s="607">
        <f>'Eurostat Resume'!Y9</f>
        <v>0</v>
      </c>
      <c r="Y64" s="607">
        <f>'Eurostat Resume'!Z9</f>
        <v>65.293999999999997</v>
      </c>
      <c r="Z64" s="607">
        <f>'Eurostat Resume'!AA9</f>
        <v>0</v>
      </c>
      <c r="AA64" s="607">
        <f>'Eurostat Resume'!AB9</f>
        <v>18.067</v>
      </c>
      <c r="AB64" s="607">
        <f>'Eurostat Resume'!AC9</f>
        <v>0.161</v>
      </c>
      <c r="AC64" s="607">
        <f>'Eurostat Resume'!AD9</f>
        <v>0.32600000000000001</v>
      </c>
      <c r="AD64" s="607">
        <f>'Eurostat Resume'!AE9</f>
        <v>5.7320000000000002</v>
      </c>
      <c r="AE64" s="607">
        <f>'Eurostat Resume'!AF9</f>
        <v>5.431</v>
      </c>
      <c r="AF64" s="607">
        <f>'Eurostat Resume'!AG9</f>
        <v>0</v>
      </c>
      <c r="AG64" s="607">
        <f>'Eurostat Resume'!AH9</f>
        <v>0</v>
      </c>
      <c r="AH64" s="607">
        <f>'Eurostat Resume'!AI9</f>
        <v>0</v>
      </c>
      <c r="AI64" s="165"/>
      <c r="AJ64" s="165"/>
      <c r="AK64" s="165"/>
      <c r="AL64" s="165"/>
      <c r="AM64" s="165"/>
      <c r="AN64" s="165"/>
      <c r="AO64" s="165"/>
      <c r="AP64" s="165"/>
      <c r="AQ64" s="165"/>
      <c r="AR64" s="165"/>
      <c r="AS64" s="165"/>
      <c r="AT64" s="165"/>
      <c r="AU64" s="165"/>
      <c r="AV64" s="165"/>
      <c r="AW64" s="165"/>
      <c r="AX64" s="165"/>
    </row>
    <row r="65" spans="1:51" s="164" customFormat="1">
      <c r="A65" s="587" t="s">
        <v>1008</v>
      </c>
      <c r="B65" s="587"/>
      <c r="C65" s="607" t="str">
        <f>'Eurostat Resume'!C11</f>
        <v>Oil</v>
      </c>
      <c r="D65" s="622">
        <f t="shared" si="24"/>
        <v>280.6600447544788</v>
      </c>
      <c r="E65" s="607">
        <f>'Eurostat Resume'!F11</f>
        <v>0.36</v>
      </c>
      <c r="F65" s="607">
        <f>'Eurostat Resume'!G11</f>
        <v>3.5920000000000001</v>
      </c>
      <c r="G65" s="607">
        <f>'Eurostat Resume'!H11</f>
        <v>3.5920000000000001</v>
      </c>
      <c r="H65" s="607">
        <f>'Eurostat Resume'!I11</f>
        <v>0</v>
      </c>
      <c r="I65" s="607">
        <f>'Eurostat Resume'!J11</f>
        <v>1.0129999999999999</v>
      </c>
      <c r="J65" s="607">
        <f>'Eurostat Resume'!K11</f>
        <v>26.555</v>
      </c>
      <c r="K65" s="607">
        <f>'Eurostat Resume'!L11</f>
        <v>26.555</v>
      </c>
      <c r="L65" s="607">
        <f>'Eurostat Resume'!M11</f>
        <v>0</v>
      </c>
      <c r="M65" s="607">
        <f>'Eurostat Resume'!N11</f>
        <v>35.68</v>
      </c>
      <c r="N65" s="607">
        <f>'Eurostat Resume'!O11</f>
        <v>2.363</v>
      </c>
      <c r="O65" s="607">
        <f>'Eurostat Resume'!P11</f>
        <v>13.813000000000001</v>
      </c>
      <c r="P65" s="607">
        <f>'Eurostat Resume'!Q11</f>
        <v>0.24</v>
      </c>
      <c r="Q65" s="607">
        <f>'Eurostat Resume'!R11</f>
        <v>0.2</v>
      </c>
      <c r="R65" s="607">
        <f>'Eurostat Resume'!S11</f>
        <v>0</v>
      </c>
      <c r="S65" s="607">
        <f>'Eurostat Resume'!T11</f>
        <v>113.075</v>
      </c>
      <c r="T65" s="607">
        <f>'Eurostat Resume'!U11</f>
        <v>0</v>
      </c>
      <c r="U65" s="607">
        <f>'Eurostat Resume'!V11</f>
        <v>0</v>
      </c>
      <c r="V65" s="607">
        <f>'Eurostat Resume'!W11</f>
        <v>0</v>
      </c>
      <c r="W65" s="607">
        <f>'Eurostat Resume'!X11</f>
        <v>0</v>
      </c>
      <c r="X65" s="607">
        <f>'Eurostat Resume'!Y11</f>
        <v>18.291</v>
      </c>
      <c r="Y65" s="607">
        <f>'Eurostat Resume'!Z11</f>
        <v>1.08</v>
      </c>
      <c r="Z65" s="607">
        <f>'Eurostat Resume'!AA11</f>
        <v>10.523</v>
      </c>
      <c r="AA65" s="607">
        <f>'Eurostat Resume'!AB11</f>
        <v>1.8169999999999999</v>
      </c>
      <c r="AB65" s="607">
        <f>'Eurostat Resume'!AC11</f>
        <v>3.16</v>
      </c>
      <c r="AC65" s="607">
        <f>'Eurostat Resume'!AD11</f>
        <v>0.16</v>
      </c>
      <c r="AD65" s="607">
        <f>'Eurostat Resume'!AE11</f>
        <v>3.819</v>
      </c>
      <c r="AE65" s="607">
        <f>'Eurostat Resume'!AF11</f>
        <v>9.3209999999999997</v>
      </c>
      <c r="AF65" s="607">
        <f>'Eurostat Resume'!AG11</f>
        <v>5.4510447544786693</v>
      </c>
      <c r="AG65" s="607">
        <f>'Eurostat Resume'!AH11</f>
        <v>0</v>
      </c>
      <c r="AH65" s="607">
        <f>'Eurostat Resume'!AI11</f>
        <v>0</v>
      </c>
      <c r="AI65" s="165"/>
      <c r="AJ65" s="165"/>
      <c r="AK65" s="165"/>
      <c r="AL65" s="165"/>
      <c r="AM65" s="165"/>
      <c r="AN65" s="165"/>
      <c r="AO65" s="165"/>
      <c r="AP65" s="165"/>
      <c r="AQ65" s="165"/>
      <c r="AR65" s="165"/>
      <c r="AS65" s="165"/>
      <c r="AT65" s="165"/>
      <c r="AU65" s="165"/>
      <c r="AV65" s="165"/>
      <c r="AW65" s="165"/>
      <c r="AX65" s="165"/>
    </row>
    <row r="66" spans="1:51" s="164" customFormat="1">
      <c r="A66" s="587" t="s">
        <v>1008</v>
      </c>
      <c r="B66" s="587"/>
      <c r="C66" s="607" t="str">
        <f>'Eurostat Resume'!C16</f>
        <v>Gas</v>
      </c>
      <c r="D66" s="622">
        <f t="shared" si="24"/>
        <v>982.75194116509874</v>
      </c>
      <c r="E66" s="607">
        <f>'Eurostat Resume'!F16</f>
        <v>11.539</v>
      </c>
      <c r="F66" s="607">
        <f>'Eurostat Resume'!G16</f>
        <v>6.0060000000000002</v>
      </c>
      <c r="G66" s="607">
        <f>'Eurostat Resume'!H16</f>
        <v>6.0060000000000002</v>
      </c>
      <c r="H66" s="607">
        <f>'Eurostat Resume'!I16</f>
        <v>0</v>
      </c>
      <c r="I66" s="607">
        <f>'Eurostat Resume'!J16</f>
        <v>25.053000000000001</v>
      </c>
      <c r="J66" s="607">
        <f>'Eurostat Resume'!K16</f>
        <v>234.90899999999999</v>
      </c>
      <c r="K66" s="607">
        <f>'Eurostat Resume'!L16</f>
        <v>11.601000000000001</v>
      </c>
      <c r="L66" s="607">
        <f>'Eurostat Resume'!M16</f>
        <v>0.5</v>
      </c>
      <c r="M66" s="607">
        <f>'Eurostat Resume'!N16</f>
        <v>121.09399999999999</v>
      </c>
      <c r="N66" s="607">
        <f>'Eurostat Resume'!O16</f>
        <v>12.497999999999999</v>
      </c>
      <c r="O66" s="607">
        <f>'Eurostat Resume'!P16</f>
        <v>116.645</v>
      </c>
      <c r="P66" s="607">
        <f>'Eurostat Resume'!Q16</f>
        <v>0.73899999999999999</v>
      </c>
      <c r="Q66" s="607">
        <f>'Eurostat Resume'!R16</f>
        <v>2.75</v>
      </c>
      <c r="R66" s="607">
        <f>'Eurostat Resume'!S16</f>
        <v>3.5670000000000002</v>
      </c>
      <c r="S66" s="607">
        <f>'Eurostat Resume'!T16</f>
        <v>142.108</v>
      </c>
      <c r="T66" s="607">
        <f>'Eurostat Resume'!U16</f>
        <v>1.1719999999999999</v>
      </c>
      <c r="U66" s="607">
        <f>'Eurostat Resume'!V16</f>
        <v>5.1890000000000001</v>
      </c>
      <c r="V66" s="607">
        <f>'Eurostat Resume'!W16</f>
        <v>0.77100000000000002</v>
      </c>
      <c r="W66" s="607">
        <f>'Eurostat Resume'!X16</f>
        <v>0</v>
      </c>
      <c r="X66" s="607">
        <f>'Eurostat Resume'!Y16</f>
        <v>57.121000000000002</v>
      </c>
      <c r="Y66" s="607">
        <f>'Eurostat Resume'!Z16</f>
        <v>14.586</v>
      </c>
      <c r="Z66" s="607">
        <f>'Eurostat Resume'!AA16</f>
        <v>17.731000000000002</v>
      </c>
      <c r="AA66" s="607">
        <f>'Eurostat Resume'!AB16</f>
        <v>4.9320000000000004</v>
      </c>
      <c r="AB66" s="607">
        <f>'Eurostat Resume'!AC16</f>
        <v>0.42</v>
      </c>
      <c r="AC66" s="607">
        <f>'Eurostat Resume'!AD16</f>
        <v>0.85099999999999998</v>
      </c>
      <c r="AD66" s="607">
        <f>'Eurostat Resume'!AE16</f>
        <v>4.6710000000000003</v>
      </c>
      <c r="AE66" s="607">
        <f>'Eurostat Resume'!AF16</f>
        <v>156.02699999999999</v>
      </c>
      <c r="AF66" s="607">
        <f>'Eurostat Resume'!AG16</f>
        <v>24.265941165098592</v>
      </c>
      <c r="AG66" s="607">
        <f>'Eurostat Resume'!AH16</f>
        <v>0</v>
      </c>
      <c r="AH66" s="607">
        <f>'Eurostat Resume'!AI16</f>
        <v>0</v>
      </c>
      <c r="AI66" s="165"/>
      <c r="AJ66" s="165"/>
      <c r="AK66" s="165"/>
      <c r="AL66" s="165"/>
      <c r="AM66" s="165"/>
      <c r="AN66" s="165"/>
      <c r="AO66" s="165"/>
      <c r="AP66" s="165"/>
      <c r="AQ66" s="165"/>
      <c r="AR66" s="165"/>
      <c r="AS66" s="165"/>
      <c r="AT66" s="165"/>
      <c r="AU66" s="165"/>
      <c r="AV66" s="165"/>
      <c r="AW66" s="165"/>
      <c r="AX66" s="165"/>
    </row>
    <row r="67" spans="1:51" s="164" customFormat="1">
      <c r="A67" s="587" t="s">
        <v>1326</v>
      </c>
      <c r="B67" s="587"/>
      <c r="C67" s="607" t="s">
        <v>963</v>
      </c>
      <c r="D67" s="622">
        <f t="shared" si="24"/>
        <v>12.627839999999999</v>
      </c>
      <c r="E67" s="607">
        <f>E69-E71</f>
        <v>0.375</v>
      </c>
      <c r="F67" s="607">
        <f t="shared" ref="F67:AH67" si="27">F69-F71</f>
        <v>0.374</v>
      </c>
      <c r="G67" s="607">
        <f t="shared" si="27"/>
        <v>0</v>
      </c>
      <c r="H67" s="607">
        <f t="shared" si="27"/>
        <v>0</v>
      </c>
      <c r="I67" s="607">
        <f t="shared" si="27"/>
        <v>0.18700000000000006</v>
      </c>
      <c r="J67" s="607">
        <f t="shared" si="27"/>
        <v>0</v>
      </c>
      <c r="K67" s="607">
        <f t="shared" si="27"/>
        <v>0.23900000000000077</v>
      </c>
      <c r="L67" s="607">
        <f t="shared" si="27"/>
        <v>0</v>
      </c>
      <c r="M67" s="607">
        <f t="shared" si="27"/>
        <v>0</v>
      </c>
      <c r="N67" s="607">
        <f t="shared" si="27"/>
        <v>0.39100000000000001</v>
      </c>
      <c r="O67" s="607">
        <f t="shared" si="27"/>
        <v>0</v>
      </c>
      <c r="P67" s="607">
        <f t="shared" si="27"/>
        <v>0</v>
      </c>
      <c r="Q67" s="607">
        <f t="shared" si="27"/>
        <v>0.122</v>
      </c>
      <c r="R67" s="607">
        <f t="shared" si="27"/>
        <v>0</v>
      </c>
      <c r="S67" s="607">
        <f t="shared" si="27"/>
        <v>0.91500000000000004</v>
      </c>
      <c r="T67" s="607">
        <f t="shared" si="27"/>
        <v>0</v>
      </c>
      <c r="U67" s="607">
        <f t="shared" si="27"/>
        <v>0</v>
      </c>
      <c r="V67" s="607">
        <f t="shared" si="27"/>
        <v>0</v>
      </c>
      <c r="W67" s="607">
        <f t="shared" si="27"/>
        <v>0</v>
      </c>
      <c r="X67" s="607">
        <f t="shared" si="27"/>
        <v>0</v>
      </c>
      <c r="Y67" s="607">
        <f t="shared" si="27"/>
        <v>1.798</v>
      </c>
      <c r="Z67" s="607">
        <f t="shared" si="27"/>
        <v>0</v>
      </c>
      <c r="AA67" s="607">
        <f t="shared" si="27"/>
        <v>0</v>
      </c>
      <c r="AB67" s="607">
        <f t="shared" si="27"/>
        <v>0</v>
      </c>
      <c r="AC67" s="607">
        <f t="shared" si="27"/>
        <v>9.1999999999999998E-2</v>
      </c>
      <c r="AD67" s="607">
        <f t="shared" si="27"/>
        <v>0.66</v>
      </c>
      <c r="AE67" s="607">
        <f t="shared" si="27"/>
        <v>1.9677959999999999</v>
      </c>
      <c r="AF67" s="607">
        <f>AF69-AF71</f>
        <v>5.5070439999999996</v>
      </c>
      <c r="AG67" s="607">
        <f t="shared" si="27"/>
        <v>0</v>
      </c>
      <c r="AH67" s="607">
        <f t="shared" si="27"/>
        <v>0</v>
      </c>
      <c r="AI67" s="165"/>
      <c r="AJ67" s="165"/>
      <c r="AK67" s="165"/>
      <c r="AL67" s="165"/>
      <c r="AM67" s="165"/>
      <c r="AN67" s="165"/>
      <c r="AO67" s="165"/>
      <c r="AP67" s="165"/>
      <c r="AQ67" s="165"/>
      <c r="AR67" s="165"/>
      <c r="AS67" s="165"/>
      <c r="AT67" s="165"/>
      <c r="AU67" s="165"/>
      <c r="AV67" s="165"/>
      <c r="AW67" s="165"/>
      <c r="AX67" s="165"/>
    </row>
    <row r="68" spans="1:51" s="164" customFormat="1">
      <c r="A68" s="587" t="s">
        <v>1008</v>
      </c>
      <c r="B68" s="587"/>
      <c r="C68" s="607" t="str">
        <f>'Eurostat Resume'!C22</f>
        <v>Biomass (wood and wood wastes)</v>
      </c>
      <c r="D68" s="622">
        <f t="shared" si="24"/>
        <v>172.06139463848433</v>
      </c>
      <c r="E68" s="607">
        <f>'Eurostat Resume'!F20+'Eurostat Resume'!F22</f>
        <v>9.0609999999999999</v>
      </c>
      <c r="F68" s="607">
        <f>'Eurostat Resume'!G20+'Eurostat Resume'!G22</f>
        <v>1.704</v>
      </c>
      <c r="G68" s="607">
        <f>'Eurostat Resume'!H20+'Eurostat Resume'!H22</f>
        <v>0</v>
      </c>
      <c r="H68" s="607">
        <f>'Eurostat Resume'!I20+'Eurostat Resume'!I22</f>
        <v>0</v>
      </c>
      <c r="I68" s="607">
        <f>'Eurostat Resume'!J20+'Eurostat Resume'!J22</f>
        <v>3.411</v>
      </c>
      <c r="J68" s="607">
        <f>'Eurostat Resume'!K20+'Eurostat Resume'!K22</f>
        <v>36.109000000000002</v>
      </c>
      <c r="K68" s="607">
        <f>'Eurostat Resume'!L20+'Eurostat Resume'!L22</f>
        <v>0.16200000000000001</v>
      </c>
      <c r="L68" s="607">
        <f>'Eurostat Resume'!M20+'Eurostat Resume'!M22</f>
        <v>0.10199999999999999</v>
      </c>
      <c r="M68" s="607">
        <f>'Eurostat Resume'!N20+'Eurostat Resume'!N22</f>
        <v>12.744</v>
      </c>
      <c r="N68" s="607">
        <f>'Eurostat Resume'!O20+'Eurostat Resume'!O22</f>
        <v>34.744999999999997</v>
      </c>
      <c r="O68" s="607">
        <f>'Eurostat Resume'!P20+'Eurostat Resume'!P22</f>
        <v>5.9880000000000004</v>
      </c>
      <c r="P68" s="607">
        <f>'Eurostat Resume'!Q20+'Eurostat Resume'!Q22</f>
        <v>0</v>
      </c>
      <c r="Q68" s="607">
        <f>'Eurostat Resume'!R20+'Eurostat Resume'!R22</f>
        <v>5.3999999999999999E-2</v>
      </c>
      <c r="R68" s="607">
        <f>'Eurostat Resume'!S20+'Eurostat Resume'!S22</f>
        <v>0.10199999999999999</v>
      </c>
      <c r="S68" s="607">
        <f>'Eurostat Resume'!T20+'Eurostat Resume'!T22</f>
        <v>0.77800000000000002</v>
      </c>
      <c r="T68" s="607">
        <f>'Eurostat Resume'!U20+'Eurostat Resume'!U22</f>
        <v>0.191</v>
      </c>
      <c r="U68" s="607">
        <f>'Eurostat Resume'!V20+'Eurostat Resume'!V22</f>
        <v>0</v>
      </c>
      <c r="V68" s="607">
        <f>'Eurostat Resume'!W20+'Eurostat Resume'!W22</f>
        <v>8.0000000000000002E-3</v>
      </c>
      <c r="W68" s="607">
        <f>'Eurostat Resume'!X20+'Eurostat Resume'!X22</f>
        <v>0</v>
      </c>
      <c r="X68" s="607">
        <f>'Eurostat Resume'!Y20+'Eurostat Resume'!Y22</f>
        <v>0</v>
      </c>
      <c r="Y68" s="607">
        <f>'Eurostat Resume'!Z20+'Eurostat Resume'!Z22</f>
        <v>6.194</v>
      </c>
      <c r="Z68" s="607">
        <f>'Eurostat Resume'!AA20+'Eurostat Resume'!AA22</f>
        <v>7.5819999999999999</v>
      </c>
      <c r="AA68" s="607">
        <f>'Eurostat Resume'!AB20+'Eurostat Resume'!AB22</f>
        <v>3.4000000000000002E-2</v>
      </c>
      <c r="AB68" s="607">
        <f>'Eurostat Resume'!AC20+'Eurostat Resume'!AC22</f>
        <v>51.722999999999999</v>
      </c>
      <c r="AC68" s="607">
        <f>'Eurostat Resume'!AD20+'Eurostat Resume'!AD22</f>
        <v>0.83799999999999997</v>
      </c>
      <c r="AD68" s="607">
        <f>'Eurostat Resume'!AE20+'Eurostat Resume'!AE22</f>
        <v>0.224</v>
      </c>
      <c r="AE68" s="607">
        <f>'Eurostat Resume'!AF20+'Eurostat Resume'!AF22</f>
        <v>0</v>
      </c>
      <c r="AF68" s="607">
        <f>'Eurostat Resume'!AG20+'Eurostat Resume'!AG22</f>
        <v>0.30739463848434073</v>
      </c>
      <c r="AG68" s="607">
        <f>'Eurostat Resume'!AH20+'Eurostat Resume'!AH22</f>
        <v>0</v>
      </c>
      <c r="AH68" s="607">
        <f>'Eurostat Resume'!AI20+'Eurostat Resume'!AI22</f>
        <v>0</v>
      </c>
      <c r="AI68" s="165"/>
      <c r="AJ68" s="165"/>
      <c r="AK68" s="165"/>
      <c r="AL68" s="165"/>
      <c r="AM68" s="165"/>
      <c r="AN68" s="165"/>
      <c r="AO68" s="165"/>
      <c r="AP68" s="165"/>
      <c r="AQ68" s="165"/>
      <c r="AR68" s="165"/>
      <c r="AS68" s="165"/>
      <c r="AT68" s="165"/>
      <c r="AU68" s="165"/>
      <c r="AV68" s="165"/>
      <c r="AW68" s="165"/>
      <c r="AX68" s="165"/>
    </row>
    <row r="69" spans="1:51" s="164" customFormat="1">
      <c r="A69" s="593"/>
      <c r="B69" s="593"/>
      <c r="C69" s="629" t="str">
        <f>'Eurostat Resume'!C21</f>
        <v>Waste (based on the assumption that all non-wood is waste)</v>
      </c>
      <c r="D69" s="629">
        <f>SUM(E69:AI69)</f>
        <v>72.803619441938395</v>
      </c>
      <c r="E69" s="629">
        <f>'Eurostat Resume'!F21</f>
        <v>0.375</v>
      </c>
      <c r="F69" s="629">
        <f>'Eurostat Resume'!G21</f>
        <v>0.374</v>
      </c>
      <c r="G69" s="629">
        <f>'Eurostat Resume'!H21</f>
        <v>0</v>
      </c>
      <c r="H69" s="629">
        <f>'Eurostat Resume'!I21</f>
        <v>0</v>
      </c>
      <c r="I69" s="629">
        <f>'Eurostat Resume'!J21</f>
        <v>1.2789999999999999</v>
      </c>
      <c r="J69" s="629">
        <f>'Eurostat Resume'!K21</f>
        <v>13.647</v>
      </c>
      <c r="K69" s="629">
        <f>'Eurostat Resume'!L21</f>
        <v>12.430999999999999</v>
      </c>
      <c r="L69" s="629">
        <f>'Eurostat Resume'!M21</f>
        <v>0</v>
      </c>
      <c r="M69" s="629">
        <f>'Eurostat Resume'!N21</f>
        <v>0.374</v>
      </c>
      <c r="N69" s="629">
        <f>'Eurostat Resume'!O21</f>
        <v>0.39100000000000001</v>
      </c>
      <c r="O69" s="629">
        <f>'Eurostat Resume'!P21</f>
        <v>13.590999999999999</v>
      </c>
      <c r="P69" s="629">
        <f>'Eurostat Resume'!Q21</f>
        <v>0.16600000000000001</v>
      </c>
      <c r="Q69" s="629">
        <f>'Eurostat Resume'!R21</f>
        <v>0.122</v>
      </c>
      <c r="R69" s="629">
        <f>'Eurostat Resume'!S21</f>
        <v>0.10100000000000001</v>
      </c>
      <c r="S69" s="629">
        <f>'Eurostat Resume'!T21</f>
        <v>0.91500000000000004</v>
      </c>
      <c r="T69" s="629">
        <f>'Eurostat Resume'!U21</f>
        <v>0.01</v>
      </c>
      <c r="U69" s="629">
        <f>'Eurostat Resume'!V21</f>
        <v>0.113</v>
      </c>
      <c r="V69" s="629">
        <f>'Eurostat Resume'!W21</f>
        <v>0.151</v>
      </c>
      <c r="W69" s="629">
        <f>'Eurostat Resume'!X21</f>
        <v>0</v>
      </c>
      <c r="X69" s="629">
        <f>'Eurostat Resume'!Y21</f>
        <v>9.6920000000000002</v>
      </c>
      <c r="Y69" s="629">
        <f>'Eurostat Resume'!Z21</f>
        <v>1.798</v>
      </c>
      <c r="Z69" s="629">
        <f>'Eurostat Resume'!AA21</f>
        <v>8.8999999999999996E-2</v>
      </c>
      <c r="AA69" s="629">
        <f>'Eurostat Resume'!AB21</f>
        <v>0</v>
      </c>
      <c r="AB69" s="629">
        <f>'Eurostat Resume'!AC21</f>
        <v>4.0000000000000001E-3</v>
      </c>
      <c r="AC69" s="629">
        <f>'Eurostat Resume'!AD21</f>
        <v>0.122</v>
      </c>
      <c r="AD69" s="629">
        <f>'Eurostat Resume'!AE21</f>
        <v>0.69199999999999995</v>
      </c>
      <c r="AE69" s="629">
        <f>'Eurostat Resume'!AF21</f>
        <v>5.9660000000000002</v>
      </c>
      <c r="AF69" s="629">
        <f>'Eurostat Resume'!AG21</f>
        <v>10.400619441938394</v>
      </c>
      <c r="AG69" s="629">
        <f>'Eurostat Resume'!AH21</f>
        <v>0</v>
      </c>
      <c r="AH69" s="629">
        <f>'Eurostat Resume'!AI21</f>
        <v>0</v>
      </c>
      <c r="AI69" s="509"/>
      <c r="AJ69" s="165"/>
      <c r="AK69" s="165"/>
      <c r="AL69" s="165"/>
      <c r="AM69" s="165"/>
      <c r="AN69" s="165"/>
      <c r="AO69" s="165"/>
      <c r="AP69" s="165"/>
      <c r="AQ69" s="165"/>
      <c r="AR69" s="165"/>
      <c r="AS69" s="165"/>
      <c r="AT69" s="165"/>
      <c r="AU69" s="165"/>
      <c r="AV69" s="165"/>
      <c r="AW69" s="165"/>
      <c r="AX69" s="165"/>
      <c r="AY69" s="165"/>
    </row>
    <row r="70" spans="1:51" s="164" customFormat="1">
      <c r="A70" s="593"/>
      <c r="B70" s="593"/>
      <c r="C70" s="629" t="s">
        <v>961</v>
      </c>
      <c r="D70" s="629">
        <f>SUM(E70:AI70)</f>
        <v>104.49983999999999</v>
      </c>
      <c r="E70" s="629">
        <f>SUM('INDCONSby Product'!D49,'INDCONSby Product'!D50,'INDCONSby Product'!D61,'INDCONSby Product'!D62,'INDCONSby Product'!D73,'INDCONSby Product'!D74)</f>
        <v>5.0350000000000001</v>
      </c>
      <c r="F70" s="629">
        <f>SUM('INDCONSby Product'!E49,'INDCONSby Product'!E50,'INDCONSby Product'!E61,'INDCONSby Product'!E62,'INDCONSby Product'!E73,'INDCONSby Product'!E74)</f>
        <v>72.619</v>
      </c>
      <c r="G70" s="629">
        <f>SUM('INDCONSby Product'!F49,'INDCONSby Product'!F50,'INDCONSby Product'!F61,'INDCONSby Product'!F62,'INDCONSby Product'!F73,'INDCONSby Product'!F74)</f>
        <v>2.2709999999999999</v>
      </c>
      <c r="H70" s="629">
        <f>SUM('INDCONSby Product'!G49,'INDCONSby Product'!G50,'INDCONSby Product'!G61,'INDCONSby Product'!G62,'INDCONSby Product'!G73,'INDCONSby Product'!G74)</f>
        <v>0</v>
      </c>
      <c r="I70" s="629">
        <f>SUM('INDCONSby Product'!H49,'INDCONSby Product'!H50,'INDCONSby Product'!H61,'INDCONSby Product'!H62,'INDCONSby Product'!H73,'INDCONSby Product'!H74)</f>
        <v>0.187</v>
      </c>
      <c r="J70" s="629">
        <f>SUM('INDCONSby Product'!I49,'INDCONSby Product'!I50,'INDCONSby Product'!I61,'INDCONSby Product'!I62,'INDCONSby Product'!I73,'INDCONSby Product'!I74)</f>
        <v>0</v>
      </c>
      <c r="K70" s="629">
        <f>SUM('INDCONSby Product'!J49,'INDCONSby Product'!J50,'INDCONSby Product'!J61,'INDCONSby Product'!J62,'INDCONSby Product'!J73,'INDCONSby Product'!J74)</f>
        <v>0.23900000000000002</v>
      </c>
      <c r="L70" s="629">
        <f>SUM('INDCONSby Product'!K49,'INDCONSby Product'!K50,'INDCONSby Product'!K61,'INDCONSby Product'!K62,'INDCONSby Product'!K73,'INDCONSby Product'!K74)</f>
        <v>0</v>
      </c>
      <c r="M70" s="629">
        <f>SUM('INDCONSby Product'!L49,'INDCONSby Product'!L50,'INDCONSby Product'!L61,'INDCONSby Product'!L62,'INDCONSby Product'!L73,'INDCONSby Product'!L74)</f>
        <v>0</v>
      </c>
      <c r="N70" s="629">
        <f>SUM('INDCONSby Product'!M49,'INDCONSby Product'!M50,'INDCONSby Product'!M61,'INDCONSby Product'!M62,'INDCONSby Product'!M73,'INDCONSby Product'!M74)</f>
        <v>1.4359999999999999</v>
      </c>
      <c r="O70" s="629">
        <f>SUM('INDCONSby Product'!N49,'INDCONSby Product'!N50,'INDCONSby Product'!N61,'INDCONSby Product'!N62,'INDCONSby Product'!N73,'INDCONSby Product'!N74)</f>
        <v>0</v>
      </c>
      <c r="P70" s="629">
        <f>SUM('INDCONSby Product'!O49,'INDCONSby Product'!O50,'INDCONSby Product'!O61,'INDCONSby Product'!O62,'INDCONSby Product'!O73,'INDCONSby Product'!O74)</f>
        <v>0</v>
      </c>
      <c r="Q70" s="629">
        <f>SUM('INDCONSby Product'!P49,'INDCONSby Product'!P50,'INDCONSby Product'!P61,'INDCONSby Product'!P62,'INDCONSby Product'!P73,'INDCONSby Product'!P74)</f>
        <v>1.071</v>
      </c>
      <c r="R70" s="629">
        <f>SUM('INDCONSby Product'!Q49,'INDCONSby Product'!Q50,'INDCONSby Product'!Q61,'INDCONSby Product'!Q62,'INDCONSby Product'!Q73,'INDCONSby Product'!Q74)</f>
        <v>0</v>
      </c>
      <c r="S70" s="629">
        <f>SUM('INDCONSby Product'!R49,'INDCONSby Product'!R50,'INDCONSby Product'!R61,'INDCONSby Product'!R62,'INDCONSby Product'!R73,'INDCONSby Product'!R74)</f>
        <v>2.6</v>
      </c>
      <c r="T70" s="629">
        <f>SUM('INDCONSby Product'!S49,'INDCONSby Product'!S50,'INDCONSby Product'!S61,'INDCONSby Product'!S62,'INDCONSby Product'!S73,'INDCONSby Product'!S74)</f>
        <v>0</v>
      </c>
      <c r="U70" s="629">
        <f>SUM('INDCONSby Product'!T49,'INDCONSby Product'!T50,'INDCONSby Product'!T61,'INDCONSby Product'!T62,'INDCONSby Product'!T73,'INDCONSby Product'!T74)</f>
        <v>0</v>
      </c>
      <c r="V70" s="629">
        <f>SUM('INDCONSby Product'!U49,'INDCONSby Product'!U50,'INDCONSby Product'!U61,'INDCONSby Product'!U62,'INDCONSby Product'!U73,'INDCONSby Product'!U74)</f>
        <v>0</v>
      </c>
      <c r="W70" s="629">
        <f>SUM('INDCONSby Product'!V49,'INDCONSby Product'!V50,'INDCONSby Product'!V61,'INDCONSby Product'!V62,'INDCONSby Product'!V73,'INDCONSby Product'!V74)</f>
        <v>0</v>
      </c>
      <c r="X70" s="629">
        <f>SUM('INDCONSby Product'!W49,'INDCONSby Product'!W50,'INDCONSby Product'!W61,'INDCONSby Product'!W62,'INDCONSby Product'!W73,'INDCONSby Product'!W74)</f>
        <v>0</v>
      </c>
      <c r="Y70" s="629">
        <f>SUM('INDCONSby Product'!X49,'INDCONSby Product'!X50,'INDCONSby Product'!X61,'INDCONSby Product'!X62,'INDCONSby Product'!X73,'INDCONSby Product'!X74)</f>
        <v>8.734</v>
      </c>
      <c r="Z70" s="629">
        <f>SUM('INDCONSby Product'!Y49,'INDCONSby Product'!Y50,'INDCONSby Product'!Y61,'INDCONSby Product'!Y62,'INDCONSby Product'!Y73,'INDCONSby Product'!Y74)</f>
        <v>0</v>
      </c>
      <c r="AA70" s="629">
        <f>SUM('INDCONSby Product'!Z49,'INDCONSby Product'!Z50,'INDCONSby Product'!Z61,'INDCONSby Product'!Z62,'INDCONSby Product'!Z73,'INDCONSby Product'!Z74)</f>
        <v>2.081</v>
      </c>
      <c r="AB70" s="629">
        <f>SUM('INDCONSby Product'!AA49,'INDCONSby Product'!AA50,'INDCONSby Product'!AA61,'INDCONSby Product'!AA62,'INDCONSby Product'!AA73,'INDCONSby Product'!AA74)</f>
        <v>0</v>
      </c>
      <c r="AC70" s="629">
        <f>SUM('INDCONSby Product'!AB49,'INDCONSby Product'!AB50,'INDCONSby Product'!AB61,'INDCONSby Product'!AB62,'INDCONSby Product'!AB73,'INDCONSby Product'!AB74)</f>
        <v>9.1999999999999998E-2</v>
      </c>
      <c r="AD70" s="629">
        <f>SUM('INDCONSby Product'!AC49,'INDCONSby Product'!AC50,'INDCONSby Product'!AC61,'INDCONSby Product'!AC62,'INDCONSby Product'!AC73,'INDCONSby Product'!AC74)</f>
        <v>0.66</v>
      </c>
      <c r="AE70" s="629">
        <f>SUM('INDCONSby Product'!AD49,'INDCONSby Product'!AD50,'INDCONSby Product'!AD61,'INDCONSby Product'!AD62,'INDCONSby Product'!AD73,'INDCONSby Product'!AD74)</f>
        <v>1.9677960000000001</v>
      </c>
      <c r="AF70" s="629">
        <f>SUM('INDCONSby Product'!AE49,'INDCONSby Product'!AE50,'INDCONSby Product'!AE61,'INDCONSby Product'!AE62,'INDCONSby Product'!AE73,'INDCONSby Product'!AE74)</f>
        <v>5.5070439999999996</v>
      </c>
      <c r="AG70" s="629">
        <f>SUM('INDCONSby Product'!AF49,'INDCONSby Product'!AF50,'INDCONSby Product'!AF61,'INDCONSby Product'!AF62,'INDCONSby Product'!AF73,'INDCONSby Product'!AF74)</f>
        <v>0</v>
      </c>
      <c r="AH70" s="629">
        <f>SUM('INDCONSby Product'!AG49,'INDCONSby Product'!AG50,'INDCONSby Product'!AG61,'INDCONSby Product'!AG62,'INDCONSby Product'!AG73,'INDCONSby Product'!AG74)</f>
        <v>0</v>
      </c>
      <c r="AI70" s="509"/>
      <c r="AJ70" s="165"/>
      <c r="AK70" s="165"/>
      <c r="AL70" s="165"/>
      <c r="AM70" s="165"/>
      <c r="AN70" s="165"/>
      <c r="AO70" s="165"/>
      <c r="AP70" s="165"/>
      <c r="AQ70" s="165"/>
      <c r="AR70" s="165"/>
      <c r="AS70" s="165"/>
      <c r="AT70" s="165"/>
      <c r="AU70" s="165"/>
      <c r="AV70" s="165"/>
      <c r="AW70" s="165"/>
      <c r="AX70" s="165"/>
      <c r="AY70" s="165"/>
    </row>
    <row r="71" spans="1:51" s="164" customFormat="1">
      <c r="A71" s="593"/>
      <c r="B71" s="593"/>
      <c r="C71" s="629" t="s">
        <v>962</v>
      </c>
      <c r="D71" s="629">
        <f>SUM(E71:AI71)</f>
        <v>60.175779441938381</v>
      </c>
      <c r="E71" s="629">
        <f t="shared" ref="E71:AH71" si="28">IF((E69-E70)&lt;0,0,E69-E70)</f>
        <v>0</v>
      </c>
      <c r="F71" s="629">
        <f t="shared" si="28"/>
        <v>0</v>
      </c>
      <c r="G71" s="629">
        <f t="shared" si="28"/>
        <v>0</v>
      </c>
      <c r="H71" s="629">
        <f t="shared" si="28"/>
        <v>0</v>
      </c>
      <c r="I71" s="629">
        <f t="shared" si="28"/>
        <v>1.0919999999999999</v>
      </c>
      <c r="J71" s="629">
        <f t="shared" si="28"/>
        <v>13.647</v>
      </c>
      <c r="K71" s="629">
        <f t="shared" si="28"/>
        <v>12.191999999999998</v>
      </c>
      <c r="L71" s="629">
        <f t="shared" si="28"/>
        <v>0</v>
      </c>
      <c r="M71" s="629">
        <f t="shared" si="28"/>
        <v>0.374</v>
      </c>
      <c r="N71" s="629">
        <f t="shared" si="28"/>
        <v>0</v>
      </c>
      <c r="O71" s="629">
        <f t="shared" si="28"/>
        <v>13.590999999999999</v>
      </c>
      <c r="P71" s="629">
        <f t="shared" si="28"/>
        <v>0.16600000000000001</v>
      </c>
      <c r="Q71" s="629">
        <f t="shared" si="28"/>
        <v>0</v>
      </c>
      <c r="R71" s="629">
        <f t="shared" si="28"/>
        <v>0.10100000000000001</v>
      </c>
      <c r="S71" s="629">
        <f t="shared" si="28"/>
        <v>0</v>
      </c>
      <c r="T71" s="629">
        <f t="shared" si="28"/>
        <v>0.01</v>
      </c>
      <c r="U71" s="629">
        <f t="shared" si="28"/>
        <v>0.113</v>
      </c>
      <c r="V71" s="629">
        <f t="shared" si="28"/>
        <v>0.151</v>
      </c>
      <c r="W71" s="629">
        <f t="shared" si="28"/>
        <v>0</v>
      </c>
      <c r="X71" s="629">
        <f t="shared" si="28"/>
        <v>9.6920000000000002</v>
      </c>
      <c r="Y71" s="629">
        <f t="shared" si="28"/>
        <v>0</v>
      </c>
      <c r="Z71" s="629">
        <f t="shared" si="28"/>
        <v>8.8999999999999996E-2</v>
      </c>
      <c r="AA71" s="629">
        <f t="shared" si="28"/>
        <v>0</v>
      </c>
      <c r="AB71" s="629">
        <f t="shared" si="28"/>
        <v>4.0000000000000001E-3</v>
      </c>
      <c r="AC71" s="629">
        <f t="shared" si="28"/>
        <v>0.03</v>
      </c>
      <c r="AD71" s="629">
        <f t="shared" si="28"/>
        <v>3.1999999999999917E-2</v>
      </c>
      <c r="AE71" s="629">
        <f t="shared" si="28"/>
        <v>3.9982040000000003</v>
      </c>
      <c r="AF71" s="629">
        <f>IF((AF69-AF70)&lt;0,0,AF69-AF70)</f>
        <v>4.8935754419383946</v>
      </c>
      <c r="AG71" s="629">
        <f t="shared" si="28"/>
        <v>0</v>
      </c>
      <c r="AH71" s="629">
        <f t="shared" si="28"/>
        <v>0</v>
      </c>
      <c r="AI71" s="509"/>
      <c r="AJ71" s="165"/>
      <c r="AK71" s="165"/>
      <c r="AL71" s="165"/>
      <c r="AM71" s="165"/>
      <c r="AN71" s="165"/>
      <c r="AO71" s="165"/>
      <c r="AP71" s="165"/>
      <c r="AQ71" s="165"/>
      <c r="AR71" s="165"/>
      <c r="AS71" s="165"/>
      <c r="AT71" s="165"/>
      <c r="AU71" s="165"/>
      <c r="AV71" s="165"/>
      <c r="AW71" s="165"/>
      <c r="AX71" s="165"/>
      <c r="AY71" s="165"/>
    </row>
    <row r="72" spans="1:51" s="164" customFormat="1">
      <c r="A72" s="593"/>
      <c r="B72" s="593"/>
      <c r="C72" s="618"/>
      <c r="D72" s="610"/>
      <c r="E72" s="606"/>
      <c r="F72" s="606"/>
      <c r="G72" s="606"/>
      <c r="H72" s="606"/>
      <c r="I72" s="606"/>
      <c r="J72" s="606"/>
      <c r="K72" s="606"/>
      <c r="L72" s="606"/>
      <c r="M72" s="606"/>
      <c r="N72" s="606"/>
      <c r="O72" s="606"/>
      <c r="P72" s="606"/>
      <c r="Q72" s="606"/>
      <c r="R72" s="606"/>
      <c r="S72" s="606"/>
      <c r="T72" s="606"/>
      <c r="U72" s="606"/>
      <c r="V72" s="606"/>
      <c r="W72" s="606"/>
      <c r="X72" s="606"/>
      <c r="Y72" s="606"/>
      <c r="Z72" s="606"/>
      <c r="AA72" s="606"/>
      <c r="AB72" s="606"/>
      <c r="AC72" s="606"/>
      <c r="AD72" s="606"/>
      <c r="AE72" s="606"/>
      <c r="AF72" s="606"/>
      <c r="AG72" s="606"/>
      <c r="AH72" s="606"/>
      <c r="AI72" s="165"/>
      <c r="AJ72" s="165"/>
      <c r="AK72" s="165"/>
      <c r="AL72" s="165"/>
      <c r="AM72" s="165"/>
      <c r="AN72" s="165"/>
      <c r="AO72" s="165"/>
      <c r="AP72" s="165"/>
      <c r="AQ72" s="165"/>
      <c r="AR72" s="165"/>
      <c r="AS72" s="165"/>
      <c r="AT72" s="165"/>
      <c r="AU72" s="165"/>
      <c r="AV72" s="165"/>
      <c r="AW72" s="165"/>
      <c r="AX72" s="165"/>
    </row>
    <row r="73" spans="1:51" s="164" customFormat="1">
      <c r="A73" s="593"/>
      <c r="B73" s="593"/>
      <c r="C73" s="618"/>
      <c r="D73" s="624"/>
      <c r="E73" s="625"/>
      <c r="F73" s="625"/>
      <c r="G73" s="625"/>
      <c r="H73" s="625"/>
      <c r="I73" s="625"/>
      <c r="J73" s="625"/>
      <c r="K73" s="625"/>
      <c r="L73" s="625"/>
      <c r="M73" s="625"/>
      <c r="N73" s="625"/>
      <c r="O73" s="625"/>
      <c r="P73" s="625"/>
      <c r="Q73" s="625"/>
      <c r="R73" s="625"/>
      <c r="S73" s="625"/>
      <c r="T73" s="625"/>
      <c r="U73" s="625"/>
      <c r="V73" s="625"/>
      <c r="W73" s="625"/>
      <c r="X73" s="625"/>
      <c r="Y73" s="625"/>
      <c r="Z73" s="625"/>
      <c r="AA73" s="625"/>
      <c r="AB73" s="625"/>
      <c r="AC73" s="625"/>
      <c r="AD73" s="625"/>
      <c r="AE73" s="625"/>
      <c r="AF73" s="625"/>
      <c r="AG73" s="625"/>
      <c r="AH73" s="625"/>
      <c r="AI73" s="165"/>
      <c r="AJ73" s="165"/>
      <c r="AK73" s="165"/>
      <c r="AL73" s="165"/>
      <c r="AM73" s="165"/>
      <c r="AN73" s="165"/>
      <c r="AO73" s="165"/>
      <c r="AP73" s="165"/>
      <c r="AQ73" s="165"/>
      <c r="AR73" s="165"/>
      <c r="AS73" s="165"/>
      <c r="AT73" s="165"/>
      <c r="AU73" s="165"/>
      <c r="AV73" s="165"/>
      <c r="AW73" s="165"/>
      <c r="AX73" s="165"/>
    </row>
    <row r="74" spans="1:51" s="164" customFormat="1" ht="13.5" thickBot="1">
      <c r="A74" s="593" t="s">
        <v>998</v>
      </c>
      <c r="B74" s="593"/>
      <c r="C74" s="626" t="s">
        <v>1017</v>
      </c>
      <c r="D74" s="627">
        <f>SUM(E74:AH74)</f>
        <v>3138.6681091145642</v>
      </c>
      <c r="E74" s="628">
        <f t="shared" ref="E74:AE74" si="29">E80*(1+E115)</f>
        <v>92.511010184042021</v>
      </c>
      <c r="F74" s="628">
        <f t="shared" si="29"/>
        <v>27.745545273571452</v>
      </c>
      <c r="G74" s="628">
        <f t="shared" si="29"/>
        <v>33.171097399347076</v>
      </c>
      <c r="H74" s="628">
        <f t="shared" si="29"/>
        <v>0</v>
      </c>
      <c r="I74" s="628">
        <f t="shared" si="29"/>
        <v>134.29605000000001</v>
      </c>
      <c r="J74" s="628">
        <f t="shared" si="29"/>
        <v>475.6257049567879</v>
      </c>
      <c r="K74" s="628">
        <f t="shared" si="29"/>
        <v>46.713751857022224</v>
      </c>
      <c r="L74" s="628">
        <f t="shared" si="29"/>
        <v>3.0241275845016768</v>
      </c>
      <c r="M74" s="628">
        <f t="shared" si="29"/>
        <v>352.04694227650441</v>
      </c>
      <c r="N74" s="628">
        <f t="shared" si="29"/>
        <v>211.16663577105373</v>
      </c>
      <c r="O74" s="628">
        <f t="shared" si="29"/>
        <v>318.88552853993593</v>
      </c>
      <c r="P74" s="628">
        <f t="shared" si="29"/>
        <v>18.540395166798003</v>
      </c>
      <c r="Q74" s="628">
        <f t="shared" si="29"/>
        <v>13.64226685224131</v>
      </c>
      <c r="R74" s="628">
        <f t="shared" si="29"/>
        <v>10.148501499565155</v>
      </c>
      <c r="S74" s="628">
        <f t="shared" si="29"/>
        <v>271.06734229814737</v>
      </c>
      <c r="T74" s="628">
        <f t="shared" si="29"/>
        <v>11.372222222222222</v>
      </c>
      <c r="U74" s="628">
        <f t="shared" si="29"/>
        <v>4.0650026746140906</v>
      </c>
      <c r="V74" s="628">
        <f t="shared" si="29"/>
        <v>1.8627750939345145</v>
      </c>
      <c r="W74" s="628">
        <f t="shared" si="29"/>
        <v>0</v>
      </c>
      <c r="X74" s="628">
        <f t="shared" si="29"/>
        <v>231.31731740820121</v>
      </c>
      <c r="Y74" s="628">
        <f t="shared" si="29"/>
        <v>265.16239192753125</v>
      </c>
      <c r="Z74" s="628">
        <f t="shared" si="29"/>
        <v>62.497414491141583</v>
      </c>
      <c r="AA74" s="628">
        <f t="shared" si="29"/>
        <v>32.147999999999996</v>
      </c>
      <c r="AB74" s="628">
        <f t="shared" si="29"/>
        <v>108.27923809158746</v>
      </c>
      <c r="AC74" s="628">
        <f t="shared" si="29"/>
        <v>12.144853068779106</v>
      </c>
      <c r="AD74" s="628">
        <f t="shared" si="29"/>
        <v>32.241500000000002</v>
      </c>
      <c r="AE74" s="628">
        <f t="shared" si="29"/>
        <v>294.48045898354093</v>
      </c>
      <c r="AF74" s="628">
        <f>AF63/AF77</f>
        <v>74.512035493494025</v>
      </c>
      <c r="AG74" s="628">
        <f>AG80*(1+AG115)</f>
        <v>0</v>
      </c>
      <c r="AH74" s="628">
        <f>AH80*(1+AH115)</f>
        <v>0</v>
      </c>
      <c r="AI74" s="165"/>
      <c r="AJ74" s="165"/>
      <c r="AK74" s="165"/>
      <c r="AL74" s="165"/>
      <c r="AM74" s="165"/>
      <c r="AN74" s="165"/>
      <c r="AO74" s="165"/>
      <c r="AP74" s="165"/>
      <c r="AQ74" s="165"/>
      <c r="AR74" s="165"/>
      <c r="AS74" s="165"/>
      <c r="AT74" s="165"/>
      <c r="AU74" s="165"/>
      <c r="AV74" s="165"/>
      <c r="AW74" s="165"/>
      <c r="AX74" s="165"/>
    </row>
    <row r="75" spans="1:51" s="502" customFormat="1">
      <c r="A75" s="593" t="s">
        <v>1008</v>
      </c>
      <c r="B75" s="593"/>
      <c r="C75" s="616" t="s">
        <v>1018</v>
      </c>
      <c r="D75" s="629" t="e">
        <f>SUM(E75:AH75)</f>
        <v>#REF!</v>
      </c>
      <c r="E75" s="616">
        <f>'Eurostat Resume'!F61</f>
        <v>13.792</v>
      </c>
      <c r="F75" s="616">
        <f>'Eurostat Resume'!G61</f>
        <v>5.0650000000000004</v>
      </c>
      <c r="G75" s="616">
        <f>'Eurostat Resume'!H61</f>
        <v>5.3319999999999999</v>
      </c>
      <c r="H75" s="616">
        <f>'Eurostat Resume'!I61</f>
        <v>0.10100000000000001</v>
      </c>
      <c r="I75" s="616">
        <f>'Eurostat Resume'!J61</f>
        <v>31.997</v>
      </c>
      <c r="J75" s="616">
        <f>'Eurostat Resume'!K61</f>
        <v>85.287999999999997</v>
      </c>
      <c r="K75" s="616">
        <f>'Eurostat Resume'!L61</f>
        <v>10.346</v>
      </c>
      <c r="L75" s="616">
        <f>'Eurostat Resume'!M61</f>
        <v>0.41399999999999998</v>
      </c>
      <c r="M75" s="616">
        <f>'Eurostat Resume'!N61</f>
        <v>121.345</v>
      </c>
      <c r="N75" s="616">
        <f>'Eurostat Resume'!O61</f>
        <v>31.986000000000001</v>
      </c>
      <c r="O75" s="616">
        <f>'Eurostat Resume'!P61</f>
        <v>48.2</v>
      </c>
      <c r="P75" s="616">
        <f>'Eurostat Resume'!Q61</f>
        <v>3.823</v>
      </c>
      <c r="Q75" s="616">
        <f>'Eurostat Resume'!R61</f>
        <v>1.472</v>
      </c>
      <c r="R75" s="616">
        <f>'Eurostat Resume'!S61</f>
        <v>2.2679999999999998</v>
      </c>
      <c r="S75" s="616">
        <f>'Eurostat Resume'!T61</f>
        <v>62.783999999999999</v>
      </c>
      <c r="T75" s="616">
        <f>'Eurostat Resume'!U61</f>
        <v>0.623</v>
      </c>
      <c r="U75" s="616">
        <f>'Eurostat Resume'!V61</f>
        <v>1.21</v>
      </c>
      <c r="V75" s="616">
        <f>'Eurostat Resume'!W61</f>
        <v>0.28100000000000003</v>
      </c>
      <c r="W75" s="616">
        <f>'Eurostat Resume'!X61</f>
        <v>0</v>
      </c>
      <c r="X75" s="616">
        <f>'Eurostat Resume'!Y61</f>
        <v>45.713000000000001</v>
      </c>
      <c r="Y75" s="616">
        <f>'Eurostat Resume'!Z61</f>
        <v>29.245999999999999</v>
      </c>
      <c r="Z75" s="616">
        <f>'Eurostat Resume'!AA61</f>
        <v>17.536000000000001</v>
      </c>
      <c r="AA75" s="616">
        <f>'Eurostat Resume'!AB61</f>
        <v>7.8659999999999997</v>
      </c>
      <c r="AB75" s="616">
        <f>'Eurostat Resume'!AC61</f>
        <v>16.934000000000001</v>
      </c>
      <c r="AC75" s="616">
        <f>'Eurostat Resume'!AD61</f>
        <v>1.278</v>
      </c>
      <c r="AD75" s="616">
        <f>'Eurostat Resume'!AE61</f>
        <v>8.3699999999999992</v>
      </c>
      <c r="AE75" s="616">
        <f>'Eurostat Resume'!AF61</f>
        <v>97.927000000000007</v>
      </c>
      <c r="AF75" s="616">
        <f>'Eurostat Resume'!AG61</f>
        <v>10.183999999999999</v>
      </c>
      <c r="AG75" s="616" t="e">
        <f>#REF!*#REF!</f>
        <v>#REF!</v>
      </c>
      <c r="AH75" s="616">
        <f>'Eurostat Resume'!AI61</f>
        <v>0</v>
      </c>
      <c r="AI75" s="575"/>
      <c r="AJ75" s="575">
        <v>8.4573359999999997</v>
      </c>
      <c r="AK75" s="575"/>
      <c r="AL75" s="575"/>
      <c r="AM75" s="575"/>
      <c r="AN75" s="575"/>
      <c r="AO75" s="575"/>
      <c r="AP75" s="575"/>
      <c r="AQ75" s="575"/>
      <c r="AR75" s="575"/>
      <c r="AS75" s="575"/>
      <c r="AT75" s="575"/>
      <c r="AU75" s="575"/>
      <c r="AV75" s="575"/>
      <c r="AW75" s="575"/>
      <c r="AX75" s="575"/>
    </row>
    <row r="76" spans="1:51" s="164" customFormat="1" ht="13.5" customHeight="1">
      <c r="A76" s="593" t="s">
        <v>1009</v>
      </c>
      <c r="B76" s="593"/>
      <c r="C76" s="617" t="s">
        <v>1019</v>
      </c>
      <c r="D76" s="630">
        <f>SUM(E76:AH76)</f>
        <v>1650.1591000000001</v>
      </c>
      <c r="E76" s="617">
        <f t="shared" ref="E76:AE76" si="30">E37*E35</f>
        <v>65.239800000000002</v>
      </c>
      <c r="F76" s="617">
        <f t="shared" si="30"/>
        <v>49.107300000000002</v>
      </c>
      <c r="G76" s="617">
        <f t="shared" si="30"/>
        <v>16.480799999999999</v>
      </c>
      <c r="H76" s="617">
        <f t="shared" si="30"/>
        <v>0.1</v>
      </c>
      <c r="I76" s="617">
        <f t="shared" si="30"/>
        <v>48.977499999999992</v>
      </c>
      <c r="J76" s="617">
        <f t="shared" si="30"/>
        <v>287.09999999999997</v>
      </c>
      <c r="K76" s="617">
        <f t="shared" si="30"/>
        <v>66.64</v>
      </c>
      <c r="L76" s="617">
        <f t="shared" si="30"/>
        <v>2.1964999999999995</v>
      </c>
      <c r="M76" s="617">
        <f t="shared" si="30"/>
        <v>192.5</v>
      </c>
      <c r="N76" s="617">
        <f t="shared" si="30"/>
        <v>123.25</v>
      </c>
      <c r="O76" s="617">
        <f t="shared" si="30"/>
        <v>153.34359999999998</v>
      </c>
      <c r="P76" s="617">
        <f t="shared" si="30"/>
        <v>7.5465999999999998</v>
      </c>
      <c r="Q76" s="617">
        <f t="shared" si="30"/>
        <v>8.247600000000002</v>
      </c>
      <c r="R76" s="617">
        <f t="shared" si="30"/>
        <v>4.4000000000000004</v>
      </c>
      <c r="S76" s="617">
        <f t="shared" si="30"/>
        <v>116.63239999999999</v>
      </c>
      <c r="T76" s="617">
        <f t="shared" si="30"/>
        <v>5.1739999999999995</v>
      </c>
      <c r="U76" s="617">
        <f t="shared" si="30"/>
        <v>1.2</v>
      </c>
      <c r="V76" s="617">
        <f t="shared" si="30"/>
        <v>0.83299999999999941</v>
      </c>
      <c r="W76" s="617">
        <f t="shared" si="30"/>
        <v>0</v>
      </c>
      <c r="X76" s="617">
        <f t="shared" si="30"/>
        <v>88.12</v>
      </c>
      <c r="Y76" s="617">
        <f t="shared" si="30"/>
        <v>105.75359999999999</v>
      </c>
      <c r="Z76" s="617">
        <f t="shared" si="30"/>
        <v>31.945600000000002</v>
      </c>
      <c r="AA76" s="617">
        <f t="shared" si="30"/>
        <v>13.833000000000002</v>
      </c>
      <c r="AB76" s="617">
        <f t="shared" si="30"/>
        <v>68.473199999999991</v>
      </c>
      <c r="AC76" s="617">
        <f t="shared" si="30"/>
        <v>7.3650000000000002</v>
      </c>
      <c r="AD76" s="617">
        <f t="shared" si="30"/>
        <v>14.019200000000003</v>
      </c>
      <c r="AE76" s="617">
        <f t="shared" si="30"/>
        <v>171.68039999999999</v>
      </c>
      <c r="AF76" s="617"/>
      <c r="AG76" s="617"/>
      <c r="AH76" s="617"/>
      <c r="AI76" s="165"/>
      <c r="AJ76" s="165"/>
      <c r="AK76" s="165"/>
      <c r="AL76" s="165"/>
      <c r="AM76" s="165"/>
      <c r="AN76" s="165"/>
      <c r="AO76" s="165"/>
      <c r="AP76" s="165"/>
      <c r="AQ76" s="165"/>
      <c r="AR76" s="165"/>
      <c r="AS76" s="165"/>
      <c r="AT76" s="165"/>
      <c r="AU76" s="165"/>
      <c r="AV76" s="165"/>
      <c r="AW76" s="165"/>
      <c r="AX76" s="165"/>
    </row>
    <row r="77" spans="1:51" s="164" customFormat="1" ht="13.5" customHeight="1">
      <c r="A77" s="593" t="s">
        <v>1315</v>
      </c>
      <c r="B77" s="593"/>
      <c r="C77" s="617" t="s">
        <v>1318</v>
      </c>
      <c r="D77" s="630">
        <f>AVERAGE(E77:AE77)</f>
        <v>0.47685483724523953</v>
      </c>
      <c r="E77" s="617">
        <f>E63/E74</f>
        <v>0.2443492937222225</v>
      </c>
      <c r="F77" s="617">
        <f t="shared" ref="F77:AE77" si="31">F63/F74</f>
        <v>0.48631230227983763</v>
      </c>
      <c r="G77" s="617">
        <f t="shared" si="31"/>
        <v>0.44158924932909588</v>
      </c>
      <c r="H77" s="617"/>
      <c r="I77" s="617">
        <f t="shared" si="31"/>
        <v>0.51142233892955158</v>
      </c>
      <c r="J77" s="617">
        <f t="shared" si="31"/>
        <v>0.6622392286989971</v>
      </c>
      <c r="K77" s="617">
        <f t="shared" si="31"/>
        <v>0.82823576488609418</v>
      </c>
      <c r="L77" s="617">
        <f t="shared" si="31"/>
        <v>0.26883786390711029</v>
      </c>
      <c r="M77" s="617">
        <f t="shared" si="31"/>
        <v>0.48702311939223136</v>
      </c>
      <c r="N77" s="617">
        <f t="shared" si="31"/>
        <v>0.25167801630187797</v>
      </c>
      <c r="O77" s="617">
        <f t="shared" si="31"/>
        <v>0.48544692733089395</v>
      </c>
      <c r="P77" s="617">
        <f t="shared" si="31"/>
        <v>5.2803621022770086E-2</v>
      </c>
      <c r="Q77" s="617">
        <f t="shared" si="31"/>
        <v>0.22914080437346263</v>
      </c>
      <c r="R77" s="617">
        <f t="shared" si="31"/>
        <v>0.4379956982014005</v>
      </c>
      <c r="S77" s="617">
        <f t="shared" si="31"/>
        <v>0.95784685015438153</v>
      </c>
      <c r="T77" s="617">
        <f t="shared" si="31"/>
        <v>0.11985344406448462</v>
      </c>
      <c r="U77" s="617">
        <f t="shared" si="31"/>
        <v>1.2765059251757112</v>
      </c>
      <c r="V77" s="617">
        <f t="shared" si="31"/>
        <v>0.41819326580892413</v>
      </c>
      <c r="W77" s="617"/>
      <c r="X77" s="617">
        <f t="shared" si="31"/>
        <v>0.32601104337952314</v>
      </c>
      <c r="Y77" s="617">
        <f t="shared" si="31"/>
        <v>0.33546235328994367</v>
      </c>
      <c r="Z77" s="617">
        <f t="shared" si="31"/>
        <v>0.57339972048090748</v>
      </c>
      <c r="AA77" s="617">
        <f t="shared" si="31"/>
        <v>0.77298743312181173</v>
      </c>
      <c r="AB77" s="617">
        <f t="shared" si="31"/>
        <v>0.51223116247905298</v>
      </c>
      <c r="AC77" s="617">
        <f t="shared" si="31"/>
        <v>0.18666343570905763</v>
      </c>
      <c r="AD77" s="617">
        <f t="shared" si="31"/>
        <v>0.46852658840314504</v>
      </c>
      <c r="AE77" s="617">
        <f t="shared" si="31"/>
        <v>0.58661548068850011</v>
      </c>
      <c r="AF77" s="731">
        <f>D77</f>
        <v>0.47685483724523953</v>
      </c>
      <c r="AG77" s="617"/>
      <c r="AH77" s="617"/>
      <c r="AI77" s="165"/>
      <c r="AJ77" s="165"/>
      <c r="AK77" s="165"/>
      <c r="AL77" s="165"/>
      <c r="AM77" s="165"/>
      <c r="AN77" s="165"/>
      <c r="AO77" s="165"/>
      <c r="AP77" s="165"/>
      <c r="AQ77" s="165"/>
      <c r="AR77" s="165"/>
      <c r="AS77" s="165"/>
      <c r="AT77" s="165"/>
      <c r="AU77" s="165"/>
      <c r="AV77" s="165"/>
      <c r="AW77" s="165"/>
      <c r="AX77" s="165"/>
    </row>
    <row r="78" spans="1:51" s="164" customFormat="1">
      <c r="A78" s="593"/>
      <c r="B78" s="593"/>
      <c r="C78" s="617"/>
      <c r="D78" s="630"/>
      <c r="E78" s="617"/>
      <c r="F78" s="617"/>
      <c r="G78" s="617"/>
      <c r="H78" s="617"/>
      <c r="I78" s="617"/>
      <c r="J78" s="617"/>
      <c r="K78" s="617"/>
      <c r="L78" s="617"/>
      <c r="M78" s="617"/>
      <c r="N78" s="617"/>
      <c r="O78" s="617"/>
      <c r="P78" s="617"/>
      <c r="Q78" s="617"/>
      <c r="R78" s="617"/>
      <c r="S78" s="617"/>
      <c r="T78" s="617"/>
      <c r="U78" s="617"/>
      <c r="V78" s="617"/>
      <c r="W78" s="617"/>
      <c r="X78" s="617"/>
      <c r="Y78" s="617"/>
      <c r="Z78" s="617"/>
      <c r="AA78" s="617"/>
      <c r="AB78" s="617"/>
      <c r="AC78" s="617"/>
      <c r="AD78" s="617"/>
      <c r="AE78" s="617"/>
      <c r="AF78" s="617"/>
      <c r="AG78" s="617"/>
      <c r="AH78" s="617"/>
      <c r="AI78" s="165"/>
      <c r="AJ78" s="165"/>
      <c r="AK78" s="165"/>
      <c r="AL78" s="165"/>
      <c r="AM78" s="165"/>
      <c r="AN78" s="165"/>
      <c r="AO78" s="165"/>
      <c r="AP78" s="165"/>
      <c r="AQ78" s="165"/>
      <c r="AR78" s="165"/>
      <c r="AS78" s="165"/>
      <c r="AT78" s="165"/>
      <c r="AU78" s="165"/>
      <c r="AV78" s="165"/>
      <c r="AW78" s="165"/>
      <c r="AX78" s="165"/>
    </row>
    <row r="79" spans="1:51" s="164" customFormat="1">
      <c r="A79" s="593"/>
      <c r="B79" s="593"/>
      <c r="C79" s="617"/>
      <c r="D79" s="630"/>
      <c r="E79" s="617"/>
      <c r="F79" s="617"/>
      <c r="G79" s="617"/>
      <c r="H79" s="617"/>
      <c r="I79" s="617"/>
      <c r="J79" s="617"/>
      <c r="K79" s="617"/>
      <c r="L79" s="617"/>
      <c r="M79" s="617"/>
      <c r="N79" s="617"/>
      <c r="O79" s="617"/>
      <c r="P79" s="617"/>
      <c r="Q79" s="617"/>
      <c r="R79" s="617"/>
      <c r="S79" s="617"/>
      <c r="T79" s="617"/>
      <c r="U79" s="617"/>
      <c r="V79" s="617"/>
      <c r="W79" s="617"/>
      <c r="X79" s="617"/>
      <c r="Y79" s="617"/>
      <c r="Z79" s="617"/>
      <c r="AA79" s="617"/>
      <c r="AB79" s="617"/>
      <c r="AC79" s="617"/>
      <c r="AD79" s="617"/>
      <c r="AE79" s="617"/>
      <c r="AF79" s="617"/>
      <c r="AG79" s="617"/>
      <c r="AH79" s="617"/>
      <c r="AI79" s="165"/>
      <c r="AJ79" s="165"/>
      <c r="AK79" s="165"/>
      <c r="AL79" s="165"/>
      <c r="AM79" s="165"/>
      <c r="AN79" s="165"/>
      <c r="AO79" s="165"/>
      <c r="AP79" s="165"/>
      <c r="AQ79" s="165"/>
      <c r="AR79" s="165"/>
      <c r="AS79" s="165"/>
      <c r="AT79" s="165"/>
      <c r="AU79" s="165"/>
      <c r="AV79" s="165"/>
      <c r="AW79" s="165"/>
      <c r="AX79" s="165"/>
    </row>
    <row r="80" spans="1:51" s="164" customFormat="1">
      <c r="A80" s="593" t="s">
        <v>1009</v>
      </c>
      <c r="B80" s="593">
        <v>2002</v>
      </c>
      <c r="C80" s="631" t="s">
        <v>1030</v>
      </c>
      <c r="D80" s="610">
        <f>SUM(E80:AH80)</f>
        <v>3054.7059413444699</v>
      </c>
      <c r="E80" s="610">
        <f>'CHP2002By cycle'!H734/1000</f>
        <v>120.48737797100002</v>
      </c>
      <c r="F80" s="610">
        <f>'CHP2002By cycle'!H34/1000</f>
        <v>36.288940365905766</v>
      </c>
      <c r="G80" s="610">
        <f>'CHP2002By cycle'!H1295/1000</f>
        <v>31.919086304647998</v>
      </c>
      <c r="H80" s="610">
        <v>0</v>
      </c>
      <c r="I80" s="610">
        <f>'CHP2002By cycle'!H1365/1000</f>
        <v>127.901</v>
      </c>
      <c r="J80" s="610">
        <f>'CHP2002By cycle'!H174/1000</f>
        <v>460.46600000000001</v>
      </c>
      <c r="K80" s="610">
        <f>'CHP2002By cycle'!H104/1000</f>
        <v>43.199609862983998</v>
      </c>
      <c r="L80" s="610">
        <f>'CHP2002By cycle'!H1435/1000</f>
        <v>3.9350999999999998</v>
      </c>
      <c r="M80" s="610">
        <f>'CHP2002By cycle'!H314/1000</f>
        <v>352.04694227650441</v>
      </c>
      <c r="N80" s="610">
        <f>'CHP2002By cycle'!H874/1000</f>
        <v>253.99488331428572</v>
      </c>
      <c r="O80" s="610">
        <f>'CHP2002By cycle'!H384/1000</f>
        <v>279.61753320000003</v>
      </c>
      <c r="P80" s="610">
        <f>'CHP2002By cycle'!H244/1000</f>
        <v>18.462799999999998</v>
      </c>
      <c r="Q80" s="610">
        <f>'CHP2002By cycle'!H1505/1000</f>
        <v>14.512726153999997</v>
      </c>
      <c r="R80" s="610">
        <f>'CHP2002By cycle'!H454/1000</f>
        <v>10.056192103999999</v>
      </c>
      <c r="S80" s="610">
        <f>'CHP2002By cycle'!H524/1000</f>
        <v>269.31099999999998</v>
      </c>
      <c r="T80" s="610">
        <f>'CHP2002By cycle'!H1645/1000</f>
        <v>1.38</v>
      </c>
      <c r="U80" s="610">
        <f>'CHP2002By cycle'!H594/1000</f>
        <v>3.5169999999999999</v>
      </c>
      <c r="V80" s="610">
        <f>'CHP2002By cycle'!H1575/1000</f>
        <v>0.98799999999999999</v>
      </c>
      <c r="W80" s="610">
        <v>0</v>
      </c>
      <c r="X80" s="610">
        <f>'CHP2002By cycle'!H664/1000</f>
        <v>170.50778830000002</v>
      </c>
      <c r="Y80" s="610">
        <f>'CHP2002By cycle'!H1715/1000</f>
        <v>253.024</v>
      </c>
      <c r="Z80" s="610">
        <f>'CHP2002By cycle'!H804/1000</f>
        <v>62.497414491141583</v>
      </c>
      <c r="AA80" s="610">
        <f>'CHP2002By cycle'!H1785/1000</f>
        <v>21.431999999999999</v>
      </c>
      <c r="AB80" s="610">
        <f>'CHP2002By cycle'!H944/1000</f>
        <v>100.087</v>
      </c>
      <c r="AC80" s="610">
        <f>'CHP2002By cycle'!H1925/1000</f>
        <v>10.960747</v>
      </c>
      <c r="AD80" s="610">
        <f>'CHP2002By cycle'!H1855/1000</f>
        <v>64.483000000000004</v>
      </c>
      <c r="AE80" s="610">
        <f>'CHP2002By cycle'!H1014/1000</f>
        <v>343.62979999999999</v>
      </c>
      <c r="AF80" s="610">
        <v>0</v>
      </c>
      <c r="AG80" s="610">
        <v>0</v>
      </c>
      <c r="AH80" s="610">
        <v>0</v>
      </c>
      <c r="AI80" s="165"/>
      <c r="AJ80" s="165"/>
      <c r="AK80" s="165"/>
      <c r="AL80" s="165"/>
      <c r="AM80" s="165"/>
      <c r="AN80" s="165"/>
      <c r="AO80" s="165"/>
      <c r="AP80" s="165"/>
      <c r="AQ80" s="165"/>
      <c r="AR80" s="165"/>
      <c r="AS80" s="165"/>
      <c r="AT80" s="165"/>
      <c r="AU80" s="165"/>
      <c r="AV80" s="165"/>
      <c r="AW80" s="165"/>
      <c r="AX80" s="165"/>
    </row>
    <row r="81" spans="1:50" s="164" customFormat="1" ht="12" customHeight="1">
      <c r="A81" s="593" t="s">
        <v>1009</v>
      </c>
      <c r="B81" s="593">
        <v>2002</v>
      </c>
      <c r="C81" s="606" t="s">
        <v>1031</v>
      </c>
      <c r="D81" s="610">
        <f>SUM(E81:AH81)</f>
        <v>607.88355671994896</v>
      </c>
      <c r="E81" s="606">
        <f>'CHP2002By cycle'!E734*3.6/1000</f>
        <v>17.962855596000001</v>
      </c>
      <c r="F81" s="606">
        <f>'CHP2002By cycle'!F34*3.6/1000</f>
        <v>6.6246123888000001</v>
      </c>
      <c r="G81" s="606">
        <f>'CHP2002By cycle'!F1295*3.6/1000</f>
        <v>5.1307487999999992</v>
      </c>
      <c r="H81" s="606">
        <v>0</v>
      </c>
      <c r="I81" s="606">
        <f>'CHP2002By cycle'!F1365*3.6/1000</f>
        <v>23.597999999999999</v>
      </c>
      <c r="J81" s="606">
        <f>'CHP2002By cycle'!F174*3.6/1000</f>
        <v>82.569600000000008</v>
      </c>
      <c r="K81" s="606">
        <f>'CHP2002By cycle'!F104*3.6/1000</f>
        <v>9.5677000000000199</v>
      </c>
      <c r="L81" s="606">
        <f>'CHP2002By cycle'!F1435*3.6/1000</f>
        <v>0.53871120000000006</v>
      </c>
      <c r="M81" s="606">
        <f>'CHP2002By cycle'!F314*3.6/1000</f>
        <v>99.279435600000014</v>
      </c>
      <c r="N81" s="606">
        <f>'CHP2002By cycle'!F874*3.6/1000</f>
        <v>38.473314252631582</v>
      </c>
      <c r="O81" s="606">
        <f>'CHP2002By cycle'!F384*3.6/1000</f>
        <v>42.264586800000004</v>
      </c>
      <c r="P81" s="606">
        <f>'CHP2002By cycle'!F244*3.6/1000</f>
        <v>3.8069999999999999</v>
      </c>
      <c r="Q81" s="606">
        <f>'CHP2002By cycle'!F1505*3.6/1000</f>
        <v>1.5659225208000001</v>
      </c>
      <c r="R81" s="606">
        <f>'CHP2002By cycle'!F454*3.6/1000</f>
        <v>2.2473705790800005</v>
      </c>
      <c r="S81" s="606">
        <f>'CHP2002By cycle'!F524*3.6/1000</f>
        <v>62.377200000000002</v>
      </c>
      <c r="T81" s="606">
        <f>'CHP2002By cycle'!F1645*3.6/1000</f>
        <v>7.5600000000000014E-2</v>
      </c>
      <c r="U81" s="606">
        <f>'CHP2002By cycle'!F594*3.6/1000</f>
        <v>1.04688</v>
      </c>
      <c r="V81" s="606">
        <f>'CHP2002By cycle'!F1575*3.6/1000</f>
        <v>0.14904000000000001</v>
      </c>
      <c r="W81" s="606">
        <v>0</v>
      </c>
      <c r="X81" s="606">
        <f>'CHP2002By cycle'!F664*3.6/1000</f>
        <v>33.695802</v>
      </c>
      <c r="Y81" s="606">
        <f>'CHP2002By cycle'!F1715*3.6/1000</f>
        <v>27.9072</v>
      </c>
      <c r="Z81" s="606">
        <f>'CHP2002By cycle'!F804*3.6/1000</f>
        <v>8.2951345826373579</v>
      </c>
      <c r="AA81" s="606">
        <f>'CHP2002By cycle'!F1785*3.6/1000</f>
        <v>1.1262456000000001</v>
      </c>
      <c r="AB81" s="606">
        <f>'CHP2002By cycle'!F944*3.6/1000</f>
        <v>15.652800000000001</v>
      </c>
      <c r="AC81" s="606">
        <f>'CHP2002By cycle'!F1925*3.6/1000</f>
        <v>1.1533967999999999</v>
      </c>
      <c r="AD81" s="606">
        <f>'CHP2002By cycle'!F1855*3.6/1000</f>
        <v>8.5032000000000014</v>
      </c>
      <c r="AE81" s="606">
        <f>'CHP2002By cycle'!F1014*3.6/1000</f>
        <v>114.27119999999999</v>
      </c>
      <c r="AF81" s="606">
        <v>0</v>
      </c>
      <c r="AG81" s="606">
        <v>0</v>
      </c>
      <c r="AH81" s="606">
        <v>0</v>
      </c>
      <c r="AI81" s="165"/>
      <c r="AJ81" s="165"/>
      <c r="AK81" s="165"/>
      <c r="AL81" s="165"/>
      <c r="AM81" s="165"/>
      <c r="AN81" s="165"/>
      <c r="AO81" s="165"/>
      <c r="AP81" s="165"/>
      <c r="AQ81" s="165"/>
      <c r="AR81" s="165"/>
      <c r="AS81" s="165"/>
      <c r="AT81" s="165"/>
      <c r="AU81" s="165"/>
      <c r="AV81" s="165"/>
      <c r="AW81" s="165"/>
      <c r="AX81" s="165"/>
    </row>
    <row r="82" spans="1:50" s="164" customFormat="1">
      <c r="A82" s="593" t="s">
        <v>1009</v>
      </c>
      <c r="B82" s="593">
        <v>2002</v>
      </c>
      <c r="C82" s="606" t="s">
        <v>1032</v>
      </c>
      <c r="D82" s="610">
        <f>SUM(E82:AH82)</f>
        <v>1682.6408890286057</v>
      </c>
      <c r="E82" s="606">
        <f>'CHP2002By cycle'!G734/1000</f>
        <v>57.275287200000008</v>
      </c>
      <c r="F82" s="606">
        <f>'CHP2002By cycle'!G34/1000</f>
        <v>21.375891299999999</v>
      </c>
      <c r="G82" s="606">
        <f>'CHP2002By cycle'!G1295/1000</f>
        <v>15.607591199999998</v>
      </c>
      <c r="H82" s="606">
        <v>0</v>
      </c>
      <c r="I82" s="606">
        <f>'CHP2002By cycle'!G1365/1000</f>
        <v>53.59</v>
      </c>
      <c r="J82" s="606">
        <f>'CHP2002By cycle'!G174/1000</f>
        <v>287.435</v>
      </c>
      <c r="K82" s="606">
        <f>'CHP2002By cycle'!G104/1000</f>
        <v>26.694361902075034</v>
      </c>
      <c r="L82" s="606">
        <f>'CHP2002By cycle'!G1435/1000</f>
        <v>2.2090000000000001</v>
      </c>
      <c r="M82" s="606">
        <f>'CHP2002By cycle'!G314/1000</f>
        <v>160.20621471959996</v>
      </c>
      <c r="N82" s="606">
        <f>'CHP2002By cycle'!G874/1000</f>
        <v>165.10540320000001</v>
      </c>
      <c r="O82" s="606">
        <f>'CHP2002By cycle'!G384/1000</f>
        <v>182.55672000000001</v>
      </c>
      <c r="P82" s="606">
        <f>'CHP2002By cycle'!G244/1000</f>
        <v>9.423</v>
      </c>
      <c r="Q82" s="606">
        <f>'CHP2002By cycle'!G1505/1000</f>
        <v>9.5770050000000015</v>
      </c>
      <c r="R82" s="606">
        <f>'CHP2002By cycle'!G454/1000</f>
        <v>5.4026512220000003</v>
      </c>
      <c r="S82" s="606">
        <f>'CHP2002By cycle'!G524/1000</f>
        <v>133.898</v>
      </c>
      <c r="T82" s="606">
        <f>'CHP2002By cycle'!G1645/1000</f>
        <v>1.014</v>
      </c>
      <c r="U82" s="606">
        <f>'CHP2002By cycle'!G594/1000</f>
        <v>2.097</v>
      </c>
      <c r="V82" s="606">
        <f>'CHP2002By cycle'!G1575/1000</f>
        <v>0.70199999999999996</v>
      </c>
      <c r="W82" s="606">
        <v>0</v>
      </c>
      <c r="X82" s="606">
        <f>'CHP2002By cycle'!G664/1000</f>
        <v>108.102279</v>
      </c>
      <c r="Y82" s="606">
        <f>'CHP2002By cycle'!G1715/1000</f>
        <v>169.75399999999999</v>
      </c>
      <c r="Z82" s="606">
        <f>'CHP2002By cycle'!G804/1000</f>
        <v>39.417076284930737</v>
      </c>
      <c r="AA82" s="606">
        <f>'CHP2002By cycle'!G1785/1000</f>
        <v>14.497988000000003</v>
      </c>
      <c r="AB82" s="606">
        <f>'CHP2002By cycle'!G944/1000</f>
        <v>62.612000000000002</v>
      </c>
      <c r="AC82" s="606">
        <f>'CHP2002By cycle'!G1925/1000</f>
        <v>8.6749199999999984</v>
      </c>
      <c r="AD82" s="606">
        <f>'CHP2002By cycle'!G1855/1000</f>
        <v>5.0039999999999996</v>
      </c>
      <c r="AE82" s="606">
        <f>'CHP2002By cycle'!G1014/1000</f>
        <v>140.40950000000004</v>
      </c>
      <c r="AF82" s="606">
        <v>0</v>
      </c>
      <c r="AG82" s="606">
        <v>0</v>
      </c>
      <c r="AH82" s="606">
        <v>0</v>
      </c>
      <c r="AI82" s="165"/>
      <c r="AJ82" s="165"/>
      <c r="AK82" s="165"/>
      <c r="AL82" s="165"/>
      <c r="AM82" s="165"/>
      <c r="AN82" s="165"/>
      <c r="AO82" s="165"/>
      <c r="AP82" s="165"/>
      <c r="AQ82" s="165"/>
      <c r="AR82" s="165"/>
      <c r="AS82" s="165"/>
      <c r="AT82" s="165"/>
      <c r="AU82" s="165"/>
      <c r="AV82" s="165"/>
      <c r="AW82" s="165"/>
      <c r="AX82" s="165"/>
    </row>
    <row r="83" spans="1:50" s="164" customFormat="1">
      <c r="A83" s="593" t="s">
        <v>1009</v>
      </c>
      <c r="B83" s="593">
        <v>2002</v>
      </c>
      <c r="C83" s="616" t="s">
        <v>1033</v>
      </c>
      <c r="D83" s="610">
        <f>SUM(E83:AH83)</f>
        <v>39.140340265682504</v>
      </c>
      <c r="E83" s="606">
        <f>'CHP2002By cycle'!B734/1000</f>
        <v>1.0389269999999999</v>
      </c>
      <c r="F83" s="606">
        <f>'CHP2002By cycle'!B34/1000</f>
        <v>0.48717980001831052</v>
      </c>
      <c r="G83" s="606">
        <f>'CHP2002By cycle'!B1295/1000</f>
        <v>0.37907000000000002</v>
      </c>
      <c r="H83" s="606">
        <v>0</v>
      </c>
      <c r="I83" s="606">
        <f>'CHP2002By cycle'!B1365/1000</f>
        <v>1.2549999999999999</v>
      </c>
      <c r="J83" s="606">
        <f>'CHP2002By cycle'!B174/1000</f>
        <v>14.170999999999999</v>
      </c>
      <c r="K83" s="606">
        <f>'CHP2002By cycle'!B104/1000</f>
        <v>0.55672870000000008</v>
      </c>
      <c r="L83" s="606">
        <f>'CHP2002By cycle'!B1435/1000</f>
        <v>2.946E-2</v>
      </c>
      <c r="M83" s="606">
        <f>'CHP2002By cycle'!B314/1000</f>
        <v>3.3237195332807312</v>
      </c>
      <c r="N83" s="606">
        <f>'CHP2002By cycle'!B874/1000</f>
        <v>1.84097</v>
      </c>
      <c r="O83" s="606">
        <f>'CHP2002By cycle'!B384/1000</f>
        <v>3.2645308800000001</v>
      </c>
      <c r="P83" s="606">
        <f>'CHP2002By cycle'!B244/1000</f>
        <v>0.23419999999999999</v>
      </c>
      <c r="Q83" s="606">
        <f>'CHP2002By cycle'!B1505/1000</f>
        <v>0.183224</v>
      </c>
      <c r="R83" s="606">
        <f>'CHP2002By cycle'!B454/1000</f>
        <v>0.122587</v>
      </c>
      <c r="S83" s="606">
        <f>'CHP2002By cycle'!B524/1000</f>
        <v>2.6789999999999998</v>
      </c>
      <c r="T83" s="606">
        <f>'CHP2002By cycle'!B1645/1000</f>
        <v>1.3599999999999999E-2</v>
      </c>
      <c r="U83" s="606">
        <f>'CHP2002By cycle'!B594/1000</f>
        <v>8.7999999999999995E-2</v>
      </c>
      <c r="V83" s="606">
        <f>'CHP2002By cycle'!B1575/1000</f>
        <v>1.9E-2</v>
      </c>
      <c r="W83" s="606">
        <v>0</v>
      </c>
      <c r="X83" s="606">
        <f>'CHP2002By cycle'!B664/1000</f>
        <v>1.5863862777777782</v>
      </c>
      <c r="Y83" s="606">
        <f>'CHP2002By cycle'!B1715/1000</f>
        <v>2.1296999999999997</v>
      </c>
      <c r="Z83" s="606">
        <f>'CHP2002By cycle'!B804/1000</f>
        <v>0.48471707460570013</v>
      </c>
      <c r="AA83" s="606">
        <f>'CHP2002By cycle'!B1785/1000</f>
        <v>0.17100000000000001</v>
      </c>
      <c r="AB83" s="606">
        <f>'CHP2002By cycle'!B944/1000</f>
        <v>0.91</v>
      </c>
      <c r="AC83" s="606">
        <f>'CHP2002By cycle'!B1925/1000</f>
        <v>0.10283999999999999</v>
      </c>
      <c r="AD83" s="606">
        <f>'CHP2002By cycle'!B1855/1000</f>
        <v>0.45800000000000002</v>
      </c>
      <c r="AE83" s="606">
        <f>'CHP2002By cycle'!B1014/1000</f>
        <v>3.6115000000000004</v>
      </c>
      <c r="AF83" s="606">
        <v>0</v>
      </c>
      <c r="AG83" s="606">
        <v>0</v>
      </c>
      <c r="AH83" s="606">
        <v>0</v>
      </c>
      <c r="AI83" s="165"/>
      <c r="AJ83" s="165"/>
      <c r="AK83" s="165"/>
      <c r="AL83" s="165"/>
      <c r="AM83" s="165"/>
      <c r="AN83" s="165"/>
      <c r="AO83" s="165"/>
      <c r="AP83" s="165"/>
      <c r="AQ83" s="165"/>
      <c r="AR83" s="165"/>
      <c r="AS83" s="165"/>
      <c r="AT83" s="165"/>
      <c r="AU83" s="165"/>
      <c r="AV83" s="165"/>
      <c r="AW83" s="165"/>
      <c r="AX83" s="165"/>
    </row>
    <row r="84" spans="1:50" s="164" customFormat="1">
      <c r="A84" s="593" t="s">
        <v>1009</v>
      </c>
      <c r="B84" s="593">
        <v>2002</v>
      </c>
      <c r="C84" s="616" t="s">
        <v>1034</v>
      </c>
      <c r="D84" s="610">
        <f>SUM(E84:AH84)</f>
        <v>124.11003532682967</v>
      </c>
      <c r="E84" s="606">
        <f>'CHP2002By cycle'!D734/1000</f>
        <v>3.3304650000000002</v>
      </c>
      <c r="F84" s="606">
        <f>'CHP2002By cycle'!D34/1000</f>
        <v>1.6777026000000004</v>
      </c>
      <c r="G84" s="606">
        <f>'CHP2002By cycle'!D1295/1000</f>
        <v>1.4199900000000001</v>
      </c>
      <c r="H84" s="606">
        <v>0</v>
      </c>
      <c r="I84" s="606">
        <f>'CHP2002By cycle'!D1365/1000</f>
        <v>5.55</v>
      </c>
      <c r="J84" s="606">
        <f>'CHP2002By cycle'!D174/1000</f>
        <v>21.114000000000001</v>
      </c>
      <c r="K84" s="606">
        <f>'CHP2002By cycle'!D104/1000</f>
        <v>1.5301019999999999</v>
      </c>
      <c r="L84" s="606">
        <f>'CHP2002By cycle'!D1435/1000</f>
        <v>0.18569000000000002</v>
      </c>
      <c r="M84" s="606">
        <f>'CHP2002By cycle'!D314/1000</f>
        <v>12.331381697163003</v>
      </c>
      <c r="N84" s="606">
        <f>'CHP2002By cycle'!D874/1000</f>
        <v>8.2164199999999994</v>
      </c>
      <c r="O84" s="606">
        <f>'CHP2002By cycle'!D384/1000</f>
        <v>16.768069000000004</v>
      </c>
      <c r="P84" s="606">
        <f>'CHP2002By cycle'!D244/1000</f>
        <v>0.86129999999999995</v>
      </c>
      <c r="Q84" s="606">
        <f>'CHP2002By cycle'!D1505/1000</f>
        <v>1.0367249999999999</v>
      </c>
      <c r="R84" s="606">
        <f>'CHP2002By cycle'!D454/1000</f>
        <v>0.54984060000000001</v>
      </c>
      <c r="S84" s="606">
        <f>'CHP2002By cycle'!D524/1000</f>
        <v>10.07</v>
      </c>
      <c r="T84" s="606">
        <f>'CHP2002By cycle'!D1645/1000</f>
        <v>0.14799999999999999</v>
      </c>
      <c r="U84" s="606">
        <f>'CHP2002By cycle'!D594/1000</f>
        <v>0.35899999999999999</v>
      </c>
      <c r="V84" s="606">
        <f>'CHP2002By cycle'!D1575/1000</f>
        <v>0.17699999999999999</v>
      </c>
      <c r="W84" s="606">
        <v>0</v>
      </c>
      <c r="X84" s="606">
        <f>'CHP2002By cycle'!D664/1000</f>
        <v>6.485694166666665</v>
      </c>
      <c r="Y84" s="606">
        <f>'CHP2002By cycle'!D1715/1000</f>
        <v>13.616899999999999</v>
      </c>
      <c r="Z84" s="606">
        <f>'CHP2002By cycle'!D804/1000</f>
        <v>2.8655712630000005</v>
      </c>
      <c r="AA84" s="606">
        <f>'CHP2002By cycle'!D1785/1000</f>
        <v>1.6619999999999999</v>
      </c>
      <c r="AB84" s="606">
        <f>'CHP2002By cycle'!D944/1000</f>
        <v>2.657</v>
      </c>
      <c r="AC84" s="606">
        <f>'CHP2002By cycle'!D1925/1000</f>
        <v>0.50148400000000004</v>
      </c>
      <c r="AD84" s="606">
        <f>'CHP2002By cycle'!D1855/1000</f>
        <v>3.6579999999999999</v>
      </c>
      <c r="AE84" s="606">
        <f>'CHP2002By cycle'!D1014/1000</f>
        <v>7.3376999999999999</v>
      </c>
      <c r="AF84" s="606">
        <v>0</v>
      </c>
      <c r="AG84" s="606">
        <v>0</v>
      </c>
      <c r="AH84" s="606">
        <v>0</v>
      </c>
      <c r="AI84" s="165"/>
      <c r="AJ84" s="165"/>
      <c r="AK84" s="165"/>
      <c r="AL84" s="165"/>
      <c r="AM84" s="165"/>
      <c r="AN84" s="165"/>
      <c r="AO84" s="165"/>
      <c r="AP84" s="165"/>
      <c r="AQ84" s="165"/>
      <c r="AR84" s="165"/>
      <c r="AS84" s="165"/>
      <c r="AT84" s="165"/>
      <c r="AU84" s="165"/>
      <c r="AV84" s="165"/>
      <c r="AW84" s="165"/>
      <c r="AX84" s="165"/>
    </row>
    <row r="85" spans="1:50" s="164" customFormat="1">
      <c r="A85" s="593" t="s">
        <v>1009</v>
      </c>
      <c r="B85" s="593">
        <v>2002</v>
      </c>
      <c r="C85" s="631" t="s">
        <v>545</v>
      </c>
      <c r="D85" s="610"/>
      <c r="E85" s="632">
        <f>E81/E80</f>
        <v>0.14908495726683887</v>
      </c>
      <c r="F85" s="632">
        <f>F81/F80</f>
        <v>0.18255182769194234</v>
      </c>
      <c r="G85" s="632">
        <f>G81/G80</f>
        <v>0.16074234553677902</v>
      </c>
      <c r="H85" s="632"/>
      <c r="I85" s="632">
        <f t="shared" ref="I85:V85" si="32">I81/I80</f>
        <v>0.18450207582427033</v>
      </c>
      <c r="J85" s="632">
        <f t="shared" si="32"/>
        <v>0.17931747403717105</v>
      </c>
      <c r="K85" s="632">
        <f t="shared" si="32"/>
        <v>0.22147653718044791</v>
      </c>
      <c r="L85" s="632">
        <f t="shared" si="32"/>
        <v>0.1368989860486392</v>
      </c>
      <c r="M85" s="632">
        <f t="shared" si="32"/>
        <v>0.28200624313908695</v>
      </c>
      <c r="N85" s="632">
        <f t="shared" si="32"/>
        <v>0.15147279248545273</v>
      </c>
      <c r="O85" s="632">
        <f t="shared" si="32"/>
        <v>0.15115141856919864</v>
      </c>
      <c r="P85" s="632">
        <f t="shared" si="32"/>
        <v>0.20619840977533205</v>
      </c>
      <c r="Q85" s="632">
        <f t="shared" si="32"/>
        <v>0.10789995650599392</v>
      </c>
      <c r="R85" s="632">
        <f t="shared" si="32"/>
        <v>0.22348126963347048</v>
      </c>
      <c r="S85" s="632">
        <f t="shared" si="32"/>
        <v>0.23161772077635154</v>
      </c>
      <c r="T85" s="632">
        <f t="shared" si="32"/>
        <v>5.4782608695652185E-2</v>
      </c>
      <c r="U85" s="632">
        <f t="shared" si="32"/>
        <v>0.2976627807790731</v>
      </c>
      <c r="V85" s="632">
        <f t="shared" si="32"/>
        <v>0.15085020242914982</v>
      </c>
      <c r="W85" s="632"/>
      <c r="X85" s="632">
        <f t="shared" ref="X85:AE85" si="33">X81/X80</f>
        <v>0.1976203101099048</v>
      </c>
      <c r="Y85" s="632">
        <f t="shared" si="33"/>
        <v>0.11029467560389528</v>
      </c>
      <c r="Z85" s="632">
        <f t="shared" si="33"/>
        <v>0.13272764401818757</v>
      </c>
      <c r="AA85" s="632">
        <f t="shared" si="33"/>
        <v>5.2549720044792837E-2</v>
      </c>
      <c r="AB85" s="632">
        <f t="shared" si="33"/>
        <v>0.15639193901305865</v>
      </c>
      <c r="AC85" s="632">
        <f t="shared" si="33"/>
        <v>0.10522976216858211</v>
      </c>
      <c r="AD85" s="632">
        <f t="shared" si="33"/>
        <v>0.13186731386567002</v>
      </c>
      <c r="AE85" s="632">
        <f t="shared" si="33"/>
        <v>0.33254158981555149</v>
      </c>
      <c r="AF85" s="632"/>
      <c r="AG85" s="632"/>
      <c r="AH85" s="632"/>
      <c r="AI85" s="165"/>
      <c r="AJ85" s="165"/>
      <c r="AK85" s="165"/>
      <c r="AL85" s="165"/>
      <c r="AM85" s="165"/>
      <c r="AN85" s="165"/>
      <c r="AO85" s="165"/>
      <c r="AP85" s="165"/>
      <c r="AQ85" s="165"/>
      <c r="AR85" s="165"/>
      <c r="AS85" s="165"/>
      <c r="AT85" s="165"/>
      <c r="AU85" s="165"/>
      <c r="AV85" s="165"/>
      <c r="AW85" s="165"/>
      <c r="AX85" s="165"/>
    </row>
    <row r="86" spans="1:50" s="164" customFormat="1">
      <c r="A86" s="593" t="s">
        <v>1009</v>
      </c>
      <c r="B86" s="593">
        <v>2002</v>
      </c>
      <c r="C86" s="631" t="s">
        <v>544</v>
      </c>
      <c r="D86" s="610"/>
      <c r="E86" s="632">
        <f>E82/E80</f>
        <v>0.47536337967106845</v>
      </c>
      <c r="F86" s="632">
        <f>F82/F80</f>
        <v>0.5890469957090041</v>
      </c>
      <c r="G86" s="632">
        <f>G82/G80</f>
        <v>0.48897362070565442</v>
      </c>
      <c r="H86" s="632"/>
      <c r="I86" s="632">
        <f t="shared" ref="I86:V86" si="34">I82/I80</f>
        <v>0.41899594217402525</v>
      </c>
      <c r="J86" s="632">
        <f t="shared" si="34"/>
        <v>0.62422632724240223</v>
      </c>
      <c r="K86" s="632">
        <f t="shared" si="34"/>
        <v>0.61793062452974501</v>
      </c>
      <c r="L86" s="632">
        <f t="shared" si="34"/>
        <v>0.56135803410332652</v>
      </c>
      <c r="M86" s="632">
        <f t="shared" si="34"/>
        <v>0.45507060417463002</v>
      </c>
      <c r="N86" s="632">
        <f t="shared" si="34"/>
        <v>0.65003436701401385</v>
      </c>
      <c r="O86" s="632">
        <f t="shared" si="34"/>
        <v>0.65288008913741469</v>
      </c>
      <c r="P86" s="632">
        <f t="shared" si="34"/>
        <v>0.51037762419568</v>
      </c>
      <c r="Q86" s="632">
        <f t="shared" si="34"/>
        <v>0.65990392834363432</v>
      </c>
      <c r="R86" s="632">
        <f t="shared" si="34"/>
        <v>0.53724622263838973</v>
      </c>
      <c r="S86" s="632">
        <f t="shared" si="34"/>
        <v>0.49718726676593233</v>
      </c>
      <c r="T86" s="632">
        <f t="shared" si="34"/>
        <v>0.73478260869565226</v>
      </c>
      <c r="U86" s="632">
        <f t="shared" si="34"/>
        <v>0.59624680125106622</v>
      </c>
      <c r="V86" s="632">
        <f t="shared" si="34"/>
        <v>0.71052631578947367</v>
      </c>
      <c r="W86" s="632"/>
      <c r="X86" s="632">
        <f t="shared" ref="X86:AE86" si="35">X82/X80</f>
        <v>0.63400200118600669</v>
      </c>
      <c r="Y86" s="632">
        <f t="shared" si="35"/>
        <v>0.67090078411534082</v>
      </c>
      <c r="Z86" s="632">
        <f t="shared" si="35"/>
        <v>0.63069931141739843</v>
      </c>
      <c r="AA86" s="632">
        <f t="shared" si="35"/>
        <v>0.67646453900709236</v>
      </c>
      <c r="AB86" s="632">
        <f t="shared" si="35"/>
        <v>0.62557574909828451</v>
      </c>
      <c r="AC86" s="632">
        <f t="shared" si="35"/>
        <v>0.79145335623566526</v>
      </c>
      <c r="AD86" s="632">
        <f t="shared" si="35"/>
        <v>7.7601848549230024E-2</v>
      </c>
      <c r="AE86" s="632">
        <f t="shared" si="35"/>
        <v>0.40860687868165113</v>
      </c>
      <c r="AF86" s="632"/>
      <c r="AG86" s="632"/>
      <c r="AH86" s="632"/>
      <c r="AI86" s="165"/>
      <c r="AJ86" s="165"/>
      <c r="AK86" s="165"/>
      <c r="AL86" s="165"/>
      <c r="AM86" s="165"/>
      <c r="AN86" s="165"/>
      <c r="AO86" s="165"/>
      <c r="AP86" s="165"/>
      <c r="AQ86" s="165"/>
      <c r="AR86" s="165"/>
      <c r="AS86" s="165"/>
      <c r="AT86" s="165"/>
      <c r="AU86" s="165"/>
      <c r="AV86" s="165"/>
      <c r="AW86" s="165"/>
      <c r="AX86" s="165"/>
    </row>
    <row r="87" spans="1:50" s="164" customFormat="1">
      <c r="A87" s="593" t="s">
        <v>1009</v>
      </c>
      <c r="B87" s="593">
        <v>2002</v>
      </c>
      <c r="C87" s="631" t="s">
        <v>149</v>
      </c>
      <c r="D87" s="610"/>
      <c r="E87" s="606">
        <f>E81/E83/(8760*3.6/1000)</f>
        <v>0.54825643609566566</v>
      </c>
      <c r="F87" s="606">
        <f>F81/F83/(8760*3.6/1000)</f>
        <v>0.4311859416462312</v>
      </c>
      <c r="G87" s="606">
        <f>G81/G83/(8760*3.6/1000)</f>
        <v>0.42919507523399297</v>
      </c>
      <c r="H87" s="606"/>
      <c r="I87" s="606">
        <f t="shared" ref="I87:V87" si="36">I81/I83/(8760*3.6/1000)</f>
        <v>0.59624515636085795</v>
      </c>
      <c r="J87" s="606">
        <f t="shared" si="36"/>
        <v>0.18476217911104711</v>
      </c>
      <c r="K87" s="606">
        <f t="shared" si="36"/>
        <v>0.54495084726737641</v>
      </c>
      <c r="L87" s="606">
        <f t="shared" si="36"/>
        <v>0.57985132692885955</v>
      </c>
      <c r="M87" s="606">
        <f t="shared" si="36"/>
        <v>0.94717084868895063</v>
      </c>
      <c r="N87" s="606">
        <f t="shared" si="36"/>
        <v>0.66268368950985224</v>
      </c>
      <c r="O87" s="606">
        <f t="shared" si="36"/>
        <v>0.41053410274610802</v>
      </c>
      <c r="P87" s="606">
        <f t="shared" si="36"/>
        <v>0.51545336499654903</v>
      </c>
      <c r="Q87" s="606">
        <f t="shared" si="36"/>
        <v>0.2710074957279629</v>
      </c>
      <c r="R87" s="606">
        <f t="shared" si="36"/>
        <v>0.58133124697610161</v>
      </c>
      <c r="S87" s="606">
        <f t="shared" si="36"/>
        <v>0.73832326858144104</v>
      </c>
      <c r="T87" s="606">
        <f t="shared" si="36"/>
        <v>0.17626913779210318</v>
      </c>
      <c r="U87" s="606">
        <f t="shared" si="36"/>
        <v>0.37723121627231221</v>
      </c>
      <c r="V87" s="606">
        <f t="shared" si="36"/>
        <v>0.24873828406633022</v>
      </c>
      <c r="W87" s="606"/>
      <c r="X87" s="606">
        <f t="shared" ref="X87:AE87" si="37">X81/X83/(8760*3.6/1000)</f>
        <v>0.67353512011139116</v>
      </c>
      <c r="Y87" s="606">
        <f t="shared" si="37"/>
        <v>0.4155193251863244</v>
      </c>
      <c r="Z87" s="606">
        <f t="shared" si="37"/>
        <v>0.5426608755359682</v>
      </c>
      <c r="AA87" s="606">
        <f t="shared" si="37"/>
        <v>0.20884803332532242</v>
      </c>
      <c r="AB87" s="606">
        <f t="shared" si="37"/>
        <v>0.54543629886095646</v>
      </c>
      <c r="AC87" s="606">
        <f t="shared" si="37"/>
        <v>0.35563956245371187</v>
      </c>
      <c r="AD87" s="606">
        <f t="shared" si="37"/>
        <v>0.58872205938067046</v>
      </c>
      <c r="AE87" s="606">
        <f t="shared" si="37"/>
        <v>1.0033271443265013</v>
      </c>
      <c r="AF87" s="606"/>
      <c r="AG87" s="606"/>
      <c r="AH87" s="606"/>
      <c r="AI87" s="165"/>
      <c r="AJ87" s="165"/>
      <c r="AK87" s="165"/>
      <c r="AL87" s="165"/>
      <c r="AM87" s="165"/>
      <c r="AN87" s="165"/>
      <c r="AO87" s="165"/>
      <c r="AP87" s="165"/>
      <c r="AQ87" s="165"/>
      <c r="AR87" s="165"/>
      <c r="AS87" s="165"/>
      <c r="AT87" s="165"/>
      <c r="AU87" s="165"/>
      <c r="AV87" s="165"/>
      <c r="AW87" s="165"/>
      <c r="AX87" s="165"/>
    </row>
    <row r="88" spans="1:50" s="164" customFormat="1">
      <c r="A88" s="593" t="s">
        <v>1009</v>
      </c>
      <c r="B88" s="593">
        <v>2002</v>
      </c>
      <c r="C88" s="618" t="s">
        <v>543</v>
      </c>
      <c r="D88" s="610">
        <f>SUM(E88:AH88)</f>
        <v>2290.5244457485546</v>
      </c>
      <c r="E88" s="606">
        <f>E81+E82</f>
        <v>75.238142796000005</v>
      </c>
      <c r="F88" s="606">
        <f>F81+F82</f>
        <v>28.000503688799999</v>
      </c>
      <c r="G88" s="606">
        <f>G81+G82</f>
        <v>20.738339999999997</v>
      </c>
      <c r="H88" s="606"/>
      <c r="I88" s="606">
        <f t="shared" ref="I88:V88" si="38">I81+I82</f>
        <v>77.188000000000002</v>
      </c>
      <c r="J88" s="606">
        <f t="shared" si="38"/>
        <v>370.00459999999998</v>
      </c>
      <c r="K88" s="606">
        <f t="shared" si="38"/>
        <v>36.262061902075054</v>
      </c>
      <c r="L88" s="606">
        <f t="shared" si="38"/>
        <v>2.7477112000000004</v>
      </c>
      <c r="M88" s="606">
        <f t="shared" si="38"/>
        <v>259.48565031959998</v>
      </c>
      <c r="N88" s="606">
        <f t="shared" si="38"/>
        <v>203.57871745263159</v>
      </c>
      <c r="O88" s="606">
        <f t="shared" si="38"/>
        <v>224.8213068</v>
      </c>
      <c r="P88" s="606">
        <f t="shared" si="38"/>
        <v>13.23</v>
      </c>
      <c r="Q88" s="606">
        <f t="shared" si="38"/>
        <v>11.142927520800001</v>
      </c>
      <c r="R88" s="606">
        <f t="shared" si="38"/>
        <v>7.6500218010800012</v>
      </c>
      <c r="S88" s="606">
        <f t="shared" si="38"/>
        <v>196.27519999999998</v>
      </c>
      <c r="T88" s="606">
        <f t="shared" si="38"/>
        <v>1.0896000000000001</v>
      </c>
      <c r="U88" s="606">
        <f t="shared" si="38"/>
        <v>3.1438800000000002</v>
      </c>
      <c r="V88" s="606">
        <f t="shared" si="38"/>
        <v>0.85104000000000002</v>
      </c>
      <c r="W88" s="606"/>
      <c r="X88" s="606">
        <f t="shared" ref="X88:AE88" si="39">X81+X82</f>
        <v>141.798081</v>
      </c>
      <c r="Y88" s="606">
        <f t="shared" si="39"/>
        <v>197.66119999999998</v>
      </c>
      <c r="Z88" s="606">
        <f t="shared" si="39"/>
        <v>47.712210867568096</v>
      </c>
      <c r="AA88" s="606">
        <f t="shared" si="39"/>
        <v>15.624233600000004</v>
      </c>
      <c r="AB88" s="606">
        <f t="shared" si="39"/>
        <v>78.264800000000008</v>
      </c>
      <c r="AC88" s="606">
        <f t="shared" si="39"/>
        <v>9.8283167999999979</v>
      </c>
      <c r="AD88" s="606">
        <f t="shared" si="39"/>
        <v>13.507200000000001</v>
      </c>
      <c r="AE88" s="606">
        <f t="shared" si="39"/>
        <v>254.68070000000003</v>
      </c>
      <c r="AF88" s="606"/>
      <c r="AG88" s="606"/>
      <c r="AH88" s="606"/>
      <c r="AI88" s="165"/>
      <c r="AJ88" s="165"/>
      <c r="AK88" s="165"/>
      <c r="AL88" s="165"/>
      <c r="AM88" s="165"/>
      <c r="AN88" s="165"/>
      <c r="AO88" s="165"/>
      <c r="AP88" s="165"/>
      <c r="AQ88" s="165"/>
      <c r="AR88" s="165"/>
      <c r="AS88" s="165"/>
      <c r="AT88" s="165"/>
      <c r="AU88" s="165"/>
      <c r="AV88" s="165"/>
      <c r="AW88" s="165"/>
      <c r="AX88" s="165"/>
    </row>
    <row r="89" spans="1:50" s="164" customFormat="1">
      <c r="A89" s="593" t="s">
        <v>1009</v>
      </c>
      <c r="B89" s="593">
        <v>2002</v>
      </c>
      <c r="C89" s="631" t="s">
        <v>1036</v>
      </c>
      <c r="D89" s="610">
        <f>SUM(E89:AH89)</f>
        <v>1711.9518519560211</v>
      </c>
      <c r="E89" s="606">
        <f>E80*(E81+E95)/E88</f>
        <v>35.218054553305322</v>
      </c>
      <c r="F89" s="606">
        <f>F80*(F81+F95)/F88</f>
        <v>12.346587501014993</v>
      </c>
      <c r="G89" s="606">
        <f>G80*(G81+G95)/G88</f>
        <v>8.7711386145520418</v>
      </c>
      <c r="H89" s="606"/>
      <c r="I89" s="606">
        <f t="shared" ref="I89:V89" si="40">I80*(I81+I95)/I88</f>
        <v>65.564424107374194</v>
      </c>
      <c r="J89" s="606">
        <f t="shared" si="40"/>
        <v>461.05090899842872</v>
      </c>
      <c r="K89" s="606">
        <f t="shared" si="40"/>
        <v>29.130916574717485</v>
      </c>
      <c r="L89" s="606">
        <f t="shared" si="40"/>
        <v>1.1152214407103627</v>
      </c>
      <c r="M89" s="606">
        <f t="shared" si="40"/>
        <v>134.69346644359376</v>
      </c>
      <c r="N89" s="606">
        <f t="shared" si="40"/>
        <v>62.271825848443719</v>
      </c>
      <c r="O89" s="606">
        <f t="shared" si="40"/>
        <v>188.30056452867876</v>
      </c>
      <c r="P89" s="606">
        <f t="shared" si="40"/>
        <v>5.3127648979591831</v>
      </c>
      <c r="Q89" s="606">
        <f t="shared" si="40"/>
        <v>2.4315096050414367</v>
      </c>
      <c r="R89" s="606">
        <f t="shared" si="40"/>
        <v>2.9542386753611116</v>
      </c>
      <c r="S89" s="606">
        <f t="shared" si="40"/>
        <v>250.82182905532642</v>
      </c>
      <c r="T89" s="606">
        <f t="shared" si="40"/>
        <v>6.3903524229074868</v>
      </c>
      <c r="U89" s="606">
        <f t="shared" si="40"/>
        <v>1.5078482512055165</v>
      </c>
      <c r="V89" s="606">
        <f t="shared" si="40"/>
        <v>0.68267475089302498</v>
      </c>
      <c r="W89" s="606"/>
      <c r="X89" s="606">
        <f t="shared" ref="X89:AE89" si="41">X80*(X81+X95)/X88</f>
        <v>68.370943429111833</v>
      </c>
      <c r="Y89" s="606">
        <f t="shared" si="41"/>
        <v>81.489464906617997</v>
      </c>
      <c r="Z89" s="606">
        <f t="shared" si="41"/>
        <v>23.803370385669631</v>
      </c>
      <c r="AA89" s="606">
        <f t="shared" si="41"/>
        <v>9.274503915456048</v>
      </c>
      <c r="AB89" s="606">
        <f t="shared" si="41"/>
        <v>54.005812058549949</v>
      </c>
      <c r="AC89" s="606">
        <f t="shared" si="41"/>
        <v>1.4613822576831876</v>
      </c>
      <c r="AD89" s="606">
        <f t="shared" si="41"/>
        <v>50.8007951018716</v>
      </c>
      <c r="AE89" s="606">
        <f t="shared" si="41"/>
        <v>154.18125363154724</v>
      </c>
      <c r="AF89" s="606"/>
      <c r="AG89" s="606"/>
      <c r="AH89" s="606"/>
      <c r="AI89" s="165"/>
      <c r="AJ89" s="165"/>
      <c r="AK89" s="165"/>
      <c r="AL89" s="165"/>
      <c r="AM89" s="165"/>
      <c r="AN89" s="165"/>
      <c r="AO89" s="165"/>
      <c r="AP89" s="165"/>
      <c r="AQ89" s="165"/>
      <c r="AR89" s="165"/>
      <c r="AS89" s="165"/>
      <c r="AT89" s="165"/>
      <c r="AU89" s="165"/>
      <c r="AV89" s="165"/>
      <c r="AW89" s="165"/>
      <c r="AX89" s="165"/>
    </row>
    <row r="90" spans="1:50" s="164" customFormat="1">
      <c r="A90" s="593"/>
      <c r="B90" s="593"/>
      <c r="C90" s="631"/>
      <c r="D90" s="610"/>
      <c r="E90" s="610"/>
      <c r="F90" s="610"/>
      <c r="G90" s="610"/>
      <c r="H90" s="610"/>
      <c r="I90" s="61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165"/>
      <c r="AJ90" s="165"/>
      <c r="AK90" s="165"/>
      <c r="AL90" s="165"/>
      <c r="AM90" s="165"/>
      <c r="AN90" s="165"/>
      <c r="AO90" s="165"/>
      <c r="AP90" s="165"/>
      <c r="AQ90" s="165"/>
      <c r="AR90" s="165"/>
      <c r="AS90" s="165"/>
      <c r="AT90" s="165"/>
      <c r="AU90" s="165"/>
      <c r="AV90" s="165"/>
      <c r="AW90" s="165"/>
      <c r="AX90" s="165"/>
    </row>
    <row r="91" spans="1:50" s="164" customFormat="1">
      <c r="A91" s="593"/>
      <c r="B91" s="593"/>
      <c r="C91" s="727" t="s">
        <v>1321</v>
      </c>
      <c r="D91" s="505" t="e">
        <f t="shared" ref="D91:AF91" si="42">(D94-D95)/SUM(D93:D94)</f>
        <v>#REF!</v>
      </c>
      <c r="E91" s="505">
        <f t="shared" si="42"/>
        <v>0.69150925908886018</v>
      </c>
      <c r="F91" s="505">
        <f t="shared" si="42"/>
        <v>0.62785687846511717</v>
      </c>
      <c r="G91" s="505">
        <f t="shared" si="42"/>
        <v>0.72624085690817652</v>
      </c>
      <c r="H91" s="505">
        <f t="shared" si="42"/>
        <v>0</v>
      </c>
      <c r="I91" s="505">
        <f t="shared" si="42"/>
        <v>0.45656619442257262</v>
      </c>
      <c r="J91" s="505">
        <f t="shared" si="42"/>
        <v>2.3530649739469302E-2</v>
      </c>
      <c r="K91" s="505">
        <f t="shared" si="42"/>
        <v>0.35654668313247012</v>
      </c>
      <c r="L91" s="505">
        <f t="shared" si="42"/>
        <v>0.69028493684995451</v>
      </c>
      <c r="M91" s="505">
        <f t="shared" si="42"/>
        <v>0.56901269234143115</v>
      </c>
      <c r="N91" s="505">
        <f t="shared" si="42"/>
        <v>0.7434351723131577</v>
      </c>
      <c r="O91" s="505">
        <f t="shared" si="42"/>
        <v>0.38635462431444906</v>
      </c>
      <c r="P91" s="505">
        <f t="shared" si="42"/>
        <v>0.71224489795918366</v>
      </c>
      <c r="Q91" s="505">
        <f t="shared" si="42"/>
        <v>0.8307331586391995</v>
      </c>
      <c r="R91" s="505">
        <f t="shared" si="42"/>
        <v>0.7062269052929071</v>
      </c>
      <c r="S91" s="505">
        <f t="shared" si="42"/>
        <v>7.2628960276838003E-2</v>
      </c>
      <c r="T91" s="505">
        <f t="shared" si="42"/>
        <v>0.37710983517299423</v>
      </c>
      <c r="U91" s="505">
        <f t="shared" si="42"/>
        <v>0.58417553631944175</v>
      </c>
      <c r="V91" s="505">
        <f t="shared" si="42"/>
        <v>0.55127626135809382</v>
      </c>
      <c r="W91" s="505" t="e">
        <f t="shared" si="42"/>
        <v>#DIV/0!</v>
      </c>
      <c r="X91" s="505">
        <f t="shared" si="42"/>
        <v>0.64195827744209322</v>
      </c>
      <c r="Y91" s="505">
        <f t="shared" si="42"/>
        <v>0.68621776284449154</v>
      </c>
      <c r="Z91" s="505">
        <f t="shared" si="42"/>
        <v>0.51867393671844142</v>
      </c>
      <c r="AA91" s="505">
        <f t="shared" si="42"/>
        <v>0.544085090788898</v>
      </c>
      <c r="AB91" s="505">
        <f t="shared" si="42"/>
        <v>0.48610422542808723</v>
      </c>
      <c r="AC91" s="505">
        <f t="shared" si="42"/>
        <v>0.86822875702106372</v>
      </c>
      <c r="AD91" s="505">
        <f t="shared" si="42"/>
        <v>3.3480500367917575E-2</v>
      </c>
      <c r="AE91" s="505">
        <f t="shared" si="42"/>
        <v>0.55131582408875124</v>
      </c>
      <c r="AF91" s="505">
        <f t="shared" si="42"/>
        <v>0.56051580003159762</v>
      </c>
      <c r="AG91" s="505"/>
      <c r="AH91" s="505"/>
      <c r="AI91" s="165"/>
      <c r="AJ91" s="165"/>
      <c r="AK91" s="165"/>
      <c r="AL91" s="165"/>
      <c r="AM91" s="165"/>
      <c r="AN91" s="165"/>
      <c r="AO91" s="165"/>
      <c r="AP91" s="165"/>
      <c r="AQ91" s="165"/>
      <c r="AR91" s="165"/>
      <c r="AS91" s="165"/>
      <c r="AT91" s="165"/>
      <c r="AU91" s="165"/>
      <c r="AV91" s="165"/>
      <c r="AW91" s="165"/>
      <c r="AX91" s="165"/>
    </row>
    <row r="92" spans="1:50" s="164" customFormat="1">
      <c r="A92" s="593"/>
      <c r="B92" s="593"/>
      <c r="C92" s="727"/>
      <c r="D92" s="505">
        <f>D196/D188</f>
        <v>0.47752241546310997</v>
      </c>
      <c r="E92" s="505">
        <f t="shared" ref="E92:F92" si="43">E196/E188</f>
        <v>0.75565070627777753</v>
      </c>
      <c r="F92" s="505">
        <f t="shared" si="43"/>
        <v>0.51368713217342965</v>
      </c>
      <c r="G92" s="505">
        <f>G196/G188</f>
        <v>0.55841075067090418</v>
      </c>
      <c r="H92" s="505" t="e">
        <f>H196/H188</f>
        <v>#DIV/0!</v>
      </c>
      <c r="I92" s="505">
        <f t="shared" ref="I92" si="44">I196/I188</f>
        <v>0.44068233465164397</v>
      </c>
      <c r="J92" s="505">
        <f>J196/J188</f>
        <v>0.33776077130100302</v>
      </c>
      <c r="K92" s="505">
        <f>K196/K188</f>
        <v>0.17176423511390568</v>
      </c>
      <c r="L92" s="505">
        <f>L196/L188</f>
        <v>0.73116213609288994</v>
      </c>
      <c r="M92" s="505">
        <f t="shared" ref="M92:AF92" si="45">M196/M188</f>
        <v>0.51297688060776869</v>
      </c>
      <c r="N92" s="505">
        <f t="shared" si="45"/>
        <v>0.74832198369812186</v>
      </c>
      <c r="O92" s="505">
        <f t="shared" si="45"/>
        <v>0.51455307266910599</v>
      </c>
      <c r="P92" s="505">
        <f t="shared" si="45"/>
        <v>0.94719637897722975</v>
      </c>
      <c r="Q92" s="505">
        <f t="shared" si="45"/>
        <v>0.77085919562653726</v>
      </c>
      <c r="R92" s="505">
        <f t="shared" si="45"/>
        <v>0.56200430179859939</v>
      </c>
      <c r="S92" s="505">
        <f t="shared" si="45"/>
        <v>4.2153149845618347E-2</v>
      </c>
      <c r="T92" s="505">
        <f t="shared" si="45"/>
        <v>0.88014655593551527</v>
      </c>
      <c r="U92" s="505">
        <f t="shared" si="45"/>
        <v>0</v>
      </c>
      <c r="V92" s="505">
        <f t="shared" si="45"/>
        <v>0.58180673419107576</v>
      </c>
      <c r="W92" s="505" t="e">
        <f t="shared" si="45"/>
        <v>#DIV/0!</v>
      </c>
      <c r="X92" s="505">
        <f t="shared" si="45"/>
        <v>0.67398895662047698</v>
      </c>
      <c r="Y92" s="505">
        <f t="shared" si="45"/>
        <v>0.66453764671005644</v>
      </c>
      <c r="Z92" s="505">
        <f t="shared" si="45"/>
        <v>0.42660027951909274</v>
      </c>
      <c r="AA92" s="505">
        <f t="shared" si="45"/>
        <v>0.22701256687818822</v>
      </c>
      <c r="AB92" s="505">
        <f t="shared" si="45"/>
        <v>0.48776883752094702</v>
      </c>
      <c r="AC92" s="505">
        <f t="shared" si="45"/>
        <v>0.81333656429094237</v>
      </c>
      <c r="AD92" s="505">
        <f t="shared" si="45"/>
        <v>0.53147341159685513</v>
      </c>
      <c r="AE92" s="505">
        <f t="shared" si="45"/>
        <v>0.41338451931149994</v>
      </c>
      <c r="AF92" s="505">
        <f t="shared" si="45"/>
        <v>0.52314516275476064</v>
      </c>
      <c r="AG92" s="505"/>
      <c r="AH92" s="505"/>
      <c r="AI92" s="165"/>
      <c r="AJ92" s="165"/>
      <c r="AK92" s="165"/>
      <c r="AL92" s="165"/>
      <c r="AM92" s="165"/>
      <c r="AN92" s="165"/>
      <c r="AO92" s="165"/>
      <c r="AP92" s="165"/>
      <c r="AQ92" s="165"/>
      <c r="AR92" s="165"/>
      <c r="AS92" s="165"/>
      <c r="AT92" s="165"/>
      <c r="AU92" s="165"/>
      <c r="AV92" s="165"/>
      <c r="AW92" s="165"/>
      <c r="AX92" s="165"/>
    </row>
    <row r="93" spans="1:50" s="164" customFormat="1">
      <c r="A93" s="593" t="s">
        <v>1008</v>
      </c>
      <c r="B93" s="593"/>
      <c r="C93" s="619" t="s">
        <v>1031</v>
      </c>
      <c r="D93" s="624" t="e">
        <f>SUM(E93:AH93)</f>
        <v>#REF!</v>
      </c>
      <c r="E93" s="625">
        <f t="shared" ref="E93:AH93" si="46">E75</f>
        <v>13.792</v>
      </c>
      <c r="F93" s="625">
        <f t="shared" si="46"/>
        <v>5.0650000000000004</v>
      </c>
      <c r="G93" s="625">
        <f t="shared" si="46"/>
        <v>5.3319999999999999</v>
      </c>
      <c r="H93" s="625">
        <f t="shared" si="46"/>
        <v>0.10100000000000001</v>
      </c>
      <c r="I93" s="625">
        <f t="shared" si="46"/>
        <v>31.997</v>
      </c>
      <c r="J93" s="625">
        <f t="shared" si="46"/>
        <v>85.287999999999997</v>
      </c>
      <c r="K93" s="625">
        <f t="shared" si="46"/>
        <v>10.346</v>
      </c>
      <c r="L93" s="625">
        <f t="shared" si="46"/>
        <v>0.41399999999999998</v>
      </c>
      <c r="M93" s="625">
        <f t="shared" si="46"/>
        <v>121.345</v>
      </c>
      <c r="N93" s="625">
        <f t="shared" si="46"/>
        <v>31.986000000000001</v>
      </c>
      <c r="O93" s="625">
        <f t="shared" si="46"/>
        <v>48.2</v>
      </c>
      <c r="P93" s="625">
        <f t="shared" si="46"/>
        <v>3.823</v>
      </c>
      <c r="Q93" s="625">
        <f t="shared" si="46"/>
        <v>1.472</v>
      </c>
      <c r="R93" s="625">
        <f t="shared" si="46"/>
        <v>2.2679999999999998</v>
      </c>
      <c r="S93" s="625">
        <f t="shared" si="46"/>
        <v>62.783999999999999</v>
      </c>
      <c r="T93" s="625">
        <f t="shared" si="46"/>
        <v>0.623</v>
      </c>
      <c r="U93" s="625">
        <f t="shared" si="46"/>
        <v>1.21</v>
      </c>
      <c r="V93" s="625">
        <f t="shared" si="46"/>
        <v>0.28100000000000003</v>
      </c>
      <c r="W93" s="625">
        <f t="shared" si="46"/>
        <v>0</v>
      </c>
      <c r="X93" s="625">
        <f t="shared" si="46"/>
        <v>45.713000000000001</v>
      </c>
      <c r="Y93" s="625">
        <f t="shared" si="46"/>
        <v>29.245999999999999</v>
      </c>
      <c r="Z93" s="625">
        <f t="shared" si="46"/>
        <v>17.536000000000001</v>
      </c>
      <c r="AA93" s="625">
        <f t="shared" si="46"/>
        <v>7.8659999999999997</v>
      </c>
      <c r="AB93" s="625">
        <f t="shared" si="46"/>
        <v>16.934000000000001</v>
      </c>
      <c r="AC93" s="625">
        <f t="shared" si="46"/>
        <v>1.278</v>
      </c>
      <c r="AD93" s="625">
        <f t="shared" si="46"/>
        <v>8.3699999999999992</v>
      </c>
      <c r="AE93" s="625">
        <f t="shared" si="46"/>
        <v>97.927000000000007</v>
      </c>
      <c r="AF93" s="625">
        <f t="shared" si="46"/>
        <v>10.183999999999999</v>
      </c>
      <c r="AG93" s="625" t="e">
        <f>AG75</f>
        <v>#REF!</v>
      </c>
      <c r="AH93" s="625">
        <f t="shared" si="46"/>
        <v>0</v>
      </c>
      <c r="AI93" s="165"/>
      <c r="AJ93" s="165"/>
      <c r="AK93" s="165"/>
      <c r="AL93" s="165"/>
      <c r="AM93" s="165"/>
      <c r="AN93" s="165"/>
      <c r="AO93" s="165"/>
      <c r="AP93" s="165"/>
      <c r="AQ93" s="165"/>
      <c r="AR93" s="165"/>
      <c r="AS93" s="165"/>
      <c r="AT93" s="165"/>
      <c r="AU93" s="165"/>
      <c r="AV93" s="165"/>
      <c r="AW93" s="165"/>
      <c r="AX93" s="165"/>
    </row>
    <row r="94" spans="1:50" s="164" customFormat="1">
      <c r="A94" s="593" t="s">
        <v>998</v>
      </c>
      <c r="B94" s="593"/>
      <c r="C94" s="625" t="s">
        <v>1333</v>
      </c>
      <c r="D94" s="624">
        <f>SUM(E94:AH94)</f>
        <v>1757.8131921347674</v>
      </c>
      <c r="E94" s="625">
        <f>E116*(1+E115)</f>
        <v>43.976346457870847</v>
      </c>
      <c r="F94" s="625">
        <f t="shared" ref="F94:V94" si="47">F116*(1+F115)</f>
        <v>16.343430087705421</v>
      </c>
      <c r="G94" s="625">
        <f t="shared" si="47"/>
        <v>16.219791598138656</v>
      </c>
      <c r="H94" s="625">
        <f t="shared" si="47"/>
        <v>0</v>
      </c>
      <c r="I94" s="625">
        <f>I116*(1+I115)</f>
        <v>56.269500000000008</v>
      </c>
      <c r="J94" s="625">
        <f>J116*(1+J115)</f>
        <v>296.89808694725417</v>
      </c>
      <c r="K94" s="625">
        <f t="shared" si="47"/>
        <v>28.865857859137279</v>
      </c>
      <c r="L94" s="625">
        <f t="shared" si="47"/>
        <v>1.6976183157135027</v>
      </c>
      <c r="M94" s="625">
        <f t="shared" si="47"/>
        <v>160.20621471959996</v>
      </c>
      <c r="N94" s="625">
        <f t="shared" si="47"/>
        <v>137.26557041791571</v>
      </c>
      <c r="O94" s="625">
        <f t="shared" si="47"/>
        <v>208.19401229778495</v>
      </c>
      <c r="P94" s="625">
        <f t="shared" si="47"/>
        <v>9.4626028368794337</v>
      </c>
      <c r="Q94" s="625">
        <f t="shared" si="47"/>
        <v>9.0025854873061864</v>
      </c>
      <c r="R94" s="625">
        <f t="shared" si="47"/>
        <v>5.4522440960814134</v>
      </c>
      <c r="S94" s="625">
        <f t="shared" si="47"/>
        <v>134.7712310267213</v>
      </c>
      <c r="T94" s="625">
        <f t="shared" si="47"/>
        <v>8.3561111111111117</v>
      </c>
      <c r="U94" s="625">
        <f t="shared" si="47"/>
        <v>2.4237448418156804</v>
      </c>
      <c r="V94" s="625">
        <f t="shared" si="47"/>
        <v>1.3235507246376812</v>
      </c>
      <c r="W94" s="625">
        <v>0</v>
      </c>
      <c r="X94" s="625">
        <f>X116*(1+X115)</f>
        <v>146.65564214577827</v>
      </c>
      <c r="Y94" s="625">
        <f t="shared" ref="Y94:AE94" si="48">Y116*(1+Y115)</f>
        <v>177.89765666208001</v>
      </c>
      <c r="Z94" s="625">
        <f t="shared" si="48"/>
        <v>39.417076284930737</v>
      </c>
      <c r="AA94" s="625">
        <f t="shared" si="48"/>
        <v>21.746982000000003</v>
      </c>
      <c r="AB94" s="625">
        <f t="shared" si="48"/>
        <v>67.736865480936316</v>
      </c>
      <c r="AC94" s="625">
        <f t="shared" si="48"/>
        <v>9.6120847222742416</v>
      </c>
      <c r="AD94" s="625">
        <f t="shared" si="48"/>
        <v>2.5019999999999998</v>
      </c>
      <c r="AE94" s="625">
        <f t="shared" si="48"/>
        <v>120.32674117800465</v>
      </c>
      <c r="AF94" s="625">
        <f>AF95/AF111</f>
        <v>35.189644835090085</v>
      </c>
      <c r="AG94" s="625">
        <v>0</v>
      </c>
      <c r="AH94" s="625">
        <v>0</v>
      </c>
      <c r="AI94" s="165"/>
      <c r="AJ94" s="165"/>
      <c r="AK94" s="165"/>
      <c r="AL94" s="165"/>
      <c r="AM94" s="165"/>
      <c r="AN94" s="165"/>
      <c r="AO94" s="165"/>
      <c r="AP94" s="165"/>
      <c r="AQ94" s="165"/>
      <c r="AR94" s="165"/>
      <c r="AS94" s="165"/>
      <c r="AT94" s="165"/>
      <c r="AU94" s="165"/>
      <c r="AV94" s="165"/>
      <c r="AW94" s="165"/>
      <c r="AX94" s="165"/>
    </row>
    <row r="95" spans="1:50" s="742" customFormat="1">
      <c r="A95" s="595" t="s">
        <v>67</v>
      </c>
      <c r="B95" s="595"/>
      <c r="C95" s="727" t="s">
        <v>1334</v>
      </c>
      <c r="D95" s="737">
        <f>SUM(E95:AH95)</f>
        <v>686.56299999999987</v>
      </c>
      <c r="E95" s="740">
        <f>'Eurostat Resume'!F78</f>
        <v>4.0289999999999999</v>
      </c>
      <c r="F95" s="740">
        <f>'Eurostat Resume'!G78</f>
        <v>2.9020000000000001</v>
      </c>
      <c r="G95" s="740">
        <f>'Eurostat Resume'!H78</f>
        <v>0.56799999999999995</v>
      </c>
      <c r="H95" s="740">
        <f>'Eurostat Resume'!I78</f>
        <v>0</v>
      </c>
      <c r="I95" s="740">
        <f>'Eurostat Resume'!J78</f>
        <v>15.97</v>
      </c>
      <c r="J95" s="740">
        <f>'Eurostat Resume'!K78</f>
        <v>287.90499999999997</v>
      </c>
      <c r="K95" s="740">
        <f>'Eurostat Resume'!L78</f>
        <v>14.885</v>
      </c>
      <c r="L95" s="740">
        <f>'Eurostat Resume'!M78</f>
        <v>0.24</v>
      </c>
      <c r="M95" s="740">
        <f>'Eurostat Resume'!N78</f>
        <v>0</v>
      </c>
      <c r="N95" s="740">
        <f>'Eurostat Resume'!O78</f>
        <v>11.438000000000001</v>
      </c>
      <c r="O95" s="740">
        <f>'Eurostat Resume'!P78</f>
        <v>109.13500000000001</v>
      </c>
      <c r="P95" s="740">
        <f>'Eurostat Resume'!Q78</f>
        <v>0</v>
      </c>
      <c r="Q95" s="740">
        <f>'Eurostat Resume'!R78</f>
        <v>0.30099999999999999</v>
      </c>
      <c r="R95" s="740">
        <f>'Eurostat Resume'!S78</f>
        <v>0</v>
      </c>
      <c r="S95" s="740">
        <f>'Eurostat Resume'!T78</f>
        <v>120.423</v>
      </c>
      <c r="T95" s="740">
        <f>'Eurostat Resume'!U78</f>
        <v>4.97</v>
      </c>
      <c r="U95" s="740">
        <f>'Eurostat Resume'!V78</f>
        <v>0.30099999999999999</v>
      </c>
      <c r="V95" s="740">
        <f>'Eurostat Resume'!W78</f>
        <v>0.439</v>
      </c>
      <c r="W95" s="740">
        <f>'Eurostat Resume'!X78</f>
        <v>0</v>
      </c>
      <c r="X95" s="740">
        <f>'Eurostat Resume'!Y78</f>
        <v>23.163</v>
      </c>
      <c r="Y95" s="740">
        <f>'Eurostat Resume'!Z78</f>
        <v>35.752000000000002</v>
      </c>
      <c r="Z95" s="740">
        <f>'Eurostat Resume'!AA78</f>
        <v>9.8770000000000007</v>
      </c>
      <c r="AA95" s="740">
        <f>'Eurostat Resume'!AB78</f>
        <v>5.6349999999999998</v>
      </c>
      <c r="AB95" s="740">
        <f>'Eurostat Resume'!AC78</f>
        <v>26.577999999999999</v>
      </c>
      <c r="AC95" s="740">
        <f>'Eurostat Resume'!AD78</f>
        <v>0.157</v>
      </c>
      <c r="AD95" s="740">
        <f>'Eurostat Resume'!AE78</f>
        <v>2.1379999999999999</v>
      </c>
      <c r="AE95" s="740">
        <f>'Eurostat Resume'!AF78</f>
        <v>0</v>
      </c>
      <c r="AF95" s="740">
        <f>'Eurostat Resume'!AG78</f>
        <v>9.7569999999999997</v>
      </c>
      <c r="AG95" s="740">
        <f>'Eurostat Resume'!AH78</f>
        <v>0</v>
      </c>
      <c r="AH95" s="740">
        <f>'Eurostat Resume'!AI78</f>
        <v>0</v>
      </c>
      <c r="AI95" s="741"/>
      <c r="AJ95" s="741">
        <v>0</v>
      </c>
      <c r="AK95" s="741"/>
      <c r="AL95" s="741"/>
      <c r="AM95" s="741"/>
      <c r="AN95" s="741"/>
      <c r="AO95" s="741"/>
      <c r="AP95" s="741"/>
      <c r="AQ95" s="741"/>
      <c r="AR95" s="741"/>
      <c r="AS95" s="741"/>
      <c r="AT95" s="741"/>
      <c r="AU95" s="741"/>
      <c r="AV95" s="741"/>
      <c r="AW95" s="741"/>
      <c r="AX95" s="741"/>
    </row>
    <row r="96" spans="1:50" s="739" customFormat="1">
      <c r="A96" s="593" t="s">
        <v>998</v>
      </c>
      <c r="B96" s="593"/>
      <c r="C96" s="619" t="s">
        <v>1339</v>
      </c>
      <c r="D96" s="737">
        <f>SUM(E96:AH96)</f>
        <v>607.88088032334781</v>
      </c>
      <c r="E96" s="625">
        <f t="shared" ref="E96:J96" si="49">E178/E188*(E93+E94)-E93</f>
        <v>0.32365465648140024</v>
      </c>
      <c r="F96" s="625">
        <f t="shared" si="49"/>
        <v>5.3461950316166567</v>
      </c>
      <c r="G96" s="625">
        <f t="shared" si="49"/>
        <v>4.1850394735191623</v>
      </c>
      <c r="H96" s="744">
        <f>H95</f>
        <v>0</v>
      </c>
      <c r="I96" s="625">
        <f t="shared" si="49"/>
        <v>17.372012708470685</v>
      </c>
      <c r="J96" s="625">
        <f t="shared" si="49"/>
        <v>167.8106194394374</v>
      </c>
      <c r="K96" s="625">
        <f t="shared" ref="K96:L96" si="50">K178/K188*(K93+K94)-K93</f>
        <v>22.130663086567377</v>
      </c>
      <c r="L96" s="625">
        <f t="shared" si="50"/>
        <v>0.15368295738354826</v>
      </c>
      <c r="M96" s="625">
        <f>M178/M188*(M93+M94)-M93</f>
        <v>15.776950861411507</v>
      </c>
      <c r="N96" s="625">
        <f t="shared" ref="N96:T96" si="51">N178/N188*(N93+N94)-N93</f>
        <v>10.610899498758645</v>
      </c>
      <c r="O96" s="625">
        <f t="shared" si="51"/>
        <v>76.26568545599919</v>
      </c>
      <c r="P96" s="744">
        <f>P95</f>
        <v>0</v>
      </c>
      <c r="Q96" s="625">
        <f t="shared" si="51"/>
        <v>0.92815494403993704</v>
      </c>
      <c r="R96" s="625">
        <f t="shared" si="51"/>
        <v>1.1134337031484183</v>
      </c>
      <c r="S96" s="625">
        <f t="shared" si="51"/>
        <v>126.44365577046619</v>
      </c>
      <c r="T96" s="625">
        <f t="shared" si="51"/>
        <v>0.45317739130434775</v>
      </c>
      <c r="U96" s="744">
        <f>U95</f>
        <v>0.30099999999999999</v>
      </c>
      <c r="V96" s="625">
        <f>V178/V188*(V93+V94)-V93</f>
        <v>0.39001230769230766</v>
      </c>
      <c r="W96" s="625">
        <v>0</v>
      </c>
      <c r="X96" s="625">
        <f t="shared" ref="X96:AC96" si="52">X178/X188*(X93+X94)-X93</f>
        <v>17.001301739447271</v>
      </c>
      <c r="Y96" s="625">
        <f t="shared" si="52"/>
        <v>40.242898532945489</v>
      </c>
      <c r="Z96" s="625">
        <f t="shared" si="52"/>
        <v>15.120878022307068</v>
      </c>
      <c r="AA96" s="625">
        <f t="shared" si="52"/>
        <v>15.024462943262424</v>
      </c>
      <c r="AB96" s="625">
        <f t="shared" si="52"/>
        <v>26.437055853407525</v>
      </c>
      <c r="AC96" s="625">
        <f t="shared" si="52"/>
        <v>0.75478062942242818</v>
      </c>
      <c r="AD96" s="744">
        <f>AD95</f>
        <v>2.1379999999999999</v>
      </c>
      <c r="AE96" s="625">
        <f>AE178/AE188*(AE93+AE94)-AE93</f>
        <v>30.104023293198665</v>
      </c>
      <c r="AF96" s="625">
        <f>AF178/AF188*(AF93+AF94)-AF93</f>
        <v>11.452642023060188</v>
      </c>
      <c r="AG96" s="625">
        <v>0</v>
      </c>
      <c r="AH96" s="625">
        <v>0</v>
      </c>
      <c r="AI96" s="738"/>
      <c r="AJ96" s="738"/>
      <c r="AK96" s="738"/>
      <c r="AL96" s="738"/>
      <c r="AM96" s="738"/>
      <c r="AN96" s="738"/>
      <c r="AO96" s="738"/>
      <c r="AP96" s="738"/>
      <c r="AQ96" s="738"/>
      <c r="AR96" s="738"/>
      <c r="AS96" s="738"/>
      <c r="AT96" s="738"/>
      <c r="AU96" s="738"/>
      <c r="AV96" s="738"/>
      <c r="AW96" s="738"/>
      <c r="AX96" s="738"/>
    </row>
    <row r="97" spans="1:50" s="164" customFormat="1">
      <c r="A97" s="593" t="s">
        <v>998</v>
      </c>
      <c r="B97" s="593"/>
      <c r="C97" s="625" t="s">
        <v>1327</v>
      </c>
      <c r="D97" s="624">
        <f>D94-D96</f>
        <v>1149.9323118114196</v>
      </c>
      <c r="E97" s="624">
        <f>E94-E96</f>
        <v>43.652691801389444</v>
      </c>
      <c r="F97" s="624">
        <f t="shared" ref="F97" si="53">F94-F96</f>
        <v>10.997235056088766</v>
      </c>
      <c r="G97" s="624">
        <f t="shared" ref="G97" si="54">G94-G96</f>
        <v>12.034752124619494</v>
      </c>
      <c r="H97" s="624">
        <f t="shared" ref="H97" si="55">H94-H96</f>
        <v>0</v>
      </c>
      <c r="I97" s="624">
        <f t="shared" ref="I97" si="56">I94-I96</f>
        <v>38.897487291529323</v>
      </c>
      <c r="J97" s="624">
        <f t="shared" ref="J97" si="57">J94-J96</f>
        <v>129.08746750781677</v>
      </c>
      <c r="K97" s="624">
        <f t="shared" ref="K97" si="58">K94-K96</f>
        <v>6.7351947725699013</v>
      </c>
      <c r="L97" s="624">
        <f t="shared" ref="L97" si="59">L94-L96</f>
        <v>1.5439353583299544</v>
      </c>
      <c r="M97" s="624">
        <f t="shared" ref="M97" si="60">M94-M96</f>
        <v>144.42926385818845</v>
      </c>
      <c r="N97" s="624">
        <f t="shared" ref="N97" si="61">N94-N96</f>
        <v>126.65467091915707</v>
      </c>
      <c r="O97" s="624">
        <f t="shared" ref="O97" si="62">O94-O96</f>
        <v>131.92832684178575</v>
      </c>
      <c r="P97" s="624">
        <f t="shared" ref="P97" si="63">P94-P96</f>
        <v>9.4626028368794337</v>
      </c>
      <c r="Q97" s="624">
        <f t="shared" ref="Q97" si="64">Q94-Q96</f>
        <v>8.0744305432662493</v>
      </c>
      <c r="R97" s="624">
        <f t="shared" ref="R97" si="65">R94-R96</f>
        <v>4.3388103929329951</v>
      </c>
      <c r="S97" s="624">
        <f t="shared" ref="S97" si="66">S94-S96</f>
        <v>8.327575256255102</v>
      </c>
      <c r="T97" s="624">
        <f t="shared" ref="T97" si="67">T94-T96</f>
        <v>7.9029337198067644</v>
      </c>
      <c r="U97" s="624">
        <f t="shared" ref="U97" si="68">U94-U96</f>
        <v>2.1227448418156802</v>
      </c>
      <c r="V97" s="624">
        <f t="shared" ref="V97" si="69">V94-V96</f>
        <v>0.93353841694537354</v>
      </c>
      <c r="W97" s="624">
        <f t="shared" ref="W97" si="70">W94-W96</f>
        <v>0</v>
      </c>
      <c r="X97" s="624">
        <f t="shared" ref="X97" si="71">X94-X96</f>
        <v>129.65434040633102</v>
      </c>
      <c r="Y97" s="624">
        <f t="shared" ref="Y97" si="72">Y94-Y96</f>
        <v>137.65475812913451</v>
      </c>
      <c r="Z97" s="624">
        <f t="shared" ref="Z97" si="73">Z94-Z96</f>
        <v>24.296198262623669</v>
      </c>
      <c r="AA97" s="624">
        <f t="shared" ref="AA97" si="74">AA94-AA96</f>
        <v>6.7225190567375783</v>
      </c>
      <c r="AB97" s="624">
        <f t="shared" ref="AB97" si="75">AB94-AB96</f>
        <v>41.299809627528788</v>
      </c>
      <c r="AC97" s="624">
        <f t="shared" ref="AC97" si="76">AC94-AC96</f>
        <v>8.8573040928518125</v>
      </c>
      <c r="AD97" s="624">
        <f t="shared" ref="AD97" si="77">AD94-AD96</f>
        <v>0.36399999999999988</v>
      </c>
      <c r="AE97" s="624">
        <f t="shared" ref="AE97" si="78">AE94-AE96</f>
        <v>90.222717884805988</v>
      </c>
      <c r="AF97" s="624">
        <f t="shared" ref="AF97" si="79">AF94-AF96</f>
        <v>23.7370028120299</v>
      </c>
      <c r="AG97" s="624">
        <f t="shared" ref="AG97" si="80">AG94-AG96</f>
        <v>0</v>
      </c>
      <c r="AH97" s="624">
        <f t="shared" ref="AH97" si="81">AH94-AH96</f>
        <v>0</v>
      </c>
      <c r="AI97" s="165"/>
      <c r="AJ97" s="165"/>
      <c r="AK97" s="165"/>
      <c r="AL97" s="165"/>
      <c r="AM97" s="165"/>
      <c r="AN97" s="165"/>
      <c r="AO97" s="165"/>
      <c r="AP97" s="165"/>
      <c r="AQ97" s="165"/>
      <c r="AR97" s="165"/>
      <c r="AS97" s="165"/>
      <c r="AT97" s="165"/>
      <c r="AU97" s="165"/>
      <c r="AV97" s="165"/>
      <c r="AW97" s="165"/>
      <c r="AX97" s="165"/>
    </row>
    <row r="98" spans="1:50" s="164" customFormat="1">
      <c r="A98" s="593"/>
      <c r="B98" s="593"/>
      <c r="C98" s="625"/>
      <c r="D98" s="624"/>
      <c r="E98" s="624"/>
      <c r="F98" s="624"/>
      <c r="G98" s="624"/>
      <c r="H98" s="624"/>
      <c r="I98" s="624"/>
      <c r="J98" s="624"/>
      <c r="K98" s="624"/>
      <c r="L98" s="624"/>
      <c r="M98" s="624"/>
      <c r="N98" s="624"/>
      <c r="O98" s="624"/>
      <c r="P98" s="624"/>
      <c r="Q98" s="624"/>
      <c r="R98" s="624"/>
      <c r="S98" s="624"/>
      <c r="T98" s="624"/>
      <c r="U98" s="624"/>
      <c r="V98" s="624"/>
      <c r="W98" s="624"/>
      <c r="X98" s="624"/>
      <c r="Y98" s="624"/>
      <c r="Z98" s="624"/>
      <c r="AA98" s="624"/>
      <c r="AB98" s="624"/>
      <c r="AC98" s="624"/>
      <c r="AD98" s="624"/>
      <c r="AE98" s="624"/>
      <c r="AF98" s="624"/>
      <c r="AG98" s="624"/>
      <c r="AH98" s="624"/>
      <c r="AI98" s="165"/>
      <c r="AJ98" s="165"/>
      <c r="AK98" s="165"/>
      <c r="AL98" s="165"/>
      <c r="AM98" s="165"/>
      <c r="AN98" s="165"/>
      <c r="AO98" s="165"/>
      <c r="AP98" s="165"/>
      <c r="AQ98" s="165"/>
      <c r="AR98" s="165"/>
      <c r="AS98" s="165"/>
      <c r="AT98" s="165"/>
      <c r="AU98" s="165"/>
      <c r="AV98" s="165"/>
      <c r="AW98" s="165"/>
      <c r="AX98" s="165"/>
    </row>
    <row r="99" spans="1:50" s="164" customFormat="1">
      <c r="A99" s="593"/>
      <c r="B99" s="593"/>
      <c r="C99" s="625" t="s">
        <v>1337</v>
      </c>
      <c r="D99" s="624"/>
      <c r="E99" s="624"/>
      <c r="F99" s="624"/>
      <c r="G99" s="624"/>
      <c r="H99" s="624"/>
      <c r="I99" s="624"/>
      <c r="J99" s="624"/>
      <c r="K99" s="624"/>
      <c r="L99" s="624"/>
      <c r="M99" s="624"/>
      <c r="N99" s="624"/>
      <c r="O99" s="624"/>
      <c r="P99" s="624"/>
      <c r="Q99" s="624"/>
      <c r="R99" s="624"/>
      <c r="S99" s="624"/>
      <c r="T99" s="624"/>
      <c r="U99" s="624"/>
      <c r="V99" s="624"/>
      <c r="W99" s="624"/>
      <c r="X99" s="624"/>
      <c r="Y99" s="624"/>
      <c r="Z99" s="624"/>
      <c r="AA99" s="624"/>
      <c r="AB99" s="624"/>
      <c r="AC99" s="624"/>
      <c r="AD99" s="624"/>
      <c r="AE99" s="624"/>
      <c r="AF99" s="624"/>
      <c r="AG99" s="624"/>
      <c r="AH99" s="624"/>
      <c r="AI99" s="165"/>
      <c r="AJ99" s="165"/>
      <c r="AK99" s="165"/>
      <c r="AL99" s="165"/>
      <c r="AM99" s="165"/>
      <c r="AN99" s="165"/>
      <c r="AO99" s="165"/>
      <c r="AP99" s="165"/>
      <c r="AQ99" s="165"/>
      <c r="AR99" s="165"/>
      <c r="AS99" s="165"/>
      <c r="AT99" s="165"/>
      <c r="AU99" s="165"/>
      <c r="AV99" s="165"/>
      <c r="AW99" s="165"/>
      <c r="AX99" s="165"/>
    </row>
    <row r="100" spans="1:50" s="164" customFormat="1">
      <c r="A100" s="593"/>
      <c r="B100" s="593"/>
      <c r="C100" s="625" t="s">
        <v>1338</v>
      </c>
      <c r="D100" s="624"/>
      <c r="E100" s="624"/>
      <c r="F100" s="624"/>
      <c r="G100" s="624"/>
      <c r="H100" s="624"/>
      <c r="I100" s="624"/>
      <c r="J100" s="624"/>
      <c r="K100" s="624"/>
      <c r="L100" s="624"/>
      <c r="M100" s="624"/>
      <c r="N100" s="624"/>
      <c r="O100" s="624"/>
      <c r="P100" s="624"/>
      <c r="Q100" s="624"/>
      <c r="R100" s="624"/>
      <c r="S100" s="624"/>
      <c r="T100" s="624"/>
      <c r="U100" s="624"/>
      <c r="V100" s="624"/>
      <c r="W100" s="624"/>
      <c r="X100" s="624"/>
      <c r="Y100" s="624"/>
      <c r="Z100" s="624"/>
      <c r="AA100" s="624"/>
      <c r="AB100" s="624"/>
      <c r="AC100" s="624"/>
      <c r="AD100" s="624"/>
      <c r="AE100" s="624"/>
      <c r="AF100" s="624"/>
      <c r="AG100" s="624"/>
      <c r="AH100" s="624"/>
      <c r="AI100" s="165"/>
      <c r="AJ100" s="165"/>
      <c r="AK100" s="165"/>
      <c r="AL100" s="165"/>
      <c r="AM100" s="165"/>
      <c r="AN100" s="165"/>
      <c r="AO100" s="165"/>
      <c r="AP100" s="165"/>
      <c r="AQ100" s="165"/>
      <c r="AR100" s="165"/>
      <c r="AS100" s="165"/>
      <c r="AT100" s="165"/>
      <c r="AU100" s="165"/>
      <c r="AV100" s="165"/>
      <c r="AW100" s="165"/>
      <c r="AX100" s="165"/>
    </row>
    <row r="101" spans="1:50" s="164" customFormat="1">
      <c r="A101" s="593"/>
      <c r="B101" s="593"/>
      <c r="C101" s="625" t="s">
        <v>1340</v>
      </c>
      <c r="D101" s="624"/>
      <c r="E101" s="624"/>
      <c r="F101" s="624"/>
      <c r="G101" s="624"/>
      <c r="H101" s="624"/>
      <c r="I101" s="624"/>
      <c r="J101" s="624"/>
      <c r="K101" s="624"/>
      <c r="L101" s="624"/>
      <c r="M101" s="624"/>
      <c r="N101" s="624"/>
      <c r="O101" s="624"/>
      <c r="P101" s="624"/>
      <c r="Q101" s="624"/>
      <c r="R101" s="624"/>
      <c r="S101" s="624"/>
      <c r="T101" s="624"/>
      <c r="U101" s="624"/>
      <c r="V101" s="624"/>
      <c r="W101" s="624"/>
      <c r="X101" s="624"/>
      <c r="Y101" s="624"/>
      <c r="Z101" s="624"/>
      <c r="AA101" s="624"/>
      <c r="AB101" s="624"/>
      <c r="AC101" s="624"/>
      <c r="AD101" s="624"/>
      <c r="AE101" s="624"/>
      <c r="AF101" s="624"/>
      <c r="AG101" s="624"/>
      <c r="AH101" s="624"/>
      <c r="AI101" s="165"/>
      <c r="AJ101" s="165"/>
      <c r="AK101" s="165"/>
      <c r="AL101" s="165"/>
      <c r="AM101" s="165"/>
      <c r="AN101" s="165"/>
      <c r="AO101" s="165"/>
      <c r="AP101" s="165"/>
      <c r="AQ101" s="165"/>
      <c r="AR101" s="165"/>
      <c r="AS101" s="165"/>
      <c r="AT101" s="165"/>
      <c r="AU101" s="165"/>
      <c r="AV101" s="165"/>
      <c r="AW101" s="165"/>
      <c r="AX101" s="165"/>
    </row>
    <row r="102" spans="1:50" s="739" customFormat="1">
      <c r="A102" s="593"/>
      <c r="B102" s="593"/>
      <c r="C102" s="619"/>
      <c r="D102" s="737"/>
      <c r="E102" s="740"/>
      <c r="F102" s="740"/>
      <c r="G102" s="740"/>
      <c r="H102" s="740"/>
      <c r="I102" s="740"/>
      <c r="J102" s="740"/>
      <c r="K102" s="740"/>
      <c r="L102" s="740"/>
      <c r="M102" s="740"/>
      <c r="N102" s="740"/>
      <c r="O102" s="740"/>
      <c r="P102" s="740"/>
      <c r="Q102" s="740"/>
      <c r="R102" s="740"/>
      <c r="S102" s="740"/>
      <c r="T102" s="740"/>
      <c r="U102" s="740"/>
      <c r="V102" s="740"/>
      <c r="W102" s="740"/>
      <c r="X102" s="740"/>
      <c r="Y102" s="740"/>
      <c r="Z102" s="740"/>
      <c r="AA102" s="740"/>
      <c r="AB102" s="740"/>
      <c r="AC102" s="740"/>
      <c r="AD102" s="740"/>
      <c r="AE102" s="740"/>
      <c r="AF102" s="740"/>
      <c r="AG102" s="740"/>
      <c r="AH102" s="740"/>
      <c r="AI102" s="738"/>
      <c r="AJ102" s="738"/>
      <c r="AK102" s="738"/>
      <c r="AL102" s="738"/>
      <c r="AM102" s="738"/>
      <c r="AN102" s="738"/>
      <c r="AO102" s="738"/>
      <c r="AP102" s="738"/>
      <c r="AQ102" s="738"/>
      <c r="AR102" s="738"/>
      <c r="AS102" s="738"/>
      <c r="AT102" s="738"/>
      <c r="AU102" s="738"/>
      <c r="AV102" s="738"/>
      <c r="AW102" s="738"/>
      <c r="AX102" s="738"/>
    </row>
    <row r="103" spans="1:50" s="739" customFormat="1">
      <c r="A103" s="593"/>
      <c r="B103" s="593"/>
      <c r="C103" s="727"/>
      <c r="D103" s="737"/>
      <c r="E103" s="740"/>
      <c r="F103" s="740"/>
      <c r="G103" s="740"/>
      <c r="H103" s="740"/>
      <c r="I103" s="740"/>
      <c r="J103" s="740"/>
      <c r="K103" s="740"/>
      <c r="L103" s="740"/>
      <c r="M103" s="740"/>
      <c r="N103" s="740"/>
      <c r="O103" s="740"/>
      <c r="P103" s="740"/>
      <c r="Q103" s="740"/>
      <c r="R103" s="740"/>
      <c r="S103" s="740"/>
      <c r="T103" s="740"/>
      <c r="U103" s="740"/>
      <c r="V103" s="740"/>
      <c r="W103" s="740"/>
      <c r="X103" s="740"/>
      <c r="Y103" s="740"/>
      <c r="Z103" s="740"/>
      <c r="AA103" s="740"/>
      <c r="AB103" s="740"/>
      <c r="AC103" s="740"/>
      <c r="AD103" s="740"/>
      <c r="AE103" s="740"/>
      <c r="AF103" s="740"/>
      <c r="AG103" s="740"/>
      <c r="AH103" s="740"/>
      <c r="AI103" s="738"/>
      <c r="AJ103" s="738"/>
      <c r="AK103" s="738"/>
      <c r="AL103" s="738"/>
      <c r="AM103" s="738"/>
      <c r="AN103" s="738"/>
      <c r="AO103" s="738"/>
      <c r="AP103" s="738"/>
      <c r="AQ103" s="738"/>
      <c r="AR103" s="738"/>
      <c r="AS103" s="738"/>
      <c r="AT103" s="738"/>
      <c r="AU103" s="738"/>
      <c r="AV103" s="738"/>
      <c r="AW103" s="738"/>
      <c r="AX103" s="738"/>
    </row>
    <row r="104" spans="1:50" s="586" customFormat="1">
      <c r="A104" s="595" t="s">
        <v>998</v>
      </c>
      <c r="B104" s="595"/>
      <c r="C104" s="619" t="s">
        <v>1022</v>
      </c>
      <c r="D104" s="624">
        <f>SUM(E104:AH104)</f>
        <v>141.69086857532687</v>
      </c>
      <c r="E104" s="625">
        <f t="shared" ref="E104:AE104" si="82">E84*1.12</f>
        <v>3.7301208000000008</v>
      </c>
      <c r="F104" s="625">
        <f t="shared" si="82"/>
        <v>1.8790269120000005</v>
      </c>
      <c r="G104" s="625">
        <f t="shared" si="82"/>
        <v>1.5903888000000002</v>
      </c>
      <c r="H104" s="625">
        <f t="shared" si="82"/>
        <v>0</v>
      </c>
      <c r="I104" s="625">
        <f t="shared" si="82"/>
        <v>6.2160000000000002</v>
      </c>
      <c r="J104" s="625">
        <f t="shared" si="82"/>
        <v>23.647680000000005</v>
      </c>
      <c r="K104" s="625">
        <f t="shared" si="82"/>
        <v>1.7137142400000001</v>
      </c>
      <c r="L104" s="625">
        <f t="shared" si="82"/>
        <v>0.20797280000000004</v>
      </c>
      <c r="M104" s="625">
        <f t="shared" si="82"/>
        <v>13.811147500822566</v>
      </c>
      <c r="N104" s="625">
        <f t="shared" si="82"/>
        <v>9.2023904000000005</v>
      </c>
      <c r="O104" s="625">
        <f t="shared" si="82"/>
        <v>18.780237280000005</v>
      </c>
      <c r="P104" s="625">
        <f t="shared" si="82"/>
        <v>0.96465600000000007</v>
      </c>
      <c r="Q104" s="625">
        <f t="shared" si="82"/>
        <v>1.1611320000000001</v>
      </c>
      <c r="R104" s="625">
        <f t="shared" si="82"/>
        <v>0.61582147200000004</v>
      </c>
      <c r="S104" s="625">
        <f t="shared" si="82"/>
        <v>11.278400000000001</v>
      </c>
      <c r="T104" s="625">
        <f t="shared" si="82"/>
        <v>0.16576000000000002</v>
      </c>
      <c r="U104" s="625">
        <f t="shared" si="82"/>
        <v>0.40208000000000005</v>
      </c>
      <c r="V104" s="625">
        <f t="shared" si="82"/>
        <v>0.19824</v>
      </c>
      <c r="W104" s="625">
        <f t="shared" si="82"/>
        <v>0</v>
      </c>
      <c r="X104" s="625">
        <f t="shared" si="82"/>
        <v>7.2639774666666659</v>
      </c>
      <c r="Y104" s="625">
        <f t="shared" si="82"/>
        <v>15.250928</v>
      </c>
      <c r="Z104" s="625">
        <f t="shared" si="82"/>
        <v>3.2094398145600009</v>
      </c>
      <c r="AA104" s="625">
        <f t="shared" si="82"/>
        <v>1.86144</v>
      </c>
      <c r="AB104" s="625">
        <f t="shared" si="82"/>
        <v>2.9758400000000003</v>
      </c>
      <c r="AC104" s="625">
        <f t="shared" si="82"/>
        <v>0.56166208000000006</v>
      </c>
      <c r="AD104" s="625">
        <f t="shared" si="82"/>
        <v>4.0969600000000002</v>
      </c>
      <c r="AE104" s="625">
        <f t="shared" si="82"/>
        <v>8.2182240000000011</v>
      </c>
      <c r="AF104" s="625">
        <f>AF94/AF112</f>
        <v>2.6876290092776167</v>
      </c>
      <c r="AG104" s="625">
        <v>0</v>
      </c>
      <c r="AH104" s="625">
        <v>0</v>
      </c>
      <c r="AI104" s="585"/>
      <c r="AJ104" s="585"/>
      <c r="AK104" s="585"/>
      <c r="AL104" s="585"/>
      <c r="AM104" s="585"/>
      <c r="AN104" s="585"/>
      <c r="AO104" s="585"/>
      <c r="AP104" s="585"/>
      <c r="AQ104" s="585"/>
      <c r="AR104" s="585"/>
      <c r="AS104" s="585"/>
      <c r="AT104" s="585"/>
      <c r="AU104" s="585"/>
      <c r="AV104" s="585"/>
      <c r="AW104" s="585"/>
      <c r="AX104" s="585"/>
    </row>
    <row r="105" spans="1:50" s="164" customFormat="1">
      <c r="A105" s="595" t="s">
        <v>998</v>
      </c>
      <c r="B105" s="595"/>
      <c r="C105" s="638" t="s">
        <v>1023</v>
      </c>
      <c r="D105" s="609"/>
      <c r="E105" s="639">
        <f t="shared" ref="E105:AH105" si="83">IFERROR(E94/E93,0)</f>
        <v>3.1885402014117492</v>
      </c>
      <c r="F105" s="639">
        <f t="shared" si="83"/>
        <v>3.2267384181057097</v>
      </c>
      <c r="G105" s="639">
        <f t="shared" si="83"/>
        <v>3.0419714175053745</v>
      </c>
      <c r="H105" s="639">
        <f t="shared" si="83"/>
        <v>0</v>
      </c>
      <c r="I105" s="639">
        <f t="shared" si="83"/>
        <v>1.7585867425071102</v>
      </c>
      <c r="J105" s="639">
        <f t="shared" si="83"/>
        <v>3.4811238034337091</v>
      </c>
      <c r="K105" s="639">
        <f t="shared" si="83"/>
        <v>2.790050054043812</v>
      </c>
      <c r="L105" s="639">
        <f t="shared" si="83"/>
        <v>4.1005273326413114</v>
      </c>
      <c r="M105" s="639">
        <f t="shared" si="83"/>
        <v>1.3202539430516294</v>
      </c>
      <c r="N105" s="639">
        <f t="shared" si="83"/>
        <v>4.291426574686291</v>
      </c>
      <c r="O105" s="639">
        <f t="shared" si="83"/>
        <v>4.3193778485017624</v>
      </c>
      <c r="P105" s="639">
        <f t="shared" si="83"/>
        <v>2.4751773049645394</v>
      </c>
      <c r="Q105" s="639">
        <f t="shared" si="83"/>
        <v>6.1158868799634423</v>
      </c>
      <c r="R105" s="639">
        <f t="shared" si="83"/>
        <v>2.403987696684927</v>
      </c>
      <c r="S105" s="639">
        <f t="shared" si="83"/>
        <v>2.1465856114092969</v>
      </c>
      <c r="T105" s="639">
        <f t="shared" si="83"/>
        <v>13.412698412698413</v>
      </c>
      <c r="U105" s="639">
        <f t="shared" si="83"/>
        <v>2.0030949105914715</v>
      </c>
      <c r="V105" s="639">
        <f t="shared" si="83"/>
        <v>4.7101449275362315</v>
      </c>
      <c r="W105" s="639">
        <f t="shared" si="83"/>
        <v>0</v>
      </c>
      <c r="X105" s="639">
        <f t="shared" si="83"/>
        <v>3.208182402068958</v>
      </c>
      <c r="Y105" s="639">
        <f t="shared" si="83"/>
        <v>6.0828030042426322</v>
      </c>
      <c r="Z105" s="639">
        <f t="shared" si="83"/>
        <v>2.247780353839572</v>
      </c>
      <c r="AA105" s="639">
        <f t="shared" si="83"/>
        <v>2.7646811594202902</v>
      </c>
      <c r="AB105" s="639">
        <f t="shared" si="83"/>
        <v>4.0000511090667477</v>
      </c>
      <c r="AC105" s="639">
        <f t="shared" si="83"/>
        <v>7.5211930534227243</v>
      </c>
      <c r="AD105" s="639">
        <f t="shared" si="83"/>
        <v>0.29892473118279572</v>
      </c>
      <c r="AE105" s="639">
        <f t="shared" si="83"/>
        <v>1.2287391748752095</v>
      </c>
      <c r="AF105" s="639">
        <f t="shared" si="83"/>
        <v>3.4553853922908568</v>
      </c>
      <c r="AG105" s="639">
        <f t="shared" si="83"/>
        <v>0</v>
      </c>
      <c r="AH105" s="639">
        <f t="shared" si="83"/>
        <v>0</v>
      </c>
      <c r="AI105" s="165"/>
      <c r="AJ105" s="165"/>
      <c r="AK105" s="165"/>
      <c r="AL105" s="165"/>
      <c r="AM105" s="165"/>
      <c r="AN105" s="165"/>
      <c r="AO105" s="165"/>
      <c r="AP105" s="165"/>
      <c r="AQ105" s="165"/>
      <c r="AR105" s="165"/>
      <c r="AS105" s="165"/>
      <c r="AT105" s="165"/>
      <c r="AU105" s="165"/>
      <c r="AV105" s="165"/>
      <c r="AW105" s="165"/>
      <c r="AX105" s="165"/>
    </row>
    <row r="106" spans="1:50" s="164" customFormat="1">
      <c r="A106" s="595" t="s">
        <v>998</v>
      </c>
      <c r="B106" s="595"/>
      <c r="C106" s="638" t="s">
        <v>1024</v>
      </c>
      <c r="D106" s="609"/>
      <c r="E106" s="639">
        <f>E126</f>
        <v>0.54587429930234022</v>
      </c>
      <c r="F106" s="639">
        <f>F126</f>
        <v>0.32826302520463785</v>
      </c>
      <c r="G106" s="639">
        <f>G126</f>
        <v>0.70115343743877068</v>
      </c>
      <c r="H106" s="639">
        <v>0</v>
      </c>
      <c r="I106" s="639">
        <f t="shared" ref="I106:V106" si="84">I126</f>
        <v>0.77751401381713625</v>
      </c>
      <c r="J106" s="639">
        <f t="shared" si="84"/>
        <v>0.33965451757672693</v>
      </c>
      <c r="K106" s="639">
        <f t="shared" si="84"/>
        <v>0.56672393337976723</v>
      </c>
      <c r="L106" s="639">
        <f t="shared" si="84"/>
        <v>0.48982038604577172</v>
      </c>
      <c r="M106" s="639">
        <f t="shared" si="84"/>
        <v>0.89999999999999991</v>
      </c>
      <c r="N106" s="639">
        <f t="shared" si="84"/>
        <v>0.5298536268850097</v>
      </c>
      <c r="O106" s="639">
        <f t="shared" si="84"/>
        <v>0.45026578529306632</v>
      </c>
      <c r="P106" s="639">
        <f t="shared" si="84"/>
        <v>0.49780596610463002</v>
      </c>
      <c r="Q106" s="639">
        <f t="shared" si="84"/>
        <v>0.34645302760666807</v>
      </c>
      <c r="R106" s="639">
        <f t="shared" si="84"/>
        <v>0.56421070667718776</v>
      </c>
      <c r="S106" s="639">
        <f t="shared" si="84"/>
        <v>0.71469206074653024</v>
      </c>
      <c r="T106" s="639">
        <f t="shared" si="84"/>
        <v>0.9</v>
      </c>
      <c r="U106" s="639">
        <f t="shared" si="84"/>
        <v>0.41931981751201536</v>
      </c>
      <c r="V106" s="639">
        <f t="shared" si="84"/>
        <v>0.45101959318995727</v>
      </c>
      <c r="W106" s="639">
        <v>0</v>
      </c>
      <c r="X106" s="639">
        <f t="shared" ref="X106:AE106" si="85">X126</f>
        <v>0.87876645230225914</v>
      </c>
      <c r="Y106" s="639">
        <f t="shared" si="85"/>
        <v>0.45180762443518252</v>
      </c>
      <c r="Z106" s="639">
        <f t="shared" si="85"/>
        <v>0.9</v>
      </c>
      <c r="AA106" s="639">
        <f t="shared" si="85"/>
        <v>0.8999999999999998</v>
      </c>
      <c r="AB106" s="639">
        <f t="shared" si="85"/>
        <v>0.56749344973014737</v>
      </c>
      <c r="AC106" s="639">
        <f t="shared" si="85"/>
        <v>0.52727461096192085</v>
      </c>
      <c r="AD106" s="639">
        <f t="shared" si="85"/>
        <v>0.55731748671307157</v>
      </c>
      <c r="AE106" s="639">
        <f t="shared" si="85"/>
        <v>0.82690862310043178</v>
      </c>
      <c r="AF106" s="639">
        <v>0.9</v>
      </c>
      <c r="AG106" s="639">
        <v>0</v>
      </c>
      <c r="AH106" s="639">
        <v>0</v>
      </c>
      <c r="AI106" s="165"/>
      <c r="AJ106" s="165"/>
      <c r="AK106" s="165"/>
      <c r="AL106" s="165"/>
      <c r="AM106" s="165"/>
      <c r="AN106" s="165"/>
      <c r="AO106" s="165"/>
      <c r="AP106" s="165"/>
      <c r="AQ106" s="165"/>
      <c r="AR106" s="165"/>
      <c r="AS106" s="165"/>
      <c r="AT106" s="165"/>
      <c r="AU106" s="165"/>
      <c r="AV106" s="165"/>
      <c r="AW106" s="165"/>
      <c r="AX106" s="165"/>
    </row>
    <row r="107" spans="1:50" s="164" customFormat="1">
      <c r="A107" s="595" t="s">
        <v>998</v>
      </c>
      <c r="B107" s="595"/>
      <c r="C107" s="638" t="s">
        <v>1025</v>
      </c>
      <c r="D107" s="609"/>
      <c r="E107" s="639">
        <f>(E93+E94)/E74</f>
        <v>0.62444833693790736</v>
      </c>
      <c r="F107" s="639">
        <f>(F93+F94)/F74</f>
        <v>0.77159882340094643</v>
      </c>
      <c r="G107" s="639">
        <f>(G93+G94)/G74</f>
        <v>0.64971596624243344</v>
      </c>
      <c r="H107" s="639">
        <v>0</v>
      </c>
      <c r="I107" s="639">
        <f t="shared" ref="I107:V107" si="86">(I93+I94)/I74</f>
        <v>0.65725313588895584</v>
      </c>
      <c r="J107" s="639">
        <f t="shared" si="86"/>
        <v>0.80354380127957337</v>
      </c>
      <c r="K107" s="639">
        <f t="shared" si="86"/>
        <v>0.83940716171019303</v>
      </c>
      <c r="L107" s="639">
        <f t="shared" si="86"/>
        <v>0.69825702015196578</v>
      </c>
      <c r="M107" s="639">
        <f t="shared" si="86"/>
        <v>0.79975475116742878</v>
      </c>
      <c r="N107" s="639">
        <f t="shared" si="86"/>
        <v>0.80150715949946649</v>
      </c>
      <c r="O107" s="639">
        <f t="shared" si="86"/>
        <v>0.80403150770661336</v>
      </c>
      <c r="P107" s="639">
        <f t="shared" si="86"/>
        <v>0.71657603397101211</v>
      </c>
      <c r="Q107" s="639">
        <f t="shared" si="86"/>
        <v>0.76780388484962814</v>
      </c>
      <c r="R107" s="639">
        <f t="shared" si="86"/>
        <v>0.76072749227186021</v>
      </c>
      <c r="S107" s="639">
        <f t="shared" si="86"/>
        <v>0.72880498754228384</v>
      </c>
      <c r="T107" s="639">
        <f t="shared" si="86"/>
        <v>0.78956521739130436</v>
      </c>
      <c r="U107" s="639">
        <f t="shared" si="86"/>
        <v>0.89390958203013937</v>
      </c>
      <c r="V107" s="639">
        <f t="shared" si="86"/>
        <v>0.86137651821862338</v>
      </c>
      <c r="W107" s="639">
        <v>0</v>
      </c>
      <c r="X107" s="639">
        <f t="shared" ref="X107:AF107" si="87">(X93+X94)/X74</f>
        <v>0.83162231129591146</v>
      </c>
      <c r="Y107" s="639">
        <f t="shared" si="87"/>
        <v>0.7811954597192361</v>
      </c>
      <c r="Z107" s="639">
        <f t="shared" si="87"/>
        <v>0.91128691880530988</v>
      </c>
      <c r="AA107" s="639">
        <f t="shared" si="87"/>
        <v>0.92114539007092222</v>
      </c>
      <c r="AB107" s="639">
        <f t="shared" si="87"/>
        <v>0.78196768811134298</v>
      </c>
      <c r="AC107" s="639">
        <f t="shared" si="87"/>
        <v>0.8966831184042473</v>
      </c>
      <c r="AD107" s="639">
        <f t="shared" si="87"/>
        <v>0.33720515484701391</v>
      </c>
      <c r="AE107" s="639">
        <f t="shared" si="87"/>
        <v>0.74114846849720262</v>
      </c>
      <c r="AF107" s="639">
        <f t="shared" si="87"/>
        <v>0.6089438375234274</v>
      </c>
      <c r="AG107" s="639">
        <v>0</v>
      </c>
      <c r="AH107" s="639">
        <v>0</v>
      </c>
      <c r="AI107" s="165"/>
      <c r="AJ107" s="165"/>
      <c r="AK107" s="165"/>
      <c r="AL107" s="165"/>
      <c r="AM107" s="165"/>
      <c r="AN107" s="165"/>
      <c r="AO107" s="165"/>
      <c r="AP107" s="165"/>
      <c r="AQ107" s="165"/>
      <c r="AR107" s="165"/>
      <c r="AS107" s="165"/>
      <c r="AT107" s="165"/>
      <c r="AU107" s="165"/>
      <c r="AV107" s="165"/>
      <c r="AW107" s="165"/>
      <c r="AX107" s="165"/>
    </row>
    <row r="108" spans="1:50" s="164" customFormat="1">
      <c r="A108" s="595" t="s">
        <v>998</v>
      </c>
      <c r="B108" s="595"/>
      <c r="C108" s="638" t="s">
        <v>1026</v>
      </c>
      <c r="D108" s="609"/>
      <c r="E108" s="639">
        <f>E93/E74</f>
        <v>0.14908495726683887</v>
      </c>
      <c r="F108" s="639">
        <f>F93/F74</f>
        <v>0.18255182769194234</v>
      </c>
      <c r="G108" s="639">
        <f>G93/G74</f>
        <v>0.16074234553677902</v>
      </c>
      <c r="H108" s="639">
        <v>0</v>
      </c>
      <c r="I108" s="639">
        <f t="shared" ref="I108:V108" si="88">I93/I74</f>
        <v>0.23825719371493054</v>
      </c>
      <c r="J108" s="639">
        <f t="shared" si="88"/>
        <v>0.17931747403717105</v>
      </c>
      <c r="K108" s="639">
        <f t="shared" si="88"/>
        <v>0.22147653718044791</v>
      </c>
      <c r="L108" s="639">
        <f t="shared" si="88"/>
        <v>0.13689898604863918</v>
      </c>
      <c r="M108" s="639">
        <f t="shared" si="88"/>
        <v>0.34468414699279881</v>
      </c>
      <c r="N108" s="639">
        <f t="shared" si="88"/>
        <v>0.15147279248545273</v>
      </c>
      <c r="O108" s="639">
        <f t="shared" si="88"/>
        <v>0.15115141856919867</v>
      </c>
      <c r="P108" s="639">
        <f t="shared" si="88"/>
        <v>0.20619840977533202</v>
      </c>
      <c r="Q108" s="639">
        <f t="shared" si="88"/>
        <v>0.10789995650599392</v>
      </c>
      <c r="R108" s="639">
        <f t="shared" si="88"/>
        <v>0.22348126963347048</v>
      </c>
      <c r="S108" s="639">
        <f t="shared" si="88"/>
        <v>0.23161772077635154</v>
      </c>
      <c r="T108" s="639">
        <f t="shared" si="88"/>
        <v>5.4782608695652178E-2</v>
      </c>
      <c r="U108" s="639">
        <f t="shared" si="88"/>
        <v>0.2976627807790731</v>
      </c>
      <c r="V108" s="639">
        <f t="shared" si="88"/>
        <v>0.15085020242914979</v>
      </c>
      <c r="W108" s="639">
        <v>0</v>
      </c>
      <c r="X108" s="639">
        <f t="shared" ref="X108:AF108" si="89">X93/X74</f>
        <v>0.1976203101099048</v>
      </c>
      <c r="Y108" s="639">
        <f t="shared" si="89"/>
        <v>0.11029467560389528</v>
      </c>
      <c r="Z108" s="639">
        <f t="shared" si="89"/>
        <v>0.28058760738791144</v>
      </c>
      <c r="AA108" s="639">
        <f t="shared" si="89"/>
        <v>0.24468085106382981</v>
      </c>
      <c r="AB108" s="639">
        <f t="shared" si="89"/>
        <v>0.15639193901305865</v>
      </c>
      <c r="AC108" s="639">
        <f t="shared" si="89"/>
        <v>0.10522976216858211</v>
      </c>
      <c r="AD108" s="639">
        <f t="shared" si="89"/>
        <v>0.25960330629778389</v>
      </c>
      <c r="AE108" s="639">
        <f t="shared" si="89"/>
        <v>0.33254158981555149</v>
      </c>
      <c r="AF108" s="639">
        <f t="shared" si="89"/>
        <v>0.13667590655054926</v>
      </c>
      <c r="AG108" s="639">
        <v>0</v>
      </c>
      <c r="AH108" s="639">
        <v>0</v>
      </c>
      <c r="AI108" s="165"/>
      <c r="AJ108" s="165"/>
      <c r="AK108" s="165"/>
      <c r="AL108" s="165"/>
      <c r="AM108" s="165"/>
      <c r="AN108" s="165"/>
      <c r="AO108" s="165"/>
      <c r="AP108" s="165"/>
      <c r="AQ108" s="165"/>
      <c r="AR108" s="165"/>
      <c r="AS108" s="165"/>
      <c r="AT108" s="165"/>
      <c r="AU108" s="165"/>
      <c r="AV108" s="165"/>
      <c r="AW108" s="165"/>
      <c r="AX108" s="165"/>
    </row>
    <row r="109" spans="1:50" s="164" customFormat="1">
      <c r="A109" s="593" t="s">
        <v>998</v>
      </c>
      <c r="B109" s="593"/>
      <c r="C109" s="638" t="s">
        <v>1336</v>
      </c>
      <c r="D109" s="624"/>
      <c r="E109" s="718">
        <f>IFERROR(E96/E94,0)</f>
        <v>7.3597441022405083E-3</v>
      </c>
      <c r="F109" s="718">
        <f t="shared" ref="F109:AH109" si="90">IFERROR(F96/F94,0)</f>
        <v>0.32711585040146551</v>
      </c>
      <c r="G109" s="718">
        <f t="shared" si="90"/>
        <v>0.25802054534408614</v>
      </c>
      <c r="H109" s="718">
        <f t="shared" si="90"/>
        <v>0</v>
      </c>
      <c r="I109" s="718">
        <f t="shared" si="90"/>
        <v>0.30872875551534457</v>
      </c>
      <c r="J109" s="718">
        <f>IFERROR(J96/J94,0)</f>
        <v>0.56521286871494736</v>
      </c>
      <c r="K109" s="718">
        <f t="shared" si="90"/>
        <v>0.76667262738432962</v>
      </c>
      <c r="L109" s="718">
        <f t="shared" si="90"/>
        <v>9.0528569326230365E-2</v>
      </c>
      <c r="M109" s="718">
        <f t="shared" si="90"/>
        <v>9.8479018988277253E-2</v>
      </c>
      <c r="N109" s="718">
        <f t="shared" si="90"/>
        <v>7.7301973586332937E-2</v>
      </c>
      <c r="O109" s="718">
        <f t="shared" si="90"/>
        <v>0.36632026355740976</v>
      </c>
      <c r="P109" s="718">
        <f t="shared" si="90"/>
        <v>0</v>
      </c>
      <c r="Q109" s="718">
        <f t="shared" si="90"/>
        <v>0.10309870929286402</v>
      </c>
      <c r="R109" s="718">
        <f t="shared" si="90"/>
        <v>0.20421567404670218</v>
      </c>
      <c r="S109" s="718">
        <f t="shared" si="90"/>
        <v>0.9382095481890792</v>
      </c>
      <c r="T109" s="718">
        <f t="shared" si="90"/>
        <v>5.4233049953315994E-2</v>
      </c>
      <c r="U109" s="718">
        <f t="shared" si="90"/>
        <v>0.12418798992657754</v>
      </c>
      <c r="V109" s="718">
        <f t="shared" si="90"/>
        <v>0.29467122070374191</v>
      </c>
      <c r="W109" s="718">
        <f t="shared" si="90"/>
        <v>0</v>
      </c>
      <c r="X109" s="718">
        <f t="shared" si="90"/>
        <v>0.11592668028787928</v>
      </c>
      <c r="Y109" s="718">
        <f t="shared" si="90"/>
        <v>0.2262137640710335</v>
      </c>
      <c r="Z109" s="718">
        <f t="shared" si="90"/>
        <v>0.3836123692433227</v>
      </c>
      <c r="AA109" s="718">
        <f t="shared" si="90"/>
        <v>0.6908757704063222</v>
      </c>
      <c r="AB109" s="718">
        <f t="shared" si="90"/>
        <v>0.390290511167038</v>
      </c>
      <c r="AC109" s="718">
        <f t="shared" si="90"/>
        <v>7.8524134069830095E-2</v>
      </c>
      <c r="AD109" s="718">
        <f t="shared" si="90"/>
        <v>0.8545163868904877</v>
      </c>
      <c r="AE109" s="718">
        <f t="shared" si="90"/>
        <v>0.25018564450826819</v>
      </c>
      <c r="AF109" s="718">
        <f t="shared" si="90"/>
        <v>0.32545489096951463</v>
      </c>
      <c r="AG109" s="718">
        <f t="shared" si="90"/>
        <v>0</v>
      </c>
      <c r="AH109" s="718">
        <f t="shared" si="90"/>
        <v>0</v>
      </c>
      <c r="AI109" s="165"/>
      <c r="AJ109" s="165"/>
      <c r="AK109" s="165"/>
      <c r="AL109" s="165"/>
      <c r="AM109" s="165"/>
      <c r="AN109" s="165"/>
      <c r="AO109" s="165"/>
      <c r="AP109" s="165"/>
      <c r="AQ109" s="165"/>
      <c r="AR109" s="165"/>
      <c r="AS109" s="165"/>
      <c r="AT109" s="165"/>
      <c r="AU109" s="165"/>
      <c r="AV109" s="165"/>
      <c r="AW109" s="165"/>
      <c r="AX109" s="165"/>
    </row>
    <row r="110" spans="1:50" s="164" customFormat="1">
      <c r="A110" s="593" t="s">
        <v>998</v>
      </c>
      <c r="B110" s="593"/>
      <c r="C110" s="736" t="s">
        <v>1335</v>
      </c>
      <c r="D110" s="737"/>
      <c r="E110" s="743">
        <f>IFERROR(E95/E94,0)</f>
        <v>9.1617433564194897E-2</v>
      </c>
      <c r="F110" s="743">
        <f t="shared" ref="F110:AH110" si="91">IFERROR(F95/F94,0)</f>
        <v>0.17756370507455904</v>
      </c>
      <c r="G110" s="743">
        <f t="shared" si="91"/>
        <v>3.5018945623517275E-2</v>
      </c>
      <c r="H110" s="743">
        <f t="shared" si="91"/>
        <v>0</v>
      </c>
      <c r="I110" s="743">
        <f t="shared" si="91"/>
        <v>0.28381272270057489</v>
      </c>
      <c r="J110" s="743">
        <f t="shared" si="91"/>
        <v>0.96970985215929706</v>
      </c>
      <c r="K110" s="743">
        <f t="shared" si="91"/>
        <v>0.51566109944271965</v>
      </c>
      <c r="L110" s="743">
        <f t="shared" si="91"/>
        <v>0.14137453500501901</v>
      </c>
      <c r="M110" s="743">
        <f t="shared" si="91"/>
        <v>0</v>
      </c>
      <c r="N110" s="743">
        <f t="shared" si="91"/>
        <v>8.3327523174064111E-2</v>
      </c>
      <c r="O110" s="743">
        <f t="shared" si="91"/>
        <v>0.52419855304917018</v>
      </c>
      <c r="P110" s="743">
        <f t="shared" si="91"/>
        <v>0</v>
      </c>
      <c r="Q110" s="743">
        <f t="shared" si="91"/>
        <v>3.3434839405237039E-2</v>
      </c>
      <c r="R110" s="743">
        <f t="shared" si="91"/>
        <v>0</v>
      </c>
      <c r="S110" s="743">
        <f t="shared" si="91"/>
        <v>0.89353639558373965</v>
      </c>
      <c r="T110" s="743">
        <f t="shared" si="91"/>
        <v>0.59477428362475893</v>
      </c>
      <c r="U110" s="743">
        <f t="shared" si="91"/>
        <v>0.12418798992657754</v>
      </c>
      <c r="V110" s="743">
        <f t="shared" si="91"/>
        <v>0.33168354776895703</v>
      </c>
      <c r="W110" s="743">
        <f t="shared" si="91"/>
        <v>0</v>
      </c>
      <c r="X110" s="743">
        <f t="shared" si="91"/>
        <v>0.15794141746674548</v>
      </c>
      <c r="Y110" s="743">
        <f t="shared" si="91"/>
        <v>0.2009694825149474</v>
      </c>
      <c r="Z110" s="743">
        <f t="shared" si="91"/>
        <v>0.25057667718942428</v>
      </c>
      <c r="AA110" s="743">
        <f t="shared" si="91"/>
        <v>0.25911641440637601</v>
      </c>
      <c r="AB110" s="743">
        <f t="shared" si="91"/>
        <v>0.39237127096588253</v>
      </c>
      <c r="AC110" s="743">
        <f t="shared" si="91"/>
        <v>1.6333605511838791E-2</v>
      </c>
      <c r="AD110" s="743">
        <f t="shared" si="91"/>
        <v>0.8545163868904877</v>
      </c>
      <c r="AE110" s="743">
        <f t="shared" si="91"/>
        <v>0</v>
      </c>
      <c r="AF110" s="743">
        <f t="shared" si="91"/>
        <v>0.27726906724192352</v>
      </c>
      <c r="AG110" s="743">
        <f t="shared" si="91"/>
        <v>0</v>
      </c>
      <c r="AH110" s="743">
        <f t="shared" si="91"/>
        <v>0</v>
      </c>
      <c r="AI110" s="165"/>
      <c r="AJ110" s="165"/>
      <c r="AK110" s="165"/>
      <c r="AL110" s="165"/>
      <c r="AM110" s="165"/>
      <c r="AN110" s="165"/>
      <c r="AO110" s="165"/>
      <c r="AP110" s="165"/>
      <c r="AQ110" s="165"/>
      <c r="AR110" s="165"/>
      <c r="AS110" s="165"/>
      <c r="AT110" s="165"/>
      <c r="AU110" s="165"/>
      <c r="AV110" s="165"/>
      <c r="AW110" s="165"/>
      <c r="AX110" s="165"/>
    </row>
    <row r="111" spans="1:50" s="164" customFormat="1">
      <c r="A111" s="593" t="s">
        <v>1313</v>
      </c>
      <c r="B111" s="593"/>
      <c r="C111" s="727" t="s">
        <v>1316</v>
      </c>
      <c r="D111" s="728">
        <f>AVERAGE(E111:AE111)</f>
        <v>0.27726906724192352</v>
      </c>
      <c r="E111" s="729">
        <f>E95/E94</f>
        <v>9.1617433564194897E-2</v>
      </c>
      <c r="F111" s="729">
        <f>F95/F94</f>
        <v>0.17756370507455904</v>
      </c>
      <c r="G111" s="729">
        <f>G95/G94</f>
        <v>3.5018945623517275E-2</v>
      </c>
      <c r="H111" s="729"/>
      <c r="I111" s="729">
        <f t="shared" ref="I111:V111" si="92">I95/I94</f>
        <v>0.28381272270057489</v>
      </c>
      <c r="J111" s="729">
        <f t="shared" si="92"/>
        <v>0.96970985215929706</v>
      </c>
      <c r="K111" s="729">
        <f t="shared" si="92"/>
        <v>0.51566109944271965</v>
      </c>
      <c r="L111" s="729">
        <f t="shared" si="92"/>
        <v>0.14137453500501901</v>
      </c>
      <c r="M111" s="729">
        <f t="shared" si="92"/>
        <v>0</v>
      </c>
      <c r="N111" s="729">
        <f t="shared" si="92"/>
        <v>8.3327523174064111E-2</v>
      </c>
      <c r="O111" s="729">
        <f t="shared" si="92"/>
        <v>0.52419855304917018</v>
      </c>
      <c r="P111" s="729">
        <f t="shared" si="92"/>
        <v>0</v>
      </c>
      <c r="Q111" s="729">
        <f t="shared" si="92"/>
        <v>3.3434839405237039E-2</v>
      </c>
      <c r="R111" s="729">
        <f t="shared" si="92"/>
        <v>0</v>
      </c>
      <c r="S111" s="729">
        <f t="shared" si="92"/>
        <v>0.89353639558373965</v>
      </c>
      <c r="T111" s="729">
        <f t="shared" si="92"/>
        <v>0.59477428362475893</v>
      </c>
      <c r="U111" s="729">
        <f t="shared" si="92"/>
        <v>0.12418798992657754</v>
      </c>
      <c r="V111" s="729">
        <f t="shared" si="92"/>
        <v>0.33168354776895703</v>
      </c>
      <c r="W111" s="729"/>
      <c r="X111" s="729">
        <f t="shared" ref="X111:AE111" si="93">X95/X94</f>
        <v>0.15794141746674548</v>
      </c>
      <c r="Y111" s="729">
        <f t="shared" si="93"/>
        <v>0.2009694825149474</v>
      </c>
      <c r="Z111" s="729">
        <f t="shared" si="93"/>
        <v>0.25057667718942428</v>
      </c>
      <c r="AA111" s="729">
        <f t="shared" si="93"/>
        <v>0.25911641440637601</v>
      </c>
      <c r="AB111" s="729">
        <f t="shared" si="93"/>
        <v>0.39237127096588253</v>
      </c>
      <c r="AC111" s="729">
        <f t="shared" si="93"/>
        <v>1.6333605511838791E-2</v>
      </c>
      <c r="AD111" s="729">
        <f t="shared" si="93"/>
        <v>0.8545163868904877</v>
      </c>
      <c r="AE111" s="729">
        <f t="shared" si="93"/>
        <v>0</v>
      </c>
      <c r="AF111" s="730">
        <f>D111</f>
        <v>0.27726906724192352</v>
      </c>
      <c r="AG111" s="639"/>
      <c r="AH111" s="639"/>
      <c r="AI111" s="165"/>
      <c r="AJ111" s="165"/>
      <c r="AK111" s="165"/>
      <c r="AL111" s="165"/>
      <c r="AM111" s="165"/>
      <c r="AN111" s="165"/>
      <c r="AO111" s="165"/>
      <c r="AP111" s="165"/>
      <c r="AQ111" s="165"/>
      <c r="AR111" s="165"/>
      <c r="AS111" s="165"/>
      <c r="AT111" s="165"/>
      <c r="AU111" s="165"/>
      <c r="AV111" s="165"/>
      <c r="AW111" s="165"/>
      <c r="AX111" s="165"/>
    </row>
    <row r="112" spans="1:50" s="164" customFormat="1">
      <c r="A112" s="593" t="s">
        <v>1314</v>
      </c>
      <c r="B112" s="593"/>
      <c r="C112" s="727" t="s">
        <v>1317</v>
      </c>
      <c r="D112" s="728">
        <f>AVERAGE(E112:AE112)</f>
        <v>13.093192815532374</v>
      </c>
      <c r="E112" s="729">
        <f>E94/E104</f>
        <v>11.78952340038715</v>
      </c>
      <c r="F112" s="729">
        <f>F94/F104</f>
        <v>8.6978158659312577</v>
      </c>
      <c r="G112" s="729">
        <f>G94/G104</f>
        <v>10.198632936888549</v>
      </c>
      <c r="H112" s="729"/>
      <c r="I112" s="729">
        <f t="shared" ref="I112:V112" si="94">I94/I104</f>
        <v>9.0523648648648667</v>
      </c>
      <c r="J112" s="729">
        <f t="shared" si="94"/>
        <v>12.555061931963479</v>
      </c>
      <c r="K112" s="729">
        <f t="shared" si="94"/>
        <v>16.84403221107463</v>
      </c>
      <c r="L112" s="729">
        <f t="shared" si="94"/>
        <v>8.1626939470618396</v>
      </c>
      <c r="M112" s="729">
        <f t="shared" si="94"/>
        <v>11.599775812260232</v>
      </c>
      <c r="N112" s="729">
        <f t="shared" si="94"/>
        <v>14.916295055023497</v>
      </c>
      <c r="O112" s="729">
        <f t="shared" si="94"/>
        <v>11.085803080853561</v>
      </c>
      <c r="P112" s="729">
        <f t="shared" si="94"/>
        <v>9.8093028363265589</v>
      </c>
      <c r="Q112" s="729">
        <f t="shared" si="94"/>
        <v>7.7532834228203047</v>
      </c>
      <c r="R112" s="729">
        <f t="shared" si="94"/>
        <v>8.8536115481231761</v>
      </c>
      <c r="S112" s="729">
        <f t="shared" si="94"/>
        <v>11.949499133451667</v>
      </c>
      <c r="T112" s="729">
        <f t="shared" si="94"/>
        <v>50.41090197340197</v>
      </c>
      <c r="U112" s="729">
        <f t="shared" si="94"/>
        <v>6.0280164191595702</v>
      </c>
      <c r="V112" s="729">
        <f t="shared" si="94"/>
        <v>6.6765068837655424</v>
      </c>
      <c r="W112" s="729"/>
      <c r="X112" s="729">
        <f t="shared" ref="X112:AE112" si="95">X94/X104</f>
        <v>20.189440677474515</v>
      </c>
      <c r="Y112" s="729">
        <f t="shared" si="95"/>
        <v>11.664710282684437</v>
      </c>
      <c r="Z112" s="729">
        <f t="shared" si="95"/>
        <v>12.281606312139127</v>
      </c>
      <c r="AA112" s="729">
        <f t="shared" si="95"/>
        <v>11.682880995358433</v>
      </c>
      <c r="AB112" s="729">
        <f t="shared" si="95"/>
        <v>22.762267286190223</v>
      </c>
      <c r="AC112" s="729">
        <f t="shared" si="95"/>
        <v>17.113643709531257</v>
      </c>
      <c r="AD112" s="729">
        <f t="shared" si="95"/>
        <v>0.61069671170819328</v>
      </c>
      <c r="AE112" s="729">
        <f t="shared" si="95"/>
        <v>14.641453089865236</v>
      </c>
      <c r="AF112" s="730">
        <f>D112</f>
        <v>13.093192815532374</v>
      </c>
      <c r="AG112" s="639"/>
      <c r="AH112" s="639"/>
      <c r="AI112" s="165"/>
      <c r="AJ112" s="165"/>
      <c r="AK112" s="165"/>
      <c r="AL112" s="165"/>
      <c r="AM112" s="165"/>
      <c r="AN112" s="165"/>
      <c r="AO112" s="165"/>
      <c r="AP112" s="165"/>
      <c r="AQ112" s="165"/>
      <c r="AR112" s="165"/>
      <c r="AS112" s="165"/>
      <c r="AT112" s="165"/>
      <c r="AU112" s="165"/>
      <c r="AV112" s="165"/>
      <c r="AW112" s="165"/>
      <c r="AX112" s="165"/>
    </row>
    <row r="113" spans="1:77" s="164" customFormat="1">
      <c r="A113" s="593"/>
      <c r="B113" s="593"/>
      <c r="C113" s="619"/>
      <c r="D113" s="624"/>
      <c r="E113" s="625"/>
      <c r="F113" s="625"/>
      <c r="G113" s="625"/>
      <c r="H113" s="625"/>
      <c r="I113" s="625"/>
      <c r="J113" s="625"/>
      <c r="K113" s="625"/>
      <c r="L113" s="625"/>
      <c r="M113" s="625"/>
      <c r="N113" s="625"/>
      <c r="O113" s="625"/>
      <c r="P113" s="625"/>
      <c r="Q113" s="625"/>
      <c r="R113" s="625"/>
      <c r="S113" s="625"/>
      <c r="T113" s="625"/>
      <c r="U113" s="625"/>
      <c r="V113" s="625"/>
      <c r="W113" s="625"/>
      <c r="X113" s="625"/>
      <c r="Y113" s="625"/>
      <c r="Z113" s="625"/>
      <c r="AA113" s="625"/>
      <c r="AB113" s="625"/>
      <c r="AC113" s="625"/>
      <c r="AD113" s="625"/>
      <c r="AE113" s="625"/>
      <c r="AF113" s="625"/>
      <c r="AG113" s="625"/>
      <c r="AH113" s="625"/>
      <c r="AI113" s="165"/>
      <c r="AJ113" s="165"/>
      <c r="AK113" s="165"/>
      <c r="AL113" s="165"/>
      <c r="AM113" s="165"/>
      <c r="AN113" s="165"/>
      <c r="AO113" s="165"/>
      <c r="AP113" s="165"/>
      <c r="AQ113" s="165"/>
      <c r="AR113" s="165"/>
      <c r="AS113" s="165"/>
      <c r="AT113" s="165"/>
      <c r="AU113" s="165"/>
      <c r="AV113" s="165"/>
      <c r="AW113" s="165"/>
      <c r="AX113" s="165"/>
    </row>
    <row r="114" spans="1:77" s="164" customFormat="1">
      <c r="A114" s="593" t="s">
        <v>1009</v>
      </c>
      <c r="B114" s="593">
        <v>2002</v>
      </c>
      <c r="C114" s="633" t="s">
        <v>1031</v>
      </c>
      <c r="D114" s="630">
        <f>SUM(E114:AH114)</f>
        <v>607.88355671994896</v>
      </c>
      <c r="E114" s="617">
        <f t="shared" ref="E114:AH114" si="96">E81</f>
        <v>17.962855596000001</v>
      </c>
      <c r="F114" s="617">
        <f t="shared" si="96"/>
        <v>6.6246123888000001</v>
      </c>
      <c r="G114" s="617">
        <f t="shared" si="96"/>
        <v>5.1307487999999992</v>
      </c>
      <c r="H114" s="617">
        <f t="shared" si="96"/>
        <v>0</v>
      </c>
      <c r="I114" s="617">
        <f t="shared" si="96"/>
        <v>23.597999999999999</v>
      </c>
      <c r="J114" s="617">
        <f t="shared" si="96"/>
        <v>82.569600000000008</v>
      </c>
      <c r="K114" s="617">
        <f t="shared" si="96"/>
        <v>9.5677000000000199</v>
      </c>
      <c r="L114" s="617">
        <f t="shared" si="96"/>
        <v>0.53871120000000006</v>
      </c>
      <c r="M114" s="617">
        <f t="shared" si="96"/>
        <v>99.279435600000014</v>
      </c>
      <c r="N114" s="617">
        <f t="shared" si="96"/>
        <v>38.473314252631582</v>
      </c>
      <c r="O114" s="617">
        <f t="shared" si="96"/>
        <v>42.264586800000004</v>
      </c>
      <c r="P114" s="617">
        <f t="shared" si="96"/>
        <v>3.8069999999999999</v>
      </c>
      <c r="Q114" s="617">
        <f t="shared" si="96"/>
        <v>1.5659225208000001</v>
      </c>
      <c r="R114" s="617">
        <f t="shared" si="96"/>
        <v>2.2473705790800005</v>
      </c>
      <c r="S114" s="617">
        <f t="shared" si="96"/>
        <v>62.377200000000002</v>
      </c>
      <c r="T114" s="617">
        <f t="shared" si="96"/>
        <v>7.5600000000000014E-2</v>
      </c>
      <c r="U114" s="617">
        <f t="shared" si="96"/>
        <v>1.04688</v>
      </c>
      <c r="V114" s="617">
        <f t="shared" si="96"/>
        <v>0.14904000000000001</v>
      </c>
      <c r="W114" s="617">
        <f t="shared" si="96"/>
        <v>0</v>
      </c>
      <c r="X114" s="617">
        <f t="shared" si="96"/>
        <v>33.695802</v>
      </c>
      <c r="Y114" s="617">
        <f t="shared" si="96"/>
        <v>27.9072</v>
      </c>
      <c r="Z114" s="617">
        <f t="shared" si="96"/>
        <v>8.2951345826373579</v>
      </c>
      <c r="AA114" s="617">
        <f t="shared" si="96"/>
        <v>1.1262456000000001</v>
      </c>
      <c r="AB114" s="617">
        <f t="shared" si="96"/>
        <v>15.652800000000001</v>
      </c>
      <c r="AC114" s="617">
        <f t="shared" si="96"/>
        <v>1.1533967999999999</v>
      </c>
      <c r="AD114" s="617">
        <f t="shared" si="96"/>
        <v>8.5032000000000014</v>
      </c>
      <c r="AE114" s="617">
        <f t="shared" si="96"/>
        <v>114.27119999999999</v>
      </c>
      <c r="AF114" s="617">
        <f t="shared" si="96"/>
        <v>0</v>
      </c>
      <c r="AG114" s="617">
        <f t="shared" si="96"/>
        <v>0</v>
      </c>
      <c r="AH114" s="617">
        <f t="shared" si="96"/>
        <v>0</v>
      </c>
      <c r="AI114" s="165"/>
      <c r="AJ114" s="165"/>
      <c r="AK114" s="165"/>
      <c r="AL114" s="165"/>
      <c r="AM114" s="165"/>
      <c r="AN114" s="165"/>
      <c r="AO114" s="165"/>
      <c r="AP114" s="165"/>
      <c r="AQ114" s="165"/>
      <c r="AR114" s="165"/>
      <c r="AS114" s="165"/>
      <c r="AT114" s="165"/>
      <c r="AU114" s="165"/>
      <c r="AV114" s="165"/>
      <c r="AW114" s="165"/>
      <c r="AX114" s="165"/>
    </row>
    <row r="115" spans="1:77" s="164" customFormat="1">
      <c r="A115" s="593" t="s">
        <v>998</v>
      </c>
      <c r="B115" s="593" t="s">
        <v>1007</v>
      </c>
      <c r="C115" s="633" t="s">
        <v>1038</v>
      </c>
      <c r="D115" s="634" t="e">
        <f>(D93-D81)/D81</f>
        <v>#REF!</v>
      </c>
      <c r="E115" s="635">
        <f>(E93-E114)/E114</f>
        <v>-0.2321933488642404</v>
      </c>
      <c r="F115" s="635">
        <f>(F93-F114)/F114</f>
        <v>-0.23542696497032517</v>
      </c>
      <c r="G115" s="635">
        <f>(G93-G114)/G114</f>
        <v>3.9224528006516449E-2</v>
      </c>
      <c r="H115" s="635">
        <v>0</v>
      </c>
      <c r="I115" s="672">
        <v>0.05</v>
      </c>
      <c r="J115" s="635">
        <f>(J93-J114)/J114</f>
        <v>3.2922528388171772E-2</v>
      </c>
      <c r="K115" s="635">
        <f>(K93-K114)/K114</f>
        <v>8.1346614128785244E-2</v>
      </c>
      <c r="L115" s="635">
        <f>(L93-L114)/L114</f>
        <v>-0.2314991780382514</v>
      </c>
      <c r="M115" s="672">
        <v>0</v>
      </c>
      <c r="N115" s="635">
        <f t="shared" ref="N115:V115" si="97">(N93-N114)/N114</f>
        <v>-0.16861854453279515</v>
      </c>
      <c r="O115" s="635">
        <f t="shared" si="97"/>
        <v>0.14043466763526952</v>
      </c>
      <c r="P115" s="635">
        <f t="shared" si="97"/>
        <v>4.20278434462832E-3</v>
      </c>
      <c r="Q115" s="635">
        <f t="shared" si="97"/>
        <v>-5.9979034436529369E-2</v>
      </c>
      <c r="R115" s="635">
        <f t="shared" si="97"/>
        <v>9.1793588080361505E-3</v>
      </c>
      <c r="S115" s="635">
        <f t="shared" si="97"/>
        <v>6.5216136665319528E-3</v>
      </c>
      <c r="T115" s="635">
        <f t="shared" si="97"/>
        <v>7.2407407407407396</v>
      </c>
      <c r="U115" s="635">
        <f t="shared" si="97"/>
        <v>0.15581537521014818</v>
      </c>
      <c r="V115" s="635">
        <f t="shared" si="97"/>
        <v>0.88539989264626962</v>
      </c>
      <c r="W115" s="635">
        <v>0</v>
      </c>
      <c r="X115" s="635">
        <f>(X93-X114)/X114</f>
        <v>0.35663783874323574</v>
      </c>
      <c r="Y115" s="635">
        <f>(Y93-Y114)/Y114</f>
        <v>4.7973282880403589E-2</v>
      </c>
      <c r="Z115" s="672">
        <v>0</v>
      </c>
      <c r="AA115" s="672">
        <v>0.5</v>
      </c>
      <c r="AB115" s="635">
        <f>(AB93-AB114)/AB114</f>
        <v>8.1851170397628542E-2</v>
      </c>
      <c r="AC115" s="635">
        <f>(AC93-AC114)/AC114</f>
        <v>0.10803151179195239</v>
      </c>
      <c r="AD115" s="672">
        <v>-0.5</v>
      </c>
      <c r="AE115" s="635">
        <f>(AE93-AE114)/AE114</f>
        <v>-0.1430299147991794</v>
      </c>
      <c r="AF115" s="635">
        <v>0</v>
      </c>
      <c r="AG115" s="635">
        <v>0</v>
      </c>
      <c r="AH115" s="635">
        <v>0</v>
      </c>
      <c r="AI115" s="165"/>
      <c r="AJ115" s="165"/>
      <c r="AK115" s="165"/>
      <c r="AL115" s="165"/>
      <c r="AM115" s="165"/>
      <c r="AN115" s="165"/>
      <c r="AO115" s="165"/>
      <c r="AP115" s="165"/>
      <c r="AQ115" s="165"/>
      <c r="AR115" s="165"/>
      <c r="AS115" s="165"/>
      <c r="AT115" s="165"/>
      <c r="AU115" s="165"/>
      <c r="AV115" s="165"/>
      <c r="AW115" s="165"/>
      <c r="AX115" s="165"/>
    </row>
    <row r="116" spans="1:77" s="164" customFormat="1">
      <c r="A116" s="593" t="s">
        <v>1009</v>
      </c>
      <c r="B116" s="593">
        <v>2002</v>
      </c>
      <c r="C116" s="617" t="s">
        <v>1035</v>
      </c>
      <c r="D116" s="630">
        <f t="shared" ref="D116:AH116" si="98">D82</f>
        <v>1682.6408890286057</v>
      </c>
      <c r="E116" s="617">
        <f t="shared" si="98"/>
        <v>57.275287200000008</v>
      </c>
      <c r="F116" s="617">
        <f t="shared" si="98"/>
        <v>21.375891299999999</v>
      </c>
      <c r="G116" s="617">
        <f t="shared" si="98"/>
        <v>15.607591199999998</v>
      </c>
      <c r="H116" s="617">
        <f t="shared" si="98"/>
        <v>0</v>
      </c>
      <c r="I116" s="617">
        <f t="shared" si="98"/>
        <v>53.59</v>
      </c>
      <c r="J116" s="617">
        <f t="shared" si="98"/>
        <v>287.435</v>
      </c>
      <c r="K116" s="617">
        <f t="shared" si="98"/>
        <v>26.694361902075034</v>
      </c>
      <c r="L116" s="617">
        <f t="shared" si="98"/>
        <v>2.2090000000000001</v>
      </c>
      <c r="M116" s="617">
        <f t="shared" si="98"/>
        <v>160.20621471959996</v>
      </c>
      <c r="N116" s="617">
        <f t="shared" si="98"/>
        <v>165.10540320000001</v>
      </c>
      <c r="O116" s="617">
        <f t="shared" si="98"/>
        <v>182.55672000000001</v>
      </c>
      <c r="P116" s="617">
        <f t="shared" si="98"/>
        <v>9.423</v>
      </c>
      <c r="Q116" s="617">
        <f t="shared" si="98"/>
        <v>9.5770050000000015</v>
      </c>
      <c r="R116" s="617">
        <f t="shared" si="98"/>
        <v>5.4026512220000003</v>
      </c>
      <c r="S116" s="617">
        <f t="shared" si="98"/>
        <v>133.898</v>
      </c>
      <c r="T116" s="617">
        <f t="shared" si="98"/>
        <v>1.014</v>
      </c>
      <c r="U116" s="617">
        <f t="shared" si="98"/>
        <v>2.097</v>
      </c>
      <c r="V116" s="617">
        <f t="shared" si="98"/>
        <v>0.70199999999999996</v>
      </c>
      <c r="W116" s="617">
        <f t="shared" si="98"/>
        <v>0</v>
      </c>
      <c r="X116" s="617">
        <f t="shared" si="98"/>
        <v>108.102279</v>
      </c>
      <c r="Y116" s="617">
        <f t="shared" si="98"/>
        <v>169.75399999999999</v>
      </c>
      <c r="Z116" s="617">
        <f t="shared" si="98"/>
        <v>39.417076284930737</v>
      </c>
      <c r="AA116" s="617">
        <f t="shared" si="98"/>
        <v>14.497988000000003</v>
      </c>
      <c r="AB116" s="617">
        <f t="shared" si="98"/>
        <v>62.612000000000002</v>
      </c>
      <c r="AC116" s="617">
        <f t="shared" si="98"/>
        <v>8.6749199999999984</v>
      </c>
      <c r="AD116" s="617">
        <f t="shared" si="98"/>
        <v>5.0039999999999996</v>
      </c>
      <c r="AE116" s="617">
        <f t="shared" si="98"/>
        <v>140.40950000000004</v>
      </c>
      <c r="AF116" s="617">
        <f t="shared" si="98"/>
        <v>0</v>
      </c>
      <c r="AG116" s="617">
        <f t="shared" si="98"/>
        <v>0</v>
      </c>
      <c r="AH116" s="617">
        <f t="shared" si="98"/>
        <v>0</v>
      </c>
      <c r="AJ116" s="165"/>
      <c r="AK116" s="165"/>
      <c r="AL116" s="165"/>
      <c r="AM116" s="165"/>
      <c r="AN116" s="165"/>
      <c r="AO116" s="165"/>
      <c r="AP116" s="165"/>
      <c r="AQ116" s="165"/>
      <c r="AR116" s="165"/>
      <c r="AS116" s="165"/>
      <c r="AT116" s="165"/>
      <c r="AU116" s="165"/>
      <c r="AV116" s="165"/>
      <c r="AW116" s="165"/>
      <c r="AX116" s="165"/>
    </row>
    <row r="117" spans="1:77" s="591" customFormat="1">
      <c r="A117" s="597" t="s">
        <v>1009</v>
      </c>
      <c r="B117" s="597"/>
      <c r="C117" s="662" t="s">
        <v>1047</v>
      </c>
      <c r="D117" s="663" t="e">
        <f>SUM(E117:AH117)</f>
        <v>#REF!</v>
      </c>
      <c r="E117" s="662">
        <f t="shared" ref="E117:AE117" si="99">E34*E32</f>
        <v>19.182168000000004</v>
      </c>
      <c r="F117" s="662">
        <f t="shared" si="99"/>
        <v>7.498368000000001</v>
      </c>
      <c r="G117" s="662">
        <f t="shared" si="99"/>
        <v>1.5569280000000005</v>
      </c>
      <c r="H117" s="662">
        <f t="shared" si="99"/>
        <v>3.6000000000000004E-2</v>
      </c>
      <c r="I117" s="662">
        <f t="shared" si="99"/>
        <v>14.430348</v>
      </c>
      <c r="J117" s="662">
        <f t="shared" si="99"/>
        <v>91.925279999999987</v>
      </c>
      <c r="K117" s="662">
        <f t="shared" si="99"/>
        <v>45.698687999999997</v>
      </c>
      <c r="L117" s="662">
        <f t="shared" si="99"/>
        <v>0.41932799999999998</v>
      </c>
      <c r="M117" s="662">
        <f t="shared" si="99"/>
        <v>82.367999999999995</v>
      </c>
      <c r="N117" s="662">
        <f t="shared" si="99"/>
        <v>30.546504000000009</v>
      </c>
      <c r="O117" s="662">
        <f t="shared" si="99"/>
        <v>48.546036000000001</v>
      </c>
      <c r="P117" s="662" t="e">
        <f t="shared" si="99"/>
        <v>#REF!</v>
      </c>
      <c r="Q117" s="662">
        <f t="shared" si="99"/>
        <v>1.6251839999999986</v>
      </c>
      <c r="R117" s="662">
        <f t="shared" si="99"/>
        <v>2.16</v>
      </c>
      <c r="S117" s="662">
        <f t="shared" si="99"/>
        <v>40.329036000000002</v>
      </c>
      <c r="T117" s="662">
        <f t="shared" si="99"/>
        <v>2.2769999999999992</v>
      </c>
      <c r="U117" s="662">
        <f t="shared" si="99"/>
        <v>1.512</v>
      </c>
      <c r="V117" s="662">
        <f t="shared" si="99"/>
        <v>0.20113200000000017</v>
      </c>
      <c r="W117" s="662">
        <f t="shared" si="99"/>
        <v>0</v>
      </c>
      <c r="X117" s="662">
        <f t="shared" si="99"/>
        <v>42.436800000000005</v>
      </c>
      <c r="Y117" s="662">
        <f t="shared" si="99"/>
        <v>21.397680000000001</v>
      </c>
      <c r="Z117" s="662">
        <f t="shared" si="99"/>
        <v>6.224327999999999</v>
      </c>
      <c r="AA117" s="662">
        <f t="shared" si="99"/>
        <v>3.0229200000000027</v>
      </c>
      <c r="AB117" s="662">
        <f t="shared" si="99"/>
        <v>14.558147999999999</v>
      </c>
      <c r="AC117" s="662">
        <f t="shared" si="99"/>
        <v>1.0216800000000001</v>
      </c>
      <c r="AD117" s="662">
        <f t="shared" si="99"/>
        <v>7.7759999999999998</v>
      </c>
      <c r="AE117" s="662">
        <f t="shared" si="99"/>
        <v>88.845984000000001</v>
      </c>
      <c r="AF117" s="662"/>
      <c r="AG117" s="662"/>
      <c r="AH117" s="662"/>
    </row>
    <row r="118" spans="1:77" s="591" customFormat="1">
      <c r="A118" s="597" t="s">
        <v>1009</v>
      </c>
      <c r="B118" s="597"/>
      <c r="C118" s="662" t="s">
        <v>1048</v>
      </c>
      <c r="D118" s="663"/>
      <c r="E118" s="662">
        <f t="shared" ref="E118:AE118" si="100">IF(E117=0,0,E76/E117)</f>
        <v>3.401064989108634</v>
      </c>
      <c r="F118" s="662">
        <f t="shared" si="100"/>
        <v>6.5490650765606588</v>
      </c>
      <c r="G118" s="662">
        <f t="shared" si="100"/>
        <v>10.585460599334068</v>
      </c>
      <c r="H118" s="662">
        <f t="shared" si="100"/>
        <v>2.7777777777777777</v>
      </c>
      <c r="I118" s="662">
        <f t="shared" si="100"/>
        <v>3.394062291498444</v>
      </c>
      <c r="J118" s="662">
        <f t="shared" si="100"/>
        <v>3.1231887463383305</v>
      </c>
      <c r="K118" s="662">
        <f t="shared" si="100"/>
        <v>1.4582475540654471</v>
      </c>
      <c r="L118" s="662">
        <f t="shared" si="100"/>
        <v>5.2381429334554328</v>
      </c>
      <c r="M118" s="662">
        <f t="shared" si="100"/>
        <v>2.3370726495726499</v>
      </c>
      <c r="N118" s="662">
        <f t="shared" si="100"/>
        <v>4.0348316128091106</v>
      </c>
      <c r="O118" s="662">
        <f t="shared" si="100"/>
        <v>3.1587254621571983</v>
      </c>
      <c r="P118" s="662" t="e">
        <f t="shared" si="100"/>
        <v>#REF!</v>
      </c>
      <c r="Q118" s="662">
        <f t="shared" si="100"/>
        <v>5.074871522239949</v>
      </c>
      <c r="R118" s="662">
        <f t="shared" si="100"/>
        <v>2.0370370370370372</v>
      </c>
      <c r="S118" s="662">
        <f t="shared" si="100"/>
        <v>2.8920205283359608</v>
      </c>
      <c r="T118" s="662">
        <f t="shared" si="100"/>
        <v>2.2722880983750553</v>
      </c>
      <c r="U118" s="662">
        <f t="shared" si="100"/>
        <v>0.79365079365079361</v>
      </c>
      <c r="V118" s="662">
        <f t="shared" si="100"/>
        <v>4.1415587773203599</v>
      </c>
      <c r="W118" s="662">
        <f t="shared" si="100"/>
        <v>0</v>
      </c>
      <c r="X118" s="662">
        <f t="shared" si="100"/>
        <v>2.0764996418203068</v>
      </c>
      <c r="Y118" s="662">
        <f t="shared" si="100"/>
        <v>4.9422928093139067</v>
      </c>
      <c r="Z118" s="662">
        <f t="shared" si="100"/>
        <v>5.1323773425822043</v>
      </c>
      <c r="AA118" s="662">
        <f t="shared" si="100"/>
        <v>4.5760390615696052</v>
      </c>
      <c r="AB118" s="662">
        <f t="shared" si="100"/>
        <v>4.7034279360259283</v>
      </c>
      <c r="AC118" s="662">
        <f t="shared" si="100"/>
        <v>7.2087150575522658</v>
      </c>
      <c r="AD118" s="662">
        <f t="shared" si="100"/>
        <v>1.8028806584362145</v>
      </c>
      <c r="AE118" s="662">
        <f t="shared" si="100"/>
        <v>1.9323372005199468</v>
      </c>
      <c r="AF118" s="662"/>
      <c r="AG118" s="662"/>
      <c r="AH118" s="662"/>
    </row>
    <row r="119" spans="1:77" s="164" customFormat="1">
      <c r="A119" s="593"/>
      <c r="B119" s="593"/>
      <c r="C119" s="606"/>
      <c r="D119" s="610"/>
      <c r="E119" s="606"/>
      <c r="F119" s="606"/>
      <c r="G119" s="606"/>
      <c r="H119" s="606"/>
      <c r="I119" s="606"/>
      <c r="J119" s="606"/>
      <c r="K119" s="606"/>
      <c r="L119" s="606"/>
      <c r="M119" s="606"/>
      <c r="N119" s="606"/>
      <c r="O119" s="606"/>
      <c r="P119" s="606"/>
      <c r="Q119" s="606"/>
      <c r="R119" s="606"/>
      <c r="S119" s="606"/>
      <c r="T119" s="606"/>
      <c r="U119" s="606"/>
      <c r="V119" s="606"/>
      <c r="W119" s="606"/>
      <c r="X119" s="606"/>
      <c r="Y119" s="606"/>
      <c r="Z119" s="606"/>
      <c r="AA119" s="606"/>
      <c r="AB119" s="606"/>
      <c r="AC119" s="606"/>
      <c r="AD119" s="606"/>
      <c r="AE119" s="606"/>
      <c r="AF119" s="606"/>
      <c r="AG119" s="606"/>
      <c r="AH119" s="606"/>
    </row>
    <row r="120" spans="1:77" s="584" customFormat="1" ht="13.5" thickBot="1">
      <c r="A120" s="593" t="s">
        <v>1002</v>
      </c>
      <c r="B120" s="593"/>
      <c r="C120" s="628" t="s">
        <v>1027</v>
      </c>
      <c r="D120" s="627">
        <f>SUM(E120:AH120)</f>
        <v>34.630338485779554</v>
      </c>
      <c r="E120" s="628">
        <f t="shared" ref="E120:AE120" si="101">E124-E344</f>
        <v>0.80132857595940354</v>
      </c>
      <c r="F120" s="628">
        <f t="shared" si="101"/>
        <v>0.48936568347605452</v>
      </c>
      <c r="G120" s="628">
        <f t="shared" si="101"/>
        <v>0.24118655953765375</v>
      </c>
      <c r="H120" s="628">
        <f t="shared" si="101"/>
        <v>0</v>
      </c>
      <c r="I120" s="628">
        <f t="shared" si="101"/>
        <v>1.3051999999999999</v>
      </c>
      <c r="J120" s="628">
        <f t="shared" si="101"/>
        <v>7.9639140501110059</v>
      </c>
      <c r="K120" s="628">
        <f t="shared" si="101"/>
        <v>0.57899784800000009</v>
      </c>
      <c r="L120" s="628">
        <f t="shared" si="101"/>
        <v>2.6806462980582868E-2</v>
      </c>
      <c r="M120" s="628">
        <f t="shared" si="101"/>
        <v>4.2761743665644714</v>
      </c>
      <c r="N120" s="628">
        <f t="shared" si="101"/>
        <v>1.9146088000000001</v>
      </c>
      <c r="O120" s="628">
        <f t="shared" si="101"/>
        <v>3.3951121152000003</v>
      </c>
      <c r="P120" s="628">
        <f t="shared" si="101"/>
        <v>0.24356800000000001</v>
      </c>
      <c r="Q120" s="628">
        <f t="shared" si="101"/>
        <v>0.13475332135179899</v>
      </c>
      <c r="R120" s="628">
        <f t="shared" si="101"/>
        <v>0.12749048000000002</v>
      </c>
      <c r="S120" s="628">
        <f t="shared" si="101"/>
        <v>2.7861599999999997</v>
      </c>
      <c r="T120" s="628">
        <f t="shared" si="101"/>
        <v>2.1954399689889697E-2</v>
      </c>
      <c r="U120" s="628">
        <f t="shared" si="101"/>
        <v>9.1520000000000004E-2</v>
      </c>
      <c r="V120" s="628">
        <f t="shared" si="101"/>
        <v>1.976E-2</v>
      </c>
      <c r="W120" s="628">
        <f t="shared" si="101"/>
        <v>0</v>
      </c>
      <c r="X120" s="628">
        <f t="shared" si="101"/>
        <v>1.6498417288888894</v>
      </c>
      <c r="Y120" s="628">
        <f t="shared" si="101"/>
        <v>2.0529999999999999</v>
      </c>
      <c r="Z120" s="628">
        <f t="shared" si="101"/>
        <v>0.61796525355041054</v>
      </c>
      <c r="AA120" s="628">
        <f t="shared" si="101"/>
        <v>0.27719632096416114</v>
      </c>
      <c r="AB120" s="628">
        <f t="shared" si="101"/>
        <v>0.94640000000000002</v>
      </c>
      <c r="AC120" s="628">
        <f t="shared" si="101"/>
        <v>7.6872326179652534E-2</v>
      </c>
      <c r="AD120" s="628">
        <f t="shared" si="101"/>
        <v>0.47632000000000002</v>
      </c>
      <c r="AE120" s="628">
        <f t="shared" si="101"/>
        <v>3.7559600000000004</v>
      </c>
      <c r="AF120" s="628">
        <f>AF93/AF106/31.53</f>
        <v>0.35888219332558052</v>
      </c>
      <c r="AG120" s="628">
        <f>AG124-AG344</f>
        <v>0</v>
      </c>
      <c r="AH120" s="628">
        <f>AH124-AH344</f>
        <v>0</v>
      </c>
      <c r="AI120" s="175"/>
      <c r="AJ120" s="175"/>
      <c r="AK120" s="175"/>
      <c r="AL120" s="175"/>
      <c r="AM120" s="175"/>
      <c r="AN120" s="175"/>
      <c r="AO120" s="175"/>
      <c r="AP120" s="175"/>
      <c r="AQ120" s="175"/>
      <c r="AR120" s="175"/>
      <c r="AS120" s="175"/>
      <c r="AT120" s="175"/>
      <c r="AU120" s="175"/>
      <c r="AV120" s="175"/>
      <c r="AW120" s="175"/>
      <c r="AX120" s="175"/>
      <c r="AY120" s="576"/>
      <c r="AZ120" s="576"/>
      <c r="BA120" s="576"/>
      <c r="BB120" s="576"/>
      <c r="BC120" s="576"/>
      <c r="BD120" s="576"/>
      <c r="BE120" s="576"/>
      <c r="BF120" s="576"/>
      <c r="BG120" s="576"/>
      <c r="BH120" s="576"/>
      <c r="BI120" s="576"/>
      <c r="BJ120" s="576"/>
      <c r="BK120" s="576"/>
      <c r="BL120" s="576"/>
      <c r="BM120" s="576"/>
      <c r="BN120" s="576"/>
      <c r="BO120" s="576"/>
      <c r="BP120" s="576"/>
      <c r="BQ120" s="576"/>
      <c r="BR120" s="576"/>
      <c r="BS120" s="576"/>
      <c r="BT120" s="576"/>
      <c r="BU120" s="576"/>
      <c r="BV120" s="576"/>
      <c r="BW120" s="576"/>
      <c r="BX120" s="576"/>
      <c r="BY120" s="576"/>
    </row>
    <row r="121" spans="1:77" s="164" customFormat="1">
      <c r="A121" s="593" t="s">
        <v>1008</v>
      </c>
      <c r="B121" s="593"/>
      <c r="C121" s="616" t="s">
        <v>1028</v>
      </c>
      <c r="D121" s="610">
        <f>SUM(E121:AH121)</f>
        <v>51.995999999999995</v>
      </c>
      <c r="E121" s="617">
        <f>'Eurostat Resume'!F95</f>
        <v>1.2129999999999999</v>
      </c>
      <c r="F121" s="617">
        <f>'Eurostat Resume'!G95</f>
        <v>0.49</v>
      </c>
      <c r="G121" s="617">
        <f>'Eurostat Resume'!H95</f>
        <v>0.26300000000000001</v>
      </c>
      <c r="H121" s="617">
        <f>'Eurostat Resume'!I95</f>
        <v>6.0000000000000001E-3</v>
      </c>
      <c r="I121" s="617">
        <f>'Eurostat Resume'!J95</f>
        <v>2.1350000000000002</v>
      </c>
      <c r="J121" s="617">
        <f>'Eurostat Resume'!K95</f>
        <v>10.557</v>
      </c>
      <c r="K121" s="617">
        <f>'Eurostat Resume'!L95</f>
        <v>0.63600000000000001</v>
      </c>
      <c r="L121" s="617">
        <f>'Eurostat Resume'!M95</f>
        <v>3.1E-2</v>
      </c>
      <c r="M121" s="617">
        <f>'Eurostat Resume'!N95</f>
        <v>6.4809999999999999</v>
      </c>
      <c r="N121" s="617">
        <f>'Eurostat Resume'!O95</f>
        <v>2.27</v>
      </c>
      <c r="O121" s="617">
        <f>'Eurostat Resume'!P95</f>
        <v>6.4329999999999998</v>
      </c>
      <c r="P121" s="617">
        <f>'Eurostat Resume'!Q95</f>
        <v>0.25700000000000001</v>
      </c>
      <c r="Q121" s="617">
        <f>'Eurostat Resume'!R95</f>
        <v>0.13500000000000001</v>
      </c>
      <c r="R121" s="617">
        <f>'Eurostat Resume'!S95</f>
        <v>0.14499999999999999</v>
      </c>
      <c r="S121" s="617">
        <f>'Eurostat Resume'!T95</f>
        <v>4.6399999999999997</v>
      </c>
      <c r="T121" s="617">
        <f>'Eurostat Resume'!U95</f>
        <v>6.2E-2</v>
      </c>
      <c r="U121" s="617">
        <f>'Eurostat Resume'!V95</f>
        <v>0.10600000000000001</v>
      </c>
      <c r="V121" s="617">
        <f>'Eurostat Resume'!W95</f>
        <v>2.7000000000000003E-2</v>
      </c>
      <c r="W121" s="617">
        <f>'Eurostat Resume'!X95</f>
        <v>0</v>
      </c>
      <c r="X121" s="617">
        <f>'Eurostat Resume'!Y95</f>
        <v>2.78</v>
      </c>
      <c r="Y121" s="617">
        <f>'Eurostat Resume'!Z95</f>
        <v>2.0529999999999999</v>
      </c>
      <c r="Z121" s="617">
        <f>'Eurostat Resume'!AA95</f>
        <v>1.306</v>
      </c>
      <c r="AA121" s="617">
        <f>'Eurostat Resume'!AB95</f>
        <v>0.60399999999999998</v>
      </c>
      <c r="AB121" s="617">
        <f>'Eurostat Resume'!AC95</f>
        <v>0.98399999999999999</v>
      </c>
      <c r="AC121" s="617">
        <f>'Eurostat Resume'!AD95</f>
        <v>7.8E-2</v>
      </c>
      <c r="AD121" s="617">
        <f>'Eurostat Resume'!AE95</f>
        <v>0.53499999999999992</v>
      </c>
      <c r="AE121" s="617">
        <f>'Eurostat Resume'!AF95</f>
        <v>6.6340000000000003</v>
      </c>
      <c r="AF121" s="617">
        <f>'Eurostat Resume'!AG95</f>
        <v>0.88100000000000001</v>
      </c>
      <c r="AG121" s="617">
        <f>'Eurostat Resume'!AH95</f>
        <v>2.7E-2</v>
      </c>
      <c r="AH121" s="617">
        <f>'Eurostat Resume'!AI95</f>
        <v>0.22700000000000009</v>
      </c>
      <c r="AI121" s="165"/>
      <c r="AJ121" s="165"/>
      <c r="AK121" s="165"/>
      <c r="AL121" s="165"/>
      <c r="AM121" s="165"/>
      <c r="AN121" s="165"/>
      <c r="AO121" s="165"/>
      <c r="AP121" s="165"/>
      <c r="AQ121" s="165"/>
      <c r="AR121" s="165"/>
      <c r="AS121" s="165"/>
      <c r="AT121" s="165"/>
      <c r="AU121" s="165"/>
      <c r="AV121" s="165"/>
      <c r="AW121" s="165"/>
      <c r="AX121" s="165"/>
    </row>
    <row r="122" spans="1:77" s="164" customFormat="1">
      <c r="A122" s="593" t="s">
        <v>999</v>
      </c>
      <c r="B122" s="593"/>
      <c r="C122" s="616" t="s">
        <v>1029</v>
      </c>
      <c r="D122" s="610">
        <f>SUM(E122:AH122)</f>
        <v>36.130819524290786</v>
      </c>
      <c r="E122" s="606">
        <f t="shared" ref="E122:AH122" si="102">IF(E83*1.04&gt;E121,E121,E83*1.04)</f>
        <v>1.08048408</v>
      </c>
      <c r="F122" s="606">
        <f t="shared" si="102"/>
        <v>0.49</v>
      </c>
      <c r="G122" s="606">
        <f t="shared" si="102"/>
        <v>0.26300000000000001</v>
      </c>
      <c r="H122" s="606">
        <f t="shared" si="102"/>
        <v>0</v>
      </c>
      <c r="I122" s="606">
        <f t="shared" si="102"/>
        <v>1.3051999999999999</v>
      </c>
      <c r="J122" s="606">
        <f t="shared" si="102"/>
        <v>10.557</v>
      </c>
      <c r="K122" s="606">
        <f t="shared" si="102"/>
        <v>0.57899784800000009</v>
      </c>
      <c r="L122" s="606">
        <f t="shared" si="102"/>
        <v>3.06384E-2</v>
      </c>
      <c r="M122" s="606">
        <f t="shared" si="102"/>
        <v>3.4566683146119606</v>
      </c>
      <c r="N122" s="606">
        <f t="shared" si="102"/>
        <v>1.9146088000000001</v>
      </c>
      <c r="O122" s="606">
        <f t="shared" si="102"/>
        <v>3.3951121152000003</v>
      </c>
      <c r="P122" s="606">
        <f t="shared" si="102"/>
        <v>0.24356800000000001</v>
      </c>
      <c r="Q122" s="606">
        <f t="shared" si="102"/>
        <v>0.13500000000000001</v>
      </c>
      <c r="R122" s="606">
        <f t="shared" si="102"/>
        <v>0.12749048000000002</v>
      </c>
      <c r="S122" s="606">
        <f t="shared" si="102"/>
        <v>2.7861599999999997</v>
      </c>
      <c r="T122" s="606">
        <f t="shared" si="102"/>
        <v>1.4144E-2</v>
      </c>
      <c r="U122" s="606">
        <f t="shared" si="102"/>
        <v>9.1520000000000004E-2</v>
      </c>
      <c r="V122" s="606">
        <f t="shared" si="102"/>
        <v>1.976E-2</v>
      </c>
      <c r="W122" s="606">
        <f t="shared" si="102"/>
        <v>0</v>
      </c>
      <c r="X122" s="606">
        <f t="shared" si="102"/>
        <v>1.6498417288888894</v>
      </c>
      <c r="Y122" s="606">
        <f t="shared" si="102"/>
        <v>2.0529999999999999</v>
      </c>
      <c r="Z122" s="606">
        <f t="shared" si="102"/>
        <v>0.50410575758992815</v>
      </c>
      <c r="AA122" s="606">
        <f t="shared" si="102"/>
        <v>0.17784000000000003</v>
      </c>
      <c r="AB122" s="606">
        <f t="shared" si="102"/>
        <v>0.94640000000000002</v>
      </c>
      <c r="AC122" s="606">
        <f t="shared" si="102"/>
        <v>7.8E-2</v>
      </c>
      <c r="AD122" s="606">
        <f t="shared" si="102"/>
        <v>0.47632000000000002</v>
      </c>
      <c r="AE122" s="606">
        <f t="shared" si="102"/>
        <v>3.7559600000000004</v>
      </c>
      <c r="AF122" s="606">
        <f t="shared" si="102"/>
        <v>0</v>
      </c>
      <c r="AG122" s="606">
        <f t="shared" si="102"/>
        <v>0</v>
      </c>
      <c r="AH122" s="606">
        <f t="shared" si="102"/>
        <v>0</v>
      </c>
      <c r="AI122" s="165"/>
      <c r="AJ122" s="165"/>
      <c r="AK122" s="165"/>
      <c r="AL122" s="165"/>
      <c r="AM122" s="165"/>
      <c r="AN122" s="165"/>
      <c r="AO122" s="165"/>
      <c r="AP122" s="165"/>
      <c r="AQ122" s="165"/>
      <c r="AR122" s="165"/>
      <c r="AS122" s="165"/>
      <c r="AT122" s="165"/>
      <c r="AU122" s="165"/>
      <c r="AV122" s="165"/>
      <c r="AW122" s="165"/>
      <c r="AX122" s="165"/>
    </row>
    <row r="123" spans="1:77" s="164" customFormat="1">
      <c r="A123" s="593" t="s">
        <v>1000</v>
      </c>
      <c r="B123" s="593"/>
      <c r="C123" s="631" t="s">
        <v>1020</v>
      </c>
      <c r="D123" s="610"/>
      <c r="E123" s="606">
        <f>E93/(E122*31.53)</f>
        <v>0.40484138823478222</v>
      </c>
      <c r="F123" s="606">
        <f>F93/(F122*31.53)</f>
        <v>0.32783808099833656</v>
      </c>
      <c r="G123" s="606">
        <f>G93/(G122*31.53)</f>
        <v>0.64299918358880848</v>
      </c>
      <c r="H123" s="606">
        <v>0</v>
      </c>
      <c r="I123" s="606">
        <f t="shared" ref="I123:V123" si="103">I93/(I122*31.53)</f>
        <v>0.77751401381713636</v>
      </c>
      <c r="J123" s="606">
        <f t="shared" si="103"/>
        <v>0.25622614234280305</v>
      </c>
      <c r="K123" s="606">
        <f t="shared" si="103"/>
        <v>0.56672393337976723</v>
      </c>
      <c r="L123" s="606">
        <f t="shared" si="103"/>
        <v>0.42855867296173394</v>
      </c>
      <c r="M123" s="606">
        <f t="shared" si="103"/>
        <v>1.1133717729408632</v>
      </c>
      <c r="N123" s="606">
        <f t="shared" si="103"/>
        <v>0.5298536268850097</v>
      </c>
      <c r="O123" s="606">
        <f t="shared" si="103"/>
        <v>0.45026578529306632</v>
      </c>
      <c r="P123" s="606">
        <f t="shared" si="103"/>
        <v>0.49780596610463002</v>
      </c>
      <c r="Q123" s="606">
        <f t="shared" si="103"/>
        <v>0.34581997157322236</v>
      </c>
      <c r="R123" s="606">
        <f t="shared" si="103"/>
        <v>0.56421070667718776</v>
      </c>
      <c r="S123" s="606">
        <f t="shared" si="103"/>
        <v>0.71469206074653036</v>
      </c>
      <c r="T123" s="606">
        <f t="shared" si="103"/>
        <v>1.3969852743849498</v>
      </c>
      <c r="U123" s="606">
        <f t="shared" si="103"/>
        <v>0.41931981751201541</v>
      </c>
      <c r="V123" s="606">
        <f t="shared" si="103"/>
        <v>0.45101959318995727</v>
      </c>
      <c r="W123" s="606">
        <v>0</v>
      </c>
      <c r="X123" s="606">
        <f t="shared" ref="X123:AE123" si="104">X93/(X122*31.53)</f>
        <v>0.87876645230225914</v>
      </c>
      <c r="Y123" s="606">
        <f t="shared" si="104"/>
        <v>0.45180762443518258</v>
      </c>
      <c r="Z123" s="606">
        <f t="shared" si="104"/>
        <v>1.1032778733858317</v>
      </c>
      <c r="AA123" s="606">
        <f t="shared" si="104"/>
        <v>1.4028153894947422</v>
      </c>
      <c r="AB123" s="606">
        <f t="shared" si="104"/>
        <v>0.56749344973014737</v>
      </c>
      <c r="AC123" s="606">
        <f t="shared" si="104"/>
        <v>0.5196516138476176</v>
      </c>
      <c r="AD123" s="606">
        <f t="shared" si="104"/>
        <v>0.55731748671307157</v>
      </c>
      <c r="AE123" s="606">
        <f t="shared" si="104"/>
        <v>0.82690862310043178</v>
      </c>
      <c r="AF123" s="606">
        <v>0</v>
      </c>
      <c r="AG123" s="606">
        <v>0</v>
      </c>
      <c r="AH123" s="606">
        <v>0</v>
      </c>
      <c r="AI123" s="165"/>
      <c r="AJ123" s="165"/>
      <c r="AK123" s="165"/>
      <c r="AL123" s="165"/>
      <c r="AM123" s="165"/>
      <c r="AN123" s="165"/>
      <c r="AO123" s="165"/>
      <c r="AP123" s="165"/>
      <c r="AQ123" s="165"/>
      <c r="AR123" s="165"/>
      <c r="AS123" s="165"/>
      <c r="AT123" s="165"/>
      <c r="AU123" s="165"/>
      <c r="AV123" s="165"/>
      <c r="AW123" s="165"/>
      <c r="AX123" s="165"/>
    </row>
    <row r="124" spans="1:77" s="586" customFormat="1">
      <c r="A124" s="595" t="s">
        <v>1001</v>
      </c>
      <c r="B124" s="595"/>
      <c r="C124" s="636" t="s">
        <v>1021</v>
      </c>
      <c r="D124" s="637">
        <f>SUM(E124:AH124)</f>
        <v>37.171351792857827</v>
      </c>
      <c r="E124" s="636">
        <f t="shared" ref="E124:AE124" si="105">IF(E123&lt;=0.9,E122,E93/0.9/31.53)</f>
        <v>1.08048408</v>
      </c>
      <c r="F124" s="636">
        <f t="shared" si="105"/>
        <v>0.49</v>
      </c>
      <c r="G124" s="636">
        <f t="shared" si="105"/>
        <v>0.26300000000000001</v>
      </c>
      <c r="H124" s="636">
        <f t="shared" si="105"/>
        <v>0</v>
      </c>
      <c r="I124" s="636">
        <f t="shared" si="105"/>
        <v>1.3051999999999999</v>
      </c>
      <c r="J124" s="636">
        <f t="shared" si="105"/>
        <v>10.557</v>
      </c>
      <c r="K124" s="636">
        <f t="shared" si="105"/>
        <v>0.57899784800000009</v>
      </c>
      <c r="L124" s="636">
        <f t="shared" si="105"/>
        <v>3.06384E-2</v>
      </c>
      <c r="M124" s="636">
        <f t="shared" si="105"/>
        <v>4.2761743665644714</v>
      </c>
      <c r="N124" s="636">
        <f t="shared" si="105"/>
        <v>1.9146088000000001</v>
      </c>
      <c r="O124" s="636">
        <f t="shared" si="105"/>
        <v>3.3951121152000003</v>
      </c>
      <c r="P124" s="636">
        <f t="shared" si="105"/>
        <v>0.24356800000000001</v>
      </c>
      <c r="Q124" s="636">
        <f t="shared" si="105"/>
        <v>0.13500000000000001</v>
      </c>
      <c r="R124" s="636">
        <f t="shared" si="105"/>
        <v>0.12749048000000002</v>
      </c>
      <c r="S124" s="636">
        <f t="shared" si="105"/>
        <v>2.7861599999999997</v>
      </c>
      <c r="T124" s="636">
        <f t="shared" si="105"/>
        <v>2.1954399689889697E-2</v>
      </c>
      <c r="U124" s="636">
        <f t="shared" si="105"/>
        <v>9.1520000000000004E-2</v>
      </c>
      <c r="V124" s="636">
        <f t="shared" si="105"/>
        <v>1.976E-2</v>
      </c>
      <c r="W124" s="636">
        <f t="shared" si="105"/>
        <v>0</v>
      </c>
      <c r="X124" s="636">
        <f t="shared" si="105"/>
        <v>1.6498417288888894</v>
      </c>
      <c r="Y124" s="636">
        <f t="shared" si="105"/>
        <v>2.0529999999999999</v>
      </c>
      <c r="Z124" s="636">
        <f t="shared" si="105"/>
        <v>0.61796525355041054</v>
      </c>
      <c r="AA124" s="636">
        <f t="shared" si="105"/>
        <v>0.27719632096416114</v>
      </c>
      <c r="AB124" s="636">
        <f t="shared" si="105"/>
        <v>0.94640000000000002</v>
      </c>
      <c r="AC124" s="636">
        <f t="shared" si="105"/>
        <v>7.8E-2</v>
      </c>
      <c r="AD124" s="636">
        <f t="shared" si="105"/>
        <v>0.47632000000000002</v>
      </c>
      <c r="AE124" s="625">
        <f t="shared" si="105"/>
        <v>3.7559600000000004</v>
      </c>
      <c r="AF124" s="625"/>
      <c r="AG124" s="625"/>
      <c r="AH124" s="625"/>
      <c r="AI124" s="585"/>
      <c r="AJ124" s="585"/>
      <c r="AK124" s="585"/>
      <c r="AL124" s="585"/>
      <c r="AM124" s="585"/>
      <c r="AN124" s="585"/>
      <c r="AO124" s="585"/>
      <c r="AP124" s="585"/>
      <c r="AQ124" s="585"/>
      <c r="AR124" s="585"/>
      <c r="AS124" s="585"/>
      <c r="AT124" s="585"/>
      <c r="AU124" s="585"/>
      <c r="AV124" s="585"/>
      <c r="AW124" s="585"/>
      <c r="AX124" s="585"/>
    </row>
    <row r="125" spans="1:77" s="164" customFormat="1">
      <c r="A125" s="593" t="s">
        <v>998</v>
      </c>
      <c r="B125" s="593"/>
      <c r="C125" s="616" t="s">
        <v>980</v>
      </c>
      <c r="D125" s="610"/>
      <c r="E125" s="606">
        <f t="shared" ref="E125:AH125" si="106">E124-E122</f>
        <v>0</v>
      </c>
      <c r="F125" s="606">
        <f t="shared" si="106"/>
        <v>0</v>
      </c>
      <c r="G125" s="606">
        <f t="shared" si="106"/>
        <v>0</v>
      </c>
      <c r="H125" s="606">
        <f t="shared" si="106"/>
        <v>0</v>
      </c>
      <c r="I125" s="606">
        <f t="shared" si="106"/>
        <v>0</v>
      </c>
      <c r="J125" s="606">
        <f t="shared" si="106"/>
        <v>0</v>
      </c>
      <c r="K125" s="606">
        <f t="shared" si="106"/>
        <v>0</v>
      </c>
      <c r="L125" s="606">
        <f t="shared" si="106"/>
        <v>0</v>
      </c>
      <c r="M125" s="606">
        <f t="shared" si="106"/>
        <v>0.81950605195251081</v>
      </c>
      <c r="N125" s="606">
        <f t="shared" si="106"/>
        <v>0</v>
      </c>
      <c r="O125" s="606">
        <f t="shared" si="106"/>
        <v>0</v>
      </c>
      <c r="P125" s="606">
        <f t="shared" si="106"/>
        <v>0</v>
      </c>
      <c r="Q125" s="606">
        <f t="shared" si="106"/>
        <v>0</v>
      </c>
      <c r="R125" s="606">
        <f t="shared" si="106"/>
        <v>0</v>
      </c>
      <c r="S125" s="606">
        <f t="shared" si="106"/>
        <v>0</v>
      </c>
      <c r="T125" s="606">
        <f t="shared" si="106"/>
        <v>7.8103996898896966E-3</v>
      </c>
      <c r="U125" s="606">
        <f t="shared" si="106"/>
        <v>0</v>
      </c>
      <c r="V125" s="606">
        <f t="shared" si="106"/>
        <v>0</v>
      </c>
      <c r="W125" s="606">
        <f t="shared" si="106"/>
        <v>0</v>
      </c>
      <c r="X125" s="606">
        <f t="shared" si="106"/>
        <v>0</v>
      </c>
      <c r="Y125" s="606">
        <f t="shared" si="106"/>
        <v>0</v>
      </c>
      <c r="Z125" s="606">
        <f t="shared" si="106"/>
        <v>0.11385949596048239</v>
      </c>
      <c r="AA125" s="606">
        <f t="shared" si="106"/>
        <v>9.935632096416111E-2</v>
      </c>
      <c r="AB125" s="606">
        <f t="shared" si="106"/>
        <v>0</v>
      </c>
      <c r="AC125" s="606">
        <f t="shared" si="106"/>
        <v>0</v>
      </c>
      <c r="AD125" s="606">
        <f t="shared" si="106"/>
        <v>0</v>
      </c>
      <c r="AE125" s="606">
        <f t="shared" si="106"/>
        <v>0</v>
      </c>
      <c r="AF125" s="606">
        <f t="shared" si="106"/>
        <v>0</v>
      </c>
      <c r="AG125" s="606">
        <f t="shared" si="106"/>
        <v>0</v>
      </c>
      <c r="AH125" s="606">
        <f t="shared" si="106"/>
        <v>0</v>
      </c>
      <c r="AI125" s="165"/>
      <c r="AJ125" s="165"/>
      <c r="AK125" s="165"/>
      <c r="AL125" s="165"/>
      <c r="AM125" s="165"/>
      <c r="AN125" s="165"/>
      <c r="AO125" s="165"/>
      <c r="AP125" s="165"/>
      <c r="AQ125" s="165"/>
      <c r="AR125" s="165"/>
      <c r="AS125" s="165"/>
      <c r="AT125" s="165"/>
      <c r="AU125" s="165"/>
      <c r="AV125" s="165"/>
      <c r="AW125" s="165"/>
      <c r="AX125" s="165"/>
    </row>
    <row r="126" spans="1:77" s="502" customFormat="1">
      <c r="A126" s="596" t="s">
        <v>1003</v>
      </c>
      <c r="B126" s="596"/>
      <c r="C126" s="616" t="s">
        <v>1037</v>
      </c>
      <c r="D126" s="629"/>
      <c r="E126" s="616">
        <f>E93/E120/31.53</f>
        <v>0.54587429930234022</v>
      </c>
      <c r="F126" s="616">
        <f>F93/F120/31.53</f>
        <v>0.32826302520463785</v>
      </c>
      <c r="G126" s="616">
        <f>G93/G120/31.53</f>
        <v>0.70115343743877068</v>
      </c>
      <c r="H126" s="616">
        <v>0</v>
      </c>
      <c r="I126" s="616">
        <f t="shared" ref="I126:V126" si="107">I93/I120/31.53</f>
        <v>0.77751401381713625</v>
      </c>
      <c r="J126" s="616">
        <f t="shared" si="107"/>
        <v>0.33965451757672693</v>
      </c>
      <c r="K126" s="616">
        <f t="shared" si="107"/>
        <v>0.56672393337976723</v>
      </c>
      <c r="L126" s="616">
        <f t="shared" si="107"/>
        <v>0.48982038604577172</v>
      </c>
      <c r="M126" s="616">
        <f t="shared" si="107"/>
        <v>0.89999999999999991</v>
      </c>
      <c r="N126" s="616">
        <f t="shared" si="107"/>
        <v>0.5298536268850097</v>
      </c>
      <c r="O126" s="616">
        <f t="shared" si="107"/>
        <v>0.45026578529306632</v>
      </c>
      <c r="P126" s="616">
        <f t="shared" si="107"/>
        <v>0.49780596610463002</v>
      </c>
      <c r="Q126" s="616">
        <f t="shared" si="107"/>
        <v>0.34645302760666807</v>
      </c>
      <c r="R126" s="616">
        <f t="shared" si="107"/>
        <v>0.56421070667718776</v>
      </c>
      <c r="S126" s="616">
        <f t="shared" si="107"/>
        <v>0.71469206074653024</v>
      </c>
      <c r="T126" s="616">
        <f t="shared" si="107"/>
        <v>0.9</v>
      </c>
      <c r="U126" s="616">
        <f t="shared" si="107"/>
        <v>0.41931981751201536</v>
      </c>
      <c r="V126" s="616">
        <f t="shared" si="107"/>
        <v>0.45101959318995727</v>
      </c>
      <c r="W126" s="616">
        <v>0</v>
      </c>
      <c r="X126" s="616">
        <f t="shared" ref="X126:AE126" si="108">X93/X120/31.53</f>
        <v>0.87876645230225914</v>
      </c>
      <c r="Y126" s="616">
        <f t="shared" si="108"/>
        <v>0.45180762443518252</v>
      </c>
      <c r="Z126" s="616">
        <f t="shared" si="108"/>
        <v>0.9</v>
      </c>
      <c r="AA126" s="616">
        <f t="shared" si="108"/>
        <v>0.8999999999999998</v>
      </c>
      <c r="AB126" s="616">
        <f t="shared" si="108"/>
        <v>0.56749344973014737</v>
      </c>
      <c r="AC126" s="616">
        <f t="shared" si="108"/>
        <v>0.52727461096192085</v>
      </c>
      <c r="AD126" s="616">
        <f t="shared" si="108"/>
        <v>0.55731748671307157</v>
      </c>
      <c r="AE126" s="616">
        <f t="shared" si="108"/>
        <v>0.82690862310043178</v>
      </c>
      <c r="AF126" s="616">
        <v>0</v>
      </c>
      <c r="AG126" s="616">
        <v>0</v>
      </c>
      <c r="AH126" s="616">
        <v>0</v>
      </c>
    </row>
    <row r="127" spans="1:77" s="591" customFormat="1">
      <c r="A127" s="597"/>
      <c r="B127" s="597"/>
      <c r="C127" s="662" t="s">
        <v>1046</v>
      </c>
      <c r="D127" s="663"/>
      <c r="E127" s="662">
        <f t="shared" ref="E127:AE127" si="109">E38*E34</f>
        <v>1.7095</v>
      </c>
      <c r="F127" s="662">
        <f t="shared" si="109"/>
        <v>0.53487000000000007</v>
      </c>
      <c r="G127" s="662">
        <f t="shared" si="109"/>
        <v>0.18921000000000002</v>
      </c>
      <c r="H127" s="662">
        <f t="shared" si="109"/>
        <v>0.01</v>
      </c>
      <c r="I127" s="662">
        <f t="shared" si="109"/>
        <v>1.4044859813084112</v>
      </c>
      <c r="J127" s="662">
        <f t="shared" si="109"/>
        <v>6.8355199999999989</v>
      </c>
      <c r="K127" s="662">
        <f t="shared" si="109"/>
        <v>3.82368</v>
      </c>
      <c r="L127" s="662">
        <f t="shared" si="109"/>
        <v>0.16747663551401867</v>
      </c>
      <c r="M127" s="662">
        <f t="shared" si="109"/>
        <v>3.05</v>
      </c>
      <c r="N127" s="662">
        <f t="shared" si="109"/>
        <v>1.8014700000000003</v>
      </c>
      <c r="O127" s="662">
        <f t="shared" si="109"/>
        <v>3.8345999999999996</v>
      </c>
      <c r="P127" s="662" t="e">
        <f t="shared" si="109"/>
        <v>#REF!</v>
      </c>
      <c r="Q127" s="662">
        <f t="shared" si="109"/>
        <v>0.126448598130841</v>
      </c>
      <c r="R127" s="662">
        <f t="shared" si="109"/>
        <v>0.11</v>
      </c>
      <c r="S127" s="662">
        <f t="shared" si="109"/>
        <v>2.4090099999999999</v>
      </c>
      <c r="T127" s="662">
        <f t="shared" si="109"/>
        <v>0.28599999999999992</v>
      </c>
      <c r="U127" s="662">
        <f t="shared" si="109"/>
        <v>0.1</v>
      </c>
      <c r="V127" s="662">
        <f t="shared" si="109"/>
        <v>2.183000000000002E-2</v>
      </c>
      <c r="W127" s="662">
        <f t="shared" si="109"/>
        <v>0</v>
      </c>
      <c r="X127" s="662">
        <f t="shared" si="109"/>
        <v>2.8640000000000003</v>
      </c>
      <c r="Y127" s="662">
        <f t="shared" si="109"/>
        <v>1.8780599999999998</v>
      </c>
      <c r="Z127" s="662">
        <f t="shared" si="109"/>
        <v>0.34451999999999999</v>
      </c>
      <c r="AA127" s="662">
        <f t="shared" si="109"/>
        <v>0.28350000000000025</v>
      </c>
      <c r="AB127" s="662">
        <f t="shared" si="109"/>
        <v>1.3227100000000001</v>
      </c>
      <c r="AC127" s="662">
        <f t="shared" si="109"/>
        <v>8.7720000000000006E-2</v>
      </c>
      <c r="AD127" s="662">
        <f t="shared" si="109"/>
        <v>2.4344999999999999</v>
      </c>
      <c r="AE127" s="662">
        <f t="shared" si="109"/>
        <v>4.9286400000000006</v>
      </c>
      <c r="AF127" s="662"/>
      <c r="AG127" s="662"/>
      <c r="AH127" s="662"/>
    </row>
    <row r="128" spans="1:77" s="503" customFormat="1" ht="14.25" customHeight="1">
      <c r="A128" s="593"/>
      <c r="B128" s="593"/>
      <c r="C128" s="616"/>
      <c r="D128" s="610"/>
      <c r="E128" s="606"/>
      <c r="F128" s="606"/>
      <c r="G128" s="606"/>
      <c r="H128" s="606"/>
      <c r="I128" s="606"/>
      <c r="J128" s="606"/>
      <c r="K128" s="606"/>
      <c r="L128" s="606"/>
      <c r="M128" s="606"/>
      <c r="N128" s="606"/>
      <c r="O128" s="606"/>
      <c r="P128" s="606"/>
      <c r="Q128" s="606"/>
      <c r="R128" s="606"/>
      <c r="S128" s="606"/>
      <c r="T128" s="606"/>
      <c r="U128" s="606"/>
      <c r="V128" s="606"/>
      <c r="W128" s="606"/>
      <c r="X128" s="606"/>
      <c r="Y128" s="606"/>
      <c r="Z128" s="606"/>
      <c r="AA128" s="606"/>
      <c r="AB128" s="606"/>
      <c r="AC128" s="606"/>
      <c r="AD128" s="606"/>
      <c r="AE128" s="606"/>
      <c r="AF128" s="606"/>
      <c r="AG128" s="606"/>
      <c r="AH128" s="606"/>
      <c r="AI128" s="165"/>
      <c r="AJ128" s="165"/>
      <c r="AK128" s="165"/>
      <c r="AL128" s="165"/>
      <c r="AM128" s="165"/>
      <c r="AN128" s="165"/>
      <c r="AO128" s="165"/>
      <c r="AP128" s="165"/>
      <c r="AQ128" s="165"/>
      <c r="AR128" s="165"/>
      <c r="AS128" s="165"/>
      <c r="AT128" s="165"/>
      <c r="AU128" s="165"/>
      <c r="AV128" s="165"/>
      <c r="AW128" s="165"/>
      <c r="AX128" s="165"/>
      <c r="AY128" s="164"/>
      <c r="AZ128" s="164"/>
      <c r="BA128" s="164"/>
      <c r="BB128" s="164"/>
      <c r="BC128" s="164"/>
      <c r="BD128" s="164"/>
      <c r="BE128" s="164"/>
      <c r="BF128" s="164"/>
      <c r="BG128" s="164"/>
      <c r="BH128" s="164"/>
      <c r="BI128" s="164"/>
      <c r="BJ128" s="164"/>
      <c r="BK128" s="164"/>
      <c r="BL128" s="164"/>
      <c r="BM128" s="164"/>
      <c r="BN128" s="164"/>
      <c r="BO128" s="164"/>
      <c r="BP128" s="164"/>
      <c r="BQ128" s="164"/>
      <c r="BR128" s="164"/>
      <c r="BS128" s="164"/>
      <c r="BT128" s="164"/>
      <c r="BU128" s="164"/>
      <c r="BV128" s="164"/>
      <c r="BW128" s="164"/>
      <c r="BX128" s="164"/>
      <c r="BY128" s="164"/>
    </row>
    <row r="129" spans="1:51" s="164" customFormat="1">
      <c r="A129" s="593"/>
      <c r="B129" s="593"/>
      <c r="C129" s="638"/>
      <c r="D129" s="610"/>
      <c r="E129" s="606"/>
      <c r="F129" s="606"/>
      <c r="G129" s="606"/>
      <c r="H129" s="606"/>
      <c r="I129" s="606"/>
      <c r="J129" s="606"/>
      <c r="K129" s="606"/>
      <c r="L129" s="606"/>
      <c r="M129" s="606"/>
      <c r="N129" s="606"/>
      <c r="O129" s="606"/>
      <c r="P129" s="606"/>
      <c r="Q129" s="606"/>
      <c r="R129" s="606"/>
      <c r="S129" s="606"/>
      <c r="T129" s="606"/>
      <c r="U129" s="606"/>
      <c r="V129" s="606"/>
      <c r="W129" s="606"/>
      <c r="X129" s="606"/>
      <c r="Y129" s="606"/>
      <c r="Z129" s="606"/>
      <c r="AA129" s="606"/>
      <c r="AB129" s="606"/>
      <c r="AC129" s="606"/>
      <c r="AD129" s="606"/>
      <c r="AE129" s="606"/>
      <c r="AF129" s="606"/>
      <c r="AG129" s="606"/>
      <c r="AH129" s="606"/>
      <c r="AI129" s="165"/>
      <c r="AJ129" s="165"/>
      <c r="AK129" s="165"/>
      <c r="AL129" s="165"/>
      <c r="AM129" s="165"/>
      <c r="AN129" s="165"/>
      <c r="AO129" s="165"/>
      <c r="AP129" s="165"/>
      <c r="AQ129" s="165"/>
      <c r="AR129" s="165"/>
      <c r="AS129" s="165"/>
      <c r="AT129" s="165"/>
      <c r="AU129" s="165"/>
      <c r="AV129" s="165"/>
      <c r="AW129" s="165"/>
      <c r="AX129" s="165"/>
    </row>
    <row r="130" spans="1:51" s="602" customFormat="1" ht="19.5" customHeight="1">
      <c r="A130" s="601"/>
      <c r="B130" s="601"/>
      <c r="C130" s="640" t="s">
        <v>996</v>
      </c>
      <c r="D130" s="641"/>
      <c r="E130" s="642"/>
      <c r="F130" s="642"/>
      <c r="G130" s="642"/>
      <c r="H130" s="642"/>
      <c r="I130" s="642"/>
      <c r="J130" s="642"/>
      <c r="K130" s="642"/>
      <c r="L130" s="642"/>
      <c r="M130" s="642"/>
      <c r="N130" s="642"/>
      <c r="O130" s="642"/>
      <c r="P130" s="642"/>
      <c r="Q130" s="642"/>
      <c r="R130" s="642"/>
      <c r="S130" s="642"/>
      <c r="T130" s="642"/>
      <c r="U130" s="642"/>
      <c r="V130" s="642"/>
      <c r="W130" s="642"/>
      <c r="X130" s="642"/>
      <c r="Y130" s="642"/>
      <c r="Z130" s="642"/>
      <c r="AA130" s="642"/>
      <c r="AB130" s="642"/>
      <c r="AC130" s="642"/>
      <c r="AD130" s="642"/>
      <c r="AE130" s="642"/>
      <c r="AF130" s="642"/>
      <c r="AG130" s="642"/>
      <c r="AH130" s="642"/>
      <c r="AI130" s="603"/>
      <c r="AJ130" s="603"/>
      <c r="AK130" s="603"/>
      <c r="AL130" s="603"/>
      <c r="AM130" s="603"/>
      <c r="AN130" s="603"/>
      <c r="AO130" s="603"/>
      <c r="AP130" s="603"/>
      <c r="AQ130" s="603"/>
      <c r="AR130" s="603"/>
      <c r="AS130" s="603"/>
      <c r="AT130" s="603"/>
      <c r="AU130" s="603"/>
      <c r="AV130" s="603"/>
      <c r="AW130" s="603"/>
      <c r="AX130" s="603"/>
    </row>
    <row r="131" spans="1:51" s="164" customFormat="1">
      <c r="A131" s="593"/>
      <c r="B131" s="593"/>
      <c r="C131" s="638"/>
      <c r="D131" s="610" t="s">
        <v>169</v>
      </c>
      <c r="E131" s="643" t="s">
        <v>56</v>
      </c>
      <c r="F131" s="643" t="s">
        <v>39</v>
      </c>
      <c r="G131" s="643" t="s">
        <v>40</v>
      </c>
      <c r="H131" s="643" t="s">
        <v>49</v>
      </c>
      <c r="I131" s="643" t="s">
        <v>41</v>
      </c>
      <c r="J131" s="643" t="s">
        <v>43</v>
      </c>
      <c r="K131" s="643" t="s">
        <v>42</v>
      </c>
      <c r="L131" s="643" t="s">
        <v>44</v>
      </c>
      <c r="M131" s="643" t="s">
        <v>45</v>
      </c>
      <c r="N131" s="643" t="s">
        <v>62</v>
      </c>
      <c r="O131" s="643" t="s">
        <v>46</v>
      </c>
      <c r="P131" s="643" t="s">
        <v>82</v>
      </c>
      <c r="Q131" s="643" t="s">
        <v>53</v>
      </c>
      <c r="R131" s="643" t="s">
        <v>47</v>
      </c>
      <c r="S131" s="643" t="s">
        <v>48</v>
      </c>
      <c r="T131" s="643" t="s">
        <v>51</v>
      </c>
      <c r="U131" s="643" t="s">
        <v>52</v>
      </c>
      <c r="V131" s="643" t="s">
        <v>50</v>
      </c>
      <c r="W131" s="643" t="s">
        <v>54</v>
      </c>
      <c r="X131" s="643" t="s">
        <v>55</v>
      </c>
      <c r="Y131" s="643" t="s">
        <v>57</v>
      </c>
      <c r="Z131" s="643" t="s">
        <v>58</v>
      </c>
      <c r="AA131" s="643" t="s">
        <v>59</v>
      </c>
      <c r="AB131" s="643" t="s">
        <v>63</v>
      </c>
      <c r="AC131" s="643" t="s">
        <v>60</v>
      </c>
      <c r="AD131" s="643" t="s">
        <v>61</v>
      </c>
      <c r="AE131" s="643" t="s">
        <v>64</v>
      </c>
      <c r="AF131" s="643" t="s">
        <v>81</v>
      </c>
      <c r="AG131" s="643" t="s">
        <v>83</v>
      </c>
      <c r="AH131" s="643" t="s">
        <v>84</v>
      </c>
      <c r="AI131" s="165"/>
      <c r="AJ131" s="165"/>
      <c r="AK131" s="165"/>
      <c r="AL131" s="165"/>
      <c r="AM131" s="165"/>
      <c r="AN131" s="165"/>
      <c r="AO131" s="165"/>
      <c r="AP131" s="165"/>
      <c r="AQ131" s="165"/>
      <c r="AR131" s="165"/>
      <c r="AS131" s="165"/>
      <c r="AT131" s="165"/>
      <c r="AU131" s="165"/>
      <c r="AV131" s="165"/>
      <c r="AW131" s="165"/>
      <c r="AX131" s="165"/>
    </row>
    <row r="132" spans="1:51" s="164" customFormat="1" ht="13.5" thickBot="1">
      <c r="A132" s="593"/>
      <c r="B132" s="593">
        <v>2002</v>
      </c>
      <c r="C132" s="626" t="s">
        <v>1039</v>
      </c>
      <c r="D132" s="627">
        <f>SUM(E132:AI132)</f>
        <v>1682.6408890286057</v>
      </c>
      <c r="E132" s="627">
        <f>'CHP2002By cycle'!AF5</f>
        <v>57.275287200000008</v>
      </c>
      <c r="F132" s="627">
        <f>'CHP2002By cycle'!AG5</f>
        <v>21.375891299999999</v>
      </c>
      <c r="G132" s="627">
        <f>'CHP2002By cycle'!AH5</f>
        <v>15.607591199999998</v>
      </c>
      <c r="H132" s="627">
        <f>'CHP2002By cycle'!AI5</f>
        <v>0</v>
      </c>
      <c r="I132" s="627">
        <f>'CHP2002By cycle'!AJ5</f>
        <v>53.59</v>
      </c>
      <c r="J132" s="627">
        <f>'CHP2002By cycle'!AK5</f>
        <v>287.435</v>
      </c>
      <c r="K132" s="627">
        <f>'CHP2002By cycle'!AL5</f>
        <v>26.694361902075034</v>
      </c>
      <c r="L132" s="627">
        <f>'CHP2002By cycle'!AM5</f>
        <v>2.2090000000000001</v>
      </c>
      <c r="M132" s="627">
        <f>'CHP2002By cycle'!AN5</f>
        <v>160.20621471959996</v>
      </c>
      <c r="N132" s="627">
        <f>'CHP2002By cycle'!AO5</f>
        <v>165.10540320000001</v>
      </c>
      <c r="O132" s="627">
        <f>'CHP2002By cycle'!AP5</f>
        <v>182.55672000000001</v>
      </c>
      <c r="P132" s="627">
        <f>'CHP2002By cycle'!AQ5</f>
        <v>9.423</v>
      </c>
      <c r="Q132" s="627">
        <f>'CHP2002By cycle'!AR5</f>
        <v>9.5770050000000015</v>
      </c>
      <c r="R132" s="627">
        <f>'CHP2002By cycle'!AS5</f>
        <v>5.4026512220000003</v>
      </c>
      <c r="S132" s="627">
        <f>'CHP2002By cycle'!AT5</f>
        <v>133.898</v>
      </c>
      <c r="T132" s="627">
        <f>'CHP2002By cycle'!AU5</f>
        <v>1.014</v>
      </c>
      <c r="U132" s="627">
        <f>'CHP2002By cycle'!AV5</f>
        <v>2.097</v>
      </c>
      <c r="V132" s="627">
        <f>'CHP2002By cycle'!AW5</f>
        <v>0.70199999999999996</v>
      </c>
      <c r="W132" s="627">
        <f>'CHP2002By cycle'!AX5</f>
        <v>0</v>
      </c>
      <c r="X132" s="627">
        <f>'CHP2002By cycle'!AY5</f>
        <v>108.102279</v>
      </c>
      <c r="Y132" s="627">
        <f>'CHP2002By cycle'!AZ5</f>
        <v>169.75399999999999</v>
      </c>
      <c r="Z132" s="627">
        <f>'CHP2002By cycle'!BA5</f>
        <v>39.417076284930737</v>
      </c>
      <c r="AA132" s="627">
        <f>'CHP2002By cycle'!BB5</f>
        <v>14.497988000000003</v>
      </c>
      <c r="AB132" s="627">
        <f>'CHP2002By cycle'!BC5</f>
        <v>62.612000000000002</v>
      </c>
      <c r="AC132" s="627">
        <f>'CHP2002By cycle'!BD5</f>
        <v>8.6749199999999984</v>
      </c>
      <c r="AD132" s="627">
        <f>'CHP2002By cycle'!BE5</f>
        <v>5.0039999999999996</v>
      </c>
      <c r="AE132" s="627">
        <f>'CHP2002By cycle'!BF5</f>
        <v>140.40950000000004</v>
      </c>
      <c r="AF132" s="627">
        <f>'CHP2002By cycle'!BG5</f>
        <v>0</v>
      </c>
      <c r="AG132" s="627">
        <f>'CHP2002By cycle'!BH5</f>
        <v>0</v>
      </c>
      <c r="AH132" s="627">
        <f>'CHP2002By cycle'!BI5</f>
        <v>0</v>
      </c>
      <c r="AI132" s="509"/>
      <c r="AJ132" s="165"/>
      <c r="AK132" s="165"/>
      <c r="AL132" s="165"/>
      <c r="AM132" s="165"/>
      <c r="AN132" s="165"/>
      <c r="AO132" s="165"/>
      <c r="AP132" s="165"/>
      <c r="AQ132" s="165"/>
      <c r="AR132" s="165"/>
      <c r="AS132" s="165"/>
      <c r="AT132" s="165"/>
      <c r="AU132" s="165"/>
      <c r="AV132" s="165"/>
      <c r="AW132" s="165"/>
      <c r="AX132" s="165"/>
      <c r="AY132" s="165"/>
    </row>
    <row r="133" spans="1:51" s="164" customFormat="1">
      <c r="A133" s="593" t="s">
        <v>1009</v>
      </c>
      <c r="B133" s="593">
        <v>2002</v>
      </c>
      <c r="C133" s="631" t="s">
        <v>1040</v>
      </c>
      <c r="D133" s="609">
        <f t="shared" ref="D133:D144" si="110">SUM(E133:AI133)</f>
        <v>37.6866949912</v>
      </c>
      <c r="E133" s="629">
        <f>'CHP2002By cycle'!AF6</f>
        <v>2.2712003999999997</v>
      </c>
      <c r="F133" s="629">
        <f>'CHP2002By cycle'!AG6</f>
        <v>0</v>
      </c>
      <c r="G133" s="629">
        <f>'CHP2002By cycle'!AH6</f>
        <v>4.9249907999999998</v>
      </c>
      <c r="H133" s="629">
        <f>'CHP2002By cycle'!AI6</f>
        <v>0</v>
      </c>
      <c r="I133" s="629">
        <f>'CHP2002By cycle'!AJ6</f>
        <v>10.442</v>
      </c>
      <c r="J133" s="629">
        <f>'CHP2002By cycle'!AK6</f>
        <v>7.4039999999999999</v>
      </c>
      <c r="K133" s="629">
        <f>'CHP2002By cycle'!AL6</f>
        <v>0</v>
      </c>
      <c r="L133" s="629">
        <f>'CHP2002By cycle'!AM6</f>
        <v>0</v>
      </c>
      <c r="M133" s="629">
        <f>'CHP2002By cycle'!AN6</f>
        <v>1.3788555912</v>
      </c>
      <c r="N133" s="629">
        <f>'CHP2002By cycle'!AO6</f>
        <v>1.3226184000000001</v>
      </c>
      <c r="O133" s="629">
        <f>'CHP2002By cycle'!AP6</f>
        <v>0.49002479999999998</v>
      </c>
      <c r="P133" s="629">
        <f>'CHP2002By cycle'!AQ6</f>
        <v>0</v>
      </c>
      <c r="Q133" s="629">
        <f>'CHP2002By cycle'!AR6</f>
        <v>0</v>
      </c>
      <c r="R133" s="629">
        <f>'CHP2002By cycle'!AS6</f>
        <v>0</v>
      </c>
      <c r="S133" s="629">
        <f>'CHP2002By cycle'!AT6</f>
        <v>6.7000000000000004E-2</v>
      </c>
      <c r="T133" s="629">
        <f>'CHP2002By cycle'!AU6</f>
        <v>0</v>
      </c>
      <c r="U133" s="629">
        <f>'CHP2002By cycle'!AV6</f>
        <v>0</v>
      </c>
      <c r="V133" s="629">
        <f>'CHP2002By cycle'!AW6</f>
        <v>0</v>
      </c>
      <c r="W133" s="629">
        <f>'CHP2002By cycle'!AX6</f>
        <v>0</v>
      </c>
      <c r="X133" s="629">
        <f>'CHP2002By cycle'!AY6</f>
        <v>2.9480049999999998</v>
      </c>
      <c r="Y133" s="629">
        <f>'CHP2002By cycle'!AZ6</f>
        <v>6.117</v>
      </c>
      <c r="Z133" s="629">
        <f>'CHP2002By cycle'!BA6</f>
        <v>0</v>
      </c>
      <c r="AA133" s="629">
        <f>'CHP2002By cycle'!BB6</f>
        <v>0</v>
      </c>
      <c r="AB133" s="629">
        <f>'CHP2002By cycle'!BC6</f>
        <v>0</v>
      </c>
      <c r="AC133" s="629">
        <f>'CHP2002By cycle'!BD6</f>
        <v>0</v>
      </c>
      <c r="AD133" s="629">
        <f>'CHP2002By cycle'!BE6</f>
        <v>0.32100000000000001</v>
      </c>
      <c r="AE133" s="629">
        <f>'CHP2002By cycle'!BF6</f>
        <v>0</v>
      </c>
      <c r="AF133" s="629">
        <f>'CHP2002By cycle'!BG6</f>
        <v>0</v>
      </c>
      <c r="AG133" s="629">
        <f>'CHP2002By cycle'!BH6</f>
        <v>0</v>
      </c>
      <c r="AH133" s="629">
        <f>'CHP2002By cycle'!BI6</f>
        <v>0</v>
      </c>
      <c r="AI133" s="509"/>
      <c r="AJ133" s="165"/>
      <c r="AK133" s="165"/>
      <c r="AL133" s="165"/>
      <c r="AM133" s="165"/>
      <c r="AN133" s="165"/>
      <c r="AO133" s="165"/>
      <c r="AP133" s="165"/>
      <c r="AQ133" s="165"/>
      <c r="AR133" s="165"/>
      <c r="AS133" s="165"/>
      <c r="AT133" s="165"/>
      <c r="AU133" s="165"/>
      <c r="AV133" s="165"/>
      <c r="AW133" s="165"/>
      <c r="AX133" s="165"/>
      <c r="AY133" s="165"/>
    </row>
    <row r="134" spans="1:51" s="164" customFormat="1">
      <c r="A134" s="593" t="s">
        <v>1009</v>
      </c>
      <c r="B134" s="593">
        <v>2002</v>
      </c>
      <c r="C134" s="631" t="s">
        <v>314</v>
      </c>
      <c r="D134" s="609">
        <f t="shared" si="110"/>
        <v>413.68554448639958</v>
      </c>
      <c r="E134" s="629">
        <f>'CHP2002By cycle'!AF7</f>
        <v>9.0088163999999988</v>
      </c>
      <c r="F134" s="629">
        <f>'CHP2002By cycle'!AG7</f>
        <v>0.59424999999999994</v>
      </c>
      <c r="G134" s="629">
        <f>'CHP2002By cycle'!AH7</f>
        <v>7.8251328000000004</v>
      </c>
      <c r="H134" s="629">
        <f>'CHP2002By cycle'!AI7</f>
        <v>0</v>
      </c>
      <c r="I134" s="629">
        <f>'CHP2002By cycle'!AJ7</f>
        <v>22.619</v>
      </c>
      <c r="J134" s="629">
        <f>'CHP2002By cycle'!AK7</f>
        <v>118.303</v>
      </c>
      <c r="K134" s="629">
        <f>'CHP2002By cycle'!AL7</f>
        <v>2.7189081999995501</v>
      </c>
      <c r="L134" s="629">
        <f>'CHP2002By cycle'!AM7</f>
        <v>0</v>
      </c>
      <c r="M134" s="629">
        <f>'CHP2002By cycle'!AN7</f>
        <v>26.337563629199998</v>
      </c>
      <c r="N134" s="629">
        <f>'CHP2002By cycle'!AO7</f>
        <v>6.5008800000000004</v>
      </c>
      <c r="O134" s="629">
        <f>'CHP2002By cycle'!AP7</f>
        <v>32.926841999999994</v>
      </c>
      <c r="P134" s="629">
        <f>'CHP2002By cycle'!AQ7</f>
        <v>2.2709999999999999</v>
      </c>
      <c r="Q134" s="629">
        <f>'CHP2002By cycle'!AR7</f>
        <v>3.3601199999999998</v>
      </c>
      <c r="R134" s="629">
        <f>'CHP2002By cycle'!AS7</f>
        <v>0.49623581</v>
      </c>
      <c r="S134" s="629">
        <f>'CHP2002By cycle'!AT7</f>
        <v>34.216999999999999</v>
      </c>
      <c r="T134" s="629">
        <f>'CHP2002By cycle'!AU7</f>
        <v>0</v>
      </c>
      <c r="U134" s="629">
        <f>'CHP2002By cycle'!AV7</f>
        <v>1.278</v>
      </c>
      <c r="V134" s="629">
        <f>'CHP2002By cycle'!AW7</f>
        <v>0</v>
      </c>
      <c r="W134" s="629">
        <f>'CHP2002By cycle'!AX7</f>
        <v>0</v>
      </c>
      <c r="X134" s="629">
        <f>'CHP2002By cycle'!AY7</f>
        <v>35.917614</v>
      </c>
      <c r="Y134" s="629">
        <f>'CHP2002By cycle'!AZ7</f>
        <v>40.127000000000002</v>
      </c>
      <c r="Z134" s="629">
        <f>'CHP2002By cycle'!BA7</f>
        <v>3.2626706472000002</v>
      </c>
      <c r="AA134" s="629">
        <f>'CHP2002By cycle'!BB7</f>
        <v>6.8362959999999999</v>
      </c>
      <c r="AB134" s="629">
        <f>'CHP2002By cycle'!BC7</f>
        <v>0.83799999999999997</v>
      </c>
      <c r="AC134" s="629">
        <f>'CHP2002By cycle'!BD7</f>
        <v>0.42121499999999995</v>
      </c>
      <c r="AD134" s="629">
        <f>'CHP2002By cycle'!BE7</f>
        <v>0.90700000000000003</v>
      </c>
      <c r="AE134" s="629">
        <f>'CHP2002By cycle'!BF7</f>
        <v>56.918999999999997</v>
      </c>
      <c r="AF134" s="629">
        <f>'CHP2002By cycle'!BG7</f>
        <v>0</v>
      </c>
      <c r="AG134" s="629">
        <f>'CHP2002By cycle'!BH7</f>
        <v>0</v>
      </c>
      <c r="AH134" s="629">
        <f>'CHP2002By cycle'!BI7</f>
        <v>0</v>
      </c>
      <c r="AI134" s="509"/>
      <c r="AJ134" s="165"/>
      <c r="AK134" s="165"/>
      <c r="AL134" s="165"/>
      <c r="AM134" s="165"/>
      <c r="AN134" s="165"/>
      <c r="AO134" s="165"/>
      <c r="AP134" s="165"/>
      <c r="AQ134" s="165"/>
      <c r="AR134" s="165"/>
      <c r="AS134" s="165"/>
      <c r="AT134" s="165"/>
      <c r="AU134" s="165"/>
      <c r="AV134" s="165"/>
      <c r="AW134" s="165"/>
      <c r="AX134" s="165"/>
      <c r="AY134" s="165"/>
    </row>
    <row r="135" spans="1:51" s="164" customFormat="1">
      <c r="A135" s="593" t="s">
        <v>1009</v>
      </c>
      <c r="B135" s="593">
        <v>2002</v>
      </c>
      <c r="C135" s="631" t="s">
        <v>409</v>
      </c>
      <c r="D135" s="609">
        <f t="shared" si="110"/>
        <v>539.66266198680034</v>
      </c>
      <c r="E135" s="629">
        <f>'CHP2002By cycle'!AF8</f>
        <v>28.328248799999997</v>
      </c>
      <c r="F135" s="629">
        <f>'CHP2002By cycle'!AG8</f>
        <v>7.3134509999999997</v>
      </c>
      <c r="G135" s="629">
        <f>'CHP2002By cycle'!AH8</f>
        <v>2.2635900000000002</v>
      </c>
      <c r="H135" s="629">
        <f>'CHP2002By cycle'!AI8</f>
        <v>0</v>
      </c>
      <c r="I135" s="629">
        <f>'CHP2002By cycle'!AJ8</f>
        <v>5.9640000000000004</v>
      </c>
      <c r="J135" s="629">
        <f>'CHP2002By cycle'!AK8</f>
        <v>65.760999999999996</v>
      </c>
      <c r="K135" s="629">
        <f>'CHP2002By cycle'!AL8</f>
        <v>1.5179967999997299</v>
      </c>
      <c r="L135" s="629">
        <f>'CHP2002By cycle'!AM8</f>
        <v>1.452</v>
      </c>
      <c r="M135" s="629">
        <f>'CHP2002By cycle'!AN8</f>
        <v>47.047410730799996</v>
      </c>
      <c r="N135" s="629">
        <f>'CHP2002By cycle'!AO8</f>
        <v>146.77399080000001</v>
      </c>
      <c r="O135" s="629">
        <f>'CHP2002By cycle'!AP8</f>
        <v>53.336664000000006</v>
      </c>
      <c r="P135" s="629">
        <f>'CHP2002By cycle'!AQ8</f>
        <v>0</v>
      </c>
      <c r="Q135" s="629">
        <f>'CHP2002By cycle'!AR8</f>
        <v>1.735195</v>
      </c>
      <c r="R135" s="629">
        <f>'CHP2002By cycle'!AS8</f>
        <v>0</v>
      </c>
      <c r="S135" s="629">
        <f>'CHP2002By cycle'!AT8</f>
        <v>34.173999999999999</v>
      </c>
      <c r="T135" s="629">
        <f>'CHP2002By cycle'!AU8</f>
        <v>0</v>
      </c>
      <c r="U135" s="629">
        <f>'CHP2002By cycle'!AV8</f>
        <v>1.6E-2</v>
      </c>
      <c r="V135" s="629">
        <f>'CHP2002By cycle'!AW8</f>
        <v>0</v>
      </c>
      <c r="W135" s="629">
        <f>'CHP2002By cycle'!AX8</f>
        <v>0</v>
      </c>
      <c r="X135" s="629">
        <f>'CHP2002By cycle'!AY8</f>
        <v>10.090133999999999</v>
      </c>
      <c r="Y135" s="629">
        <f>'CHP2002By cycle'!AZ8</f>
        <v>22.968</v>
      </c>
      <c r="Z135" s="629">
        <f>'CHP2002By cycle'!BA8</f>
        <v>22.242924856000801</v>
      </c>
      <c r="AA135" s="629">
        <f>'CHP2002By cycle'!BB8</f>
        <v>4.447832</v>
      </c>
      <c r="AB135" s="629">
        <f>'CHP2002By cycle'!BC8</f>
        <v>61.067</v>
      </c>
      <c r="AC135" s="629">
        <f>'CHP2002By cycle'!BD8</f>
        <v>6.9474239999999998</v>
      </c>
      <c r="AD135" s="629">
        <f>'CHP2002By cycle'!BE8</f>
        <v>0.28899999999999998</v>
      </c>
      <c r="AE135" s="629">
        <f>'CHP2002By cycle'!BF8</f>
        <v>15.9268</v>
      </c>
      <c r="AF135" s="629">
        <f>'CHP2002By cycle'!BG8</f>
        <v>0</v>
      </c>
      <c r="AG135" s="629">
        <f>'CHP2002By cycle'!BH8</f>
        <v>0</v>
      </c>
      <c r="AH135" s="629">
        <f>'CHP2002By cycle'!BI8</f>
        <v>0</v>
      </c>
      <c r="AI135" s="509"/>
      <c r="AJ135" s="165"/>
      <c r="AK135" s="165"/>
      <c r="AL135" s="165"/>
      <c r="AM135" s="165"/>
      <c r="AN135" s="165"/>
      <c r="AO135" s="165"/>
      <c r="AP135" s="165"/>
      <c r="AQ135" s="165"/>
      <c r="AR135" s="165"/>
      <c r="AS135" s="165"/>
      <c r="AT135" s="165"/>
      <c r="AU135" s="165"/>
      <c r="AV135" s="165"/>
      <c r="AW135" s="165"/>
      <c r="AX135" s="165"/>
      <c r="AY135" s="165"/>
    </row>
    <row r="136" spans="1:51" s="164" customFormat="1">
      <c r="A136" s="593" t="s">
        <v>1009</v>
      </c>
      <c r="B136" s="593">
        <v>2002</v>
      </c>
      <c r="C136" s="631" t="s">
        <v>155</v>
      </c>
      <c r="D136" s="609">
        <f t="shared" si="110"/>
        <v>262.99354888142392</v>
      </c>
      <c r="E136" s="629">
        <f>'CHP2002By cycle'!AF9</f>
        <v>9.5561568000000001</v>
      </c>
      <c r="F136" s="629">
        <f>'CHP2002By cycle'!AG9</f>
        <v>3.7364580000000003</v>
      </c>
      <c r="G136" s="629">
        <f>'CHP2002By cycle'!AH9</f>
        <v>0</v>
      </c>
      <c r="H136" s="629">
        <f>'CHP2002By cycle'!AI9</f>
        <v>0</v>
      </c>
      <c r="I136" s="629">
        <f>'CHP2002By cycle'!AJ9</f>
        <v>1.0820000000000001</v>
      </c>
      <c r="J136" s="629">
        <f>'CHP2002By cycle'!AK9</f>
        <v>32.561999999999998</v>
      </c>
      <c r="K136" s="629">
        <f>'CHP2002By cycle'!AL9</f>
        <v>1.1879999999999999</v>
      </c>
      <c r="L136" s="629">
        <f>'CHP2002By cycle'!AM9</f>
        <v>0.47499999999999998</v>
      </c>
      <c r="M136" s="629">
        <f>'CHP2002By cycle'!AN9</f>
        <v>18.917503142399998</v>
      </c>
      <c r="N136" s="629">
        <f>'CHP2002By cycle'!AO9</f>
        <v>8.4845916000000017</v>
      </c>
      <c r="O136" s="629">
        <f>'CHP2002By cycle'!AP9</f>
        <v>48.844566</v>
      </c>
      <c r="P136" s="629">
        <f>'CHP2002By cycle'!AQ9</f>
        <v>3.74</v>
      </c>
      <c r="Q136" s="629">
        <f>'CHP2002By cycle'!AR9</f>
        <v>0</v>
      </c>
      <c r="R136" s="629">
        <f>'CHP2002By cycle'!AS9</f>
        <v>0.20246039999999998</v>
      </c>
      <c r="S136" s="629">
        <f>'CHP2002By cycle'!AT9</f>
        <v>24.754999999999999</v>
      </c>
      <c r="T136" s="629">
        <f>'CHP2002By cycle'!AU9</f>
        <v>0</v>
      </c>
      <c r="U136" s="629">
        <f>'CHP2002By cycle'!AV9</f>
        <v>0</v>
      </c>
      <c r="V136" s="629">
        <f>'CHP2002By cycle'!AW9</f>
        <v>0</v>
      </c>
      <c r="W136" s="629">
        <f>'CHP2002By cycle'!AX9</f>
        <v>0</v>
      </c>
      <c r="X136" s="629">
        <f>'CHP2002By cycle'!AY9</f>
        <v>31.234078000000004</v>
      </c>
      <c r="Y136" s="629">
        <f>'CHP2002By cycle'!AZ9</f>
        <v>29.131</v>
      </c>
      <c r="Z136" s="629">
        <f>'CHP2002By cycle'!BA9</f>
        <v>12.183258939023881</v>
      </c>
      <c r="AA136" s="629">
        <f>'CHP2002By cycle'!BB9</f>
        <v>0.98937599999999992</v>
      </c>
      <c r="AB136" s="629">
        <f>'CHP2002By cycle'!BC9</f>
        <v>1.0999999999999999E-2</v>
      </c>
      <c r="AC136" s="629">
        <f>'CHP2002By cycle'!BD9</f>
        <v>0.41199999999999998</v>
      </c>
      <c r="AD136" s="629">
        <f>'CHP2002By cycle'!BE9</f>
        <v>9.7000000000000003E-2</v>
      </c>
      <c r="AE136" s="629">
        <f>'CHP2002By cycle'!BF9</f>
        <v>35.392099999999999</v>
      </c>
      <c r="AF136" s="629">
        <f>'CHP2002By cycle'!BG9</f>
        <v>0</v>
      </c>
      <c r="AG136" s="629">
        <f>'CHP2002By cycle'!BH9</f>
        <v>0</v>
      </c>
      <c r="AH136" s="629">
        <f>'CHP2002By cycle'!BI9</f>
        <v>0</v>
      </c>
      <c r="AI136" s="509"/>
      <c r="AJ136" s="165"/>
      <c r="AK136" s="165"/>
      <c r="AL136" s="165"/>
      <c r="AM136" s="165"/>
      <c r="AN136" s="165"/>
      <c r="AO136" s="165"/>
      <c r="AP136" s="165"/>
      <c r="AQ136" s="165"/>
      <c r="AR136" s="165"/>
      <c r="AS136" s="165"/>
      <c r="AT136" s="165"/>
      <c r="AU136" s="165"/>
      <c r="AV136" s="165"/>
      <c r="AW136" s="165"/>
      <c r="AX136" s="165"/>
      <c r="AY136" s="165"/>
    </row>
    <row r="137" spans="1:51" s="164" customFormat="1">
      <c r="A137" s="593" t="s">
        <v>1009</v>
      </c>
      <c r="B137" s="593">
        <v>2002</v>
      </c>
      <c r="C137" s="631" t="s">
        <v>267</v>
      </c>
      <c r="D137" s="609">
        <f t="shared" si="110"/>
        <v>428.61306868278177</v>
      </c>
      <c r="E137" s="629">
        <f>'CHP2002By cycle'!AF10</f>
        <v>8.1108647999999999</v>
      </c>
      <c r="F137" s="629">
        <f>'CHP2002By cycle'!AG10</f>
        <v>9.7323622999999984</v>
      </c>
      <c r="G137" s="629">
        <f>'CHP2002By cycle'!AH10</f>
        <v>0.59387760000000001</v>
      </c>
      <c r="H137" s="629">
        <f>'CHP2002By cycle'!AI10</f>
        <v>0</v>
      </c>
      <c r="I137" s="629">
        <f>'CHP2002By cycle'!AJ10</f>
        <v>13.483000000000001</v>
      </c>
      <c r="J137" s="629">
        <f>'CHP2002By cycle'!AK10</f>
        <v>63.405000000000001</v>
      </c>
      <c r="K137" s="629">
        <f>'CHP2002By cycle'!AL10</f>
        <v>21.269456902075756</v>
      </c>
      <c r="L137" s="629">
        <f>'CHP2002By cycle'!AM10</f>
        <v>0.28199999999999997</v>
      </c>
      <c r="M137" s="629">
        <f>'CHP2002By cycle'!AN10</f>
        <v>66.524881625999981</v>
      </c>
      <c r="N137" s="629">
        <f>'CHP2002By cycle'!AO10</f>
        <v>2.0233224000000001</v>
      </c>
      <c r="O137" s="629">
        <f>'CHP2002By cycle'!AP10</f>
        <v>46.958623200000005</v>
      </c>
      <c r="P137" s="629">
        <f>'CHP2002By cycle'!AQ10</f>
        <v>3.4119999999999999</v>
      </c>
      <c r="Q137" s="629">
        <f>'CHP2002By cycle'!AR10</f>
        <v>4.4816900000000004</v>
      </c>
      <c r="R137" s="629">
        <f>'CHP2002By cycle'!AS10</f>
        <v>4.7039550120000007</v>
      </c>
      <c r="S137" s="629">
        <f>'CHP2002By cycle'!AT10</f>
        <v>40.685000000000002</v>
      </c>
      <c r="T137" s="629">
        <f>'CHP2002By cycle'!AU10</f>
        <v>1.014</v>
      </c>
      <c r="U137" s="629">
        <f>'CHP2002By cycle'!AV10</f>
        <v>0.80300000000000005</v>
      </c>
      <c r="V137" s="629">
        <f>'CHP2002By cycle'!AW10</f>
        <v>0.70199999999999996</v>
      </c>
      <c r="W137" s="629">
        <f>'CHP2002By cycle'!AX10</f>
        <v>0</v>
      </c>
      <c r="X137" s="629">
        <f>'CHP2002By cycle'!AY10</f>
        <v>27.912447999999998</v>
      </c>
      <c r="Y137" s="629">
        <f>'CHP2002By cycle'!AZ10</f>
        <v>71.411000000000001</v>
      </c>
      <c r="Z137" s="629">
        <f>'CHP2002By cycle'!BA10</f>
        <v>1.7282218427060398</v>
      </c>
      <c r="AA137" s="629">
        <f>'CHP2002By cycle'!BB10</f>
        <v>2.2244839999999999</v>
      </c>
      <c r="AB137" s="629">
        <f>'CHP2002By cycle'!BC10</f>
        <v>0.69599999999999995</v>
      </c>
      <c r="AC137" s="629">
        <f>'CHP2002By cycle'!BD10</f>
        <v>0.8942810000000001</v>
      </c>
      <c r="AD137" s="629">
        <f>'CHP2002By cycle'!BE10</f>
        <v>3.39</v>
      </c>
      <c r="AE137" s="629">
        <f>'CHP2002By cycle'!BF10</f>
        <v>32.171600000000005</v>
      </c>
      <c r="AF137" s="629">
        <f>'CHP2002By cycle'!BG10</f>
        <v>0</v>
      </c>
      <c r="AG137" s="629">
        <f>'CHP2002By cycle'!BH10</f>
        <v>0</v>
      </c>
      <c r="AH137" s="629">
        <f>'CHP2002By cycle'!BI10</f>
        <v>0</v>
      </c>
      <c r="AI137" s="509"/>
      <c r="AJ137" s="165"/>
      <c r="AK137" s="165"/>
      <c r="AL137" s="165"/>
      <c r="AM137" s="165"/>
      <c r="AN137" s="165"/>
      <c r="AO137" s="165"/>
      <c r="AP137" s="165"/>
      <c r="AQ137" s="165"/>
      <c r="AR137" s="165"/>
      <c r="AS137" s="165"/>
      <c r="AT137" s="165"/>
      <c r="AU137" s="165"/>
      <c r="AV137" s="165"/>
      <c r="AW137" s="165"/>
      <c r="AX137" s="165"/>
      <c r="AY137" s="165"/>
    </row>
    <row r="138" spans="1:51" s="164" customFormat="1">
      <c r="A138" s="593"/>
      <c r="B138" s="593"/>
      <c r="C138" s="638"/>
      <c r="D138" s="609"/>
      <c r="E138" s="629"/>
      <c r="F138" s="629"/>
      <c r="G138" s="629"/>
      <c r="H138" s="629"/>
      <c r="I138" s="629"/>
      <c r="J138" s="629"/>
      <c r="K138" s="629"/>
      <c r="L138" s="629"/>
      <c r="M138" s="629"/>
      <c r="N138" s="629"/>
      <c r="O138" s="629"/>
      <c r="P138" s="629"/>
      <c r="Q138" s="629"/>
      <c r="R138" s="629"/>
      <c r="S138" s="629"/>
      <c r="T138" s="629"/>
      <c r="U138" s="629"/>
      <c r="V138" s="629"/>
      <c r="W138" s="629"/>
      <c r="X138" s="629"/>
      <c r="Y138" s="629"/>
      <c r="Z138" s="629"/>
      <c r="AA138" s="629"/>
      <c r="AB138" s="629"/>
      <c r="AC138" s="629"/>
      <c r="AD138" s="629"/>
      <c r="AE138" s="629"/>
      <c r="AF138" s="629"/>
      <c r="AG138" s="629"/>
      <c r="AH138" s="629"/>
      <c r="AI138" s="509"/>
      <c r="AJ138" s="165"/>
      <c r="AK138" s="165"/>
      <c r="AL138" s="165"/>
      <c r="AM138" s="165"/>
      <c r="AN138" s="165"/>
      <c r="AO138" s="165"/>
      <c r="AP138" s="165"/>
      <c r="AQ138" s="165"/>
      <c r="AR138" s="165"/>
      <c r="AS138" s="165"/>
      <c r="AT138" s="165"/>
      <c r="AU138" s="165"/>
      <c r="AV138" s="165"/>
      <c r="AW138" s="165"/>
      <c r="AX138" s="165"/>
      <c r="AY138" s="165"/>
    </row>
    <row r="139" spans="1:51" s="164" customFormat="1" ht="13.5" thickBot="1">
      <c r="A139" s="593"/>
      <c r="B139" s="593"/>
      <c r="C139" s="626" t="s">
        <v>1041</v>
      </c>
      <c r="D139" s="627">
        <f t="shared" si="110"/>
        <v>3129.2179768379638</v>
      </c>
      <c r="E139" s="627">
        <f>'CHP2002By cycle'!AF12</f>
        <v>120.48737797100002</v>
      </c>
      <c r="F139" s="627">
        <f>'CHP2002By cycle'!AG12</f>
        <v>36.288940365905766</v>
      </c>
      <c r="G139" s="627">
        <f>'CHP2002By cycle'!AH12</f>
        <v>31.919086304647998</v>
      </c>
      <c r="H139" s="627">
        <f>'CHP2002By cycle'!AI12</f>
        <v>0</v>
      </c>
      <c r="I139" s="627">
        <f>'CHP2002By cycle'!AJ12</f>
        <v>127.901</v>
      </c>
      <c r="J139" s="627">
        <f>'CHP2002By cycle'!AK12</f>
        <v>460.46600000000001</v>
      </c>
      <c r="K139" s="627">
        <f>'CHP2002By cycle'!AL12</f>
        <v>43.199609862983998</v>
      </c>
      <c r="L139" s="627">
        <f>'CHP2002By cycle'!AM12</f>
        <v>3.9350999999999998</v>
      </c>
      <c r="M139" s="627">
        <f>'CHP2002By cycle'!AN12</f>
        <v>352.04694227650441</v>
      </c>
      <c r="N139" s="627">
        <f>'CHP2002By cycle'!AO12</f>
        <v>253.99488331428572</v>
      </c>
      <c r="O139" s="627">
        <f>'CHP2002By cycle'!AP12</f>
        <v>279.61753320000003</v>
      </c>
      <c r="P139" s="627">
        <f>'CHP2002By cycle'!AQ12</f>
        <v>18.462799999999998</v>
      </c>
      <c r="Q139" s="627">
        <f>'CHP2002By cycle'!AR12</f>
        <v>14.512726153999997</v>
      </c>
      <c r="R139" s="627">
        <f>'CHP2002By cycle'!AS12</f>
        <v>10.056192103999999</v>
      </c>
      <c r="S139" s="627">
        <f>'CHP2002By cycle'!AT12</f>
        <v>269.31099999999998</v>
      </c>
      <c r="T139" s="627">
        <f>'CHP2002By cycle'!AU12</f>
        <v>1.38</v>
      </c>
      <c r="U139" s="627">
        <f>'CHP2002By cycle'!AV12</f>
        <v>3.5169999999999999</v>
      </c>
      <c r="V139" s="627">
        <f>'CHP2002By cycle'!AW12</f>
        <v>0.98799999999999999</v>
      </c>
      <c r="W139" s="627">
        <f>'CHP2002By cycle'!AX12</f>
        <v>0</v>
      </c>
      <c r="X139" s="627">
        <f>'CHP2002By cycle'!AY12</f>
        <v>170.50778830000002</v>
      </c>
      <c r="Y139" s="627">
        <f>'CHP2002By cycle'!AZ12</f>
        <v>253.024</v>
      </c>
      <c r="Z139" s="627">
        <f>'CHP2002By cycle'!BA12</f>
        <v>62.497414491141583</v>
      </c>
      <c r="AA139" s="627">
        <f>'CHP2002By cycle'!BB12</f>
        <v>21.431999999999999</v>
      </c>
      <c r="AB139" s="627">
        <f>'CHP2002By cycle'!BC12</f>
        <v>100.087</v>
      </c>
      <c r="AC139" s="627">
        <f>'CHP2002By cycle'!BD12</f>
        <v>10.960747</v>
      </c>
      <c r="AD139" s="627">
        <f>'CHP2002By cycle'!BE12</f>
        <v>64.483000000000004</v>
      </c>
      <c r="AE139" s="627">
        <f>'CHP2002By cycle'!BF12</f>
        <v>343.62979999999999</v>
      </c>
      <c r="AF139" s="732">
        <f>AF74</f>
        <v>74.512035493494025</v>
      </c>
      <c r="AG139" s="627">
        <f>'CHP2002By cycle'!BH12</f>
        <v>0</v>
      </c>
      <c r="AH139" s="627">
        <f>'CHP2002By cycle'!BI12</f>
        <v>0</v>
      </c>
      <c r="AI139" s="509"/>
      <c r="AJ139" s="165"/>
      <c r="AK139" s="165"/>
      <c r="AL139" s="165"/>
      <c r="AM139" s="165"/>
      <c r="AN139" s="165"/>
      <c r="AO139" s="165"/>
      <c r="AP139" s="165"/>
      <c r="AQ139" s="165"/>
      <c r="AR139" s="165"/>
      <c r="AS139" s="165"/>
      <c r="AT139" s="165"/>
      <c r="AU139" s="165"/>
      <c r="AV139" s="165"/>
      <c r="AW139" s="165"/>
      <c r="AX139" s="165"/>
      <c r="AY139" s="165"/>
    </row>
    <row r="140" spans="1:51" s="164" customFormat="1">
      <c r="A140" s="593" t="s">
        <v>1009</v>
      </c>
      <c r="B140" s="593">
        <v>2002</v>
      </c>
      <c r="C140" s="631" t="s">
        <v>1040</v>
      </c>
      <c r="D140" s="609">
        <f t="shared" si="110"/>
        <v>109.19923067495121</v>
      </c>
      <c r="E140" s="629">
        <f>'CHP2002By cycle'!AF13</f>
        <v>17.740182188000002</v>
      </c>
      <c r="F140" s="629">
        <f>'CHP2002By cycle'!AG13</f>
        <v>0</v>
      </c>
      <c r="G140" s="629">
        <f>'CHP2002By cycle'!AH13</f>
        <v>8.3709601810000009</v>
      </c>
      <c r="H140" s="629">
        <f>'CHP2002By cycle'!AI13</f>
        <v>0</v>
      </c>
      <c r="I140" s="629">
        <f>'CHP2002By cycle'!AJ13</f>
        <v>26.097999999999999</v>
      </c>
      <c r="J140" s="629">
        <f>'CHP2002By cycle'!AK13</f>
        <v>10.464</v>
      </c>
      <c r="K140" s="629">
        <f>'CHP2002By cycle'!AL13</f>
        <v>0</v>
      </c>
      <c r="L140" s="629">
        <f>'CHP2002By cycle'!AM13</f>
        <v>0</v>
      </c>
      <c r="M140" s="629">
        <f>'CHP2002By cycle'!AN13</f>
        <v>2.9712758059512003</v>
      </c>
      <c r="N140" s="629">
        <f>'CHP2002By cycle'!AO13</f>
        <v>1.784</v>
      </c>
      <c r="O140" s="629">
        <f>'CHP2002By cycle'!AP13</f>
        <v>0.65367719999999996</v>
      </c>
      <c r="P140" s="629">
        <f>'CHP2002By cycle'!AQ13</f>
        <v>0</v>
      </c>
      <c r="Q140" s="629">
        <f>'CHP2002By cycle'!AR13</f>
        <v>0</v>
      </c>
      <c r="R140" s="629">
        <f>'CHP2002By cycle'!AS13</f>
        <v>0</v>
      </c>
      <c r="S140" s="629">
        <f>'CHP2002By cycle'!AT13</f>
        <v>0.81299999999999994</v>
      </c>
      <c r="T140" s="629">
        <f>'CHP2002By cycle'!AU13</f>
        <v>0</v>
      </c>
      <c r="U140" s="629">
        <f>'CHP2002By cycle'!AV13</f>
        <v>0</v>
      </c>
      <c r="V140" s="629">
        <f>'CHP2002By cycle'!AW13</f>
        <v>0</v>
      </c>
      <c r="W140" s="629">
        <f>'CHP2002By cycle'!AX13</f>
        <v>0</v>
      </c>
      <c r="X140" s="629">
        <f>'CHP2002By cycle'!AY13</f>
        <v>3.9741352999999999</v>
      </c>
      <c r="Y140" s="629">
        <f>'CHP2002By cycle'!AZ13</f>
        <v>12.387</v>
      </c>
      <c r="Z140" s="629">
        <f>'CHP2002By cycle'!BA13</f>
        <v>0</v>
      </c>
      <c r="AA140" s="629">
        <f>'CHP2002By cycle'!BB13</f>
        <v>0</v>
      </c>
      <c r="AB140" s="629">
        <f>'CHP2002By cycle'!BC13</f>
        <v>0</v>
      </c>
      <c r="AC140" s="629">
        <f>'CHP2002By cycle'!BD13</f>
        <v>0</v>
      </c>
      <c r="AD140" s="629">
        <f>'CHP2002By cycle'!BE13</f>
        <v>23.943000000000001</v>
      </c>
      <c r="AE140" s="629">
        <f>'CHP2002By cycle'!BF13</f>
        <v>0</v>
      </c>
      <c r="AF140" s="629">
        <f>'CHP2002By cycle'!BG13</f>
        <v>0</v>
      </c>
      <c r="AG140" s="629">
        <f>'CHP2002By cycle'!BH13</f>
        <v>0</v>
      </c>
      <c r="AH140" s="629">
        <f>'CHP2002By cycle'!BI13</f>
        <v>0</v>
      </c>
      <c r="AI140" s="509"/>
      <c r="AJ140" s="165"/>
      <c r="AK140" s="165"/>
      <c r="AL140" s="165"/>
      <c r="AM140" s="165"/>
      <c r="AN140" s="165"/>
      <c r="AO140" s="165"/>
      <c r="AP140" s="165"/>
      <c r="AQ140" s="165"/>
      <c r="AR140" s="165"/>
      <c r="AS140" s="165"/>
      <c r="AT140" s="165"/>
      <c r="AU140" s="165"/>
      <c r="AV140" s="165"/>
      <c r="AW140" s="165"/>
      <c r="AX140" s="165"/>
      <c r="AY140" s="165"/>
    </row>
    <row r="141" spans="1:51" s="164" customFormat="1">
      <c r="A141" s="593" t="s">
        <v>1009</v>
      </c>
      <c r="B141" s="593">
        <v>2002</v>
      </c>
      <c r="C141" s="631" t="s">
        <v>314</v>
      </c>
      <c r="D141" s="609">
        <f t="shared" si="110"/>
        <v>756.94806872763729</v>
      </c>
      <c r="E141" s="629">
        <f>'CHP2002By cycle'!AF14</f>
        <v>12.101435432000002</v>
      </c>
      <c r="F141" s="629">
        <f>'CHP2002By cycle'!AG14</f>
        <v>1.6299676662597655</v>
      </c>
      <c r="G141" s="629">
        <f>'CHP2002By cycle'!AH14</f>
        <v>15.975161313999999</v>
      </c>
      <c r="H141" s="629">
        <f>'CHP2002By cycle'!AI14</f>
        <v>0</v>
      </c>
      <c r="I141" s="629">
        <f>'CHP2002By cycle'!AJ14</f>
        <v>47.165999999999997</v>
      </c>
      <c r="J141" s="629">
        <f>'CHP2002By cycle'!AK14</f>
        <v>191.64599999999999</v>
      </c>
      <c r="K141" s="629">
        <f>'CHP2002By cycle'!AL14</f>
        <v>3.9315168115999999</v>
      </c>
      <c r="L141" s="629">
        <f>'CHP2002By cycle'!AM14</f>
        <v>0</v>
      </c>
      <c r="M141" s="629">
        <f>'CHP2002By cycle'!AN14</f>
        <v>56.255357181016805</v>
      </c>
      <c r="N141" s="629">
        <f>'CHP2002By cycle'!AO14</f>
        <v>10.094868</v>
      </c>
      <c r="O141" s="629">
        <f>'CHP2002By cycle'!AP14</f>
        <v>49.450532400000014</v>
      </c>
      <c r="P141" s="629">
        <f>'CHP2002By cycle'!AQ14</f>
        <v>3.5644</v>
      </c>
      <c r="Q141" s="629">
        <f>'CHP2002By cycle'!AR14</f>
        <v>4.0563390000000004</v>
      </c>
      <c r="R141" s="629">
        <f>'CHP2002By cycle'!AS14</f>
        <v>1.008904169</v>
      </c>
      <c r="S141" s="629">
        <f>'CHP2002By cycle'!AT14</f>
        <v>65.450999999999993</v>
      </c>
      <c r="T141" s="629">
        <f>'CHP2002By cycle'!AU14</f>
        <v>0</v>
      </c>
      <c r="U141" s="629">
        <f>'CHP2002By cycle'!AV14</f>
        <v>2.0409999999999999</v>
      </c>
      <c r="V141" s="629">
        <f>'CHP2002By cycle'!AW14</f>
        <v>0</v>
      </c>
      <c r="W141" s="629">
        <f>'CHP2002By cycle'!AX14</f>
        <v>0</v>
      </c>
      <c r="X141" s="629">
        <f>'CHP2002By cycle'!AY14</f>
        <v>52.571372099999998</v>
      </c>
      <c r="Y141" s="629">
        <f>'CHP2002By cycle'!AZ14</f>
        <v>54.923000000000002</v>
      </c>
      <c r="Z141" s="629">
        <f>'CHP2002By cycle'!BA14</f>
        <v>5.3403136537607994</v>
      </c>
      <c r="AA141" s="629">
        <f>'CHP2002By cycle'!BB14</f>
        <v>10.542</v>
      </c>
      <c r="AB141" s="629">
        <f>'CHP2002By cycle'!BC14</f>
        <v>1.38</v>
      </c>
      <c r="AC141" s="629">
        <f>'CHP2002By cycle'!BD14</f>
        <v>0.55330100000000004</v>
      </c>
      <c r="AD141" s="629">
        <f>'CHP2002By cycle'!BE14</f>
        <v>3.4870000000000001</v>
      </c>
      <c r="AE141" s="629">
        <f>'CHP2002By cycle'!BF14</f>
        <v>163.77860000000001</v>
      </c>
      <c r="AF141" s="629">
        <f>'CHP2002By cycle'!BG14</f>
        <v>0</v>
      </c>
      <c r="AG141" s="629">
        <f>'CHP2002By cycle'!BH14</f>
        <v>0</v>
      </c>
      <c r="AH141" s="629">
        <f>'CHP2002By cycle'!BI14</f>
        <v>0</v>
      </c>
      <c r="AI141" s="509"/>
      <c r="AJ141" s="165"/>
      <c r="AK141" s="165"/>
      <c r="AL141" s="165"/>
      <c r="AM141" s="165"/>
      <c r="AN141" s="165"/>
      <c r="AO141" s="165"/>
      <c r="AP141" s="165"/>
      <c r="AQ141" s="165"/>
      <c r="AR141" s="165"/>
      <c r="AS141" s="165"/>
      <c r="AT141" s="165"/>
      <c r="AU141" s="165"/>
      <c r="AV141" s="165"/>
      <c r="AW141" s="165"/>
      <c r="AX141" s="165"/>
      <c r="AY141" s="165"/>
    </row>
    <row r="142" spans="1:51" s="164" customFormat="1">
      <c r="A142" s="593" t="s">
        <v>1009</v>
      </c>
      <c r="B142" s="593">
        <v>2002</v>
      </c>
      <c r="C142" s="631" t="s">
        <v>409</v>
      </c>
      <c r="D142" s="609">
        <f t="shared" si="110"/>
        <v>901.0712600263347</v>
      </c>
      <c r="E142" s="629">
        <f>'CHP2002By cycle'!AF15</f>
        <v>60.790318309</v>
      </c>
      <c r="F142" s="629">
        <f>'CHP2002By cycle'!AG15</f>
        <v>9.4647950000000005</v>
      </c>
      <c r="G142" s="629">
        <f>'CHP2002By cycle'!AH15</f>
        <v>6.6064917428800012</v>
      </c>
      <c r="H142" s="629">
        <f>'CHP2002By cycle'!AI15</f>
        <v>0</v>
      </c>
      <c r="I142" s="629">
        <f>'CHP2002By cycle'!AJ15</f>
        <v>8.0690000000000008</v>
      </c>
      <c r="J142" s="629">
        <f>'CHP2002By cycle'!AK15</f>
        <v>101.905</v>
      </c>
      <c r="K142" s="629">
        <f>'CHP2002By cycle'!AL15</f>
        <v>2.32974302046</v>
      </c>
      <c r="L142" s="629">
        <f>'CHP2002By cycle'!AM15</f>
        <v>2.2359</v>
      </c>
      <c r="M142" s="629">
        <f>'CHP2002By cycle'!AN15</f>
        <v>85.049155509173985</v>
      </c>
      <c r="N142" s="629">
        <f>'CHP2002By cycle'!AO15</f>
        <v>224.97169360000001</v>
      </c>
      <c r="O142" s="629">
        <f>'CHP2002By cycle'!AP15</f>
        <v>81.776995199999988</v>
      </c>
      <c r="P142" s="629">
        <f>'CHP2002By cycle'!AQ15</f>
        <v>0</v>
      </c>
      <c r="Q142" s="629">
        <f>'CHP2002By cycle'!AR15</f>
        <v>2.3229859999999998</v>
      </c>
      <c r="R142" s="629">
        <f>'CHP2002By cycle'!AS15</f>
        <v>0</v>
      </c>
      <c r="S142" s="629">
        <f>'CHP2002By cycle'!AT15</f>
        <v>65.222999999999999</v>
      </c>
      <c r="T142" s="629">
        <f>'CHP2002By cycle'!AU15</f>
        <v>0</v>
      </c>
      <c r="U142" s="629">
        <f>'CHP2002By cycle'!AV15</f>
        <v>0.03</v>
      </c>
      <c r="V142" s="629">
        <f>'CHP2002By cycle'!AW15</f>
        <v>0</v>
      </c>
      <c r="W142" s="629">
        <f>'CHP2002By cycle'!AX15</f>
        <v>0</v>
      </c>
      <c r="X142" s="629">
        <f>'CHP2002By cycle'!AY15</f>
        <v>16.430967750000001</v>
      </c>
      <c r="Y142" s="629">
        <f>'CHP2002By cycle'!AZ15</f>
        <v>33.106000000000002</v>
      </c>
      <c r="Z142" s="629">
        <f>'CHP2002By cycle'!BA15</f>
        <v>36.765591894820801</v>
      </c>
      <c r="AA142" s="629">
        <f>'CHP2002By cycle'!BB15</f>
        <v>6.4</v>
      </c>
      <c r="AB142" s="629">
        <f>'CHP2002By cycle'!BC15</f>
        <v>97.641000000000005</v>
      </c>
      <c r="AC142" s="629">
        <f>'CHP2002By cycle'!BD15</f>
        <v>8.5879220000000007</v>
      </c>
      <c r="AD142" s="629">
        <f>'CHP2002By cycle'!BE15</f>
        <v>13.319000000000001</v>
      </c>
      <c r="AE142" s="629">
        <f>'CHP2002By cycle'!BF15</f>
        <v>38.045699999999997</v>
      </c>
      <c r="AF142" s="629">
        <f>'CHP2002By cycle'!BG15</f>
        <v>0</v>
      </c>
      <c r="AG142" s="629">
        <f>'CHP2002By cycle'!BH15</f>
        <v>0</v>
      </c>
      <c r="AH142" s="629">
        <f>'CHP2002By cycle'!BI15</f>
        <v>0</v>
      </c>
      <c r="AI142" s="509"/>
      <c r="AJ142" s="165"/>
      <c r="AK142" s="165"/>
      <c r="AL142" s="165"/>
      <c r="AM142" s="165"/>
      <c r="AN142" s="165"/>
      <c r="AO142" s="165"/>
      <c r="AP142" s="165"/>
      <c r="AQ142" s="165"/>
      <c r="AR142" s="165"/>
      <c r="AS142" s="165"/>
      <c r="AT142" s="165"/>
      <c r="AU142" s="165"/>
      <c r="AV142" s="165"/>
      <c r="AW142" s="165"/>
      <c r="AX142" s="165"/>
      <c r="AY142" s="165"/>
    </row>
    <row r="143" spans="1:51" s="164" customFormat="1">
      <c r="A143" s="593" t="s">
        <v>1009</v>
      </c>
      <c r="B143" s="593">
        <v>2002</v>
      </c>
      <c r="C143" s="631" t="s">
        <v>155</v>
      </c>
      <c r="D143" s="609">
        <f t="shared" si="110"/>
        <v>471.10949649052282</v>
      </c>
      <c r="E143" s="629">
        <f>'CHP2002By cycle'!AF16</f>
        <v>16.097514200999999</v>
      </c>
      <c r="F143" s="629">
        <f>'CHP2002By cycle'!AG16</f>
        <v>9.8327840000000002</v>
      </c>
      <c r="G143" s="629">
        <f>'CHP2002By cycle'!AH16</f>
        <v>0</v>
      </c>
      <c r="H143" s="629">
        <f>'CHP2002By cycle'!AI16</f>
        <v>0</v>
      </c>
      <c r="I143" s="629">
        <f>'CHP2002By cycle'!AJ16</f>
        <v>1.2849999999999999</v>
      </c>
      <c r="J143" s="629">
        <f>'CHP2002By cycle'!AK16</f>
        <v>56.134999999999998</v>
      </c>
      <c r="K143" s="629">
        <f>'CHP2002By cycle'!AL16</f>
        <v>2.4552130000000001</v>
      </c>
      <c r="L143" s="629">
        <f>'CHP2002By cycle'!AM16</f>
        <v>0.998</v>
      </c>
      <c r="M143" s="629">
        <f>'CHP2002By cycle'!AN16</f>
        <v>44.528244006582007</v>
      </c>
      <c r="N143" s="629">
        <f>'CHP2002By cycle'!AO16</f>
        <v>14.141628000000001</v>
      </c>
      <c r="O143" s="629">
        <f>'CHP2002By cycle'!AP16</f>
        <v>68.585126400000021</v>
      </c>
      <c r="P143" s="629">
        <f>'CHP2002By cycle'!AQ16</f>
        <v>8.5884</v>
      </c>
      <c r="Q143" s="629">
        <f>'CHP2002By cycle'!AR16</f>
        <v>0</v>
      </c>
      <c r="R143" s="629">
        <f>'CHP2002By cycle'!AS16</f>
        <v>0.54604999999999992</v>
      </c>
      <c r="S143" s="629">
        <f>'CHP2002By cycle'!AT16</f>
        <v>57.405999999999999</v>
      </c>
      <c r="T143" s="629">
        <f>'CHP2002By cycle'!AU16</f>
        <v>0</v>
      </c>
      <c r="U143" s="629">
        <f>'CHP2002By cycle'!AV16</f>
        <v>0</v>
      </c>
      <c r="V143" s="629">
        <f>'CHP2002By cycle'!AW16</f>
        <v>0</v>
      </c>
      <c r="W143" s="629">
        <f>'CHP2002By cycle'!AX16</f>
        <v>0</v>
      </c>
      <c r="X143" s="629">
        <f>'CHP2002By cycle'!AY16</f>
        <v>47.92601775</v>
      </c>
      <c r="Y143" s="629">
        <f>'CHP2002By cycle'!AZ16</f>
        <v>41.883000000000003</v>
      </c>
      <c r="Z143" s="629">
        <f>'CHP2002By cycle'!BA16</f>
        <v>16.0701121329408</v>
      </c>
      <c r="AA143" s="629">
        <f>'CHP2002By cycle'!BB16</f>
        <v>1.36</v>
      </c>
      <c r="AB143" s="629">
        <f>'CHP2002By cycle'!BC16</f>
        <v>1.7000000000000001E-2</v>
      </c>
      <c r="AC143" s="629">
        <f>'CHP2002By cycle'!BD16</f>
        <v>0.52120699999999998</v>
      </c>
      <c r="AD143" s="629">
        <f>'CHP2002By cycle'!BE16</f>
        <v>14.651999999999999</v>
      </c>
      <c r="AE143" s="629">
        <f>'CHP2002By cycle'!BF16</f>
        <v>68.081199999999995</v>
      </c>
      <c r="AF143" s="629">
        <f>'CHP2002By cycle'!BG16</f>
        <v>0</v>
      </c>
      <c r="AG143" s="629">
        <f>'CHP2002By cycle'!BH16</f>
        <v>0</v>
      </c>
      <c r="AH143" s="629">
        <f>'CHP2002By cycle'!BI16</f>
        <v>0</v>
      </c>
      <c r="AI143" s="509"/>
      <c r="AJ143" s="165"/>
      <c r="AK143" s="165"/>
      <c r="AL143" s="165"/>
      <c r="AM143" s="165"/>
      <c r="AN143" s="165"/>
      <c r="AO143" s="165"/>
      <c r="AP143" s="165"/>
      <c r="AQ143" s="165"/>
      <c r="AR143" s="165"/>
      <c r="AS143" s="165"/>
      <c r="AT143" s="165"/>
      <c r="AU143" s="165"/>
      <c r="AV143" s="165"/>
      <c r="AW143" s="165"/>
      <c r="AX143" s="165"/>
      <c r="AY143" s="165"/>
    </row>
    <row r="144" spans="1:51" s="164" customFormat="1">
      <c r="A144" s="593" t="s">
        <v>1009</v>
      </c>
      <c r="B144" s="593">
        <v>2002</v>
      </c>
      <c r="C144" s="631" t="s">
        <v>267</v>
      </c>
      <c r="D144" s="609">
        <f t="shared" si="110"/>
        <v>816.37784322360733</v>
      </c>
      <c r="E144" s="629">
        <f>'CHP2002By cycle'!AF17</f>
        <v>13.757927840999999</v>
      </c>
      <c r="F144" s="629">
        <f>'CHP2002By cycle'!AG17</f>
        <v>15.361351498229981</v>
      </c>
      <c r="G144" s="629">
        <f>'CHP2002By cycle'!AH17</f>
        <v>0.96647306676799993</v>
      </c>
      <c r="H144" s="629">
        <f>'CHP2002By cycle'!AI17</f>
        <v>0</v>
      </c>
      <c r="I144" s="629">
        <f>'CHP2002By cycle'!AJ17</f>
        <v>45.283000000000001</v>
      </c>
      <c r="J144" s="629">
        <f>'CHP2002By cycle'!AK17</f>
        <v>100.316</v>
      </c>
      <c r="K144" s="629">
        <f>'CHP2002By cycle'!AL17</f>
        <v>34.483137030923992</v>
      </c>
      <c r="L144" s="629">
        <f>'CHP2002By cycle'!AM17</f>
        <v>0.70120000000000005</v>
      </c>
      <c r="M144" s="629">
        <f>'CHP2002By cycle'!AN17</f>
        <v>163.24290977378035</v>
      </c>
      <c r="N144" s="629">
        <f>'CHP2002By cycle'!AO17</f>
        <v>3.0026937142857149</v>
      </c>
      <c r="O144" s="629">
        <f>'CHP2002By cycle'!AP17</f>
        <v>79.151201999999984</v>
      </c>
      <c r="P144" s="629">
        <f>'CHP2002By cycle'!AQ17</f>
        <v>6.31</v>
      </c>
      <c r="Q144" s="629">
        <f>'CHP2002By cycle'!AR17</f>
        <v>8.1334011539999995</v>
      </c>
      <c r="R144" s="629">
        <f>'CHP2002By cycle'!AS17</f>
        <v>8.5012379349999989</v>
      </c>
      <c r="S144" s="629">
        <f>'CHP2002By cycle'!AT17</f>
        <v>80.418000000000006</v>
      </c>
      <c r="T144" s="629">
        <f>'CHP2002By cycle'!AU17</f>
        <v>1.38</v>
      </c>
      <c r="U144" s="629">
        <f>'CHP2002By cycle'!AV17</f>
        <v>1.446</v>
      </c>
      <c r="V144" s="629">
        <f>'CHP2002By cycle'!AW17</f>
        <v>0.98799999999999999</v>
      </c>
      <c r="W144" s="629">
        <f>'CHP2002By cycle'!AX17</f>
        <v>0</v>
      </c>
      <c r="X144" s="629">
        <f>'CHP2002By cycle'!AY17</f>
        <v>49.605295400000003</v>
      </c>
      <c r="Y144" s="629">
        <f>'CHP2002By cycle'!AZ17</f>
        <v>110.72499999999999</v>
      </c>
      <c r="Z144" s="629">
        <f>'CHP2002By cycle'!BA17</f>
        <v>4.3213968096192001</v>
      </c>
      <c r="AA144" s="629">
        <f>'CHP2002By cycle'!BB17</f>
        <v>3.13</v>
      </c>
      <c r="AB144" s="629">
        <f>'CHP2002By cycle'!BC17</f>
        <v>1.0489999999999999</v>
      </c>
      <c r="AC144" s="629">
        <f>'CHP2002By cycle'!BD17</f>
        <v>1.2983169999999997</v>
      </c>
      <c r="AD144" s="629">
        <f>'CHP2002By cycle'!BE17</f>
        <v>9.0820000000000007</v>
      </c>
      <c r="AE144" s="629">
        <f>'CHP2002By cycle'!BF17</f>
        <v>73.724299999999999</v>
      </c>
      <c r="AF144" s="629">
        <f>'CHP2002By cycle'!BG17</f>
        <v>0</v>
      </c>
      <c r="AG144" s="629">
        <f>'CHP2002By cycle'!BH17</f>
        <v>0</v>
      </c>
      <c r="AH144" s="629">
        <f>'CHP2002By cycle'!BI17</f>
        <v>0</v>
      </c>
      <c r="AI144" s="509"/>
      <c r="AJ144" s="165"/>
      <c r="AK144" s="165"/>
      <c r="AL144" s="165"/>
      <c r="AM144" s="165"/>
      <c r="AN144" s="165"/>
      <c r="AO144" s="165"/>
      <c r="AP144" s="165"/>
      <c r="AQ144" s="165"/>
      <c r="AR144" s="165"/>
      <c r="AS144" s="165"/>
      <c r="AT144" s="165"/>
      <c r="AU144" s="165"/>
      <c r="AV144" s="165"/>
      <c r="AW144" s="165"/>
      <c r="AX144" s="165"/>
      <c r="AY144" s="165"/>
    </row>
    <row r="145" spans="1:51" s="164" customFormat="1">
      <c r="A145" s="593"/>
      <c r="B145" s="593"/>
      <c r="C145" s="638"/>
      <c r="D145" s="609"/>
      <c r="E145" s="629"/>
      <c r="F145" s="629"/>
      <c r="G145" s="629"/>
      <c r="H145" s="629"/>
      <c r="I145" s="629"/>
      <c r="J145" s="629"/>
      <c r="K145" s="629"/>
      <c r="L145" s="629"/>
      <c r="M145" s="629"/>
      <c r="N145" s="629"/>
      <c r="O145" s="629"/>
      <c r="P145" s="629"/>
      <c r="Q145" s="629"/>
      <c r="R145" s="629"/>
      <c r="S145" s="629"/>
      <c r="T145" s="629"/>
      <c r="U145" s="629"/>
      <c r="V145" s="629"/>
      <c r="W145" s="629"/>
      <c r="X145" s="629"/>
      <c r="Y145" s="629"/>
      <c r="Z145" s="629"/>
      <c r="AA145" s="629"/>
      <c r="AB145" s="629"/>
      <c r="AC145" s="629"/>
      <c r="AD145" s="629"/>
      <c r="AE145" s="629"/>
      <c r="AF145" s="629"/>
      <c r="AG145" s="629"/>
      <c r="AH145" s="629"/>
      <c r="AI145" s="509"/>
      <c r="AJ145" s="165"/>
      <c r="AK145" s="165"/>
      <c r="AL145" s="165"/>
      <c r="AM145" s="165"/>
      <c r="AN145" s="165"/>
      <c r="AO145" s="165"/>
      <c r="AP145" s="165"/>
      <c r="AQ145" s="165"/>
      <c r="AR145" s="165"/>
      <c r="AS145" s="165"/>
      <c r="AT145" s="165"/>
      <c r="AU145" s="165"/>
      <c r="AV145" s="165"/>
      <c r="AW145" s="165"/>
      <c r="AX145" s="165"/>
      <c r="AY145" s="165"/>
    </row>
    <row r="146" spans="1:51" s="164" customFormat="1" ht="13.5" thickBot="1">
      <c r="A146" s="593"/>
      <c r="B146" s="593"/>
      <c r="C146" s="626" t="s">
        <v>1042</v>
      </c>
      <c r="D146" s="627">
        <f t="shared" ref="D146:D151" si="111">SUM(E146:AI146)</f>
        <v>3138.6680768484994</v>
      </c>
      <c r="E146" s="627">
        <f>SUM(E147:E151)</f>
        <v>92.511010184042007</v>
      </c>
      <c r="F146" s="627">
        <f t="shared" ref="F146:AH146" si="112">SUM(F147:F151)</f>
        <v>27.745513007506723</v>
      </c>
      <c r="G146" s="627">
        <f t="shared" si="112"/>
        <v>33.171097399347083</v>
      </c>
      <c r="H146" s="627">
        <f t="shared" si="112"/>
        <v>0</v>
      </c>
      <c r="I146" s="627">
        <f t="shared" si="112"/>
        <v>134.29605000000001</v>
      </c>
      <c r="J146" s="627">
        <f t="shared" si="112"/>
        <v>475.6257049567879</v>
      </c>
      <c r="K146" s="627">
        <f t="shared" si="112"/>
        <v>46.713751857022217</v>
      </c>
      <c r="L146" s="627">
        <f t="shared" si="112"/>
        <v>3.0241275845016768</v>
      </c>
      <c r="M146" s="627">
        <f t="shared" si="112"/>
        <v>352.04694227650441</v>
      </c>
      <c r="N146" s="627">
        <f t="shared" si="112"/>
        <v>211.16663577105376</v>
      </c>
      <c r="O146" s="627">
        <f t="shared" si="112"/>
        <v>318.88552853993593</v>
      </c>
      <c r="P146" s="627">
        <f t="shared" si="112"/>
        <v>18.540395166798003</v>
      </c>
      <c r="Q146" s="627">
        <f t="shared" si="112"/>
        <v>13.642266852241312</v>
      </c>
      <c r="R146" s="627">
        <f t="shared" si="112"/>
        <v>10.148501499565155</v>
      </c>
      <c r="S146" s="627">
        <f t="shared" si="112"/>
        <v>271.06734229814737</v>
      </c>
      <c r="T146" s="627">
        <f t="shared" si="112"/>
        <v>11.372222222222222</v>
      </c>
      <c r="U146" s="627">
        <f t="shared" si="112"/>
        <v>4.0650026746140906</v>
      </c>
      <c r="V146" s="627">
        <f t="shared" si="112"/>
        <v>1.8627750939345145</v>
      </c>
      <c r="W146" s="627">
        <f t="shared" si="112"/>
        <v>0</v>
      </c>
      <c r="X146" s="627">
        <f t="shared" si="112"/>
        <v>231.31731740820118</v>
      </c>
      <c r="Y146" s="627">
        <f t="shared" si="112"/>
        <v>265.16239192753125</v>
      </c>
      <c r="Z146" s="627">
        <f t="shared" si="112"/>
        <v>62.497414491141605</v>
      </c>
      <c r="AA146" s="627">
        <f t="shared" si="112"/>
        <v>32.147999999999996</v>
      </c>
      <c r="AB146" s="627">
        <f t="shared" si="112"/>
        <v>108.27923809158746</v>
      </c>
      <c r="AC146" s="627">
        <f t="shared" si="112"/>
        <v>12.144853068779108</v>
      </c>
      <c r="AD146" s="627">
        <f t="shared" si="112"/>
        <v>32.241500000000002</v>
      </c>
      <c r="AE146" s="627">
        <f>SUM(AE147:AE151)</f>
        <v>294.48045898354093</v>
      </c>
      <c r="AF146" s="732">
        <f t="shared" ref="AF146:AF151" si="113">IF(AF$139&gt;0,AF$74*AF139/AF$139,0)</f>
        <v>74.512035493494025</v>
      </c>
      <c r="AG146" s="627">
        <f t="shared" si="112"/>
        <v>0</v>
      </c>
      <c r="AH146" s="627">
        <f t="shared" si="112"/>
        <v>0</v>
      </c>
      <c r="AI146" s="509"/>
      <c r="AJ146" s="165"/>
      <c r="AK146" s="165"/>
      <c r="AL146" s="165"/>
      <c r="AM146" s="165"/>
      <c r="AN146" s="165"/>
      <c r="AO146" s="165"/>
      <c r="AP146" s="165"/>
      <c r="AQ146" s="165"/>
      <c r="AR146" s="165"/>
      <c r="AS146" s="165"/>
      <c r="AT146" s="165"/>
      <c r="AU146" s="165"/>
      <c r="AV146" s="165"/>
      <c r="AW146" s="165"/>
      <c r="AX146" s="165"/>
      <c r="AY146" s="165"/>
    </row>
    <row r="147" spans="1:51" s="164" customFormat="1">
      <c r="A147" s="593"/>
      <c r="B147" s="593"/>
      <c r="C147" s="631" t="s">
        <v>1040</v>
      </c>
      <c r="D147" s="609">
        <f t="shared" si="111"/>
        <v>96.89418427046455</v>
      </c>
      <c r="E147" s="629">
        <f t="shared" ref="E147:AE147" si="114">IF(E$139&gt;0,E$74*E140/E$139,0)</f>
        <v>13.621029876306535</v>
      </c>
      <c r="F147" s="629">
        <f t="shared" si="114"/>
        <v>0</v>
      </c>
      <c r="G147" s="629">
        <f t="shared" si="114"/>
        <v>8.6993071430610698</v>
      </c>
      <c r="H147" s="629">
        <f t="shared" si="114"/>
        <v>0</v>
      </c>
      <c r="I147" s="629">
        <f>IF(I$139&gt;0,I$74*I140/I$139,0)</f>
        <v>27.402899999999999</v>
      </c>
      <c r="J147" s="629">
        <f t="shared" si="114"/>
        <v>10.808501337053828</v>
      </c>
      <c r="K147" s="629">
        <f t="shared" si="114"/>
        <v>0</v>
      </c>
      <c r="L147" s="629">
        <f t="shared" si="114"/>
        <v>0</v>
      </c>
      <c r="M147" s="629">
        <f t="shared" si="114"/>
        <v>2.9712758059512003</v>
      </c>
      <c r="N147" s="629">
        <f t="shared" si="114"/>
        <v>1.4831845165534936</v>
      </c>
      <c r="O147" s="629">
        <f t="shared" si="114"/>
        <v>0.74547614032275344</v>
      </c>
      <c r="P147" s="629">
        <f t="shared" si="114"/>
        <v>0</v>
      </c>
      <c r="Q147" s="629">
        <f t="shared" si="114"/>
        <v>0</v>
      </c>
      <c r="R147" s="629">
        <f t="shared" si="114"/>
        <v>0</v>
      </c>
      <c r="S147" s="629">
        <f t="shared" si="114"/>
        <v>0.81830207191089044</v>
      </c>
      <c r="T147" s="629">
        <f t="shared" si="114"/>
        <v>0</v>
      </c>
      <c r="U147" s="629">
        <f t="shared" si="114"/>
        <v>0</v>
      </c>
      <c r="V147" s="629">
        <f t="shared" si="114"/>
        <v>0</v>
      </c>
      <c r="W147" s="629">
        <f t="shared" si="114"/>
        <v>0</v>
      </c>
      <c r="X147" s="629">
        <f t="shared" si="114"/>
        <v>5.3914623242652002</v>
      </c>
      <c r="Y147" s="629">
        <f t="shared" si="114"/>
        <v>12.98124505503956</v>
      </c>
      <c r="Z147" s="629">
        <f t="shared" si="114"/>
        <v>0</v>
      </c>
      <c r="AA147" s="629">
        <f t="shared" si="114"/>
        <v>0</v>
      </c>
      <c r="AB147" s="629">
        <f t="shared" si="114"/>
        <v>0</v>
      </c>
      <c r="AC147" s="629">
        <f t="shared" si="114"/>
        <v>0</v>
      </c>
      <c r="AD147" s="629">
        <f>IF(AD$139&gt;0,AD$74*AD140/AD$139,0)</f>
        <v>11.971500000000001</v>
      </c>
      <c r="AE147" s="629">
        <f t="shared" si="114"/>
        <v>0</v>
      </c>
      <c r="AF147" s="629">
        <f t="shared" si="113"/>
        <v>0</v>
      </c>
      <c r="AG147" s="629">
        <f t="shared" ref="AG147:AH151" si="115">IF(AG$139&gt;0,AG$74*AG140/AG$139,0)</f>
        <v>0</v>
      </c>
      <c r="AH147" s="629">
        <f t="shared" si="115"/>
        <v>0</v>
      </c>
      <c r="AI147" s="509"/>
      <c r="AJ147" s="165"/>
      <c r="AK147" s="165"/>
      <c r="AL147" s="165"/>
      <c r="AM147" s="165"/>
      <c r="AN147" s="165"/>
      <c r="AO147" s="165"/>
      <c r="AP147" s="165"/>
      <c r="AQ147" s="165"/>
      <c r="AR147" s="165"/>
      <c r="AS147" s="165"/>
      <c r="AT147" s="165"/>
      <c r="AU147" s="165"/>
      <c r="AV147" s="165"/>
      <c r="AW147" s="165"/>
      <c r="AX147" s="165"/>
      <c r="AY147" s="165"/>
    </row>
    <row r="148" spans="1:51" s="164" customFormat="1">
      <c r="A148" s="593"/>
      <c r="B148" s="593"/>
      <c r="C148" s="631" t="s">
        <v>314</v>
      </c>
      <c r="D148" s="609">
        <f t="shared" si="111"/>
        <v>770.79562733347313</v>
      </c>
      <c r="E148" s="629">
        <f t="shared" ref="E148:AD148" si="116">IF(E$139&gt;0,E$74*E141/E$139,0)</f>
        <v>9.291562612979547</v>
      </c>
      <c r="F148" s="629">
        <f t="shared" si="116"/>
        <v>1.246229325592465</v>
      </c>
      <c r="G148" s="629">
        <f t="shared" si="116"/>
        <v>16.601779476369611</v>
      </c>
      <c r="H148" s="629">
        <f t="shared" si="116"/>
        <v>0</v>
      </c>
      <c r="I148" s="629">
        <f t="shared" si="116"/>
        <v>49.524299999999997</v>
      </c>
      <c r="J148" s="629">
        <f t="shared" si="116"/>
        <v>197.95547087547953</v>
      </c>
      <c r="K148" s="629">
        <f t="shared" si="116"/>
        <v>4.2513323926140574</v>
      </c>
      <c r="L148" s="629">
        <f t="shared" si="116"/>
        <v>0</v>
      </c>
      <c r="M148" s="629">
        <f t="shared" si="116"/>
        <v>56.255357181016812</v>
      </c>
      <c r="N148" s="629">
        <f t="shared" si="116"/>
        <v>8.3926860505893117</v>
      </c>
      <c r="O148" s="629">
        <f t="shared" si="116"/>
        <v>56.395101481981136</v>
      </c>
      <c r="P148" s="629">
        <f t="shared" si="116"/>
        <v>3.5793804045179933</v>
      </c>
      <c r="Q148" s="629">
        <f t="shared" si="116"/>
        <v>3.8130437034327627</v>
      </c>
      <c r="R148" s="629">
        <f t="shared" si="116"/>
        <v>1.0181652623701747</v>
      </c>
      <c r="S148" s="629">
        <f t="shared" si="116"/>
        <v>65.877846136088166</v>
      </c>
      <c r="T148" s="629">
        <f t="shared" si="116"/>
        <v>0</v>
      </c>
      <c r="U148" s="629">
        <f t="shared" si="116"/>
        <v>2.3590191808039123</v>
      </c>
      <c r="V148" s="629">
        <f t="shared" si="116"/>
        <v>0</v>
      </c>
      <c r="W148" s="629">
        <f t="shared" si="116"/>
        <v>0</v>
      </c>
      <c r="X148" s="629">
        <f t="shared" si="116"/>
        <v>71.320312625510439</v>
      </c>
      <c r="Y148" s="629">
        <f t="shared" si="116"/>
        <v>57.557836615640404</v>
      </c>
      <c r="Z148" s="629">
        <f t="shared" si="116"/>
        <v>5.3403136537607994</v>
      </c>
      <c r="AA148" s="629">
        <f t="shared" si="116"/>
        <v>15.812999999999999</v>
      </c>
      <c r="AB148" s="629">
        <f t="shared" si="116"/>
        <v>1.4929546151487274</v>
      </c>
      <c r="AC148" s="629">
        <f t="shared" si="116"/>
        <v>0.61307494350599911</v>
      </c>
      <c r="AD148" s="629">
        <f t="shared" si="116"/>
        <v>1.7435</v>
      </c>
      <c r="AE148" s="629">
        <f>IF(AE$139&gt;0,AE$74*AE141/AE$139,0)</f>
        <v>140.35336079607112</v>
      </c>
      <c r="AF148" s="629">
        <f t="shared" si="113"/>
        <v>0</v>
      </c>
      <c r="AG148" s="629">
        <f t="shared" si="115"/>
        <v>0</v>
      </c>
      <c r="AH148" s="629">
        <f t="shared" si="115"/>
        <v>0</v>
      </c>
      <c r="AI148" s="509"/>
      <c r="AJ148" s="165"/>
      <c r="AK148" s="165"/>
      <c r="AL148" s="165"/>
      <c r="AM148" s="165"/>
      <c r="AN148" s="165"/>
      <c r="AO148" s="165"/>
      <c r="AP148" s="165"/>
      <c r="AQ148" s="165"/>
      <c r="AR148" s="165"/>
      <c r="AS148" s="165"/>
      <c r="AT148" s="165"/>
      <c r="AU148" s="165"/>
      <c r="AV148" s="165"/>
      <c r="AW148" s="165"/>
      <c r="AX148" s="165"/>
      <c r="AY148" s="165"/>
    </row>
    <row r="149" spans="1:51" s="164" customFormat="1">
      <c r="A149" s="593"/>
      <c r="B149" s="593"/>
      <c r="C149" s="631" t="s">
        <v>409</v>
      </c>
      <c r="D149" s="609">
        <f t="shared" si="111"/>
        <v>869.72470919218915</v>
      </c>
      <c r="E149" s="629">
        <f t="shared" ref="E149:AE149" si="117">IF(E$139&gt;0,E$74*E142/E$139,0)</f>
        <v>46.675210722310148</v>
      </c>
      <c r="F149" s="629">
        <f t="shared" si="117"/>
        <v>7.2365270390836924</v>
      </c>
      <c r="G149" s="629">
        <f t="shared" si="117"/>
        <v>6.8656282632734174</v>
      </c>
      <c r="H149" s="629">
        <f t="shared" si="117"/>
        <v>0</v>
      </c>
      <c r="I149" s="629">
        <f t="shared" si="117"/>
        <v>8.4724500000000003</v>
      </c>
      <c r="J149" s="629">
        <f t="shared" si="117"/>
        <v>105.25997025539665</v>
      </c>
      <c r="K149" s="629">
        <f t="shared" si="117"/>
        <v>2.5192597269645902</v>
      </c>
      <c r="L149" s="629">
        <f t="shared" si="117"/>
        <v>1.7182909878242738</v>
      </c>
      <c r="M149" s="629">
        <f t="shared" si="117"/>
        <v>85.049155509173985</v>
      </c>
      <c r="N149" s="629">
        <f t="shared" si="117"/>
        <v>187.03729406409008</v>
      </c>
      <c r="O149" s="629">
        <f t="shared" si="117"/>
        <v>93.26132034112301</v>
      </c>
      <c r="P149" s="629">
        <f t="shared" si="117"/>
        <v>0</v>
      </c>
      <c r="Q149" s="629">
        <f t="shared" si="117"/>
        <v>2.1836555427104241</v>
      </c>
      <c r="R149" s="629">
        <f t="shared" si="117"/>
        <v>0</v>
      </c>
      <c r="S149" s="629">
        <f t="shared" si="117"/>
        <v>65.648359208172209</v>
      </c>
      <c r="T149" s="629">
        <f t="shared" si="117"/>
        <v>0</v>
      </c>
      <c r="U149" s="629">
        <f t="shared" si="117"/>
        <v>3.467446125630444E-2</v>
      </c>
      <c r="V149" s="629">
        <f t="shared" si="117"/>
        <v>0</v>
      </c>
      <c r="W149" s="629">
        <f t="shared" si="117"/>
        <v>0</v>
      </c>
      <c r="X149" s="629">
        <f t="shared" si="117"/>
        <v>22.290872576819808</v>
      </c>
      <c r="Y149" s="629">
        <f t="shared" si="117"/>
        <v>34.694203503038651</v>
      </c>
      <c r="Z149" s="629">
        <f t="shared" si="117"/>
        <v>36.765591894820801</v>
      </c>
      <c r="AA149" s="629">
        <f t="shared" si="117"/>
        <v>9.6</v>
      </c>
      <c r="AB149" s="629">
        <f t="shared" si="117"/>
        <v>105.63303012879486</v>
      </c>
      <c r="AC149" s="629">
        <f t="shared" si="117"/>
        <v>9.515688196811368</v>
      </c>
      <c r="AD149" s="629">
        <f t="shared" si="117"/>
        <v>6.6595000000000004</v>
      </c>
      <c r="AE149" s="629">
        <f t="shared" si="117"/>
        <v>32.604026770524861</v>
      </c>
      <c r="AF149" s="629">
        <f t="shared" si="113"/>
        <v>0</v>
      </c>
      <c r="AG149" s="629">
        <f t="shared" si="115"/>
        <v>0</v>
      </c>
      <c r="AH149" s="629">
        <f t="shared" si="115"/>
        <v>0</v>
      </c>
      <c r="AI149" s="509"/>
      <c r="AJ149" s="165"/>
      <c r="AK149" s="165"/>
      <c r="AL149" s="165"/>
      <c r="AM149" s="165"/>
      <c r="AN149" s="165"/>
      <c r="AO149" s="165"/>
      <c r="AP149" s="165"/>
      <c r="AQ149" s="165"/>
      <c r="AR149" s="165"/>
      <c r="AS149" s="165"/>
      <c r="AT149" s="165"/>
      <c r="AU149" s="165"/>
      <c r="AV149" s="165"/>
      <c r="AW149" s="165"/>
      <c r="AX149" s="165"/>
      <c r="AY149" s="165"/>
    </row>
    <row r="150" spans="1:51" s="164" customFormat="1">
      <c r="A150" s="593"/>
      <c r="B150" s="593"/>
      <c r="C150" s="631" t="s">
        <v>155</v>
      </c>
      <c r="D150" s="609">
        <f t="shared" si="111"/>
        <v>477.37612392893055</v>
      </c>
      <c r="E150" s="629">
        <f t="shared" ref="E150:AE150" si="118">IF(E$139&gt;0,E$74*E143/E$139,0)</f>
        <v>12.359778470280142</v>
      </c>
      <c r="F150" s="629">
        <f t="shared" si="118"/>
        <v>7.5178815056712258</v>
      </c>
      <c r="G150" s="629">
        <f t="shared" si="118"/>
        <v>0</v>
      </c>
      <c r="H150" s="629">
        <f t="shared" si="118"/>
        <v>0</v>
      </c>
      <c r="I150" s="629">
        <f t="shared" si="118"/>
        <v>1.3492500000000001</v>
      </c>
      <c r="J150" s="629">
        <f t="shared" si="118"/>
        <v>57.983106131070024</v>
      </c>
      <c r="K150" s="629">
        <f t="shared" si="118"/>
        <v>2.6549362645149772</v>
      </c>
      <c r="L150" s="629">
        <f t="shared" si="118"/>
        <v>0.76696382031782506</v>
      </c>
      <c r="M150" s="629">
        <f t="shared" si="118"/>
        <v>44.528244006582007</v>
      </c>
      <c r="N150" s="629">
        <f t="shared" si="118"/>
        <v>11.757087269315779</v>
      </c>
      <c r="O150" s="629">
        <f t="shared" si="118"/>
        <v>78.216855830706976</v>
      </c>
      <c r="P150" s="629">
        <f t="shared" si="118"/>
        <v>8.6244951930654068</v>
      </c>
      <c r="Q150" s="629">
        <f t="shared" si="118"/>
        <v>0</v>
      </c>
      <c r="R150" s="629">
        <f t="shared" si="118"/>
        <v>0.55106238887712811</v>
      </c>
      <c r="S150" s="629">
        <f t="shared" si="118"/>
        <v>57.780379754140938</v>
      </c>
      <c r="T150" s="629">
        <f t="shared" si="118"/>
        <v>0</v>
      </c>
      <c r="U150" s="629">
        <f t="shared" si="118"/>
        <v>0</v>
      </c>
      <c r="V150" s="629">
        <f t="shared" si="118"/>
        <v>0</v>
      </c>
      <c r="W150" s="629">
        <f t="shared" si="118"/>
        <v>0</v>
      </c>
      <c r="X150" s="629">
        <f t="shared" si="118"/>
        <v>65.018249139929949</v>
      </c>
      <c r="Y150" s="629">
        <f t="shared" si="118"/>
        <v>43.892265006879946</v>
      </c>
      <c r="Z150" s="629">
        <f t="shared" si="118"/>
        <v>16.0701121329408</v>
      </c>
      <c r="AA150" s="629">
        <f t="shared" si="118"/>
        <v>2.04</v>
      </c>
      <c r="AB150" s="629">
        <f t="shared" si="118"/>
        <v>1.8391469896759688E-2</v>
      </c>
      <c r="AC150" s="629">
        <f t="shared" si="118"/>
        <v>0.57751378016654809</v>
      </c>
      <c r="AD150" s="629">
        <f t="shared" si="118"/>
        <v>7.3259999999999996</v>
      </c>
      <c r="AE150" s="629">
        <f t="shared" si="118"/>
        <v>58.343551764574102</v>
      </c>
      <c r="AF150" s="629">
        <f t="shared" si="113"/>
        <v>0</v>
      </c>
      <c r="AG150" s="629">
        <f t="shared" si="115"/>
        <v>0</v>
      </c>
      <c r="AH150" s="629">
        <f t="shared" si="115"/>
        <v>0</v>
      </c>
      <c r="AI150" s="509"/>
      <c r="AJ150" s="165"/>
      <c r="AK150" s="165"/>
      <c r="AL150" s="165"/>
      <c r="AM150" s="165"/>
      <c r="AN150" s="165"/>
      <c r="AO150" s="165"/>
      <c r="AP150" s="165"/>
      <c r="AQ150" s="165"/>
      <c r="AR150" s="165"/>
      <c r="AS150" s="165"/>
      <c r="AT150" s="165"/>
      <c r="AU150" s="165"/>
      <c r="AV150" s="165"/>
      <c r="AW150" s="165"/>
      <c r="AX150" s="165"/>
      <c r="AY150" s="165"/>
    </row>
    <row r="151" spans="1:51" s="164" customFormat="1">
      <c r="A151" s="593"/>
      <c r="B151" s="593"/>
      <c r="C151" s="631" t="s">
        <v>267</v>
      </c>
      <c r="D151" s="609">
        <f t="shared" si="111"/>
        <v>849.36539662994846</v>
      </c>
      <c r="E151" s="629">
        <f t="shared" ref="E151:AE151" si="119">IF(E$139&gt;0,E$74*E144/E$139,0)</f>
        <v>10.563428502165641</v>
      </c>
      <c r="F151" s="629">
        <f t="shared" si="119"/>
        <v>11.74487513715934</v>
      </c>
      <c r="G151" s="629">
        <f t="shared" si="119"/>
        <v>1.0043825166429852</v>
      </c>
      <c r="H151" s="629">
        <f t="shared" si="119"/>
        <v>0</v>
      </c>
      <c r="I151" s="629">
        <f t="shared" si="119"/>
        <v>47.547150000000009</v>
      </c>
      <c r="J151" s="629">
        <f t="shared" si="119"/>
        <v>103.61865635778784</v>
      </c>
      <c r="K151" s="629">
        <f t="shared" si="119"/>
        <v>37.288223472928593</v>
      </c>
      <c r="L151" s="629">
        <f t="shared" si="119"/>
        <v>0.53887277635957809</v>
      </c>
      <c r="M151" s="629">
        <f t="shared" si="119"/>
        <v>163.24290977378035</v>
      </c>
      <c r="N151" s="629">
        <f t="shared" si="119"/>
        <v>2.4963838705050851</v>
      </c>
      <c r="O151" s="629">
        <f t="shared" si="119"/>
        <v>90.266774745802053</v>
      </c>
      <c r="P151" s="629">
        <f t="shared" si="119"/>
        <v>6.3365195692146044</v>
      </c>
      <c r="Q151" s="629">
        <f t="shared" si="119"/>
        <v>7.6455676060981244</v>
      </c>
      <c r="R151" s="629">
        <f t="shared" si="119"/>
        <v>8.5792738483178521</v>
      </c>
      <c r="S151" s="629">
        <f t="shared" si="119"/>
        <v>80.942455127835174</v>
      </c>
      <c r="T151" s="629">
        <f t="shared" si="119"/>
        <v>11.372222222222222</v>
      </c>
      <c r="U151" s="629">
        <f t="shared" si="119"/>
        <v>1.6713090325538742</v>
      </c>
      <c r="V151" s="629">
        <f t="shared" si="119"/>
        <v>1.8627750939345145</v>
      </c>
      <c r="W151" s="629">
        <f t="shared" si="119"/>
        <v>0</v>
      </c>
      <c r="X151" s="629">
        <f t="shared" si="119"/>
        <v>67.296420741675774</v>
      </c>
      <c r="Y151" s="629">
        <f t="shared" si="119"/>
        <v>116.03684174693268</v>
      </c>
      <c r="Z151" s="629">
        <f t="shared" si="119"/>
        <v>4.3213968096192001</v>
      </c>
      <c r="AA151" s="629">
        <f t="shared" si="119"/>
        <v>4.6949999999999994</v>
      </c>
      <c r="AB151" s="629">
        <f t="shared" si="119"/>
        <v>1.1348618777471124</v>
      </c>
      <c r="AC151" s="629">
        <f t="shared" si="119"/>
        <v>1.438576148295192</v>
      </c>
      <c r="AD151" s="629">
        <f t="shared" si="119"/>
        <v>4.5410000000000004</v>
      </c>
      <c r="AE151" s="629">
        <f t="shared" si="119"/>
        <v>63.179519652370857</v>
      </c>
      <c r="AF151" s="629">
        <f t="shared" si="113"/>
        <v>0</v>
      </c>
      <c r="AG151" s="629">
        <f t="shared" si="115"/>
        <v>0</v>
      </c>
      <c r="AH151" s="629">
        <f t="shared" si="115"/>
        <v>0</v>
      </c>
      <c r="AI151" s="509"/>
      <c r="AJ151" s="165"/>
      <c r="AK151" s="165"/>
      <c r="AL151" s="165"/>
      <c r="AM151" s="165"/>
      <c r="AN151" s="165"/>
      <c r="AO151" s="165"/>
      <c r="AP151" s="165"/>
      <c r="AQ151" s="165"/>
      <c r="AR151" s="165"/>
      <c r="AS151" s="165"/>
      <c r="AT151" s="165"/>
      <c r="AU151" s="165"/>
      <c r="AV151" s="165"/>
      <c r="AW151" s="165"/>
      <c r="AX151" s="165"/>
      <c r="AY151" s="165"/>
    </row>
    <row r="152" spans="1:51" s="164" customFormat="1">
      <c r="A152" s="593"/>
      <c r="B152" s="593"/>
      <c r="C152" s="631"/>
      <c r="D152" s="609"/>
      <c r="E152" s="629"/>
      <c r="F152" s="629"/>
      <c r="G152" s="629"/>
      <c r="H152" s="629"/>
      <c r="I152" s="629"/>
      <c r="J152" s="629"/>
      <c r="K152" s="629"/>
      <c r="L152" s="629"/>
      <c r="M152" s="629"/>
      <c r="N152" s="629"/>
      <c r="O152" s="629"/>
      <c r="P152" s="629"/>
      <c r="Q152" s="629"/>
      <c r="R152" s="629"/>
      <c r="S152" s="629"/>
      <c r="T152" s="629"/>
      <c r="U152" s="629"/>
      <c r="V152" s="629"/>
      <c r="W152" s="629"/>
      <c r="X152" s="629"/>
      <c r="Y152" s="629"/>
      <c r="Z152" s="629"/>
      <c r="AA152" s="629"/>
      <c r="AB152" s="629"/>
      <c r="AC152" s="629"/>
      <c r="AD152" s="629"/>
      <c r="AE152" s="629"/>
      <c r="AF152" s="629"/>
      <c r="AG152" s="629"/>
      <c r="AH152" s="629"/>
      <c r="AI152" s="509"/>
      <c r="AJ152" s="165"/>
      <c r="AK152" s="165"/>
      <c r="AL152" s="165"/>
      <c r="AM152" s="165"/>
      <c r="AN152" s="165"/>
      <c r="AO152" s="165"/>
      <c r="AP152" s="165"/>
      <c r="AQ152" s="165"/>
      <c r="AR152" s="165"/>
      <c r="AS152" s="165"/>
      <c r="AT152" s="165"/>
      <c r="AU152" s="165"/>
      <c r="AV152" s="165"/>
      <c r="AW152" s="165"/>
      <c r="AX152" s="165"/>
      <c r="AY152" s="165"/>
    </row>
    <row r="153" spans="1:51" s="164" customFormat="1" ht="13.5" thickBot="1">
      <c r="A153" s="593"/>
      <c r="B153" s="593"/>
      <c r="C153" s="626" t="s">
        <v>1330</v>
      </c>
      <c r="D153" s="627">
        <f t="shared" ref="D153:D158" si="120">SUM(E153:AI153)</f>
        <v>1634.9992205580616</v>
      </c>
      <c r="E153" s="627">
        <f t="shared" ref="E153:AH153" si="121">E63</f>
        <v>22.605</v>
      </c>
      <c r="F153" s="627">
        <f t="shared" si="121"/>
        <v>13.493</v>
      </c>
      <c r="G153" s="627">
        <f t="shared" si="121"/>
        <v>14.648</v>
      </c>
      <c r="H153" s="627">
        <f t="shared" si="121"/>
        <v>0</v>
      </c>
      <c r="I153" s="627">
        <f t="shared" si="121"/>
        <v>68.682000000000002</v>
      </c>
      <c r="J153" s="627">
        <f t="shared" si="121"/>
        <v>314.97799999999995</v>
      </c>
      <c r="K153" s="627">
        <f t="shared" si="121"/>
        <v>38.690000000000005</v>
      </c>
      <c r="L153" s="627">
        <f t="shared" si="121"/>
        <v>0.81299999999999994</v>
      </c>
      <c r="M153" s="627">
        <f t="shared" si="121"/>
        <v>171.45499999999998</v>
      </c>
      <c r="N153" s="627">
        <f t="shared" si="121"/>
        <v>53.145999999999994</v>
      </c>
      <c r="O153" s="627">
        <f t="shared" si="121"/>
        <v>154.80199999999999</v>
      </c>
      <c r="P153" s="627">
        <f t="shared" si="121"/>
        <v>0.97899999999999998</v>
      </c>
      <c r="Q153" s="627">
        <f t="shared" si="121"/>
        <v>3.1259999999999999</v>
      </c>
      <c r="R153" s="627">
        <f t="shared" si="121"/>
        <v>4.4450000000000003</v>
      </c>
      <c r="S153" s="627">
        <f t="shared" si="121"/>
        <v>259.64100000000002</v>
      </c>
      <c r="T153" s="627">
        <f t="shared" si="121"/>
        <v>1.363</v>
      </c>
      <c r="U153" s="627">
        <f t="shared" si="121"/>
        <v>5.1890000000000001</v>
      </c>
      <c r="V153" s="627">
        <f t="shared" si="121"/>
        <v>0.77900000000000003</v>
      </c>
      <c r="W153" s="627">
        <f t="shared" si="121"/>
        <v>0</v>
      </c>
      <c r="X153" s="627">
        <f t="shared" si="121"/>
        <v>75.412000000000006</v>
      </c>
      <c r="Y153" s="627">
        <f t="shared" si="121"/>
        <v>88.951999999999998</v>
      </c>
      <c r="Z153" s="627">
        <f t="shared" si="121"/>
        <v>35.835999999999999</v>
      </c>
      <c r="AA153" s="627">
        <f t="shared" si="121"/>
        <v>24.85</v>
      </c>
      <c r="AB153" s="627">
        <f t="shared" si="121"/>
        <v>55.463999999999999</v>
      </c>
      <c r="AC153" s="627">
        <f t="shared" si="121"/>
        <v>2.2669999999999999</v>
      </c>
      <c r="AD153" s="627">
        <f t="shared" si="121"/>
        <v>15.106000000000002</v>
      </c>
      <c r="AE153" s="627">
        <f t="shared" si="121"/>
        <v>172.74679599999999</v>
      </c>
      <c r="AF153" s="627">
        <f t="shared" si="121"/>
        <v>35.531424558061602</v>
      </c>
      <c r="AG153" s="627">
        <f t="shared" si="121"/>
        <v>0</v>
      </c>
      <c r="AH153" s="627">
        <f t="shared" si="121"/>
        <v>0</v>
      </c>
      <c r="AI153" s="509"/>
      <c r="AJ153" s="165"/>
      <c r="AK153" s="165"/>
      <c r="AL153" s="165"/>
      <c r="AM153" s="165"/>
      <c r="AN153" s="165"/>
      <c r="AO153" s="165"/>
      <c r="AP153" s="165"/>
      <c r="AQ153" s="165"/>
      <c r="AR153" s="165"/>
      <c r="AS153" s="165"/>
      <c r="AT153" s="165"/>
      <c r="AU153" s="165"/>
      <c r="AV153" s="165"/>
      <c r="AW153" s="165"/>
      <c r="AX153" s="165"/>
      <c r="AY153" s="165"/>
    </row>
    <row r="154" spans="1:51" s="164" customFormat="1">
      <c r="A154" s="593"/>
      <c r="B154" s="593"/>
      <c r="C154" s="631" t="s">
        <v>1010</v>
      </c>
      <c r="D154" s="609">
        <f t="shared" si="120"/>
        <v>43.029501779165628</v>
      </c>
      <c r="E154" s="629">
        <f t="shared" ref="E154:G158" si="122">E$63*E140/E$139</f>
        <v>3.3282890300447936</v>
      </c>
      <c r="F154" s="629">
        <f t="shared" si="122"/>
        <v>0</v>
      </c>
      <c r="G154" s="629">
        <f t="shared" si="122"/>
        <v>3.841520510987579</v>
      </c>
      <c r="H154" s="629">
        <v>0</v>
      </c>
      <c r="I154" s="629">
        <f t="shared" ref="I154:V154" si="123">I$63*I140/I$139</f>
        <v>14.014455211452608</v>
      </c>
      <c r="J154" s="629">
        <f t="shared" si="123"/>
        <v>7.1578135888426058</v>
      </c>
      <c r="K154" s="629">
        <f t="shared" si="123"/>
        <v>0</v>
      </c>
      <c r="L154" s="629">
        <f t="shared" si="123"/>
        <v>0</v>
      </c>
      <c r="M154" s="629">
        <f t="shared" si="123"/>
        <v>1.4470800115890199</v>
      </c>
      <c r="N154" s="629">
        <f t="shared" si="123"/>
        <v>0.37328493693584319</v>
      </c>
      <c r="O154" s="629">
        <f t="shared" si="123"/>
        <v>0.36188910171817501</v>
      </c>
      <c r="P154" s="629">
        <f t="shared" si="123"/>
        <v>0</v>
      </c>
      <c r="Q154" s="629">
        <f t="shared" si="123"/>
        <v>0</v>
      </c>
      <c r="R154" s="629">
        <f t="shared" si="123"/>
        <v>0</v>
      </c>
      <c r="S154" s="629">
        <f t="shared" si="123"/>
        <v>0.78380806205465059</v>
      </c>
      <c r="T154" s="629">
        <f t="shared" si="123"/>
        <v>0</v>
      </c>
      <c r="U154" s="629">
        <f t="shared" si="123"/>
        <v>0</v>
      </c>
      <c r="V154" s="629">
        <f t="shared" si="123"/>
        <v>0</v>
      </c>
      <c r="W154" s="629">
        <v>0</v>
      </c>
      <c r="X154" s="629">
        <f t="shared" ref="X154:AE158" si="124">X$63*X140/X$139</f>
        <v>1.7576762576750871</v>
      </c>
      <c r="Y154" s="629">
        <f t="shared" si="124"/>
        <v>4.3547190147970154</v>
      </c>
      <c r="Z154" s="629">
        <f t="shared" si="124"/>
        <v>0</v>
      </c>
      <c r="AA154" s="629">
        <f t="shared" si="124"/>
        <v>0</v>
      </c>
      <c r="AB154" s="629">
        <f t="shared" si="124"/>
        <v>0</v>
      </c>
      <c r="AC154" s="629">
        <f t="shared" si="124"/>
        <v>0</v>
      </c>
      <c r="AD154" s="629">
        <f t="shared" si="124"/>
        <v>5.6089660530682508</v>
      </c>
      <c r="AE154" s="629">
        <f t="shared" si="124"/>
        <v>0</v>
      </c>
      <c r="AF154" s="629">
        <v>0</v>
      </c>
      <c r="AG154" s="629">
        <v>0</v>
      </c>
      <c r="AH154" s="629">
        <v>0</v>
      </c>
      <c r="AI154" s="509"/>
      <c r="AJ154" s="165"/>
      <c r="AK154" s="165"/>
      <c r="AL154" s="165"/>
      <c r="AM154" s="165"/>
      <c r="AN154" s="165"/>
      <c r="AO154" s="165"/>
      <c r="AP154" s="165"/>
      <c r="AQ154" s="165"/>
      <c r="AR154" s="165"/>
      <c r="AS154" s="165"/>
      <c r="AT154" s="165"/>
      <c r="AU154" s="165"/>
      <c r="AV154" s="165"/>
      <c r="AW154" s="165"/>
      <c r="AX154" s="165"/>
      <c r="AY154" s="165"/>
    </row>
    <row r="155" spans="1:51" s="164" customFormat="1">
      <c r="A155" s="593"/>
      <c r="B155" s="593"/>
      <c r="C155" s="631" t="s">
        <v>1011</v>
      </c>
      <c r="D155" s="609">
        <f t="shared" si="120"/>
        <v>436.53262871232528</v>
      </c>
      <c r="E155" s="629">
        <f t="shared" si="122"/>
        <v>2.2703867620573606</v>
      </c>
      <c r="F155" s="629">
        <f t="shared" si="122"/>
        <v>0.60605665249752105</v>
      </c>
      <c r="G155" s="629">
        <f t="shared" si="122"/>
        <v>7.3311673364972458</v>
      </c>
      <c r="H155" s="629">
        <v>0</v>
      </c>
      <c r="I155" s="629">
        <f t="shared" ref="I155:V155" si="125">I$63*I141/I$139</f>
        <v>25.327833339848787</v>
      </c>
      <c r="J155" s="629">
        <f t="shared" si="125"/>
        <v>131.09387834932434</v>
      </c>
      <c r="K155" s="629">
        <f t="shared" si="125"/>
        <v>3.5211055359817327</v>
      </c>
      <c r="L155" s="629">
        <f t="shared" si="125"/>
        <v>0</v>
      </c>
      <c r="M155" s="629">
        <f t="shared" si="125"/>
        <v>27.397659536822967</v>
      </c>
      <c r="N155" s="629">
        <f t="shared" si="125"/>
        <v>2.1122545766567606</v>
      </c>
      <c r="O155" s="629">
        <f t="shared" si="125"/>
        <v>27.376828730941689</v>
      </c>
      <c r="P155" s="629">
        <f t="shared" si="125"/>
        <v>0.18900424637649763</v>
      </c>
      <c r="Q155" s="629">
        <f t="shared" si="125"/>
        <v>0.87372390131575028</v>
      </c>
      <c r="R155" s="629">
        <f t="shared" si="125"/>
        <v>0.44595200497623677</v>
      </c>
      <c r="S155" s="629">
        <f t="shared" si="125"/>
        <v>63.100887416407062</v>
      </c>
      <c r="T155" s="629">
        <f t="shared" si="125"/>
        <v>0</v>
      </c>
      <c r="U155" s="629">
        <f t="shared" si="125"/>
        <v>3.011301961899346</v>
      </c>
      <c r="V155" s="629">
        <f t="shared" si="125"/>
        <v>0</v>
      </c>
      <c r="W155" s="629">
        <v>0</v>
      </c>
      <c r="X155" s="629">
        <f t="shared" si="124"/>
        <v>23.251209533196437</v>
      </c>
      <c r="Y155" s="629">
        <f t="shared" si="124"/>
        <v>19.308487321360822</v>
      </c>
      <c r="Z155" s="629">
        <f t="shared" si="124"/>
        <v>3.062134356346816</v>
      </c>
      <c r="AA155" s="629">
        <f t="shared" si="124"/>
        <v>12.223250279955209</v>
      </c>
      <c r="AB155" s="629">
        <f t="shared" si="124"/>
        <v>0.76473787804609983</v>
      </c>
      <c r="AC155" s="629">
        <f t="shared" si="124"/>
        <v>0.11443867530196621</v>
      </c>
      <c r="AD155" s="629">
        <f t="shared" si="124"/>
        <v>0.81687610688088341</v>
      </c>
      <c r="AE155" s="629">
        <f t="shared" si="124"/>
        <v>82.333454209633743</v>
      </c>
      <c r="AF155" s="629">
        <v>0</v>
      </c>
      <c r="AG155" s="629">
        <v>0</v>
      </c>
      <c r="AH155" s="629">
        <v>0</v>
      </c>
      <c r="AI155" s="509"/>
      <c r="AJ155" s="165"/>
      <c r="AK155" s="165"/>
      <c r="AL155" s="165"/>
      <c r="AM155" s="165"/>
      <c r="AN155" s="165"/>
      <c r="AO155" s="165"/>
      <c r="AP155" s="165"/>
      <c r="AQ155" s="165"/>
      <c r="AR155" s="165"/>
      <c r="AS155" s="165"/>
      <c r="AT155" s="165"/>
      <c r="AU155" s="165"/>
      <c r="AV155" s="165"/>
      <c r="AW155" s="165"/>
      <c r="AX155" s="165"/>
      <c r="AY155" s="165"/>
    </row>
    <row r="156" spans="1:51" s="164" customFormat="1">
      <c r="A156" s="593"/>
      <c r="B156" s="593"/>
      <c r="C156" s="631" t="s">
        <v>1012</v>
      </c>
      <c r="D156" s="609">
        <f t="shared" si="120"/>
        <v>417.27669109080415</v>
      </c>
      <c r="E156" s="629">
        <f t="shared" si="122"/>
        <v>11.40505477433239</v>
      </c>
      <c r="F156" s="629">
        <f t="shared" si="122"/>
        <v>3.5192121248870869</v>
      </c>
      <c r="G156" s="629">
        <f t="shared" si="122"/>
        <v>3.0317876309515324</v>
      </c>
      <c r="H156" s="629">
        <v>0</v>
      </c>
      <c r="I156" s="629">
        <f t="shared" ref="I156:V156" si="126">I$63*I142/I$139</f>
        <v>4.3330001954636801</v>
      </c>
      <c r="J156" s="629">
        <f t="shared" si="126"/>
        <v>69.707281514813246</v>
      </c>
      <c r="K156" s="629">
        <f t="shared" si="126"/>
        <v>2.0865410069092505</v>
      </c>
      <c r="L156" s="629">
        <f t="shared" si="126"/>
        <v>0.46194167873751618</v>
      </c>
      <c r="M156" s="629">
        <f t="shared" si="126"/>
        <v>41.420905017752894</v>
      </c>
      <c r="N156" s="629">
        <f t="shared" si="126"/>
        <v>47.073175144521208</v>
      </c>
      <c r="O156" s="629">
        <f t="shared" si="126"/>
        <v>45.273421398420361</v>
      </c>
      <c r="P156" s="629">
        <f t="shared" si="126"/>
        <v>0</v>
      </c>
      <c r="Q156" s="629">
        <f t="shared" si="126"/>
        <v>0.50036458753123669</v>
      </c>
      <c r="R156" s="629">
        <f t="shared" si="126"/>
        <v>0</v>
      </c>
      <c r="S156" s="629">
        <f t="shared" si="126"/>
        <v>62.881074085351145</v>
      </c>
      <c r="T156" s="629">
        <f t="shared" si="126"/>
        <v>0</v>
      </c>
      <c r="U156" s="629">
        <f t="shared" si="126"/>
        <v>4.4262155245948252E-2</v>
      </c>
      <c r="V156" s="629">
        <f t="shared" si="126"/>
        <v>0</v>
      </c>
      <c r="W156" s="629">
        <v>0</v>
      </c>
      <c r="X156" s="629">
        <f t="shared" si="124"/>
        <v>7.2670706266090255</v>
      </c>
      <c r="Y156" s="629">
        <f t="shared" si="124"/>
        <v>11.638599152649551</v>
      </c>
      <c r="Z156" s="629">
        <f t="shared" si="124"/>
        <v>21.081380115805363</v>
      </c>
      <c r="AA156" s="629">
        <f t="shared" si="124"/>
        <v>7.4206793579693926</v>
      </c>
      <c r="AB156" s="629">
        <f t="shared" si="124"/>
        <v>54.108529819057424</v>
      </c>
      <c r="AC156" s="629">
        <f t="shared" si="124"/>
        <v>1.7762310519529372</v>
      </c>
      <c r="AD156" s="629">
        <f t="shared" si="124"/>
        <v>3.1201528154707447</v>
      </c>
      <c r="AE156" s="629">
        <f t="shared" si="124"/>
        <v>19.126026836372162</v>
      </c>
      <c r="AF156" s="629">
        <v>0</v>
      </c>
      <c r="AG156" s="629">
        <v>0</v>
      </c>
      <c r="AH156" s="629">
        <v>0</v>
      </c>
      <c r="AI156" s="509"/>
      <c r="AJ156" s="165"/>
      <c r="AK156" s="165"/>
      <c r="AL156" s="165"/>
      <c r="AM156" s="165"/>
      <c r="AN156" s="165"/>
      <c r="AO156" s="165"/>
      <c r="AP156" s="165"/>
      <c r="AQ156" s="165"/>
      <c r="AR156" s="165"/>
      <c r="AS156" s="165"/>
      <c r="AT156" s="165"/>
      <c r="AU156" s="165"/>
      <c r="AV156" s="165"/>
      <c r="AW156" s="165"/>
      <c r="AX156" s="165"/>
      <c r="AY156" s="165"/>
    </row>
    <row r="157" spans="1:51" s="164" customFormat="1">
      <c r="A157" s="593"/>
      <c r="B157" s="593"/>
      <c r="C157" s="631" t="s">
        <v>1013</v>
      </c>
      <c r="D157" s="609">
        <f t="shared" si="120"/>
        <v>251.31414662576631</v>
      </c>
      <c r="E157" s="629">
        <f t="shared" si="122"/>
        <v>3.0201031397760847</v>
      </c>
      <c r="F157" s="629">
        <f t="shared" si="122"/>
        <v>3.6560382632899868</v>
      </c>
      <c r="G157" s="629">
        <f t="shared" si="122"/>
        <v>0</v>
      </c>
      <c r="H157" s="629">
        <v>0</v>
      </c>
      <c r="I157" s="629">
        <f t="shared" ref="I157:V157" si="127">I$63*I143/I$139</f>
        <v>0.69003659080069746</v>
      </c>
      <c r="J157" s="629">
        <f t="shared" si="127"/>
        <v>38.398687481811898</v>
      </c>
      <c r="K157" s="629">
        <f t="shared" si="127"/>
        <v>2.1989131677643918</v>
      </c>
      <c r="L157" s="629">
        <f t="shared" si="127"/>
        <v>0.20618891514828086</v>
      </c>
      <c r="M157" s="629">
        <f t="shared" si="127"/>
        <v>21.686284297143999</v>
      </c>
      <c r="N157" s="629">
        <f t="shared" si="127"/>
        <v>2.9590004014294586</v>
      </c>
      <c r="O157" s="629">
        <f t="shared" si="127"/>
        <v>37.970132328500213</v>
      </c>
      <c r="P157" s="629">
        <f t="shared" si="127"/>
        <v>0.45540457568732806</v>
      </c>
      <c r="Q157" s="629">
        <f t="shared" si="127"/>
        <v>0</v>
      </c>
      <c r="R157" s="629">
        <f t="shared" si="127"/>
        <v>0.24136295576876937</v>
      </c>
      <c r="S157" s="629">
        <f t="shared" si="127"/>
        <v>55.344754748227892</v>
      </c>
      <c r="T157" s="629">
        <f t="shared" si="127"/>
        <v>0</v>
      </c>
      <c r="U157" s="629">
        <f t="shared" si="127"/>
        <v>0</v>
      </c>
      <c r="V157" s="629">
        <f t="shared" si="127"/>
        <v>0</v>
      </c>
      <c r="W157" s="629">
        <v>0</v>
      </c>
      <c r="X157" s="629">
        <f t="shared" si="124"/>
        <v>21.196667240818346</v>
      </c>
      <c r="Y157" s="629">
        <f t="shared" si="124"/>
        <v>14.724202510433795</v>
      </c>
      <c r="Z157" s="629">
        <f t="shared" si="124"/>
        <v>9.2145978051250932</v>
      </c>
      <c r="AA157" s="629">
        <f t="shared" si="124"/>
        <v>1.5768943635684962</v>
      </c>
      <c r="AB157" s="629">
        <f t="shared" si="124"/>
        <v>9.4206840049157244E-3</v>
      </c>
      <c r="AC157" s="629">
        <f t="shared" si="124"/>
        <v>0.10780070637521329</v>
      </c>
      <c r="AD157" s="629">
        <f t="shared" si="124"/>
        <v>3.4324257866414403</v>
      </c>
      <c r="AE157" s="629">
        <f t="shared" si="124"/>
        <v>34.225230663450027</v>
      </c>
      <c r="AF157" s="629">
        <v>0</v>
      </c>
      <c r="AG157" s="629">
        <v>0</v>
      </c>
      <c r="AH157" s="629">
        <v>0</v>
      </c>
      <c r="AI157" s="509"/>
      <c r="AJ157" s="165"/>
      <c r="AK157" s="165"/>
      <c r="AL157" s="165"/>
      <c r="AM157" s="165"/>
      <c r="AN157" s="165"/>
      <c r="AO157" s="165"/>
      <c r="AP157" s="165"/>
      <c r="AQ157" s="165"/>
      <c r="AR157" s="165"/>
      <c r="AS157" s="165"/>
      <c r="AT157" s="165"/>
      <c r="AU157" s="165"/>
      <c r="AV157" s="165"/>
      <c r="AW157" s="165"/>
      <c r="AX157" s="165"/>
      <c r="AY157" s="165"/>
    </row>
    <row r="158" spans="1:51" s="164" customFormat="1">
      <c r="A158" s="593"/>
      <c r="B158" s="593"/>
      <c r="C158" s="631" t="s">
        <v>1014</v>
      </c>
      <c r="D158" s="609">
        <f t="shared" si="120"/>
        <v>451.31481210055432</v>
      </c>
      <c r="E158" s="629">
        <f t="shared" si="122"/>
        <v>2.5811662937893693</v>
      </c>
      <c r="F158" s="629">
        <f t="shared" si="122"/>
        <v>5.711677267941182</v>
      </c>
      <c r="G158" s="629">
        <f t="shared" si="122"/>
        <v>0.44352452156364391</v>
      </c>
      <c r="H158" s="629">
        <v>0</v>
      </c>
      <c r="I158" s="629">
        <f t="shared" ref="I158:V158" si="128">I$63*I144/I$139</f>
        <v>24.316674662434227</v>
      </c>
      <c r="J158" s="629">
        <f t="shared" si="128"/>
        <v>68.620339065207844</v>
      </c>
      <c r="K158" s="629">
        <f t="shared" si="128"/>
        <v>30.883440289344623</v>
      </c>
      <c r="L158" s="629">
        <f t="shared" si="128"/>
        <v>0.14486940611420296</v>
      </c>
      <c r="M158" s="629">
        <f t="shared" si="128"/>
        <v>79.503071136691077</v>
      </c>
      <c r="N158" s="629">
        <f t="shared" si="128"/>
        <v>0.62828494045672412</v>
      </c>
      <c r="O158" s="629">
        <f t="shared" si="128"/>
        <v>43.819728440419546</v>
      </c>
      <c r="P158" s="629">
        <f t="shared" si="128"/>
        <v>0.33459117793617438</v>
      </c>
      <c r="Q158" s="629">
        <f t="shared" si="128"/>
        <v>1.7519115111530135</v>
      </c>
      <c r="R158" s="629">
        <f t="shared" si="128"/>
        <v>3.7576850392549939</v>
      </c>
      <c r="S158" s="629">
        <f t="shared" si="128"/>
        <v>77.530475687959282</v>
      </c>
      <c r="T158" s="629">
        <f t="shared" si="128"/>
        <v>1.363</v>
      </c>
      <c r="U158" s="629">
        <f t="shared" si="128"/>
        <v>2.1334358828547058</v>
      </c>
      <c r="V158" s="629">
        <f t="shared" si="128"/>
        <v>0.77900000000000003</v>
      </c>
      <c r="W158" s="629">
        <v>0</v>
      </c>
      <c r="X158" s="629">
        <f t="shared" si="124"/>
        <v>21.939376341701102</v>
      </c>
      <c r="Y158" s="629">
        <f t="shared" si="124"/>
        <v>38.925992000758818</v>
      </c>
      <c r="Z158" s="629">
        <f t="shared" si="124"/>
        <v>2.4778877227227349</v>
      </c>
      <c r="AA158" s="629">
        <f t="shared" si="124"/>
        <v>3.6291759985069061</v>
      </c>
      <c r="AB158" s="629">
        <f t="shared" si="124"/>
        <v>0.58131161889156424</v>
      </c>
      <c r="AC158" s="629">
        <f t="shared" si="124"/>
        <v>0.26852956636988334</v>
      </c>
      <c r="AD158" s="629">
        <f t="shared" si="124"/>
        <v>2.1275792379386815</v>
      </c>
      <c r="AE158" s="629">
        <f t="shared" si="124"/>
        <v>37.062084290544071</v>
      </c>
      <c r="AF158" s="629">
        <v>0</v>
      </c>
      <c r="AG158" s="629">
        <v>0</v>
      </c>
      <c r="AH158" s="629">
        <v>0</v>
      </c>
      <c r="AI158" s="509"/>
      <c r="AJ158" s="165"/>
      <c r="AK158" s="165"/>
      <c r="AL158" s="165"/>
      <c r="AM158" s="165"/>
      <c r="AN158" s="165"/>
      <c r="AO158" s="165"/>
      <c r="AP158" s="165"/>
      <c r="AQ158" s="165"/>
      <c r="AR158" s="165"/>
      <c r="AS158" s="165"/>
      <c r="AT158" s="165"/>
      <c r="AU158" s="165"/>
      <c r="AV158" s="165"/>
      <c r="AW158" s="165"/>
      <c r="AX158" s="165"/>
      <c r="AY158" s="165"/>
    </row>
    <row r="159" spans="1:51" s="164" customFormat="1">
      <c r="A159" s="593"/>
      <c r="B159" s="593"/>
      <c r="C159" s="631"/>
      <c r="D159" s="609"/>
      <c r="E159" s="629"/>
      <c r="F159" s="629"/>
      <c r="G159" s="629"/>
      <c r="H159" s="629"/>
      <c r="I159" s="629"/>
      <c r="J159" s="629"/>
      <c r="K159" s="629"/>
      <c r="L159" s="629"/>
      <c r="M159" s="629"/>
      <c r="N159" s="629"/>
      <c r="O159" s="629"/>
      <c r="P159" s="629"/>
      <c r="Q159" s="629"/>
      <c r="R159" s="629"/>
      <c r="S159" s="629"/>
      <c r="T159" s="629"/>
      <c r="U159" s="629"/>
      <c r="V159" s="629"/>
      <c r="W159" s="629"/>
      <c r="X159" s="629"/>
      <c r="Y159" s="629"/>
      <c r="Z159" s="629"/>
      <c r="AA159" s="629"/>
      <c r="AB159" s="629"/>
      <c r="AC159" s="629"/>
      <c r="AD159" s="629"/>
      <c r="AE159" s="629"/>
      <c r="AF159" s="629"/>
      <c r="AG159" s="629"/>
      <c r="AH159" s="629"/>
      <c r="AI159" s="509"/>
      <c r="AJ159" s="165"/>
      <c r="AK159" s="165"/>
      <c r="AL159" s="165"/>
      <c r="AM159" s="165"/>
      <c r="AN159" s="165"/>
      <c r="AO159" s="165"/>
      <c r="AP159" s="165"/>
      <c r="AQ159" s="165"/>
      <c r="AR159" s="165"/>
      <c r="AS159" s="165"/>
      <c r="AT159" s="165"/>
      <c r="AU159" s="165"/>
      <c r="AV159" s="165"/>
      <c r="AW159" s="165"/>
      <c r="AX159" s="165"/>
      <c r="AY159" s="165"/>
    </row>
    <row r="160" spans="1:51" s="164" customFormat="1" ht="13.5" thickBot="1">
      <c r="A160" s="593"/>
      <c r="B160" s="593"/>
      <c r="C160" s="626" t="s">
        <v>1322</v>
      </c>
      <c r="D160" s="627">
        <f>SUM(D161:D165)</f>
        <v>1464.6882610463902</v>
      </c>
      <c r="E160" s="627">
        <f>SUM(E161:E165)</f>
        <v>69.906010184042017</v>
      </c>
      <c r="F160" s="627">
        <f t="shared" ref="F160:AH160" si="129">SUM(F161:F165)</f>
        <v>14.252528698890947</v>
      </c>
      <c r="G160" s="627">
        <f t="shared" si="129"/>
        <v>18.523097399347083</v>
      </c>
      <c r="H160" s="627">
        <f t="shared" si="129"/>
        <v>0</v>
      </c>
      <c r="I160" s="627">
        <f t="shared" si="129"/>
        <v>65.614050000000006</v>
      </c>
      <c r="J160" s="627">
        <f t="shared" si="129"/>
        <v>160.64770495678795</v>
      </c>
      <c r="K160" s="627">
        <f t="shared" si="129"/>
        <v>8.0237518570222193</v>
      </c>
      <c r="L160" s="627">
        <f t="shared" si="129"/>
        <v>2.2111275845016767</v>
      </c>
      <c r="M160" s="627">
        <f t="shared" si="129"/>
        <v>180.59194227650443</v>
      </c>
      <c r="N160" s="627">
        <f t="shared" si="129"/>
        <v>158.02063577105375</v>
      </c>
      <c r="O160" s="627">
        <f t="shared" si="129"/>
        <v>164.08352853993594</v>
      </c>
      <c r="P160" s="627">
        <f t="shared" si="129"/>
        <v>17.561395166798004</v>
      </c>
      <c r="Q160" s="627">
        <f t="shared" si="129"/>
        <v>10.51626685224131</v>
      </c>
      <c r="R160" s="627">
        <f t="shared" si="129"/>
        <v>5.7035014995651547</v>
      </c>
      <c r="S160" s="627">
        <f t="shared" si="129"/>
        <v>11.426342298147347</v>
      </c>
      <c r="T160" s="627">
        <f t="shared" si="129"/>
        <v>10.009222222222222</v>
      </c>
      <c r="U160" s="627">
        <f t="shared" si="129"/>
        <v>-1.123997325385909</v>
      </c>
      <c r="V160" s="627">
        <f t="shared" si="129"/>
        <v>1.0837750939345145</v>
      </c>
      <c r="W160" s="627">
        <f t="shared" si="129"/>
        <v>0</v>
      </c>
      <c r="X160" s="627">
        <f t="shared" si="129"/>
        <v>155.90531740820117</v>
      </c>
      <c r="Y160" s="627">
        <f t="shared" si="129"/>
        <v>176.21039192753125</v>
      </c>
      <c r="Z160" s="627">
        <f t="shared" si="129"/>
        <v>26.661414491141596</v>
      </c>
      <c r="AA160" s="627">
        <f t="shared" si="129"/>
        <v>7.2979999999999929</v>
      </c>
      <c r="AB160" s="627">
        <f t="shared" si="129"/>
        <v>52.81523809158746</v>
      </c>
      <c r="AC160" s="627">
        <f t="shared" si="129"/>
        <v>9.8778530687791068</v>
      </c>
      <c r="AD160" s="627">
        <f t="shared" si="129"/>
        <v>17.1355</v>
      </c>
      <c r="AE160" s="627">
        <f t="shared" si="129"/>
        <v>121.73366298354094</v>
      </c>
      <c r="AF160" s="627">
        <f t="shared" si="129"/>
        <v>0</v>
      </c>
      <c r="AG160" s="627">
        <f t="shared" si="129"/>
        <v>0</v>
      </c>
      <c r="AH160" s="627">
        <f t="shared" si="129"/>
        <v>0</v>
      </c>
      <c r="AI160" s="509"/>
      <c r="AJ160" s="165"/>
      <c r="AK160" s="165"/>
      <c r="AL160" s="165"/>
      <c r="AM160" s="165"/>
      <c r="AN160" s="165"/>
      <c r="AO160" s="165"/>
      <c r="AP160" s="165"/>
      <c r="AQ160" s="165"/>
      <c r="AR160" s="165"/>
      <c r="AS160" s="165"/>
      <c r="AT160" s="165"/>
      <c r="AU160" s="165"/>
      <c r="AV160" s="165"/>
      <c r="AW160" s="165"/>
      <c r="AX160" s="165"/>
      <c r="AY160" s="165"/>
    </row>
    <row r="161" spans="1:51" s="164" customFormat="1">
      <c r="A161" s="593"/>
      <c r="B161" s="593"/>
      <c r="C161" s="631" t="s">
        <v>1010</v>
      </c>
      <c r="D161" s="609">
        <f>SUM(E161:AI161)</f>
        <v>53.864682491298908</v>
      </c>
      <c r="E161" s="629">
        <f t="shared" ref="E161:AH161" si="130">E147-E154</f>
        <v>10.292740846261742</v>
      </c>
      <c r="F161" s="629">
        <f t="shared" si="130"/>
        <v>0</v>
      </c>
      <c r="G161" s="629">
        <f t="shared" si="130"/>
        <v>4.8577866320734913</v>
      </c>
      <c r="H161" s="629">
        <f t="shared" si="130"/>
        <v>0</v>
      </c>
      <c r="I161" s="629">
        <f t="shared" si="130"/>
        <v>13.388444788547391</v>
      </c>
      <c r="J161" s="629">
        <f t="shared" si="130"/>
        <v>3.6506877482112223</v>
      </c>
      <c r="K161" s="629">
        <f t="shared" si="130"/>
        <v>0</v>
      </c>
      <c r="L161" s="629">
        <f t="shared" si="130"/>
        <v>0</v>
      </c>
      <c r="M161" s="629">
        <f t="shared" si="130"/>
        <v>1.5241957943621804</v>
      </c>
      <c r="N161" s="629">
        <f t="shared" si="130"/>
        <v>1.1098995796176503</v>
      </c>
      <c r="O161" s="629">
        <f t="shared" si="130"/>
        <v>0.38358703860457843</v>
      </c>
      <c r="P161" s="629">
        <f t="shared" si="130"/>
        <v>0</v>
      </c>
      <c r="Q161" s="629">
        <f t="shared" si="130"/>
        <v>0</v>
      </c>
      <c r="R161" s="629">
        <f t="shared" si="130"/>
        <v>0</v>
      </c>
      <c r="S161" s="629">
        <f t="shared" si="130"/>
        <v>3.4494009856239849E-2</v>
      </c>
      <c r="T161" s="629">
        <f t="shared" si="130"/>
        <v>0</v>
      </c>
      <c r="U161" s="629">
        <f t="shared" si="130"/>
        <v>0</v>
      </c>
      <c r="V161" s="629">
        <f t="shared" si="130"/>
        <v>0</v>
      </c>
      <c r="W161" s="629">
        <f t="shared" si="130"/>
        <v>0</v>
      </c>
      <c r="X161" s="629">
        <f t="shared" si="130"/>
        <v>3.6337860665901132</v>
      </c>
      <c r="Y161" s="629">
        <f t="shared" si="130"/>
        <v>8.6265260402425454</v>
      </c>
      <c r="Z161" s="629">
        <f t="shared" si="130"/>
        <v>0</v>
      </c>
      <c r="AA161" s="629">
        <f t="shared" si="130"/>
        <v>0</v>
      </c>
      <c r="AB161" s="629">
        <f t="shared" si="130"/>
        <v>0</v>
      </c>
      <c r="AC161" s="629">
        <f t="shared" si="130"/>
        <v>0</v>
      </c>
      <c r="AD161" s="629">
        <f t="shared" si="130"/>
        <v>6.3625339469317499</v>
      </c>
      <c r="AE161" s="629">
        <f t="shared" si="130"/>
        <v>0</v>
      </c>
      <c r="AF161" s="629">
        <f t="shared" si="130"/>
        <v>0</v>
      </c>
      <c r="AG161" s="629">
        <f t="shared" si="130"/>
        <v>0</v>
      </c>
      <c r="AH161" s="629">
        <f t="shared" si="130"/>
        <v>0</v>
      </c>
      <c r="AI161" s="509"/>
      <c r="AJ161" s="165"/>
      <c r="AK161" s="165"/>
      <c r="AL161" s="165"/>
      <c r="AM161" s="165"/>
      <c r="AN161" s="165"/>
      <c r="AO161" s="165"/>
      <c r="AP161" s="165"/>
      <c r="AQ161" s="165"/>
      <c r="AR161" s="165"/>
      <c r="AS161" s="165"/>
      <c r="AT161" s="165"/>
      <c r="AU161" s="165"/>
      <c r="AV161" s="165"/>
      <c r="AW161" s="165"/>
      <c r="AX161" s="165"/>
      <c r="AY161" s="165"/>
    </row>
    <row r="162" spans="1:51" s="164" customFormat="1">
      <c r="A162" s="593"/>
      <c r="B162" s="593"/>
      <c r="C162" s="631" t="s">
        <v>1011</v>
      </c>
      <c r="D162" s="733">
        <f t="shared" ref="D162:D165" si="131">SUM(E162:AI162)</f>
        <v>334.26299862114774</v>
      </c>
      <c r="E162" s="629">
        <f>E148-E155</f>
        <v>7.0211758509221864</v>
      </c>
      <c r="F162" s="629">
        <f t="shared" ref="F162:AH162" si="132">F148-F155</f>
        <v>0.64017267309494397</v>
      </c>
      <c r="G162" s="629">
        <f t="shared" si="132"/>
        <v>9.270612139872366</v>
      </c>
      <c r="H162" s="629">
        <f t="shared" si="132"/>
        <v>0</v>
      </c>
      <c r="I162" s="629">
        <f t="shared" si="132"/>
        <v>24.196466660151209</v>
      </c>
      <c r="J162" s="629">
        <f t="shared" si="132"/>
        <v>66.861592526155192</v>
      </c>
      <c r="K162" s="629">
        <f t="shared" si="132"/>
        <v>0.73022685663232467</v>
      </c>
      <c r="L162" s="629">
        <f t="shared" si="132"/>
        <v>0</v>
      </c>
      <c r="M162" s="629">
        <f t="shared" si="132"/>
        <v>28.857697644193845</v>
      </c>
      <c r="N162" s="629">
        <f t="shared" si="132"/>
        <v>6.2804314739325511</v>
      </c>
      <c r="O162" s="629">
        <f t="shared" si="132"/>
        <v>29.018272751039447</v>
      </c>
      <c r="P162" s="629">
        <f t="shared" si="132"/>
        <v>3.3903761581414957</v>
      </c>
      <c r="Q162" s="629">
        <f t="shared" si="132"/>
        <v>2.9393198021170122</v>
      </c>
      <c r="R162" s="629">
        <f t="shared" si="132"/>
        <v>0.57221325739393791</v>
      </c>
      <c r="S162" s="629">
        <f t="shared" si="132"/>
        <v>2.7769587196811045</v>
      </c>
      <c r="T162" s="629">
        <f t="shared" si="132"/>
        <v>0</v>
      </c>
      <c r="U162" s="629">
        <f t="shared" si="132"/>
        <v>-0.65228278109543369</v>
      </c>
      <c r="V162" s="629">
        <f t="shared" si="132"/>
        <v>0</v>
      </c>
      <c r="W162" s="629">
        <f t="shared" si="132"/>
        <v>0</v>
      </c>
      <c r="X162" s="629">
        <f t="shared" si="132"/>
        <v>48.069103092314002</v>
      </c>
      <c r="Y162" s="629">
        <f t="shared" si="132"/>
        <v>38.249349294279583</v>
      </c>
      <c r="Z162" s="629">
        <f t="shared" si="132"/>
        <v>2.2781792974139834</v>
      </c>
      <c r="AA162" s="629">
        <f t="shared" si="132"/>
        <v>3.5897497200447894</v>
      </c>
      <c r="AB162" s="629">
        <f t="shared" si="132"/>
        <v>0.72821673710262758</v>
      </c>
      <c r="AC162" s="629">
        <f t="shared" si="132"/>
        <v>0.4986362682040329</v>
      </c>
      <c r="AD162" s="629">
        <f t="shared" si="132"/>
        <v>0.92662389311911664</v>
      </c>
      <c r="AE162" s="629">
        <f t="shared" si="132"/>
        <v>58.019906586437372</v>
      </c>
      <c r="AF162" s="629">
        <f t="shared" si="132"/>
        <v>0</v>
      </c>
      <c r="AG162" s="629">
        <f t="shared" si="132"/>
        <v>0</v>
      </c>
      <c r="AH162" s="629">
        <f t="shared" si="132"/>
        <v>0</v>
      </c>
      <c r="AI162" s="509"/>
      <c r="AJ162" s="165"/>
      <c r="AK162" s="165"/>
      <c r="AL162" s="165"/>
      <c r="AM162" s="165"/>
      <c r="AN162" s="165"/>
      <c r="AO162" s="165"/>
      <c r="AP162" s="165"/>
      <c r="AQ162" s="165"/>
      <c r="AR162" s="165"/>
      <c r="AS162" s="165"/>
      <c r="AT162" s="165"/>
      <c r="AU162" s="165"/>
      <c r="AV162" s="165"/>
      <c r="AW162" s="165"/>
      <c r="AX162" s="165"/>
      <c r="AY162" s="165"/>
    </row>
    <row r="163" spans="1:51" s="164" customFormat="1">
      <c r="A163" s="593"/>
      <c r="B163" s="593"/>
      <c r="C163" s="631" t="s">
        <v>1012</v>
      </c>
      <c r="D163" s="733">
        <f t="shared" si="131"/>
        <v>452.44801810138506</v>
      </c>
      <c r="E163" s="629">
        <f t="shared" ref="E163:AH163" si="133">E149-E156</f>
        <v>35.270155947977756</v>
      </c>
      <c r="F163" s="629">
        <f t="shared" si="133"/>
        <v>3.7173149141966055</v>
      </c>
      <c r="G163" s="629">
        <f t="shared" si="133"/>
        <v>3.833840632321885</v>
      </c>
      <c r="H163" s="629">
        <f t="shared" si="133"/>
        <v>0</v>
      </c>
      <c r="I163" s="629">
        <f t="shared" si="133"/>
        <v>4.1394498045363202</v>
      </c>
      <c r="J163" s="629">
        <f t="shared" si="133"/>
        <v>35.552688740583406</v>
      </c>
      <c r="K163" s="629">
        <f t="shared" si="133"/>
        <v>0.43271872005533973</v>
      </c>
      <c r="L163" s="629">
        <f t="shared" si="133"/>
        <v>1.2563493090867577</v>
      </c>
      <c r="M163" s="629">
        <f t="shared" si="133"/>
        <v>43.628250491421092</v>
      </c>
      <c r="N163" s="629">
        <f t="shared" si="133"/>
        <v>139.96411891956888</v>
      </c>
      <c r="O163" s="629">
        <f t="shared" si="133"/>
        <v>47.98789894270265</v>
      </c>
      <c r="P163" s="629">
        <f t="shared" si="133"/>
        <v>0</v>
      </c>
      <c r="Q163" s="629">
        <f t="shared" si="133"/>
        <v>1.6832909551791873</v>
      </c>
      <c r="R163" s="629">
        <f t="shared" si="133"/>
        <v>0</v>
      </c>
      <c r="S163" s="629">
        <f t="shared" si="133"/>
        <v>2.7672851228210646</v>
      </c>
      <c r="T163" s="629">
        <f t="shared" si="133"/>
        <v>0</v>
      </c>
      <c r="U163" s="629">
        <f t="shared" si="133"/>
        <v>-9.5876939896438126E-3</v>
      </c>
      <c r="V163" s="629">
        <f t="shared" si="133"/>
        <v>0</v>
      </c>
      <c r="W163" s="629">
        <f t="shared" si="133"/>
        <v>0</v>
      </c>
      <c r="X163" s="629">
        <f t="shared" si="133"/>
        <v>15.023801950210782</v>
      </c>
      <c r="Y163" s="629">
        <f t="shared" si="133"/>
        <v>23.0556043503891</v>
      </c>
      <c r="Z163" s="629">
        <f t="shared" si="133"/>
        <v>15.684211779015438</v>
      </c>
      <c r="AA163" s="629">
        <f t="shared" si="133"/>
        <v>2.179320642030607</v>
      </c>
      <c r="AB163" s="629">
        <f t="shared" si="133"/>
        <v>51.524500309737434</v>
      </c>
      <c r="AC163" s="629">
        <f t="shared" si="133"/>
        <v>7.7394571448584308</v>
      </c>
      <c r="AD163" s="629">
        <f t="shared" si="133"/>
        <v>3.5393471845292557</v>
      </c>
      <c r="AE163" s="629">
        <f t="shared" si="133"/>
        <v>13.477999934152699</v>
      </c>
      <c r="AF163" s="629">
        <f t="shared" si="133"/>
        <v>0</v>
      </c>
      <c r="AG163" s="629">
        <f t="shared" si="133"/>
        <v>0</v>
      </c>
      <c r="AH163" s="629">
        <f t="shared" si="133"/>
        <v>0</v>
      </c>
      <c r="AI163" s="509"/>
      <c r="AJ163" s="165"/>
      <c r="AK163" s="165"/>
      <c r="AL163" s="165"/>
      <c r="AM163" s="165"/>
      <c r="AN163" s="165"/>
      <c r="AO163" s="165"/>
      <c r="AP163" s="165"/>
      <c r="AQ163" s="165"/>
      <c r="AR163" s="165"/>
      <c r="AS163" s="165"/>
      <c r="AT163" s="165"/>
      <c r="AU163" s="165"/>
      <c r="AV163" s="165"/>
      <c r="AW163" s="165"/>
      <c r="AX163" s="165"/>
      <c r="AY163" s="165"/>
    </row>
    <row r="164" spans="1:51" s="164" customFormat="1">
      <c r="A164" s="593"/>
      <c r="B164" s="593"/>
      <c r="C164" s="631" t="s">
        <v>1013</v>
      </c>
      <c r="D164" s="733">
        <f t="shared" si="131"/>
        <v>226.06197730316421</v>
      </c>
      <c r="E164" s="629">
        <f t="shared" ref="E164:AH164" si="134">E150-E157</f>
        <v>9.3396753305040576</v>
      </c>
      <c r="F164" s="629">
        <f t="shared" si="134"/>
        <v>3.861843242381239</v>
      </c>
      <c r="G164" s="629">
        <f t="shared" si="134"/>
        <v>0</v>
      </c>
      <c r="H164" s="629">
        <f t="shared" si="134"/>
        <v>0</v>
      </c>
      <c r="I164" s="629">
        <f t="shared" si="134"/>
        <v>0.6592134091993026</v>
      </c>
      <c r="J164" s="629">
        <f t="shared" si="134"/>
        <v>19.584418649258126</v>
      </c>
      <c r="K164" s="629">
        <f t="shared" si="134"/>
        <v>0.45602309675058539</v>
      </c>
      <c r="L164" s="629">
        <f t="shared" si="134"/>
        <v>0.5607749051695442</v>
      </c>
      <c r="M164" s="629">
        <f t="shared" si="134"/>
        <v>22.841959709438008</v>
      </c>
      <c r="N164" s="629">
        <f t="shared" si="134"/>
        <v>8.7980868678863207</v>
      </c>
      <c r="O164" s="629">
        <f t="shared" si="134"/>
        <v>40.246723502206763</v>
      </c>
      <c r="P164" s="629">
        <f t="shared" si="134"/>
        <v>8.1690906173780782</v>
      </c>
      <c r="Q164" s="629">
        <f t="shared" si="134"/>
        <v>0</v>
      </c>
      <c r="R164" s="629">
        <f t="shared" si="134"/>
        <v>0.30969943310835873</v>
      </c>
      <c r="S164" s="629">
        <f t="shared" si="134"/>
        <v>2.435625005913046</v>
      </c>
      <c r="T164" s="629">
        <f t="shared" si="134"/>
        <v>0</v>
      </c>
      <c r="U164" s="629">
        <f t="shared" si="134"/>
        <v>0</v>
      </c>
      <c r="V164" s="629">
        <f t="shared" si="134"/>
        <v>0</v>
      </c>
      <c r="W164" s="629">
        <f t="shared" si="134"/>
        <v>0</v>
      </c>
      <c r="X164" s="629">
        <f t="shared" si="134"/>
        <v>43.821581899111607</v>
      </c>
      <c r="Y164" s="629">
        <f t="shared" si="134"/>
        <v>29.168062496446151</v>
      </c>
      <c r="Z164" s="629">
        <f t="shared" si="134"/>
        <v>6.8555143278157065</v>
      </c>
      <c r="AA164" s="629">
        <f t="shared" si="134"/>
        <v>0.46310563643150382</v>
      </c>
      <c r="AB164" s="629">
        <f t="shared" si="134"/>
        <v>8.9707858918439635E-3</v>
      </c>
      <c r="AC164" s="629">
        <f t="shared" si="134"/>
        <v>0.46971307379133481</v>
      </c>
      <c r="AD164" s="629">
        <f t="shared" si="134"/>
        <v>3.8935742133585594</v>
      </c>
      <c r="AE164" s="629">
        <f t="shared" si="134"/>
        <v>24.118321101124074</v>
      </c>
      <c r="AF164" s="629">
        <f t="shared" si="134"/>
        <v>0</v>
      </c>
      <c r="AG164" s="629">
        <f t="shared" si="134"/>
        <v>0</v>
      </c>
      <c r="AH164" s="629">
        <f t="shared" si="134"/>
        <v>0</v>
      </c>
      <c r="AI164" s="509"/>
      <c r="AJ164" s="165"/>
      <c r="AK164" s="165"/>
      <c r="AL164" s="165"/>
      <c r="AM164" s="165"/>
      <c r="AN164" s="165"/>
      <c r="AO164" s="165"/>
      <c r="AP164" s="165"/>
      <c r="AQ164" s="165"/>
      <c r="AR164" s="165"/>
      <c r="AS164" s="165"/>
      <c r="AT164" s="165"/>
      <c r="AU164" s="165"/>
      <c r="AV164" s="165"/>
      <c r="AW164" s="165"/>
      <c r="AX164" s="165"/>
      <c r="AY164" s="165"/>
    </row>
    <row r="165" spans="1:51" s="164" customFormat="1">
      <c r="A165" s="593"/>
      <c r="B165" s="593"/>
      <c r="C165" s="631" t="s">
        <v>1014</v>
      </c>
      <c r="D165" s="609">
        <f t="shared" si="131"/>
        <v>398.05058452939426</v>
      </c>
      <c r="E165" s="629">
        <f t="shared" ref="E165:AH165" si="135">E151-E158</f>
        <v>7.9822622083762713</v>
      </c>
      <c r="F165" s="629">
        <f t="shared" si="135"/>
        <v>6.0331978692181583</v>
      </c>
      <c r="G165" s="629">
        <f t="shared" si="135"/>
        <v>0.56085799507934131</v>
      </c>
      <c r="H165" s="629">
        <f t="shared" si="135"/>
        <v>0</v>
      </c>
      <c r="I165" s="629">
        <f t="shared" si="135"/>
        <v>23.230475337565782</v>
      </c>
      <c r="J165" s="629">
        <f t="shared" si="135"/>
        <v>34.998317292579998</v>
      </c>
      <c r="K165" s="629">
        <f t="shared" si="135"/>
        <v>6.4047831835839695</v>
      </c>
      <c r="L165" s="629">
        <f t="shared" si="135"/>
        <v>0.39400337024537513</v>
      </c>
      <c r="M165" s="629">
        <f t="shared" si="135"/>
        <v>83.739838637089278</v>
      </c>
      <c r="N165" s="629">
        <f t="shared" si="135"/>
        <v>1.868098930048361</v>
      </c>
      <c r="O165" s="629">
        <f t="shared" si="135"/>
        <v>46.447046305382507</v>
      </c>
      <c r="P165" s="629">
        <f t="shared" si="135"/>
        <v>6.0019283912784296</v>
      </c>
      <c r="Q165" s="629">
        <f t="shared" si="135"/>
        <v>5.8936560949451113</v>
      </c>
      <c r="R165" s="629">
        <f t="shared" si="135"/>
        <v>4.8215888090628578</v>
      </c>
      <c r="S165" s="629">
        <f t="shared" si="135"/>
        <v>3.4119794398758927</v>
      </c>
      <c r="T165" s="629">
        <f t="shared" si="135"/>
        <v>10.009222222222222</v>
      </c>
      <c r="U165" s="629">
        <f t="shared" si="135"/>
        <v>-0.46212685030083156</v>
      </c>
      <c r="V165" s="629">
        <f t="shared" si="135"/>
        <v>1.0837750939345145</v>
      </c>
      <c r="W165" s="629">
        <f t="shared" si="135"/>
        <v>0</v>
      </c>
      <c r="X165" s="629">
        <f t="shared" si="135"/>
        <v>45.357044399974669</v>
      </c>
      <c r="Y165" s="629">
        <f t="shared" si="135"/>
        <v>77.110849746173869</v>
      </c>
      <c r="Z165" s="629">
        <f t="shared" si="135"/>
        <v>1.8435090868964652</v>
      </c>
      <c r="AA165" s="629">
        <f t="shared" si="135"/>
        <v>1.0658240014930933</v>
      </c>
      <c r="AB165" s="629">
        <f t="shared" si="135"/>
        <v>0.55355025885554821</v>
      </c>
      <c r="AC165" s="629">
        <f t="shared" si="135"/>
        <v>1.1700465819253085</v>
      </c>
      <c r="AD165" s="629">
        <f t="shared" si="135"/>
        <v>2.4134207620613188</v>
      </c>
      <c r="AE165" s="629">
        <f t="shared" si="135"/>
        <v>26.117435361826786</v>
      </c>
      <c r="AF165" s="629">
        <f t="shared" si="135"/>
        <v>0</v>
      </c>
      <c r="AG165" s="629">
        <f t="shared" si="135"/>
        <v>0</v>
      </c>
      <c r="AH165" s="629">
        <f t="shared" si="135"/>
        <v>0</v>
      </c>
      <c r="AI165" s="509"/>
      <c r="AJ165" s="165"/>
      <c r="AK165" s="165"/>
      <c r="AL165" s="165"/>
      <c r="AM165" s="165"/>
      <c r="AN165" s="165"/>
      <c r="AO165" s="165"/>
      <c r="AP165" s="165"/>
      <c r="AQ165" s="165"/>
      <c r="AR165" s="165"/>
      <c r="AS165" s="165"/>
      <c r="AT165" s="165"/>
      <c r="AU165" s="165"/>
      <c r="AV165" s="165"/>
      <c r="AW165" s="165"/>
      <c r="AX165" s="165"/>
      <c r="AY165" s="165"/>
    </row>
    <row r="166" spans="1:51" s="164" customFormat="1">
      <c r="A166" s="593"/>
      <c r="B166" s="593"/>
      <c r="C166" s="631"/>
      <c r="D166" s="609"/>
      <c r="E166" s="629"/>
      <c r="F166" s="629"/>
      <c r="G166" s="629"/>
      <c r="H166" s="629"/>
      <c r="I166" s="629"/>
      <c r="J166" s="629"/>
      <c r="K166" s="629"/>
      <c r="L166" s="629"/>
      <c r="M166" s="629"/>
      <c r="N166" s="629"/>
      <c r="O166" s="629"/>
      <c r="P166" s="629"/>
      <c r="Q166" s="629"/>
      <c r="R166" s="629"/>
      <c r="S166" s="629"/>
      <c r="T166" s="629"/>
      <c r="U166" s="629"/>
      <c r="V166" s="629"/>
      <c r="W166" s="629"/>
      <c r="X166" s="629"/>
      <c r="Y166" s="629"/>
      <c r="Z166" s="629"/>
      <c r="AA166" s="629"/>
      <c r="AB166" s="629"/>
      <c r="AC166" s="629"/>
      <c r="AD166" s="629"/>
      <c r="AE166" s="629"/>
      <c r="AF166" s="629"/>
      <c r="AG166" s="629"/>
      <c r="AH166" s="629"/>
      <c r="AI166" s="509"/>
      <c r="AJ166" s="165"/>
      <c r="AK166" s="165"/>
      <c r="AL166" s="165"/>
      <c r="AM166" s="165"/>
      <c r="AN166" s="165"/>
      <c r="AO166" s="165"/>
      <c r="AP166" s="165"/>
      <c r="AQ166" s="165"/>
      <c r="AR166" s="165"/>
      <c r="AS166" s="165"/>
      <c r="AT166" s="165"/>
      <c r="AU166" s="165"/>
      <c r="AV166" s="165"/>
      <c r="AW166" s="165"/>
      <c r="AX166" s="165"/>
      <c r="AY166" s="165"/>
    </row>
    <row r="167" spans="1:51" s="164" customFormat="1" ht="13.5" thickBot="1">
      <c r="A167" s="593"/>
      <c r="B167" s="593"/>
      <c r="C167" s="644" t="s">
        <v>1323</v>
      </c>
      <c r="D167" s="645">
        <f t="shared" ref="D167:D172" si="136">SUM(E167:AI167)</f>
        <v>1483.9907434191966</v>
      </c>
      <c r="E167" s="645">
        <f>SUM(E168:E172)</f>
        <v>68.72884857034569</v>
      </c>
      <c r="F167" s="645">
        <f t="shared" ref="F167:AH167" si="137">SUM(F168:F172)</f>
        <v>14.252513007506719</v>
      </c>
      <c r="G167" s="645">
        <f t="shared" si="137"/>
        <v>18.523097399347087</v>
      </c>
      <c r="H167" s="645">
        <f t="shared" si="137"/>
        <v>0</v>
      </c>
      <c r="I167" s="645">
        <f t="shared" si="137"/>
        <v>54.114049999999992</v>
      </c>
      <c r="J167" s="645">
        <f t="shared" si="137"/>
        <v>160.64770495678798</v>
      </c>
      <c r="K167" s="645">
        <f t="shared" si="137"/>
        <v>8.0237518570222086</v>
      </c>
      <c r="L167" s="645">
        <f t="shared" si="137"/>
        <v>1.7272679038991507</v>
      </c>
      <c r="M167" s="645">
        <f t="shared" si="137"/>
        <v>180.59194227650443</v>
      </c>
      <c r="N167" s="645">
        <f t="shared" si="137"/>
        <v>156.2605721206825</v>
      </c>
      <c r="O167" s="645">
        <f t="shared" si="137"/>
        <v>164.08352853993591</v>
      </c>
      <c r="P167" s="645">
        <f t="shared" si="137"/>
        <v>17.561395166798</v>
      </c>
      <c r="Q167" s="645">
        <f t="shared" si="137"/>
        <v>10.516266852241312</v>
      </c>
      <c r="R167" s="645">
        <f t="shared" si="137"/>
        <v>5.5726225000250773</v>
      </c>
      <c r="S167" s="645">
        <f t="shared" si="137"/>
        <v>11.392103890854337</v>
      </c>
      <c r="T167" s="645">
        <f t="shared" si="137"/>
        <v>10.00922222222222</v>
      </c>
      <c r="U167" s="645">
        <f t="shared" si="137"/>
        <v>0</v>
      </c>
      <c r="V167" s="645">
        <f t="shared" si="137"/>
        <v>1.0837750939345141</v>
      </c>
      <c r="W167" s="645">
        <f t="shared" si="137"/>
        <v>0</v>
      </c>
      <c r="X167" s="645">
        <f t="shared" si="137"/>
        <v>155.90531740820123</v>
      </c>
      <c r="Y167" s="645">
        <f t="shared" si="137"/>
        <v>176.21039192753125</v>
      </c>
      <c r="Z167" s="645">
        <f t="shared" si="137"/>
        <v>26.66141449114161</v>
      </c>
      <c r="AA167" s="645">
        <f t="shared" si="137"/>
        <v>7.2979999999999929</v>
      </c>
      <c r="AB167" s="645">
        <f t="shared" si="137"/>
        <v>52.81523809158746</v>
      </c>
      <c r="AC167" s="645">
        <f t="shared" si="137"/>
        <v>9.5689873950571513</v>
      </c>
      <c r="AD167" s="645">
        <f t="shared" si="137"/>
        <v>17.046828611147891</v>
      </c>
      <c r="AE167" s="645">
        <f t="shared" si="137"/>
        <v>121.73366298354097</v>
      </c>
      <c r="AF167" s="645">
        <f t="shared" si="137"/>
        <v>33.662240152882305</v>
      </c>
      <c r="AG167" s="645">
        <f t="shared" si="137"/>
        <v>0</v>
      </c>
      <c r="AH167" s="645">
        <f t="shared" si="137"/>
        <v>0</v>
      </c>
      <c r="AI167" s="509"/>
      <c r="AJ167" s="165"/>
      <c r="AK167" s="165"/>
      <c r="AL167" s="165"/>
      <c r="AM167" s="165"/>
      <c r="AN167" s="165"/>
      <c r="AO167" s="165"/>
      <c r="AP167" s="165"/>
      <c r="AQ167" s="165"/>
      <c r="AR167" s="165"/>
      <c r="AS167" s="165"/>
      <c r="AT167" s="165"/>
      <c r="AU167" s="165"/>
      <c r="AV167" s="165"/>
      <c r="AW167" s="165"/>
      <c r="AX167" s="165"/>
      <c r="AY167" s="165"/>
    </row>
    <row r="168" spans="1:51" s="164" customFormat="1">
      <c r="A168" s="593"/>
      <c r="B168" s="593"/>
      <c r="C168" s="633" t="s">
        <v>1010</v>
      </c>
      <c r="D168" s="646">
        <f t="shared" si="136"/>
        <v>16.449375215847244</v>
      </c>
      <c r="E168" s="630">
        <f>E264</f>
        <v>0</v>
      </c>
      <c r="F168" s="630">
        <f t="shared" ref="F168:AH168" si="138">F264</f>
        <v>1.626201857751405</v>
      </c>
      <c r="G168" s="630">
        <f t="shared" si="138"/>
        <v>1.0009999999999999</v>
      </c>
      <c r="H168" s="630">
        <f t="shared" si="138"/>
        <v>0</v>
      </c>
      <c r="I168" s="630">
        <f t="shared" si="138"/>
        <v>0.97555251314754088</v>
      </c>
      <c r="J168" s="630">
        <f t="shared" si="138"/>
        <v>0</v>
      </c>
      <c r="K168" s="630">
        <f t="shared" si="138"/>
        <v>0</v>
      </c>
      <c r="L168" s="630">
        <f t="shared" si="138"/>
        <v>0</v>
      </c>
      <c r="M168" s="630">
        <f t="shared" si="138"/>
        <v>0</v>
      </c>
      <c r="N168" s="630">
        <f t="shared" si="138"/>
        <v>0</v>
      </c>
      <c r="O168" s="630">
        <f t="shared" si="138"/>
        <v>0</v>
      </c>
      <c r="P168" s="630">
        <f t="shared" si="138"/>
        <v>0</v>
      </c>
      <c r="Q168" s="630">
        <f t="shared" si="138"/>
        <v>0</v>
      </c>
      <c r="R168" s="630">
        <f t="shared" si="138"/>
        <v>0</v>
      </c>
      <c r="S168" s="630">
        <f t="shared" si="138"/>
        <v>4.1682771420451362E-2</v>
      </c>
      <c r="T168" s="630">
        <f t="shared" si="138"/>
        <v>0</v>
      </c>
      <c r="U168" s="630">
        <f t="shared" si="138"/>
        <v>0</v>
      </c>
      <c r="V168" s="630">
        <f t="shared" si="138"/>
        <v>0</v>
      </c>
      <c r="W168" s="630">
        <f t="shared" si="138"/>
        <v>0</v>
      </c>
      <c r="X168" s="630">
        <f t="shared" si="138"/>
        <v>0</v>
      </c>
      <c r="Y168" s="630">
        <f t="shared" si="138"/>
        <v>6.3220000000000001</v>
      </c>
      <c r="Z168" s="630">
        <f t="shared" si="138"/>
        <v>0</v>
      </c>
      <c r="AA168" s="630">
        <f t="shared" si="138"/>
        <v>3.3954366197177066E-2</v>
      </c>
      <c r="AB168" s="630">
        <f t="shared" si="138"/>
        <v>0</v>
      </c>
      <c r="AC168" s="630">
        <f t="shared" si="138"/>
        <v>0</v>
      </c>
      <c r="AD168" s="630">
        <f t="shared" si="138"/>
        <v>6.013097577121675</v>
      </c>
      <c r="AE168" s="630">
        <f t="shared" si="138"/>
        <v>0.43588613020899691</v>
      </c>
      <c r="AF168" s="630">
        <f t="shared" si="138"/>
        <v>0</v>
      </c>
      <c r="AG168" s="630">
        <f t="shared" si="138"/>
        <v>0</v>
      </c>
      <c r="AH168" s="630">
        <f t="shared" si="138"/>
        <v>0</v>
      </c>
      <c r="AI168" s="509"/>
      <c r="AJ168" s="165"/>
      <c r="AK168" s="165"/>
      <c r="AL168" s="165"/>
      <c r="AM168" s="165"/>
      <c r="AN168" s="165"/>
      <c r="AO168" s="165"/>
      <c r="AP168" s="165"/>
      <c r="AQ168" s="165"/>
      <c r="AR168" s="165"/>
      <c r="AS168" s="165"/>
      <c r="AT168" s="165"/>
      <c r="AU168" s="165"/>
      <c r="AV168" s="165"/>
      <c r="AW168" s="165"/>
      <c r="AX168" s="165"/>
      <c r="AY168" s="165"/>
    </row>
    <row r="169" spans="1:51" s="164" customFormat="1">
      <c r="A169" s="593"/>
      <c r="B169" s="593"/>
      <c r="C169" s="633" t="s">
        <v>1011</v>
      </c>
      <c r="D169" s="734">
        <f>SUM(E169:AI169)</f>
        <v>334.49390041444354</v>
      </c>
      <c r="E169" s="630">
        <f t="shared" ref="E169:AH169" si="139">E263+E270+E274+E278+E283</f>
        <v>9.4947083681810263</v>
      </c>
      <c r="F169" s="630">
        <f t="shared" si="139"/>
        <v>2.5688865336635116</v>
      </c>
      <c r="G169" s="630">
        <f t="shared" si="139"/>
        <v>5.0285694075033582</v>
      </c>
      <c r="H169" s="630">
        <f t="shared" si="139"/>
        <v>0</v>
      </c>
      <c r="I169" s="630">
        <f t="shared" si="139"/>
        <v>36.732068946294753</v>
      </c>
      <c r="J169" s="630">
        <f t="shared" si="139"/>
        <v>44.395876547260563</v>
      </c>
      <c r="K169" s="630">
        <f t="shared" si="139"/>
        <v>2.2231229122396301</v>
      </c>
      <c r="L169" s="630">
        <f t="shared" si="139"/>
        <v>0.113</v>
      </c>
      <c r="M169" s="630">
        <f t="shared" si="139"/>
        <v>50.525265845816769</v>
      </c>
      <c r="N169" s="630">
        <f t="shared" si="139"/>
        <v>4.6046240000000003</v>
      </c>
      <c r="O169" s="630">
        <f t="shared" si="139"/>
        <v>35.181220200252014</v>
      </c>
      <c r="P169" s="630">
        <f t="shared" si="139"/>
        <v>2.2160000000000002</v>
      </c>
      <c r="Q169" s="630">
        <f t="shared" si="139"/>
        <v>2.7426478598206971</v>
      </c>
      <c r="R169" s="630">
        <f t="shared" si="139"/>
        <v>1.3568681126157911</v>
      </c>
      <c r="S169" s="630">
        <f t="shared" si="139"/>
        <v>1.9340319608210907</v>
      </c>
      <c r="T169" s="630">
        <f t="shared" si="139"/>
        <v>2.0096639999999999</v>
      </c>
      <c r="U169" s="630">
        <f t="shared" si="139"/>
        <v>0</v>
      </c>
      <c r="V169" s="630">
        <f t="shared" si="139"/>
        <v>0.31799538628896534</v>
      </c>
      <c r="W169" s="630">
        <f t="shared" si="139"/>
        <v>0</v>
      </c>
      <c r="X169" s="630">
        <f t="shared" si="139"/>
        <v>35.009104580644838</v>
      </c>
      <c r="Y169" s="630">
        <f t="shared" si="139"/>
        <v>39.953766848251874</v>
      </c>
      <c r="Z169" s="630">
        <f t="shared" si="139"/>
        <v>2.6795520000000002</v>
      </c>
      <c r="AA169" s="630">
        <f t="shared" si="139"/>
        <v>5.701403189687527</v>
      </c>
      <c r="AB169" s="630">
        <f t="shared" si="139"/>
        <v>0.27187773800690351</v>
      </c>
      <c r="AC169" s="630">
        <f t="shared" si="139"/>
        <v>1.1912724252661602</v>
      </c>
      <c r="AD169" s="630">
        <f t="shared" si="139"/>
        <v>2.6648036454428725</v>
      </c>
      <c r="AE169" s="630">
        <f t="shared" si="139"/>
        <v>35.98737332959584</v>
      </c>
      <c r="AF169" s="630">
        <f t="shared" si="139"/>
        <v>9.5901965767894257</v>
      </c>
      <c r="AG169" s="630">
        <f t="shared" si="139"/>
        <v>0</v>
      </c>
      <c r="AH169" s="630">
        <f t="shared" si="139"/>
        <v>0</v>
      </c>
      <c r="AI169" s="509"/>
      <c r="AJ169" s="165"/>
      <c r="AK169" s="165"/>
      <c r="AL169" s="165"/>
      <c r="AM169" s="165"/>
      <c r="AN169" s="165"/>
      <c r="AO169" s="165"/>
      <c r="AP169" s="165"/>
      <c r="AQ169" s="165"/>
      <c r="AR169" s="165"/>
      <c r="AS169" s="165"/>
      <c r="AT169" s="165"/>
      <c r="AU169" s="165"/>
      <c r="AV169" s="165"/>
      <c r="AW169" s="165"/>
      <c r="AX169" s="165"/>
      <c r="AY169" s="165"/>
    </row>
    <row r="170" spans="1:51" s="164" customFormat="1">
      <c r="A170" s="593"/>
      <c r="B170" s="593"/>
      <c r="C170" s="633" t="s">
        <v>1012</v>
      </c>
      <c r="D170" s="734">
        <f t="shared" si="136"/>
        <v>449.31711432066641</v>
      </c>
      <c r="E170" s="630">
        <f t="shared" ref="E170:AH170" si="140">E266+E268+E273+E285</f>
        <v>30.407079060954374</v>
      </c>
      <c r="F170" s="630">
        <f t="shared" si="140"/>
        <v>2.7507732748735987</v>
      </c>
      <c r="G170" s="630">
        <f t="shared" si="140"/>
        <v>1.375963060715335</v>
      </c>
      <c r="H170" s="630">
        <f t="shared" si="140"/>
        <v>0</v>
      </c>
      <c r="I170" s="630">
        <f t="shared" si="140"/>
        <v>9.8754820278908415</v>
      </c>
      <c r="J170" s="630">
        <f t="shared" si="140"/>
        <v>38.913135201652139</v>
      </c>
      <c r="K170" s="630">
        <f t="shared" si="140"/>
        <v>1.5090595800000002</v>
      </c>
      <c r="L170" s="630">
        <f t="shared" si="140"/>
        <v>0.21375799999999992</v>
      </c>
      <c r="M170" s="630">
        <f t="shared" si="140"/>
        <v>49.423135588765405</v>
      </c>
      <c r="N170" s="630">
        <f t="shared" si="140"/>
        <v>130.97796757036826</v>
      </c>
      <c r="O170" s="630">
        <f t="shared" si="140"/>
        <v>60.045160280447654</v>
      </c>
      <c r="P170" s="630">
        <f t="shared" si="140"/>
        <v>9.9669999999999925E-2</v>
      </c>
      <c r="Q170" s="630">
        <f t="shared" si="140"/>
        <v>1.3949756537371543</v>
      </c>
      <c r="R170" s="630">
        <f t="shared" si="140"/>
        <v>0.46054800000000001</v>
      </c>
      <c r="S170" s="630">
        <f t="shared" si="140"/>
        <v>2.2214343844357578</v>
      </c>
      <c r="T170" s="630">
        <f t="shared" si="140"/>
        <v>0</v>
      </c>
      <c r="U170" s="630">
        <f t="shared" si="140"/>
        <v>0</v>
      </c>
      <c r="V170" s="630">
        <f t="shared" si="140"/>
        <v>4.6006359947979594E-2</v>
      </c>
      <c r="W170" s="630">
        <f t="shared" si="140"/>
        <v>0</v>
      </c>
      <c r="X170" s="630">
        <f t="shared" si="140"/>
        <v>0.26841146189473619</v>
      </c>
      <c r="Y170" s="630">
        <f t="shared" si="140"/>
        <v>27.07589902548964</v>
      </c>
      <c r="Z170" s="630">
        <f t="shared" si="140"/>
        <v>5.653841531275301</v>
      </c>
      <c r="AA170" s="630">
        <f t="shared" si="140"/>
        <v>0.19994772655486198</v>
      </c>
      <c r="AB170" s="630">
        <f t="shared" si="140"/>
        <v>49.394956986717936</v>
      </c>
      <c r="AC170" s="630">
        <f t="shared" si="140"/>
        <v>4.6495674667454869</v>
      </c>
      <c r="AD170" s="630">
        <f t="shared" si="140"/>
        <v>0.94899818029945093</v>
      </c>
      <c r="AE170" s="630">
        <f t="shared" si="140"/>
        <v>25.450501155544003</v>
      </c>
      <c r="AF170" s="630">
        <f t="shared" si="140"/>
        <v>5.9608427423564621</v>
      </c>
      <c r="AG170" s="630">
        <f t="shared" si="140"/>
        <v>0</v>
      </c>
      <c r="AH170" s="630">
        <f t="shared" si="140"/>
        <v>0</v>
      </c>
      <c r="AI170" s="509"/>
      <c r="AJ170" s="165"/>
      <c r="AK170" s="165"/>
      <c r="AL170" s="165"/>
      <c r="AM170" s="165"/>
      <c r="AN170" s="165"/>
      <c r="AO170" s="165"/>
      <c r="AP170" s="165"/>
      <c r="AQ170" s="165"/>
      <c r="AR170" s="165"/>
      <c r="AS170" s="165"/>
      <c r="AT170" s="165"/>
      <c r="AU170" s="165"/>
      <c r="AV170" s="165"/>
      <c r="AW170" s="165"/>
      <c r="AX170" s="165"/>
      <c r="AY170" s="165"/>
    </row>
    <row r="171" spans="1:51" s="164" customFormat="1">
      <c r="A171" s="593"/>
      <c r="B171" s="593"/>
      <c r="C171" s="633" t="s">
        <v>1013</v>
      </c>
      <c r="D171" s="734">
        <f>SUM(E171:AI171)</f>
        <v>220.19422816723181</v>
      </c>
      <c r="E171" s="630">
        <f>E261+E276+E284</f>
        <v>7.822616</v>
      </c>
      <c r="F171" s="630">
        <f t="shared" ref="F171:AH171" si="141">F261+F276+F284</f>
        <v>6.374191560287862</v>
      </c>
      <c r="G171" s="630">
        <f t="shared" si="141"/>
        <v>3.0188616791092997</v>
      </c>
      <c r="H171" s="630">
        <f t="shared" si="141"/>
        <v>0</v>
      </c>
      <c r="I171" s="630">
        <f t="shared" si="141"/>
        <v>1.3821998090235783</v>
      </c>
      <c r="J171" s="630">
        <f t="shared" si="141"/>
        <v>20.761802440575234</v>
      </c>
      <c r="K171" s="630">
        <f t="shared" si="141"/>
        <v>0.50712666226996284</v>
      </c>
      <c r="L171" s="630">
        <f t="shared" si="141"/>
        <v>0</v>
      </c>
      <c r="M171" s="630">
        <f t="shared" si="141"/>
        <v>1.5814091185773478</v>
      </c>
      <c r="N171" s="630">
        <f t="shared" si="141"/>
        <v>15.134</v>
      </c>
      <c r="O171" s="630">
        <f t="shared" si="141"/>
        <v>6.6411918432716286</v>
      </c>
      <c r="P171" s="630">
        <f t="shared" si="141"/>
        <v>4.305142839664474</v>
      </c>
      <c r="Q171" s="630">
        <f t="shared" si="141"/>
        <v>4.778381043354857</v>
      </c>
      <c r="R171" s="630">
        <f t="shared" si="141"/>
        <v>0</v>
      </c>
      <c r="S171" s="630">
        <f t="shared" si="141"/>
        <v>4.976231239915915</v>
      </c>
      <c r="T171" s="630">
        <f t="shared" si="141"/>
        <v>2.8000000000000001E-2</v>
      </c>
      <c r="U171" s="630">
        <f t="shared" si="141"/>
        <v>0</v>
      </c>
      <c r="V171" s="630">
        <f t="shared" si="141"/>
        <v>0</v>
      </c>
      <c r="W171" s="630">
        <f t="shared" si="141"/>
        <v>0</v>
      </c>
      <c r="X171" s="630">
        <f t="shared" si="141"/>
        <v>65.749931490147986</v>
      </c>
      <c r="Y171" s="630">
        <f t="shared" si="141"/>
        <v>40.253514415614561</v>
      </c>
      <c r="Z171" s="630">
        <f t="shared" si="141"/>
        <v>3.3260000000000001</v>
      </c>
      <c r="AA171" s="630">
        <f t="shared" si="141"/>
        <v>1.1764074125265247</v>
      </c>
      <c r="AB171" s="630">
        <f t="shared" si="141"/>
        <v>2.3849999999999998</v>
      </c>
      <c r="AC171" s="630">
        <f t="shared" si="141"/>
        <v>0</v>
      </c>
      <c r="AD171" s="630">
        <f t="shared" si="141"/>
        <v>6.3036857613207209</v>
      </c>
      <c r="AE171" s="630">
        <f t="shared" si="141"/>
        <v>20.416454518077344</v>
      </c>
      <c r="AF171" s="630">
        <f t="shared" si="141"/>
        <v>3.2720803334945692</v>
      </c>
      <c r="AG171" s="630">
        <f t="shared" si="141"/>
        <v>0</v>
      </c>
      <c r="AH171" s="630">
        <f t="shared" si="141"/>
        <v>0</v>
      </c>
      <c r="AI171" s="509"/>
      <c r="AJ171" s="165"/>
      <c r="AK171" s="165"/>
      <c r="AL171" s="165"/>
      <c r="AM171" s="165"/>
      <c r="AN171" s="165"/>
      <c r="AO171" s="165"/>
      <c r="AP171" s="165"/>
      <c r="AQ171" s="165"/>
      <c r="AR171" s="165"/>
      <c r="AS171" s="165"/>
      <c r="AT171" s="165"/>
      <c r="AU171" s="165"/>
      <c r="AV171" s="165"/>
      <c r="AW171" s="165"/>
      <c r="AX171" s="165"/>
      <c r="AY171" s="165"/>
    </row>
    <row r="172" spans="1:51" s="164" customFormat="1">
      <c r="A172" s="593"/>
      <c r="B172" s="593"/>
      <c r="C172" s="633" t="s">
        <v>1014</v>
      </c>
      <c r="D172" s="646">
        <f t="shared" si="136"/>
        <v>463.53612530100781</v>
      </c>
      <c r="E172" s="630">
        <f t="shared" ref="E172:AH172" si="142">E265+E269+E272+E277+E287</f>
        <v>21.004445141210304</v>
      </c>
      <c r="F172" s="630">
        <f t="shared" si="142"/>
        <v>0.93245978093034154</v>
      </c>
      <c r="G172" s="630">
        <f t="shared" si="142"/>
        <v>8.0987032520190922</v>
      </c>
      <c r="H172" s="630">
        <f t="shared" si="142"/>
        <v>0</v>
      </c>
      <c r="I172" s="630">
        <f t="shared" si="142"/>
        <v>5.1487467036432859</v>
      </c>
      <c r="J172" s="630">
        <f t="shared" si="142"/>
        <v>56.57689076730005</v>
      </c>
      <c r="K172" s="630">
        <f t="shared" si="142"/>
        <v>3.7844427025126164</v>
      </c>
      <c r="L172" s="630">
        <f t="shared" si="142"/>
        <v>1.4005099038991509</v>
      </c>
      <c r="M172" s="630">
        <f t="shared" si="142"/>
        <v>79.062131723344919</v>
      </c>
      <c r="N172" s="630">
        <f t="shared" si="142"/>
        <v>5.5439805503142292</v>
      </c>
      <c r="O172" s="630">
        <f t="shared" si="142"/>
        <v>62.215956215964603</v>
      </c>
      <c r="P172" s="630">
        <f t="shared" si="142"/>
        <v>10.940582327133527</v>
      </c>
      <c r="Q172" s="630">
        <f t="shared" si="142"/>
        <v>1.6002622953286036</v>
      </c>
      <c r="R172" s="630">
        <f t="shared" si="142"/>
        <v>3.7552063874092863</v>
      </c>
      <c r="S172" s="630">
        <f t="shared" si="142"/>
        <v>2.2187235342611222</v>
      </c>
      <c r="T172" s="630">
        <f t="shared" si="142"/>
        <v>7.971558222222221</v>
      </c>
      <c r="U172" s="630">
        <f t="shared" si="142"/>
        <v>0</v>
      </c>
      <c r="V172" s="630">
        <f t="shared" si="142"/>
        <v>0.71977334769756929</v>
      </c>
      <c r="W172" s="630">
        <f t="shared" si="142"/>
        <v>0</v>
      </c>
      <c r="X172" s="630">
        <f t="shared" si="142"/>
        <v>54.87786987551366</v>
      </c>
      <c r="Y172" s="630">
        <f t="shared" si="142"/>
        <v>62.605211638175177</v>
      </c>
      <c r="Z172" s="630">
        <f t="shared" si="142"/>
        <v>15.002020959866307</v>
      </c>
      <c r="AA172" s="630">
        <f t="shared" si="142"/>
        <v>0.1862873050339019</v>
      </c>
      <c r="AB172" s="630">
        <f t="shared" si="142"/>
        <v>0.76340336686262489</v>
      </c>
      <c r="AC172" s="630">
        <f t="shared" si="142"/>
        <v>3.7281475030455038</v>
      </c>
      <c r="AD172" s="630">
        <f t="shared" si="142"/>
        <v>1.1162434469631717</v>
      </c>
      <c r="AE172" s="630">
        <f t="shared" si="142"/>
        <v>39.443447850114772</v>
      </c>
      <c r="AF172" s="630">
        <f t="shared" si="142"/>
        <v>14.839120500241851</v>
      </c>
      <c r="AG172" s="630">
        <f t="shared" si="142"/>
        <v>0</v>
      </c>
      <c r="AH172" s="630">
        <f t="shared" si="142"/>
        <v>0</v>
      </c>
      <c r="AI172" s="509"/>
      <c r="AJ172" s="165"/>
      <c r="AK172" s="165"/>
      <c r="AL172" s="165"/>
      <c r="AM172" s="165"/>
      <c r="AN172" s="165"/>
      <c r="AO172" s="165"/>
      <c r="AP172" s="165"/>
      <c r="AQ172" s="165"/>
      <c r="AR172" s="165"/>
      <c r="AS172" s="165"/>
      <c r="AT172" s="165"/>
      <c r="AU172" s="165"/>
      <c r="AV172" s="165"/>
      <c r="AW172" s="165"/>
      <c r="AX172" s="165"/>
      <c r="AY172" s="165"/>
    </row>
    <row r="173" spans="1:51" s="164" customFormat="1">
      <c r="A173" s="593"/>
      <c r="B173" s="593"/>
      <c r="C173" s="631"/>
      <c r="D173" s="609"/>
      <c r="E173" s="629"/>
      <c r="F173" s="629"/>
      <c r="G173" s="629"/>
      <c r="H173" s="629"/>
      <c r="I173" s="629"/>
      <c r="J173" s="629"/>
      <c r="K173" s="629"/>
      <c r="L173" s="629"/>
      <c r="M173" s="629"/>
      <c r="N173" s="629"/>
      <c r="O173" s="629"/>
      <c r="P173" s="629"/>
      <c r="Q173" s="629"/>
      <c r="R173" s="629"/>
      <c r="S173" s="629"/>
      <c r="T173" s="629"/>
      <c r="U173" s="629"/>
      <c r="V173" s="629"/>
      <c r="W173" s="629"/>
      <c r="X173" s="629"/>
      <c r="Y173" s="629"/>
      <c r="Z173" s="629"/>
      <c r="AA173" s="629"/>
      <c r="AB173" s="629"/>
      <c r="AC173" s="629"/>
      <c r="AD173" s="629"/>
      <c r="AE173" s="629"/>
      <c r="AF173" s="629"/>
      <c r="AG173" s="629"/>
      <c r="AH173" s="629"/>
      <c r="AI173" s="509"/>
      <c r="AJ173" s="165"/>
      <c r="AK173" s="165"/>
      <c r="AL173" s="165"/>
      <c r="AM173" s="165"/>
      <c r="AN173" s="165"/>
      <c r="AO173" s="165"/>
      <c r="AP173" s="165"/>
      <c r="AQ173" s="165"/>
      <c r="AR173" s="165"/>
      <c r="AS173" s="165"/>
      <c r="AT173" s="165"/>
      <c r="AU173" s="165"/>
      <c r="AV173" s="165"/>
      <c r="AW173" s="165"/>
      <c r="AX173" s="165"/>
      <c r="AY173" s="165"/>
    </row>
    <row r="174" spans="1:51" s="164" customFormat="1">
      <c r="A174" s="593"/>
      <c r="B174" s="593"/>
      <c r="C174" s="629"/>
      <c r="D174" s="629"/>
      <c r="E174" s="629"/>
      <c r="F174" s="629"/>
      <c r="G174" s="629"/>
      <c r="H174" s="629"/>
      <c r="I174" s="629"/>
      <c r="J174" s="629"/>
      <c r="K174" s="629"/>
      <c r="L174" s="629"/>
      <c r="M174" s="629"/>
      <c r="N174" s="629"/>
      <c r="O174" s="629"/>
      <c r="P174" s="629"/>
      <c r="Q174" s="629"/>
      <c r="R174" s="629"/>
      <c r="S174" s="629"/>
      <c r="T174" s="629"/>
      <c r="U174" s="629"/>
      <c r="V174" s="629"/>
      <c r="W174" s="629"/>
      <c r="X174" s="629"/>
      <c r="Y174" s="629"/>
      <c r="Z174" s="629"/>
      <c r="AA174" s="629"/>
      <c r="AB174" s="629"/>
      <c r="AC174" s="629"/>
      <c r="AD174" s="629"/>
      <c r="AE174" s="629"/>
      <c r="AF174" s="629"/>
      <c r="AG174" s="629"/>
      <c r="AH174" s="629"/>
      <c r="AI174" s="509"/>
      <c r="AJ174" s="165"/>
      <c r="AK174" s="165"/>
      <c r="AL174" s="165"/>
      <c r="AM174" s="165"/>
      <c r="AN174" s="165"/>
      <c r="AO174" s="165"/>
      <c r="AP174" s="165"/>
      <c r="AQ174" s="165"/>
      <c r="AR174" s="165"/>
      <c r="AS174" s="165"/>
      <c r="AT174" s="165"/>
      <c r="AU174" s="165"/>
      <c r="AV174" s="165"/>
      <c r="AW174" s="165"/>
      <c r="AX174" s="165"/>
      <c r="AY174" s="165"/>
    </row>
    <row r="175" spans="1:51" s="164" customFormat="1">
      <c r="A175" s="593"/>
      <c r="B175" s="593"/>
      <c r="C175" s="638"/>
      <c r="D175" s="609"/>
      <c r="E175" s="629"/>
      <c r="F175" s="629"/>
      <c r="G175" s="629"/>
      <c r="H175" s="629"/>
      <c r="I175" s="629"/>
      <c r="J175" s="629"/>
      <c r="K175" s="629"/>
      <c r="L175" s="629"/>
      <c r="M175" s="629"/>
      <c r="N175" s="629"/>
      <c r="O175" s="629"/>
      <c r="P175" s="629"/>
      <c r="Q175" s="629"/>
      <c r="R175" s="629"/>
      <c r="S175" s="629"/>
      <c r="T175" s="629"/>
      <c r="U175" s="629"/>
      <c r="V175" s="629"/>
      <c r="W175" s="629"/>
      <c r="X175" s="629"/>
      <c r="Y175" s="629"/>
      <c r="Z175" s="629"/>
      <c r="AA175" s="629"/>
      <c r="AB175" s="629"/>
      <c r="AC175" s="629"/>
      <c r="AD175" s="629"/>
      <c r="AE175" s="629"/>
      <c r="AF175" s="629"/>
      <c r="AG175" s="629"/>
      <c r="AH175" s="629"/>
      <c r="AI175" s="509"/>
      <c r="AJ175" s="165"/>
      <c r="AK175" s="165"/>
      <c r="AL175" s="165"/>
      <c r="AM175" s="165"/>
      <c r="AN175" s="165"/>
      <c r="AO175" s="165"/>
      <c r="AP175" s="165"/>
      <c r="AQ175" s="165"/>
      <c r="AR175" s="165"/>
      <c r="AS175" s="165"/>
      <c r="AT175" s="165"/>
      <c r="AU175" s="165"/>
      <c r="AV175" s="165"/>
      <c r="AW175" s="165"/>
      <c r="AX175" s="165"/>
      <c r="AY175" s="165"/>
    </row>
    <row r="176" spans="1:51" s="602" customFormat="1" ht="18" customHeight="1">
      <c r="A176" s="601"/>
      <c r="B176" s="601"/>
      <c r="C176" s="640" t="s">
        <v>997</v>
      </c>
      <c r="D176" s="647"/>
      <c r="E176" s="648"/>
      <c r="F176" s="648"/>
      <c r="G176" s="648"/>
      <c r="H176" s="648"/>
      <c r="I176" s="648"/>
      <c r="J176" s="648"/>
      <c r="K176" s="648"/>
      <c r="L176" s="648"/>
      <c r="M176" s="648"/>
      <c r="N176" s="648"/>
      <c r="O176" s="648"/>
      <c r="P176" s="648"/>
      <c r="Q176" s="648"/>
      <c r="R176" s="648"/>
      <c r="S176" s="648"/>
      <c r="T176" s="648"/>
      <c r="U176" s="648"/>
      <c r="V176" s="648"/>
      <c r="W176" s="648"/>
      <c r="X176" s="648"/>
      <c r="Y176" s="648"/>
      <c r="Z176" s="648"/>
      <c r="AA176" s="648"/>
      <c r="AB176" s="648"/>
      <c r="AC176" s="648"/>
      <c r="AD176" s="648"/>
      <c r="AE176" s="648"/>
      <c r="AF176" s="648"/>
      <c r="AG176" s="648"/>
      <c r="AH176" s="648"/>
      <c r="AI176" s="605"/>
      <c r="AJ176" s="603"/>
      <c r="AK176" s="603"/>
      <c r="AL176" s="603"/>
      <c r="AM176" s="603"/>
      <c r="AN176" s="603"/>
      <c r="AO176" s="603"/>
      <c r="AP176" s="603"/>
      <c r="AQ176" s="603"/>
      <c r="AR176" s="603"/>
      <c r="AS176" s="603"/>
      <c r="AT176" s="603"/>
      <c r="AU176" s="603"/>
      <c r="AV176" s="603"/>
      <c r="AW176" s="603"/>
      <c r="AX176" s="603"/>
      <c r="AY176" s="603"/>
    </row>
    <row r="177" spans="1:67" s="164" customFormat="1">
      <c r="A177" s="593"/>
      <c r="B177" s="593"/>
      <c r="C177" s="638"/>
      <c r="D177" s="609"/>
      <c r="E177" s="557"/>
      <c r="F177" s="557"/>
      <c r="G177" s="557"/>
      <c r="H177" s="557"/>
      <c r="I177" s="557"/>
      <c r="J177" s="557"/>
      <c r="K177" s="557"/>
      <c r="L177" s="557"/>
      <c r="M177" s="557"/>
      <c r="N177" s="557"/>
      <c r="O177" s="557"/>
      <c r="P177" s="557"/>
      <c r="Q177" s="557"/>
      <c r="R177" s="557"/>
      <c r="S177" s="557"/>
      <c r="T177" s="557"/>
      <c r="U177" s="557"/>
      <c r="V177" s="557"/>
      <c r="W177" s="557"/>
      <c r="X177" s="557"/>
      <c r="Y177" s="557"/>
      <c r="Z177" s="557"/>
      <c r="AA177" s="557"/>
      <c r="AB177" s="557"/>
      <c r="AC177" s="557"/>
      <c r="AD177" s="557"/>
      <c r="AE177" s="557"/>
      <c r="AF177" s="557"/>
      <c r="AG177" s="557"/>
      <c r="AH177" s="557"/>
      <c r="AI177" s="509"/>
      <c r="AJ177" s="165"/>
      <c r="AK177" s="165"/>
      <c r="AL177" s="165"/>
      <c r="AM177" s="165"/>
      <c r="AN177" s="165"/>
      <c r="AO177" s="165"/>
      <c r="AP177" s="165"/>
      <c r="AQ177" s="165"/>
      <c r="AR177" s="165"/>
      <c r="AS177" s="165"/>
      <c r="AT177" s="165"/>
      <c r="AU177" s="165"/>
      <c r="AV177" s="165"/>
      <c r="AW177" s="165"/>
      <c r="AX177" s="165"/>
      <c r="AY177" s="165"/>
    </row>
    <row r="178" spans="1:67" s="164" customFormat="1" ht="13.5" thickBot="1">
      <c r="A178" s="593"/>
      <c r="B178" s="593"/>
      <c r="C178" s="620" t="s">
        <v>1059</v>
      </c>
      <c r="D178" s="621">
        <f>SUM(D179:D186)</f>
        <v>1634.9992205580618</v>
      </c>
      <c r="E178" s="620">
        <f>SUM(E179:E186)</f>
        <v>22.605</v>
      </c>
      <c r="F178" s="620">
        <f t="shared" ref="F178:AH178" si="143">SUM(F179:F186)</f>
        <v>13.493000000000002</v>
      </c>
      <c r="G178" s="620">
        <f t="shared" si="143"/>
        <v>14.648</v>
      </c>
      <c r="H178" s="620">
        <f t="shared" si="143"/>
        <v>0</v>
      </c>
      <c r="I178" s="620">
        <f t="shared" si="143"/>
        <v>68.682000000000002</v>
      </c>
      <c r="J178" s="620">
        <f t="shared" si="143"/>
        <v>314.97799999999995</v>
      </c>
      <c r="K178" s="620">
        <f t="shared" si="143"/>
        <v>38.690000000000005</v>
      </c>
      <c r="L178" s="620">
        <f t="shared" si="143"/>
        <v>0.81299999999999994</v>
      </c>
      <c r="M178" s="620">
        <f t="shared" si="143"/>
        <v>171.45499999999998</v>
      </c>
      <c r="N178" s="620">
        <f t="shared" si="143"/>
        <v>53.146000000000001</v>
      </c>
      <c r="O178" s="620">
        <f t="shared" si="143"/>
        <v>154.80200000000002</v>
      </c>
      <c r="P178" s="620">
        <f t="shared" si="143"/>
        <v>0.97899999999999998</v>
      </c>
      <c r="Q178" s="620">
        <f t="shared" si="143"/>
        <v>3.1259999999999999</v>
      </c>
      <c r="R178" s="620">
        <f t="shared" si="143"/>
        <v>4.4450000000000003</v>
      </c>
      <c r="S178" s="620">
        <f t="shared" si="143"/>
        <v>259.64100000000002</v>
      </c>
      <c r="T178" s="620">
        <f t="shared" si="143"/>
        <v>1.363</v>
      </c>
      <c r="U178" s="620">
        <f t="shared" si="143"/>
        <v>5.1890000000000001</v>
      </c>
      <c r="V178" s="620">
        <f t="shared" si="143"/>
        <v>0.77900000000000003</v>
      </c>
      <c r="W178" s="620">
        <f t="shared" si="143"/>
        <v>0</v>
      </c>
      <c r="X178" s="620">
        <f t="shared" si="143"/>
        <v>75.411999999999992</v>
      </c>
      <c r="Y178" s="620">
        <f t="shared" si="143"/>
        <v>88.951999999999998</v>
      </c>
      <c r="Z178" s="620">
        <f t="shared" si="143"/>
        <v>35.835999999999999</v>
      </c>
      <c r="AA178" s="620">
        <f t="shared" si="143"/>
        <v>24.85</v>
      </c>
      <c r="AB178" s="620">
        <f t="shared" si="143"/>
        <v>55.463999999999999</v>
      </c>
      <c r="AC178" s="620">
        <f t="shared" si="143"/>
        <v>2.2669999999999999</v>
      </c>
      <c r="AD178" s="620">
        <f t="shared" si="143"/>
        <v>15.106</v>
      </c>
      <c r="AE178" s="620">
        <f t="shared" si="143"/>
        <v>172.74679599999999</v>
      </c>
      <c r="AF178" s="620">
        <f t="shared" si="143"/>
        <v>35.531424558061602</v>
      </c>
      <c r="AG178" s="620">
        <f t="shared" si="143"/>
        <v>0</v>
      </c>
      <c r="AH178" s="620">
        <f t="shared" si="143"/>
        <v>0</v>
      </c>
      <c r="AI178" s="509"/>
      <c r="AJ178" s="165"/>
      <c r="AK178" s="165"/>
      <c r="AL178" s="165"/>
      <c r="AM178" s="165"/>
      <c r="AN178" s="165"/>
      <c r="AO178" s="165"/>
      <c r="AP178" s="165"/>
      <c r="AQ178" s="165"/>
      <c r="AR178" s="165"/>
      <c r="AS178" s="165"/>
      <c r="AT178" s="165"/>
      <c r="AU178" s="165"/>
      <c r="AV178" s="165"/>
      <c r="AW178" s="165"/>
      <c r="AX178" s="165"/>
      <c r="AY178" s="165"/>
    </row>
    <row r="179" spans="1:67" s="164" customFormat="1">
      <c r="A179" s="593" t="s">
        <v>1008</v>
      </c>
      <c r="B179" s="593"/>
      <c r="C179" s="623" t="s">
        <v>69</v>
      </c>
      <c r="D179" s="622">
        <f>SUM(E179:AH179)</f>
        <v>186.898</v>
      </c>
      <c r="E179" s="607">
        <f>'Eurostat Resume'!F9</f>
        <v>1.27</v>
      </c>
      <c r="F179" s="607">
        <f>'Eurostat Resume'!G9</f>
        <v>1.8169999999999999</v>
      </c>
      <c r="G179" s="607">
        <f>'Eurostat Resume'!H9</f>
        <v>5.05</v>
      </c>
      <c r="H179" s="607">
        <f>'Eurostat Resume'!I9</f>
        <v>0</v>
      </c>
      <c r="I179" s="607">
        <f>'Eurostat Resume'!J9</f>
        <v>39.018000000000001</v>
      </c>
      <c r="J179" s="607">
        <f>'Eurostat Resume'!K9</f>
        <v>17.405000000000001</v>
      </c>
      <c r="K179" s="607">
        <f>'Eurostat Resume'!L9</f>
        <v>0.13300000000000001</v>
      </c>
      <c r="L179" s="607">
        <f>'Eurostat Resume'!M9</f>
        <v>0.21099999999999999</v>
      </c>
      <c r="M179" s="607">
        <f>'Eurostat Resume'!N9</f>
        <v>1.9370000000000001</v>
      </c>
      <c r="N179" s="607">
        <f>'Eurostat Resume'!O9</f>
        <v>3.149</v>
      </c>
      <c r="O179" s="607">
        <f>'Eurostat Resume'!P9</f>
        <v>18.356000000000002</v>
      </c>
      <c r="P179" s="607">
        <f>'Eurostat Resume'!Q9</f>
        <v>0</v>
      </c>
      <c r="Q179" s="607">
        <f>'Eurostat Resume'!R9</f>
        <v>0</v>
      </c>
      <c r="R179" s="607">
        <f>'Eurostat Resume'!S9</f>
        <v>0.77600000000000002</v>
      </c>
      <c r="S179" s="607">
        <f>'Eurostat Resume'!T9</f>
        <v>2.7650000000000001</v>
      </c>
      <c r="T179" s="607">
        <f>'Eurostat Resume'!U9</f>
        <v>0</v>
      </c>
      <c r="U179" s="607">
        <f>'Eurostat Resume'!V9</f>
        <v>0</v>
      </c>
      <c r="V179" s="607">
        <f>'Eurostat Resume'!W9</f>
        <v>0</v>
      </c>
      <c r="W179" s="607">
        <f>'Eurostat Resume'!X9</f>
        <v>0</v>
      </c>
      <c r="X179" s="607">
        <f>'Eurostat Resume'!Y9</f>
        <v>0</v>
      </c>
      <c r="Y179" s="607">
        <f>'Eurostat Resume'!Z9</f>
        <v>65.293999999999997</v>
      </c>
      <c r="Z179" s="607">
        <f>'Eurostat Resume'!AA9</f>
        <v>0</v>
      </c>
      <c r="AA179" s="607">
        <f>'Eurostat Resume'!AB9</f>
        <v>18.067</v>
      </c>
      <c r="AB179" s="607">
        <f>'Eurostat Resume'!AC9</f>
        <v>0.161</v>
      </c>
      <c r="AC179" s="607">
        <f>'Eurostat Resume'!AD9</f>
        <v>0.32600000000000001</v>
      </c>
      <c r="AD179" s="607">
        <f>'Eurostat Resume'!AE9</f>
        <v>5.7320000000000002</v>
      </c>
      <c r="AE179" s="607">
        <f>'Eurostat Resume'!AF9</f>
        <v>5.431</v>
      </c>
      <c r="AF179" s="607">
        <f>'Eurostat Resume'!AG9</f>
        <v>0</v>
      </c>
      <c r="AG179" s="607">
        <f>'Eurostat Resume'!AH9</f>
        <v>0</v>
      </c>
      <c r="AH179" s="607">
        <f>'Eurostat Resume'!AI9</f>
        <v>0</v>
      </c>
      <c r="AI179" s="509"/>
      <c r="AJ179" s="165"/>
      <c r="AK179" s="165"/>
      <c r="AL179" s="165"/>
      <c r="AM179" s="165"/>
      <c r="AN179" s="165"/>
      <c r="AO179" s="165"/>
      <c r="AP179" s="165"/>
      <c r="AQ179" s="165"/>
      <c r="AR179" s="165"/>
      <c r="AS179" s="165"/>
      <c r="AT179" s="165"/>
      <c r="AU179" s="165"/>
      <c r="AV179" s="165"/>
      <c r="AW179" s="165"/>
      <c r="AX179" s="165"/>
      <c r="AY179" s="165"/>
    </row>
    <row r="180" spans="1:67" s="164" customFormat="1">
      <c r="A180" s="593" t="s">
        <v>1008</v>
      </c>
      <c r="B180" s="593"/>
      <c r="C180" s="623" t="s">
        <v>304</v>
      </c>
      <c r="D180" s="622">
        <f t="shared" ref="D180:D186" si="144">SUM(E180:AH180)</f>
        <v>48.164417901791467</v>
      </c>
      <c r="E180" s="607">
        <f>'Eurostat Resume'!F12</f>
        <v>0</v>
      </c>
      <c r="F180" s="607">
        <f>'Eurostat Resume'!G12</f>
        <v>0</v>
      </c>
      <c r="G180" s="607">
        <f>'Eurostat Resume'!H12</f>
        <v>0.317</v>
      </c>
      <c r="H180" s="607">
        <f>'Eurostat Resume'!I12</f>
        <v>0</v>
      </c>
      <c r="I180" s="607">
        <f>'Eurostat Resume'!J12</f>
        <v>0</v>
      </c>
      <c r="J180" s="607">
        <f>'Eurostat Resume'!K12</f>
        <v>1.4359999999999999</v>
      </c>
      <c r="K180" s="607">
        <f>'Eurostat Resume'!L12</f>
        <v>1.56</v>
      </c>
      <c r="L180" s="607">
        <f>'Eurostat Resume'!M12</f>
        <v>0</v>
      </c>
      <c r="M180" s="607">
        <f>'Eurostat Resume'!N12</f>
        <v>0</v>
      </c>
      <c r="N180" s="607">
        <f>'Eurostat Resume'!O12</f>
        <v>0</v>
      </c>
      <c r="O180" s="607">
        <f>'Eurostat Resume'!P12</f>
        <v>0.44600000000000001</v>
      </c>
      <c r="P180" s="607">
        <f>'Eurostat Resume'!Q12</f>
        <v>0</v>
      </c>
      <c r="Q180" s="607">
        <f>'Eurostat Resume'!R12</f>
        <v>0</v>
      </c>
      <c r="R180" s="607">
        <f>'Eurostat Resume'!S12</f>
        <v>0</v>
      </c>
      <c r="S180" s="607">
        <f>'Eurostat Resume'!T12</f>
        <v>28.908000000000001</v>
      </c>
      <c r="T180" s="607">
        <f>'Eurostat Resume'!U12</f>
        <v>0</v>
      </c>
      <c r="U180" s="607">
        <f>'Eurostat Resume'!V12</f>
        <v>0</v>
      </c>
      <c r="V180" s="607">
        <f>'Eurostat Resume'!W12</f>
        <v>0</v>
      </c>
      <c r="W180" s="607">
        <f>'Eurostat Resume'!X12</f>
        <v>0</v>
      </c>
      <c r="X180" s="607">
        <f>'Eurostat Resume'!Y12</f>
        <v>12.881</v>
      </c>
      <c r="Y180" s="607">
        <f>'Eurostat Resume'!Z12</f>
        <v>0</v>
      </c>
      <c r="Z180" s="607">
        <f>'Eurostat Resume'!AA12</f>
        <v>0</v>
      </c>
      <c r="AA180" s="607">
        <f>'Eurostat Resume'!AB12</f>
        <v>0.33700000000000002</v>
      </c>
      <c r="AB180" s="607">
        <f>'Eurostat Resume'!AC12</f>
        <v>0</v>
      </c>
      <c r="AC180" s="607">
        <f>'Eurostat Resume'!AD12</f>
        <v>0</v>
      </c>
      <c r="AD180" s="607">
        <f>'Eurostat Resume'!AE12</f>
        <v>9.9000000000000005E-2</v>
      </c>
      <c r="AE180" s="607">
        <f>'Eurostat Resume'!AF12</f>
        <v>0</v>
      </c>
      <c r="AF180" s="607">
        <f>'Eurostat Resume'!AG12</f>
        <v>2.180417901791468</v>
      </c>
      <c r="AG180" s="607">
        <f>'Eurostat Resume'!AH12</f>
        <v>0</v>
      </c>
      <c r="AH180" s="607">
        <f>'Eurostat Resume'!AI12</f>
        <v>0</v>
      </c>
      <c r="AI180" s="509"/>
      <c r="AJ180" s="165"/>
      <c r="AK180" s="165"/>
      <c r="AL180" s="165"/>
      <c r="AM180" s="165"/>
      <c r="AN180" s="165"/>
      <c r="AO180" s="165"/>
      <c r="AP180" s="165"/>
      <c r="AQ180" s="165"/>
      <c r="AR180" s="165"/>
      <c r="AS180" s="165"/>
      <c r="AT180" s="165"/>
      <c r="AU180" s="165"/>
      <c r="AV180" s="165"/>
      <c r="AW180" s="165"/>
      <c r="AX180" s="165"/>
      <c r="AY180" s="165"/>
    </row>
    <row r="181" spans="1:67" s="164" customFormat="1">
      <c r="A181" s="593" t="s">
        <v>1008</v>
      </c>
      <c r="B181" s="593"/>
      <c r="C181" s="623" t="s">
        <v>70</v>
      </c>
      <c r="D181" s="622">
        <f t="shared" si="144"/>
        <v>232.49562685268717</v>
      </c>
      <c r="E181" s="607">
        <f>'Eurostat Resume'!F11-'Eurostat Resume'!F12</f>
        <v>0.36</v>
      </c>
      <c r="F181" s="607">
        <f>'Eurostat Resume'!G11-'Eurostat Resume'!G12</f>
        <v>3.5920000000000001</v>
      </c>
      <c r="G181" s="607">
        <f>'Eurostat Resume'!H11-'Eurostat Resume'!H12</f>
        <v>3.2749999999999999</v>
      </c>
      <c r="H181" s="607">
        <f>'Eurostat Resume'!I11-'Eurostat Resume'!I12</f>
        <v>0</v>
      </c>
      <c r="I181" s="607">
        <f>'Eurostat Resume'!J11-'Eurostat Resume'!J12</f>
        <v>1.0129999999999999</v>
      </c>
      <c r="J181" s="607">
        <f>'Eurostat Resume'!K11-'Eurostat Resume'!K12</f>
        <v>25.119</v>
      </c>
      <c r="K181" s="607">
        <f>'Eurostat Resume'!L11-'Eurostat Resume'!L12</f>
        <v>24.995000000000001</v>
      </c>
      <c r="L181" s="607">
        <f>'Eurostat Resume'!M11-'Eurostat Resume'!M12</f>
        <v>0</v>
      </c>
      <c r="M181" s="607">
        <f>'Eurostat Resume'!N11-'Eurostat Resume'!N12</f>
        <v>35.68</v>
      </c>
      <c r="N181" s="607">
        <f>'Eurostat Resume'!O11-'Eurostat Resume'!O12</f>
        <v>2.363</v>
      </c>
      <c r="O181" s="607">
        <f>'Eurostat Resume'!P11-'Eurostat Resume'!P12</f>
        <v>13.367000000000001</v>
      </c>
      <c r="P181" s="607">
        <f>'Eurostat Resume'!Q11-'Eurostat Resume'!Q12</f>
        <v>0.24</v>
      </c>
      <c r="Q181" s="607">
        <f>'Eurostat Resume'!R11-'Eurostat Resume'!R12</f>
        <v>0.2</v>
      </c>
      <c r="R181" s="607">
        <f>'Eurostat Resume'!S11-'Eurostat Resume'!S12</f>
        <v>0</v>
      </c>
      <c r="S181" s="607">
        <f>'Eurostat Resume'!T11-'Eurostat Resume'!T12</f>
        <v>84.167000000000002</v>
      </c>
      <c r="T181" s="607">
        <f>'Eurostat Resume'!U11-'Eurostat Resume'!U12</f>
        <v>0</v>
      </c>
      <c r="U181" s="607">
        <f>'Eurostat Resume'!V11-'Eurostat Resume'!V12</f>
        <v>0</v>
      </c>
      <c r="V181" s="607">
        <f>'Eurostat Resume'!W11-'Eurostat Resume'!W12</f>
        <v>0</v>
      </c>
      <c r="W181" s="607">
        <f>'Eurostat Resume'!X11-'Eurostat Resume'!X12</f>
        <v>0</v>
      </c>
      <c r="X181" s="607">
        <f>'Eurostat Resume'!Y11-'Eurostat Resume'!Y12</f>
        <v>5.41</v>
      </c>
      <c r="Y181" s="607">
        <f>'Eurostat Resume'!Z11-'Eurostat Resume'!Z12</f>
        <v>1.08</v>
      </c>
      <c r="Z181" s="607">
        <f>'Eurostat Resume'!AA11-'Eurostat Resume'!AA12</f>
        <v>10.523</v>
      </c>
      <c r="AA181" s="607">
        <f>'Eurostat Resume'!AB11-'Eurostat Resume'!AB12</f>
        <v>1.48</v>
      </c>
      <c r="AB181" s="607">
        <f>'Eurostat Resume'!AC11-'Eurostat Resume'!AC12</f>
        <v>3.16</v>
      </c>
      <c r="AC181" s="607">
        <f>'Eurostat Resume'!AD11-'Eurostat Resume'!AD12</f>
        <v>0.16</v>
      </c>
      <c r="AD181" s="607">
        <f>'Eurostat Resume'!AE11-'Eurostat Resume'!AE12</f>
        <v>3.7199999999999998</v>
      </c>
      <c r="AE181" s="607">
        <f>'Eurostat Resume'!AF11-'Eurostat Resume'!AF12</f>
        <v>9.3209999999999997</v>
      </c>
      <c r="AF181" s="607">
        <f>'Eurostat Resume'!AG11-'Eurostat Resume'!AG12</f>
        <v>3.2706268526872013</v>
      </c>
      <c r="AG181" s="607">
        <f>'Eurostat Resume'!AH11-'Eurostat Resume'!AH12</f>
        <v>0</v>
      </c>
      <c r="AH181" s="607">
        <f>'Eurostat Resume'!AI11-'Eurostat Resume'!AI12</f>
        <v>0</v>
      </c>
      <c r="AI181" s="509"/>
      <c r="AJ181" s="165"/>
      <c r="AK181" s="165"/>
      <c r="AL181" s="165"/>
      <c r="AM181" s="165"/>
      <c r="AN181" s="165"/>
      <c r="AO181" s="165"/>
      <c r="AP181" s="165"/>
      <c r="AQ181" s="165"/>
      <c r="AR181" s="165"/>
      <c r="AS181" s="165"/>
      <c r="AT181" s="165"/>
      <c r="AU181" s="165"/>
      <c r="AV181" s="165"/>
      <c r="AW181" s="165"/>
      <c r="AX181" s="165"/>
      <c r="AY181" s="165"/>
    </row>
    <row r="182" spans="1:67" s="164" customFormat="1">
      <c r="A182" s="593" t="s">
        <v>1008</v>
      </c>
      <c r="B182" s="593"/>
      <c r="C182" s="623" t="s">
        <v>305</v>
      </c>
      <c r="D182" s="622">
        <f t="shared" si="144"/>
        <v>932.30615881556901</v>
      </c>
      <c r="E182" s="607">
        <f>'Eurostat Resume'!F16-'Eurostat Resume'!F17</f>
        <v>11.539</v>
      </c>
      <c r="F182" s="607">
        <f>'Eurostat Resume'!G16-'Eurostat Resume'!G17</f>
        <v>3.0770000000000004</v>
      </c>
      <c r="G182" s="607">
        <f>'Eurostat Resume'!H16-'Eurostat Resume'!H17</f>
        <v>3.0770000000000004</v>
      </c>
      <c r="H182" s="607">
        <f>'Eurostat Resume'!I16-'Eurostat Resume'!I17</f>
        <v>0</v>
      </c>
      <c r="I182" s="607">
        <f>'Eurostat Resume'!J16-'Eurostat Resume'!J17</f>
        <v>7.4879999999999995</v>
      </c>
      <c r="J182" s="607">
        <f>'Eurostat Resume'!K16-'Eurostat Resume'!K17</f>
        <v>227.596</v>
      </c>
      <c r="K182" s="607">
        <f>'Eurostat Resume'!L16-'Eurostat Resume'!L17</f>
        <v>11.601000000000001</v>
      </c>
      <c r="L182" s="607">
        <f>'Eurostat Resume'!M16-'Eurostat Resume'!M17</f>
        <v>0.34199999999999997</v>
      </c>
      <c r="M182" s="607">
        <f>'Eurostat Resume'!N16-'Eurostat Resume'!N17</f>
        <v>119.96799999999999</v>
      </c>
      <c r="N182" s="607">
        <f>'Eurostat Resume'!O16-'Eurostat Resume'!O17</f>
        <v>12.494</v>
      </c>
      <c r="O182" s="607">
        <f>'Eurostat Resume'!P16-'Eurostat Resume'!P17</f>
        <v>113.321</v>
      </c>
      <c r="P182" s="607">
        <f>'Eurostat Resume'!Q16-'Eurostat Resume'!Q17</f>
        <v>0.73899999999999999</v>
      </c>
      <c r="Q182" s="607">
        <f>'Eurostat Resume'!R16-'Eurostat Resume'!R17</f>
        <v>2.75</v>
      </c>
      <c r="R182" s="607">
        <f>'Eurostat Resume'!S16-'Eurostat Resume'!S17</f>
        <v>3.5670000000000002</v>
      </c>
      <c r="S182" s="607">
        <f>'Eurostat Resume'!T16-'Eurostat Resume'!T17</f>
        <v>142.00200000000001</v>
      </c>
      <c r="T182" s="607">
        <f>'Eurostat Resume'!U16-'Eurostat Resume'!U17</f>
        <v>1.1719999999999999</v>
      </c>
      <c r="U182" s="607">
        <f>'Eurostat Resume'!V16-'Eurostat Resume'!V17</f>
        <v>5.1890000000000001</v>
      </c>
      <c r="V182" s="607">
        <f>'Eurostat Resume'!W16-'Eurostat Resume'!W17</f>
        <v>0.77100000000000002</v>
      </c>
      <c r="W182" s="607">
        <f>'Eurostat Resume'!X16-'Eurostat Resume'!X17</f>
        <v>-0.46700000000000003</v>
      </c>
      <c r="X182" s="607">
        <f>'Eurostat Resume'!Y16-'Eurostat Resume'!Y17</f>
        <v>56.134</v>
      </c>
      <c r="Y182" s="607">
        <f>'Eurostat Resume'!Z16-'Eurostat Resume'!Z17</f>
        <v>14.586</v>
      </c>
      <c r="Z182" s="607">
        <f>'Eurostat Resume'!AA16-'Eurostat Resume'!AA17</f>
        <v>16.630000000000003</v>
      </c>
      <c r="AA182" s="607">
        <f>'Eurostat Resume'!AB16-'Eurostat Resume'!AB17</f>
        <v>4.9320000000000004</v>
      </c>
      <c r="AB182" s="607">
        <f>'Eurostat Resume'!AC16-'Eurostat Resume'!AC17</f>
        <v>-1.6720000000000002</v>
      </c>
      <c r="AC182" s="607">
        <f>'Eurostat Resume'!AD16-'Eurostat Resume'!AD17</f>
        <v>-1.8140000000000001</v>
      </c>
      <c r="AD182" s="607">
        <f>'Eurostat Resume'!AE16-'Eurostat Resume'!AE17</f>
        <v>4.2709999999999999</v>
      </c>
      <c r="AE182" s="607">
        <f>'Eurostat Resume'!AF16-'Eurostat Resume'!AF17</f>
        <v>156.02699999999999</v>
      </c>
      <c r="AF182" s="607">
        <f>'Eurostat Resume'!AG16-'Eurostat Resume'!AG17</f>
        <v>16.986158815569013</v>
      </c>
      <c r="AG182" s="607">
        <f>'Eurostat Resume'!AH16-'Eurostat Resume'!AH17</f>
        <v>0</v>
      </c>
      <c r="AH182" s="607">
        <f>'Eurostat Resume'!AI16-'Eurostat Resume'!AI17</f>
        <v>0</v>
      </c>
      <c r="AI182" s="509"/>
      <c r="AJ182" s="165"/>
      <c r="AK182" s="165"/>
      <c r="AL182" s="165"/>
      <c r="AM182" s="165"/>
      <c r="AN182" s="165"/>
      <c r="AO182" s="165"/>
      <c r="AP182" s="165"/>
      <c r="AQ182" s="165"/>
      <c r="AR182" s="165"/>
      <c r="AS182" s="165"/>
      <c r="AT182" s="165"/>
      <c r="AU182" s="165"/>
      <c r="AV182" s="165"/>
      <c r="AW182" s="165"/>
      <c r="AX182" s="165"/>
      <c r="AY182" s="165"/>
    </row>
    <row r="183" spans="1:67" s="164" customFormat="1">
      <c r="A183" s="604" t="s">
        <v>1008</v>
      </c>
      <c r="B183" s="604"/>
      <c r="C183" s="623" t="s">
        <v>306</v>
      </c>
      <c r="D183" s="622">
        <f t="shared" si="144"/>
        <v>50.445782349529573</v>
      </c>
      <c r="E183" s="607">
        <f>'Eurostat Resume'!F17</f>
        <v>0</v>
      </c>
      <c r="F183" s="607">
        <f>'Eurostat Resume'!G17</f>
        <v>2.9289999999999998</v>
      </c>
      <c r="G183" s="607">
        <f>'Eurostat Resume'!H17</f>
        <v>2.9289999999999998</v>
      </c>
      <c r="H183" s="607">
        <f>'Eurostat Resume'!I17</f>
        <v>0</v>
      </c>
      <c r="I183" s="607">
        <f>'Eurostat Resume'!J17</f>
        <v>17.565000000000001</v>
      </c>
      <c r="J183" s="607">
        <f>'Eurostat Resume'!K17</f>
        <v>7.3129999999999997</v>
      </c>
      <c r="K183" s="607">
        <f>'Eurostat Resume'!L17</f>
        <v>0</v>
      </c>
      <c r="L183" s="607">
        <f>'Eurostat Resume'!M17</f>
        <v>0.158</v>
      </c>
      <c r="M183" s="607">
        <f>'Eurostat Resume'!N17</f>
        <v>1.1259999999999999</v>
      </c>
      <c r="N183" s="607">
        <f>'Eurostat Resume'!O17</f>
        <v>4.0000000000000001E-3</v>
      </c>
      <c r="O183" s="607">
        <f>'Eurostat Resume'!P17</f>
        <v>3.3239999999999998</v>
      </c>
      <c r="P183" s="607">
        <f>'Eurostat Resume'!Q17</f>
        <v>0</v>
      </c>
      <c r="Q183" s="607">
        <f>'Eurostat Resume'!R17</f>
        <v>0</v>
      </c>
      <c r="R183" s="607">
        <f>'Eurostat Resume'!S17</f>
        <v>0</v>
      </c>
      <c r="S183" s="607">
        <f>'Eurostat Resume'!T17</f>
        <v>0.106</v>
      </c>
      <c r="T183" s="607">
        <f>'Eurostat Resume'!U17</f>
        <v>0</v>
      </c>
      <c r="U183" s="607">
        <f>'Eurostat Resume'!V17</f>
        <v>0</v>
      </c>
      <c r="V183" s="607">
        <f>'Eurostat Resume'!W17</f>
        <v>0</v>
      </c>
      <c r="W183" s="607">
        <f>'Eurostat Resume'!X17</f>
        <v>0.46700000000000003</v>
      </c>
      <c r="X183" s="607">
        <f>'Eurostat Resume'!Y17</f>
        <v>0.98699999999999999</v>
      </c>
      <c r="Y183" s="607">
        <f>'Eurostat Resume'!Z17</f>
        <v>0</v>
      </c>
      <c r="Z183" s="607">
        <f>'Eurostat Resume'!AA17</f>
        <v>1.101</v>
      </c>
      <c r="AA183" s="607">
        <f>'Eurostat Resume'!AB17</f>
        <v>0</v>
      </c>
      <c r="AB183" s="607">
        <f>'Eurostat Resume'!AC17</f>
        <v>2.0920000000000001</v>
      </c>
      <c r="AC183" s="607">
        <f>'Eurostat Resume'!AD17</f>
        <v>2.665</v>
      </c>
      <c r="AD183" s="607">
        <f>'Eurostat Resume'!AE17</f>
        <v>0.4</v>
      </c>
      <c r="AE183" s="607">
        <f>'Eurostat Resume'!AF17</f>
        <v>0</v>
      </c>
      <c r="AF183" s="607">
        <f>'Eurostat Resume'!AG17</f>
        <v>7.2797823495295777</v>
      </c>
      <c r="AG183" s="607">
        <f>'Eurostat Resume'!AH17</f>
        <v>0</v>
      </c>
      <c r="AH183" s="607">
        <f>'Eurostat Resume'!AI17</f>
        <v>0</v>
      </c>
      <c r="AI183" s="509"/>
      <c r="AJ183" s="165"/>
      <c r="AK183" s="165"/>
      <c r="AL183" s="165"/>
      <c r="AM183" s="165"/>
      <c r="AN183" s="165"/>
      <c r="AO183" s="165"/>
      <c r="AP183" s="165"/>
      <c r="AQ183" s="165"/>
      <c r="AR183" s="165"/>
      <c r="AS183" s="165"/>
      <c r="AT183" s="165"/>
      <c r="AU183" s="165"/>
      <c r="AV183" s="165"/>
      <c r="AW183" s="165"/>
      <c r="AX183" s="165"/>
      <c r="AY183" s="165"/>
    </row>
    <row r="184" spans="1:67" s="164" customFormat="1">
      <c r="A184" s="604" t="s">
        <v>1008</v>
      </c>
      <c r="B184" s="604"/>
      <c r="C184" s="667" t="s">
        <v>559</v>
      </c>
      <c r="D184" s="622">
        <f t="shared" si="144"/>
        <v>11.055999999999999</v>
      </c>
      <c r="E184" s="607">
        <f>'Eurostat Resume'!F20</f>
        <v>0.107</v>
      </c>
      <c r="F184" s="607">
        <f>'Eurostat Resume'!G20</f>
        <v>3.0000000000000001E-3</v>
      </c>
      <c r="G184" s="607">
        <f>'Eurostat Resume'!H20</f>
        <v>0</v>
      </c>
      <c r="H184" s="607">
        <f>'Eurostat Resume'!I20</f>
        <v>0</v>
      </c>
      <c r="I184" s="607">
        <f>'Eurostat Resume'!J20</f>
        <v>0</v>
      </c>
      <c r="J184" s="607">
        <f>'Eurostat Resume'!K20</f>
        <v>10.942</v>
      </c>
      <c r="K184" s="607">
        <f>'Eurostat Resume'!L20</f>
        <v>0</v>
      </c>
      <c r="L184" s="607">
        <f>'Eurostat Resume'!M20</f>
        <v>0</v>
      </c>
      <c r="M184" s="607">
        <f>'Eurostat Resume'!N20</f>
        <v>0</v>
      </c>
      <c r="N184" s="607">
        <f>'Eurostat Resume'!O20</f>
        <v>0</v>
      </c>
      <c r="O184" s="607">
        <f>'Eurostat Resume'!P20</f>
        <v>0</v>
      </c>
      <c r="P184" s="607">
        <f>'Eurostat Resume'!Q20</f>
        <v>0</v>
      </c>
      <c r="Q184" s="607">
        <f>'Eurostat Resume'!R20</f>
        <v>0</v>
      </c>
      <c r="R184" s="607">
        <f>'Eurostat Resume'!S20</f>
        <v>0</v>
      </c>
      <c r="S184" s="607">
        <f>'Eurostat Resume'!T20</f>
        <v>0</v>
      </c>
      <c r="T184" s="607">
        <f>'Eurostat Resume'!U20</f>
        <v>0</v>
      </c>
      <c r="U184" s="607">
        <f>'Eurostat Resume'!V20</f>
        <v>0</v>
      </c>
      <c r="V184" s="607">
        <f>'Eurostat Resume'!W20</f>
        <v>0</v>
      </c>
      <c r="W184" s="607">
        <f>'Eurostat Resume'!X20</f>
        <v>0</v>
      </c>
      <c r="X184" s="607">
        <f>'Eurostat Resume'!Y20</f>
        <v>0</v>
      </c>
      <c r="Y184" s="607">
        <f>'Eurostat Resume'!Z20</f>
        <v>0</v>
      </c>
      <c r="Z184" s="607">
        <f>'Eurostat Resume'!AA20</f>
        <v>0</v>
      </c>
      <c r="AA184" s="607">
        <f>'Eurostat Resume'!AB20</f>
        <v>0</v>
      </c>
      <c r="AB184" s="607">
        <f>'Eurostat Resume'!AC20</f>
        <v>4.0000000000000001E-3</v>
      </c>
      <c r="AC184" s="607">
        <f>'Eurostat Resume'!AD20</f>
        <v>0</v>
      </c>
      <c r="AD184" s="607">
        <f>'Eurostat Resume'!AE20</f>
        <v>0</v>
      </c>
      <c r="AE184" s="607">
        <f>'Eurostat Resume'!AF20</f>
        <v>0</v>
      </c>
      <c r="AF184" s="607">
        <f>'Eurostat Resume'!AG20</f>
        <v>0</v>
      </c>
      <c r="AG184" s="607">
        <f>'Eurostat Resume'!AH20</f>
        <v>0</v>
      </c>
      <c r="AH184" s="607">
        <f>'Eurostat Resume'!AI20</f>
        <v>0</v>
      </c>
      <c r="AI184" s="509"/>
      <c r="AJ184" s="165"/>
      <c r="AK184" s="165"/>
      <c r="AL184" s="165"/>
      <c r="AM184" s="165"/>
      <c r="AN184" s="165"/>
      <c r="AO184" s="165"/>
      <c r="AP184" s="165"/>
      <c r="AQ184" s="165"/>
      <c r="AR184" s="165"/>
      <c r="AS184" s="165"/>
      <c r="AT184" s="165"/>
      <c r="AU184" s="165"/>
      <c r="AV184" s="165"/>
      <c r="AW184" s="165"/>
      <c r="AX184" s="165"/>
      <c r="AY184" s="165"/>
    </row>
    <row r="185" spans="1:67" s="164" customFormat="1">
      <c r="A185" s="593" t="s">
        <v>1326</v>
      </c>
      <c r="B185" s="593"/>
      <c r="C185" s="623" t="s">
        <v>316</v>
      </c>
      <c r="D185" s="622">
        <f t="shared" si="144"/>
        <v>12.627839999999999</v>
      </c>
      <c r="E185" s="607">
        <f t="shared" ref="E185:AH185" si="145">E67</f>
        <v>0.375</v>
      </c>
      <c r="F185" s="607">
        <f t="shared" si="145"/>
        <v>0.374</v>
      </c>
      <c r="G185" s="607">
        <f t="shared" si="145"/>
        <v>0</v>
      </c>
      <c r="H185" s="607">
        <f t="shared" si="145"/>
        <v>0</v>
      </c>
      <c r="I185" s="607">
        <f t="shared" si="145"/>
        <v>0.18700000000000006</v>
      </c>
      <c r="J185" s="607">
        <f t="shared" si="145"/>
        <v>0</v>
      </c>
      <c r="K185" s="607">
        <f t="shared" si="145"/>
        <v>0.23900000000000077</v>
      </c>
      <c r="L185" s="607">
        <f t="shared" si="145"/>
        <v>0</v>
      </c>
      <c r="M185" s="607">
        <f t="shared" si="145"/>
        <v>0</v>
      </c>
      <c r="N185" s="607">
        <f t="shared" si="145"/>
        <v>0.39100000000000001</v>
      </c>
      <c r="O185" s="607">
        <f t="shared" si="145"/>
        <v>0</v>
      </c>
      <c r="P185" s="607">
        <f t="shared" si="145"/>
        <v>0</v>
      </c>
      <c r="Q185" s="607">
        <f t="shared" si="145"/>
        <v>0.122</v>
      </c>
      <c r="R185" s="607">
        <f t="shared" si="145"/>
        <v>0</v>
      </c>
      <c r="S185" s="607">
        <f t="shared" si="145"/>
        <v>0.91500000000000004</v>
      </c>
      <c r="T185" s="607">
        <f t="shared" si="145"/>
        <v>0</v>
      </c>
      <c r="U185" s="607">
        <f t="shared" si="145"/>
        <v>0</v>
      </c>
      <c r="V185" s="607">
        <f t="shared" si="145"/>
        <v>0</v>
      </c>
      <c r="W185" s="607">
        <f t="shared" si="145"/>
        <v>0</v>
      </c>
      <c r="X185" s="607">
        <f t="shared" si="145"/>
        <v>0</v>
      </c>
      <c r="Y185" s="607">
        <f t="shared" si="145"/>
        <v>1.798</v>
      </c>
      <c r="Z185" s="607">
        <f t="shared" si="145"/>
        <v>0</v>
      </c>
      <c r="AA185" s="607">
        <f t="shared" si="145"/>
        <v>0</v>
      </c>
      <c r="AB185" s="607">
        <f t="shared" si="145"/>
        <v>0</v>
      </c>
      <c r="AC185" s="607">
        <f t="shared" si="145"/>
        <v>9.1999999999999998E-2</v>
      </c>
      <c r="AD185" s="607">
        <f t="shared" si="145"/>
        <v>0.66</v>
      </c>
      <c r="AE185" s="607">
        <f t="shared" si="145"/>
        <v>1.9677959999999999</v>
      </c>
      <c r="AF185" s="607">
        <f t="shared" si="145"/>
        <v>5.5070439999999996</v>
      </c>
      <c r="AG185" s="607">
        <f t="shared" si="145"/>
        <v>0</v>
      </c>
      <c r="AH185" s="607">
        <f t="shared" si="145"/>
        <v>0</v>
      </c>
      <c r="AI185" s="509"/>
      <c r="AJ185" s="165"/>
      <c r="AK185" s="165"/>
      <c r="AL185" s="165"/>
      <c r="AM185" s="165"/>
      <c r="AN185" s="165"/>
      <c r="AO185" s="165"/>
      <c r="AP185" s="165"/>
      <c r="AQ185" s="165"/>
      <c r="AR185" s="165"/>
      <c r="AS185" s="165"/>
      <c r="AT185" s="165"/>
      <c r="AU185" s="165"/>
      <c r="AV185" s="165"/>
      <c r="AW185" s="165"/>
      <c r="AX185" s="165"/>
      <c r="AY185" s="165"/>
    </row>
    <row r="186" spans="1:67" s="164" customFormat="1">
      <c r="A186" s="593" t="s">
        <v>1008</v>
      </c>
      <c r="B186" s="593"/>
      <c r="C186" s="623" t="s">
        <v>97</v>
      </c>
      <c r="D186" s="622">
        <f t="shared" si="144"/>
        <v>161.00539463848432</v>
      </c>
      <c r="E186" s="607">
        <f>'Eurostat Resume'!F22</f>
        <v>8.9540000000000006</v>
      </c>
      <c r="F186" s="607">
        <f>'Eurostat Resume'!G22</f>
        <v>1.7010000000000001</v>
      </c>
      <c r="G186" s="607">
        <f>'Eurostat Resume'!H22</f>
        <v>0</v>
      </c>
      <c r="H186" s="607">
        <f>'Eurostat Resume'!I22</f>
        <v>0</v>
      </c>
      <c r="I186" s="607">
        <f>'Eurostat Resume'!J22</f>
        <v>3.411</v>
      </c>
      <c r="J186" s="607">
        <f>'Eurostat Resume'!K22</f>
        <v>25.167000000000002</v>
      </c>
      <c r="K186" s="607">
        <f>'Eurostat Resume'!L22</f>
        <v>0.16200000000000001</v>
      </c>
      <c r="L186" s="607">
        <f>'Eurostat Resume'!M22</f>
        <v>0.10199999999999999</v>
      </c>
      <c r="M186" s="607">
        <f>'Eurostat Resume'!N22</f>
        <v>12.744</v>
      </c>
      <c r="N186" s="607">
        <f>'Eurostat Resume'!O22</f>
        <v>34.744999999999997</v>
      </c>
      <c r="O186" s="607">
        <f>'Eurostat Resume'!P22</f>
        <v>5.9880000000000004</v>
      </c>
      <c r="P186" s="607">
        <f>'Eurostat Resume'!Q22</f>
        <v>0</v>
      </c>
      <c r="Q186" s="607">
        <f>'Eurostat Resume'!R22</f>
        <v>5.3999999999999999E-2</v>
      </c>
      <c r="R186" s="607">
        <f>'Eurostat Resume'!S22</f>
        <v>0.10199999999999999</v>
      </c>
      <c r="S186" s="607">
        <f>'Eurostat Resume'!T22</f>
        <v>0.77800000000000002</v>
      </c>
      <c r="T186" s="607">
        <f>'Eurostat Resume'!U22</f>
        <v>0.191</v>
      </c>
      <c r="U186" s="607">
        <f>'Eurostat Resume'!V22</f>
        <v>0</v>
      </c>
      <c r="V186" s="607">
        <f>'Eurostat Resume'!W22</f>
        <v>8.0000000000000002E-3</v>
      </c>
      <c r="W186" s="607">
        <f>'Eurostat Resume'!X22</f>
        <v>0</v>
      </c>
      <c r="X186" s="607">
        <f>'Eurostat Resume'!Y22</f>
        <v>0</v>
      </c>
      <c r="Y186" s="607">
        <f>'Eurostat Resume'!Z22</f>
        <v>6.194</v>
      </c>
      <c r="Z186" s="607">
        <f>'Eurostat Resume'!AA22</f>
        <v>7.5819999999999999</v>
      </c>
      <c r="AA186" s="607">
        <f>'Eurostat Resume'!AB22</f>
        <v>3.4000000000000002E-2</v>
      </c>
      <c r="AB186" s="607">
        <f>'Eurostat Resume'!AC22</f>
        <v>51.719000000000001</v>
      </c>
      <c r="AC186" s="607">
        <f>'Eurostat Resume'!AD22</f>
        <v>0.83799999999999997</v>
      </c>
      <c r="AD186" s="607">
        <f>'Eurostat Resume'!AE22</f>
        <v>0.224</v>
      </c>
      <c r="AE186" s="607">
        <f>'Eurostat Resume'!AF22</f>
        <v>0</v>
      </c>
      <c r="AF186" s="607">
        <f>'Eurostat Resume'!AG22</f>
        <v>0.30739463848434073</v>
      </c>
      <c r="AG186" s="607">
        <f>'Eurostat Resume'!AH22</f>
        <v>0</v>
      </c>
      <c r="AH186" s="607">
        <f>'Eurostat Resume'!AI22</f>
        <v>0</v>
      </c>
      <c r="AI186" s="509"/>
      <c r="AJ186" s="165"/>
      <c r="AK186" s="165"/>
      <c r="AL186" s="165"/>
      <c r="AM186" s="165"/>
      <c r="AN186" s="165"/>
      <c r="AO186" s="165"/>
      <c r="AP186" s="165"/>
      <c r="AQ186" s="165"/>
      <c r="AR186" s="165"/>
      <c r="AS186" s="165"/>
      <c r="AT186" s="165"/>
      <c r="AU186" s="165"/>
      <c r="AV186" s="165"/>
      <c r="AW186" s="165"/>
      <c r="AX186" s="165"/>
      <c r="AY186" s="165"/>
    </row>
    <row r="187" spans="1:67" s="164" customFormat="1">
      <c r="A187" s="593"/>
      <c r="B187" s="593"/>
      <c r="C187" s="638"/>
      <c r="D187" s="609"/>
      <c r="E187" s="629"/>
      <c r="F187" s="629"/>
      <c r="G187" s="629"/>
      <c r="H187" s="629"/>
      <c r="I187" s="629"/>
      <c r="J187" s="629"/>
      <c r="K187" s="629"/>
      <c r="L187" s="629"/>
      <c r="M187" s="629"/>
      <c r="N187" s="629"/>
      <c r="O187" s="629"/>
      <c r="P187" s="629"/>
      <c r="Q187" s="629"/>
      <c r="R187" s="629"/>
      <c r="S187" s="629"/>
      <c r="T187" s="629"/>
      <c r="U187" s="629"/>
      <c r="V187" s="629"/>
      <c r="W187" s="629"/>
      <c r="X187" s="629"/>
      <c r="Y187" s="629"/>
      <c r="Z187" s="629"/>
      <c r="AA187" s="629"/>
      <c r="AB187" s="629"/>
      <c r="AC187" s="629"/>
      <c r="AD187" s="629"/>
      <c r="AE187" s="629"/>
      <c r="AF187" s="629"/>
      <c r="AG187" s="629"/>
      <c r="AH187" s="629"/>
      <c r="AI187" s="509"/>
      <c r="AJ187" s="165"/>
      <c r="AK187" s="165"/>
      <c r="AL187" s="165"/>
      <c r="AM187" s="165"/>
      <c r="AN187" s="165"/>
      <c r="AO187" s="165"/>
      <c r="AP187" s="165"/>
      <c r="AQ187" s="165"/>
      <c r="AR187" s="165"/>
      <c r="AS187" s="165"/>
      <c r="AT187" s="165"/>
      <c r="AU187" s="165"/>
      <c r="AV187" s="165"/>
      <c r="AW187" s="165"/>
      <c r="AX187" s="165"/>
      <c r="AY187" s="165"/>
    </row>
    <row r="188" spans="1:67" s="180" customFormat="1" ht="13.5" thickBot="1">
      <c r="A188" s="593" t="s">
        <v>1305</v>
      </c>
      <c r="B188" s="593"/>
      <c r="C188" s="620" t="s">
        <v>1057</v>
      </c>
      <c r="D188" s="620">
        <f>SUM(D189:D194)</f>
        <v>3127.1680768485003</v>
      </c>
      <c r="E188" s="620">
        <f>SUM(E189:E194)</f>
        <v>92.511010184041993</v>
      </c>
      <c r="F188" s="620">
        <f t="shared" ref="F188:AH188" si="146">SUM(F189:F194)</f>
        <v>27.745513007506723</v>
      </c>
      <c r="G188" s="620">
        <f t="shared" si="146"/>
        <v>33.171097399347083</v>
      </c>
      <c r="H188" s="620">
        <f t="shared" si="146"/>
        <v>0</v>
      </c>
      <c r="I188" s="620">
        <f t="shared" si="146"/>
        <v>122.79604999999999</v>
      </c>
      <c r="J188" s="620">
        <f>SUM(J189:J194)</f>
        <v>475.62570495678796</v>
      </c>
      <c r="K188" s="620">
        <f t="shared" si="146"/>
        <v>46.71375185702221</v>
      </c>
      <c r="L188" s="620">
        <f t="shared" si="146"/>
        <v>3.0241275845016764</v>
      </c>
      <c r="M188" s="620">
        <f t="shared" si="146"/>
        <v>352.04694227650441</v>
      </c>
      <c r="N188" s="620">
        <f t="shared" si="146"/>
        <v>211.16663577105373</v>
      </c>
      <c r="O188" s="620">
        <f t="shared" si="146"/>
        <v>318.88552853993588</v>
      </c>
      <c r="P188" s="620">
        <f t="shared" si="146"/>
        <v>18.540395166798003</v>
      </c>
      <c r="Q188" s="620">
        <f t="shared" si="146"/>
        <v>13.642266852241312</v>
      </c>
      <c r="R188" s="620">
        <f t="shared" si="146"/>
        <v>10.148501499565157</v>
      </c>
      <c r="S188" s="620">
        <f t="shared" si="146"/>
        <v>271.06734229814731</v>
      </c>
      <c r="T188" s="620">
        <f t="shared" si="146"/>
        <v>11.372222222222222</v>
      </c>
      <c r="U188" s="620">
        <f t="shared" si="146"/>
        <v>4.0650026746140906</v>
      </c>
      <c r="V188" s="620">
        <f t="shared" si="146"/>
        <v>1.8627750939345142</v>
      </c>
      <c r="W188" s="620">
        <f t="shared" si="146"/>
        <v>0</v>
      </c>
      <c r="X188" s="620">
        <f t="shared" si="146"/>
        <v>231.31731740820121</v>
      </c>
      <c r="Y188" s="620">
        <f t="shared" si="146"/>
        <v>265.16239192753125</v>
      </c>
      <c r="Z188" s="620">
        <f t="shared" si="146"/>
        <v>62.497414491141612</v>
      </c>
      <c r="AA188" s="620">
        <f t="shared" si="146"/>
        <v>32.147999999999989</v>
      </c>
      <c r="AB188" s="620">
        <f t="shared" si="146"/>
        <v>108.27923809158746</v>
      </c>
      <c r="AC188" s="620">
        <f t="shared" si="146"/>
        <v>12.14485306877911</v>
      </c>
      <c r="AD188" s="620">
        <f t="shared" si="146"/>
        <v>32.241500000000002</v>
      </c>
      <c r="AE188" s="620">
        <f t="shared" si="146"/>
        <v>294.48045898354093</v>
      </c>
      <c r="AF188" s="620">
        <f t="shared" si="146"/>
        <v>74.512035493494011</v>
      </c>
      <c r="AG188" s="620">
        <f t="shared" si="146"/>
        <v>0</v>
      </c>
      <c r="AH188" s="620">
        <f t="shared" si="146"/>
        <v>0</v>
      </c>
      <c r="AI188" s="164"/>
      <c r="AJ188" s="164"/>
      <c r="AK188" s="164"/>
      <c r="AL188" s="164"/>
      <c r="AM188" s="164"/>
      <c r="AN188" s="164"/>
      <c r="AO188" s="164"/>
      <c r="AP188" s="164"/>
      <c r="AQ188" s="164"/>
      <c r="AR188" s="164"/>
      <c r="AS188" s="164"/>
      <c r="AT188" s="164"/>
      <c r="AU188" s="164"/>
      <c r="AV188" s="164"/>
      <c r="AW188" s="164"/>
      <c r="AX188" s="164"/>
      <c r="AY188" s="164"/>
      <c r="AZ188" s="164"/>
      <c r="BA188" s="164"/>
      <c r="BB188" s="164"/>
      <c r="BC188" s="164"/>
      <c r="BD188" s="164"/>
      <c r="BE188" s="164"/>
      <c r="BF188" s="164"/>
      <c r="BG188" s="164"/>
      <c r="BH188" s="164"/>
      <c r="BI188" s="164"/>
      <c r="BJ188" s="164"/>
      <c r="BK188" s="164"/>
      <c r="BL188" s="164"/>
      <c r="BM188" s="164"/>
      <c r="BN188" s="164"/>
      <c r="BO188" s="164"/>
    </row>
    <row r="189" spans="1:67" s="180" customFormat="1">
      <c r="A189" s="593" t="s">
        <v>1305</v>
      </c>
      <c r="B189" s="593"/>
      <c r="C189" s="667" t="s">
        <v>69</v>
      </c>
      <c r="D189" s="607">
        <f>D212</f>
        <v>384.4153727495368</v>
      </c>
      <c r="E189" s="607">
        <f>E212</f>
        <v>5.1974776789972728</v>
      </c>
      <c r="F189" s="607">
        <f t="shared" ref="F189:AH189" si="147">F212</f>
        <v>3.7362778577514049</v>
      </c>
      <c r="G189" s="607">
        <f t="shared" si="147"/>
        <v>11.435966812309037</v>
      </c>
      <c r="H189" s="607">
        <f t="shared" si="147"/>
        <v>0</v>
      </c>
      <c r="I189" s="607">
        <f>I212</f>
        <v>76.293108513147544</v>
      </c>
      <c r="J189" s="607">
        <f>J212</f>
        <v>26.282043173722911</v>
      </c>
      <c r="K189" s="607">
        <f t="shared" si="147"/>
        <v>0.1605822950887556</v>
      </c>
      <c r="L189" s="607">
        <f t="shared" si="147"/>
        <v>0.7848596806025262</v>
      </c>
      <c r="M189" s="607">
        <f t="shared" si="147"/>
        <v>3.9772239199182824</v>
      </c>
      <c r="N189" s="607">
        <f t="shared" si="147"/>
        <v>12.512018515844058</v>
      </c>
      <c r="O189" s="607">
        <f>O212</f>
        <v>22.812578402598568</v>
      </c>
      <c r="P189" s="607">
        <f t="shared" si="147"/>
        <v>0</v>
      </c>
      <c r="Q189" s="607">
        <f t="shared" si="147"/>
        <v>0</v>
      </c>
      <c r="R189" s="607">
        <f t="shared" si="147"/>
        <v>1.7717068984617683</v>
      </c>
      <c r="S189" s="607">
        <f t="shared" si="147"/>
        <v>2.8866827714204515</v>
      </c>
      <c r="T189" s="607">
        <f t="shared" si="147"/>
        <v>0</v>
      </c>
      <c r="U189" s="607">
        <f t="shared" si="147"/>
        <v>0</v>
      </c>
      <c r="V189" s="607">
        <f t="shared" si="147"/>
        <v>0</v>
      </c>
      <c r="W189" s="607">
        <f t="shared" si="147"/>
        <v>0</v>
      </c>
      <c r="X189" s="607">
        <f t="shared" si="147"/>
        <v>0</v>
      </c>
      <c r="Y189" s="607">
        <f>Y212</f>
        <v>169.6388301389089</v>
      </c>
      <c r="Z189" s="607">
        <f t="shared" si="147"/>
        <v>0</v>
      </c>
      <c r="AA189" s="607">
        <f t="shared" si="147"/>
        <v>23.372954366197177</v>
      </c>
      <c r="AB189" s="607">
        <f t="shared" si="147"/>
        <v>0.31431121687483021</v>
      </c>
      <c r="AC189" s="607">
        <f t="shared" si="147"/>
        <v>1.7464588003625894</v>
      </c>
      <c r="AD189" s="607">
        <f>AD212</f>
        <v>12.234097577121675</v>
      </c>
      <c r="AE189" s="607">
        <f>AE212</f>
        <v>9.258194130208997</v>
      </c>
      <c r="AF189" s="607">
        <f>AF212</f>
        <v>0</v>
      </c>
      <c r="AG189" s="607">
        <f t="shared" si="147"/>
        <v>0</v>
      </c>
      <c r="AH189" s="607">
        <f t="shared" si="147"/>
        <v>0</v>
      </c>
      <c r="AI189" s="164"/>
      <c r="AJ189" s="164"/>
      <c r="AK189" s="164"/>
      <c r="AL189" s="164"/>
      <c r="AM189" s="164"/>
      <c r="AN189" s="164"/>
      <c r="AO189" s="164"/>
      <c r="AP189" s="164"/>
      <c r="AQ189" s="164"/>
      <c r="AR189" s="164"/>
      <c r="AS189" s="164"/>
      <c r="AT189" s="164"/>
      <c r="AU189" s="164"/>
      <c r="AV189" s="164"/>
      <c r="AW189" s="164"/>
      <c r="AX189" s="164"/>
      <c r="AY189" s="164"/>
      <c r="AZ189" s="164"/>
      <c r="BA189" s="164"/>
      <c r="BB189" s="164"/>
      <c r="BC189" s="164"/>
      <c r="BD189" s="164"/>
      <c r="BE189" s="164"/>
      <c r="BF189" s="164"/>
      <c r="BG189" s="164"/>
      <c r="BH189" s="164"/>
      <c r="BI189" s="164"/>
      <c r="BJ189" s="164"/>
      <c r="BK189" s="164"/>
      <c r="BL189" s="164"/>
      <c r="BM189" s="164"/>
      <c r="BN189" s="164"/>
      <c r="BO189" s="164"/>
    </row>
    <row r="190" spans="1:67" s="180" customFormat="1">
      <c r="A190" s="593" t="s">
        <v>1305</v>
      </c>
      <c r="B190" s="593"/>
      <c r="C190" s="667" t="s">
        <v>70</v>
      </c>
      <c r="D190" s="607">
        <f>D230</f>
        <v>343.63528895573882</v>
      </c>
      <c r="E190" s="607">
        <f>E230</f>
        <v>1.4733007594008016</v>
      </c>
      <c r="F190" s="607">
        <f t="shared" ref="F190:AH190" si="148">F230</f>
        <v>7.3861915602878625</v>
      </c>
      <c r="G190" s="607">
        <f t="shared" si="148"/>
        <v>7.4163943188736825</v>
      </c>
      <c r="H190" s="607">
        <f t="shared" si="148"/>
        <v>0</v>
      </c>
      <c r="I190" s="607">
        <f t="shared" si="148"/>
        <v>1.9807503953000787</v>
      </c>
      <c r="J190" s="607">
        <f t="shared" si="148"/>
        <v>37.930401751263766</v>
      </c>
      <c r="K190" s="607">
        <f>K230</f>
        <v>25.178605005589823</v>
      </c>
      <c r="L190" s="607">
        <f t="shared" si="148"/>
        <v>0</v>
      </c>
      <c r="M190" s="607">
        <f>M230</f>
        <v>37.261409118577347</v>
      </c>
      <c r="N190" s="607">
        <f t="shared" si="148"/>
        <v>9.3889805503142281</v>
      </c>
      <c r="O190" s="607">
        <f t="shared" si="148"/>
        <v>19.535450833925424</v>
      </c>
      <c r="P190" s="607">
        <f t="shared" si="148"/>
        <v>4.5451428396644742</v>
      </c>
      <c r="Q190" s="607">
        <f t="shared" si="148"/>
        <v>0.87282577429566932</v>
      </c>
      <c r="R190" s="607">
        <f t="shared" si="148"/>
        <v>0</v>
      </c>
      <c r="S190" s="607">
        <f t="shared" si="148"/>
        <v>87.87104116533277</v>
      </c>
      <c r="T190" s="607">
        <f t="shared" si="148"/>
        <v>0</v>
      </c>
      <c r="U190" s="607">
        <f t="shared" si="148"/>
        <v>0</v>
      </c>
      <c r="V190" s="607">
        <f t="shared" si="148"/>
        <v>0</v>
      </c>
      <c r="W190" s="607">
        <f t="shared" si="148"/>
        <v>0</v>
      </c>
      <c r="X190" s="607">
        <f t="shared" si="148"/>
        <v>16.594529878247076</v>
      </c>
      <c r="Y190" s="607">
        <f t="shared" si="148"/>
        <v>28.219437261463867</v>
      </c>
      <c r="Z190" s="607">
        <f t="shared" si="148"/>
        <v>18.351944767560081</v>
      </c>
      <c r="AA190" s="607">
        <f t="shared" si="148"/>
        <v>1.914649496981891</v>
      </c>
      <c r="AB190" s="607">
        <f t="shared" si="148"/>
        <v>6.1690897225121946</v>
      </c>
      <c r="AC190" s="607">
        <f t="shared" si="148"/>
        <v>0.85715769342949155</v>
      </c>
      <c r="AD190" s="607">
        <f t="shared" si="148"/>
        <v>7.9397841917119027</v>
      </c>
      <c r="AE190" s="607">
        <f t="shared" si="148"/>
        <v>15.889454518077342</v>
      </c>
      <c r="AF190" s="607">
        <f>AF230</f>
        <v>6.8587473529290541</v>
      </c>
      <c r="AG190" s="607">
        <f t="shared" si="148"/>
        <v>0</v>
      </c>
      <c r="AH190" s="607">
        <f t="shared" si="148"/>
        <v>0</v>
      </c>
      <c r="AI190" s="164"/>
      <c r="AJ190" s="164"/>
      <c r="AK190" s="164"/>
      <c r="AL190" s="164"/>
      <c r="AM190" s="164"/>
      <c r="AN190" s="164"/>
      <c r="AO190" s="164"/>
      <c r="AP190" s="164"/>
      <c r="AQ190" s="164"/>
      <c r="AR190" s="164"/>
      <c r="AS190" s="164"/>
      <c r="AT190" s="164"/>
      <c r="AU190" s="164"/>
      <c r="AV190" s="164"/>
      <c r="AW190" s="164"/>
      <c r="AX190" s="164"/>
      <c r="AY190" s="164"/>
      <c r="AZ190" s="164"/>
      <c r="BA190" s="164"/>
      <c r="BB190" s="164"/>
      <c r="BC190" s="164"/>
      <c r="BD190" s="164"/>
      <c r="BE190" s="164"/>
      <c r="BF190" s="164"/>
      <c r="BG190" s="164"/>
      <c r="BH190" s="164"/>
      <c r="BI190" s="164"/>
      <c r="BJ190" s="164"/>
      <c r="BK190" s="164"/>
      <c r="BL190" s="164"/>
      <c r="BM190" s="164"/>
      <c r="BN190" s="164"/>
      <c r="BO190" s="164"/>
    </row>
    <row r="191" spans="1:67" s="180" customFormat="1">
      <c r="A191" s="593" t="s">
        <v>1305</v>
      </c>
      <c r="B191" s="593"/>
      <c r="C191" s="667" t="s">
        <v>305</v>
      </c>
      <c r="D191" s="607">
        <f>D239</f>
        <v>1810.7299901230028</v>
      </c>
      <c r="E191" s="607">
        <f>E239</f>
        <v>47.223381840905134</v>
      </c>
      <c r="F191" s="607">
        <f t="shared" ref="F191:AH191" si="149">F239</f>
        <v>12.350074195737447</v>
      </c>
      <c r="G191" s="607">
        <f t="shared" si="149"/>
        <v>13.600874589055065</v>
      </c>
      <c r="H191" s="607">
        <f t="shared" si="149"/>
        <v>0</v>
      </c>
      <c r="I191" s="607">
        <f t="shared" si="149"/>
        <v>25.986909825718534</v>
      </c>
      <c r="J191" s="607">
        <f t="shared" si="149"/>
        <v>354.71924618765155</v>
      </c>
      <c r="K191" s="607">
        <f t="shared" si="149"/>
        <v>19.006881243042507</v>
      </c>
      <c r="L191" s="607">
        <f t="shared" si="149"/>
        <v>1.8598570630391615</v>
      </c>
      <c r="M191" s="607">
        <f t="shared" si="149"/>
        <v>284.6411736492434</v>
      </c>
      <c r="N191" s="607">
        <f t="shared" si="149"/>
        <v>49.658687650371235</v>
      </c>
      <c r="O191" s="607">
        <f>O239</f>
        <v>220.28373326275386</v>
      </c>
      <c r="P191" s="607">
        <f>P239</f>
        <v>8.9952523271335281</v>
      </c>
      <c r="Q191" s="607">
        <f t="shared" si="149"/>
        <v>12.001354396565453</v>
      </c>
      <c r="R191" s="607">
        <f t="shared" si="149"/>
        <v>8.1439156015633092</v>
      </c>
      <c r="S191" s="607">
        <f t="shared" si="149"/>
        <v>148.36192234394846</v>
      </c>
      <c r="T191" s="607">
        <f t="shared" si="149"/>
        <v>9.7786092769218218</v>
      </c>
      <c r="U191" s="607">
        <f t="shared" si="149"/>
        <v>4.0650026746140906</v>
      </c>
      <c r="V191" s="607">
        <f t="shared" si="149"/>
        <v>1.84364518282864</v>
      </c>
      <c r="W191" s="607">
        <f t="shared" si="149"/>
        <v>0</v>
      </c>
      <c r="X191" s="607">
        <f>X239</f>
        <v>175.21185603980615</v>
      </c>
      <c r="Y191" s="607">
        <f t="shared" si="149"/>
        <v>43.480288792325872</v>
      </c>
      <c r="Z191" s="607">
        <f>Z239</f>
        <v>30.922582217391227</v>
      </c>
      <c r="AA191" s="607">
        <f t="shared" si="149"/>
        <v>6.3804400804828969</v>
      </c>
      <c r="AB191" s="607">
        <f t="shared" si="149"/>
        <v>0.81994230489086128</v>
      </c>
      <c r="AC191" s="607">
        <f t="shared" si="149"/>
        <v>4.5590074819281083</v>
      </c>
      <c r="AD191" s="607">
        <f t="shared" si="149"/>
        <v>9.9695516020124462</v>
      </c>
      <c r="AE191" s="607">
        <f t="shared" si="149"/>
        <v>265.978319932631</v>
      </c>
      <c r="AF191" s="607">
        <f t="shared" si="149"/>
        <v>50.887480360441366</v>
      </c>
      <c r="AG191" s="607">
        <f t="shared" si="149"/>
        <v>0</v>
      </c>
      <c r="AH191" s="607">
        <f t="shared" si="149"/>
        <v>0</v>
      </c>
      <c r="AI191" s="164"/>
      <c r="AJ191" s="164"/>
      <c r="AK191" s="164"/>
      <c r="AL191" s="164"/>
      <c r="AM191" s="164"/>
      <c r="AN191" s="164"/>
      <c r="AO191" s="164"/>
      <c r="AP191" s="164"/>
      <c r="AQ191" s="164"/>
      <c r="AR191" s="164"/>
      <c r="AS191" s="164"/>
      <c r="AT191" s="164"/>
      <c r="AU191" s="164"/>
      <c r="AV191" s="164"/>
      <c r="AW191" s="164"/>
      <c r="AX191" s="164"/>
      <c r="AY191" s="164"/>
      <c r="AZ191" s="164"/>
      <c r="BA191" s="164"/>
      <c r="BB191" s="164"/>
      <c r="BC191" s="164"/>
      <c r="BD191" s="164"/>
      <c r="BE191" s="164"/>
      <c r="BF191" s="164"/>
      <c r="BG191" s="164"/>
      <c r="BH191" s="164"/>
      <c r="BI191" s="164"/>
      <c r="BJ191" s="164"/>
      <c r="BK191" s="164"/>
      <c r="BL191" s="164"/>
      <c r="BM191" s="164"/>
      <c r="BN191" s="164"/>
      <c r="BO191" s="164"/>
    </row>
    <row r="192" spans="1:67" s="180" customFormat="1">
      <c r="A192" s="593" t="s">
        <v>1305</v>
      </c>
      <c r="B192" s="593"/>
      <c r="C192" s="667" t="s">
        <v>304</v>
      </c>
      <c r="D192" s="607">
        <f>D221</f>
        <v>80.599416407983242</v>
      </c>
      <c r="E192" s="607">
        <f>E221</f>
        <v>0</v>
      </c>
      <c r="F192" s="607">
        <f t="shared" ref="F192:AH192" si="150">F221</f>
        <v>0</v>
      </c>
      <c r="G192" s="607">
        <f t="shared" si="150"/>
        <v>0.71786167910929988</v>
      </c>
      <c r="H192" s="607">
        <f t="shared" si="150"/>
        <v>0</v>
      </c>
      <c r="I192" s="607">
        <f t="shared" si="150"/>
        <v>0</v>
      </c>
      <c r="J192" s="607">
        <f t="shared" si="150"/>
        <v>2.1684006893114676</v>
      </c>
      <c r="K192" s="607">
        <f t="shared" si="150"/>
        <v>1.8835216566801409</v>
      </c>
      <c r="L192" s="607">
        <f t="shared" si="150"/>
        <v>0</v>
      </c>
      <c r="M192" s="607">
        <f t="shared" si="150"/>
        <v>0</v>
      </c>
      <c r="N192" s="607">
        <f t="shared" si="150"/>
        <v>0</v>
      </c>
      <c r="O192" s="607">
        <f t="shared" si="150"/>
        <v>0.91874100934620606</v>
      </c>
      <c r="P192" s="607">
        <f t="shared" si="150"/>
        <v>0</v>
      </c>
      <c r="Q192" s="607">
        <f t="shared" si="150"/>
        <v>0</v>
      </c>
      <c r="R192" s="607">
        <f t="shared" si="150"/>
        <v>0</v>
      </c>
      <c r="S192" s="607">
        <f t="shared" si="150"/>
        <v>30.180190074583148</v>
      </c>
      <c r="T192" s="607">
        <f t="shared" si="150"/>
        <v>0</v>
      </c>
      <c r="U192" s="607">
        <f t="shared" si="150"/>
        <v>0</v>
      </c>
      <c r="V192" s="607">
        <f t="shared" si="150"/>
        <v>0</v>
      </c>
      <c r="W192" s="607">
        <f t="shared" si="150"/>
        <v>0</v>
      </c>
      <c r="X192" s="607">
        <f t="shared" si="150"/>
        <v>39.510931490147982</v>
      </c>
      <c r="Y192" s="607">
        <f t="shared" si="150"/>
        <v>0</v>
      </c>
      <c r="Z192" s="607">
        <f t="shared" si="150"/>
        <v>0</v>
      </c>
      <c r="AA192" s="607">
        <f t="shared" si="150"/>
        <v>0.43597086519114686</v>
      </c>
      <c r="AB192" s="607">
        <f t="shared" si="150"/>
        <v>0</v>
      </c>
      <c r="AC192" s="607">
        <f t="shared" si="150"/>
        <v>0</v>
      </c>
      <c r="AD192" s="607">
        <f t="shared" si="150"/>
        <v>0.21130070832781678</v>
      </c>
      <c r="AE192" s="607">
        <f t="shared" si="150"/>
        <v>0</v>
      </c>
      <c r="AF192" s="607">
        <f t="shared" si="150"/>
        <v>4.5724982352860373</v>
      </c>
      <c r="AG192" s="607">
        <f t="shared" si="150"/>
        <v>0</v>
      </c>
      <c r="AH192" s="607">
        <f t="shared" si="150"/>
        <v>0</v>
      </c>
      <c r="AI192" s="164"/>
      <c r="AJ192" s="164"/>
      <c r="AK192" s="164"/>
      <c r="AL192" s="164"/>
      <c r="AM192" s="164"/>
      <c r="AN192" s="164"/>
      <c r="AO192" s="164"/>
      <c r="AP192" s="164"/>
      <c r="AQ192" s="164"/>
      <c r="AR192" s="164"/>
      <c r="AS192" s="164"/>
      <c r="AT192" s="164"/>
      <c r="AU192" s="164"/>
      <c r="AV192" s="164"/>
      <c r="AW192" s="164"/>
      <c r="AX192" s="164"/>
      <c r="AY192" s="164"/>
      <c r="AZ192" s="164"/>
      <c r="BA192" s="164"/>
      <c r="BB192" s="164"/>
      <c r="BC192" s="164"/>
      <c r="BD192" s="164"/>
      <c r="BE192" s="164"/>
      <c r="BF192" s="164"/>
      <c r="BG192" s="164"/>
      <c r="BH192" s="164"/>
      <c r="BI192" s="164"/>
      <c r="BJ192" s="164"/>
      <c r="BK192" s="164"/>
      <c r="BL192" s="164"/>
      <c r="BM192" s="164"/>
      <c r="BN192" s="164"/>
      <c r="BO192" s="164"/>
    </row>
    <row r="193" spans="1:67" s="180" customFormat="1">
      <c r="A193" s="593" t="s">
        <v>1305</v>
      </c>
      <c r="B193" s="593"/>
      <c r="C193" s="667" t="s">
        <v>97</v>
      </c>
      <c r="D193" s="607">
        <f>D248</f>
        <v>479.62431793436178</v>
      </c>
      <c r="E193" s="607">
        <f>E248</f>
        <v>37.082161613696286</v>
      </c>
      <c r="F193" s="607">
        <f t="shared" ref="F193:AH193" si="151">F248</f>
        <v>3.5039171544349994</v>
      </c>
      <c r="G193" s="607">
        <f t="shared" si="151"/>
        <v>0</v>
      </c>
      <c r="H193" s="607">
        <f t="shared" si="151"/>
        <v>0</v>
      </c>
      <c r="I193" s="607">
        <f t="shared" si="151"/>
        <v>18.169634351795231</v>
      </c>
      <c r="J193" s="607">
        <f t="shared" si="151"/>
        <v>54.525613154838297</v>
      </c>
      <c r="K193" s="607">
        <f t="shared" si="151"/>
        <v>0.19559647973216851</v>
      </c>
      <c r="L193" s="607">
        <f t="shared" si="151"/>
        <v>0.37941084085998894</v>
      </c>
      <c r="M193" s="607">
        <f t="shared" si="151"/>
        <v>26.167135588765404</v>
      </c>
      <c r="N193" s="607">
        <f t="shared" si="151"/>
        <v>138.05337673324919</v>
      </c>
      <c r="O193" s="607">
        <f t="shared" si="151"/>
        <v>55.335025031311844</v>
      </c>
      <c r="P193" s="607">
        <f t="shared" si="151"/>
        <v>5</v>
      </c>
      <c r="Q193" s="607">
        <f t="shared" si="151"/>
        <v>0.23566295905983073</v>
      </c>
      <c r="R193" s="607">
        <f t="shared" si="151"/>
        <v>0.23287899954007776</v>
      </c>
      <c r="S193" s="607">
        <f t="shared" si="151"/>
        <v>0.8122384072929878</v>
      </c>
      <c r="T193" s="607">
        <f t="shared" si="151"/>
        <v>1.5936129453003995</v>
      </c>
      <c r="U193" s="607">
        <f t="shared" si="151"/>
        <v>0</v>
      </c>
      <c r="V193" s="607">
        <f t="shared" si="151"/>
        <v>1.9129911105874343E-2</v>
      </c>
      <c r="W193" s="607">
        <f t="shared" si="151"/>
        <v>0</v>
      </c>
      <c r="X193" s="607">
        <f t="shared" si="151"/>
        <v>0</v>
      </c>
      <c r="Y193" s="607">
        <f t="shared" si="151"/>
        <v>18.464068886580723</v>
      </c>
      <c r="Z193" s="607">
        <f t="shared" si="151"/>
        <v>13.222887506190302</v>
      </c>
      <c r="AA193" s="607">
        <f t="shared" si="151"/>
        <v>4.3985191146881285E-2</v>
      </c>
      <c r="AB193" s="607">
        <f t="shared" si="151"/>
        <v>100.97589484730958</v>
      </c>
      <c r="AC193" s="607">
        <f t="shared" si="151"/>
        <v>4.4893634193369616</v>
      </c>
      <c r="AD193" s="607">
        <f t="shared" si="151"/>
        <v>0.47809453197405011</v>
      </c>
      <c r="AE193" s="607">
        <f>AE248</f>
        <v>0</v>
      </c>
      <c r="AF193" s="607">
        <f t="shared" si="151"/>
        <v>0.64462938084080323</v>
      </c>
      <c r="AG193" s="607">
        <f t="shared" si="151"/>
        <v>0</v>
      </c>
      <c r="AH193" s="607">
        <f t="shared" si="151"/>
        <v>0</v>
      </c>
      <c r="AI193" s="164"/>
      <c r="AJ193" s="164"/>
      <c r="AK193" s="164"/>
      <c r="AL193" s="164"/>
      <c r="AM193" s="164"/>
      <c r="AN193" s="164"/>
      <c r="AO193" s="164"/>
      <c r="AP193" s="164"/>
      <c r="AQ193" s="164"/>
      <c r="AR193" s="164"/>
      <c r="AS193" s="164"/>
      <c r="AT193" s="164"/>
      <c r="AU193" s="164"/>
      <c r="AV193" s="164"/>
      <c r="AW193" s="164"/>
      <c r="AX193" s="164"/>
      <c r="AY193" s="164"/>
      <c r="AZ193" s="164"/>
      <c r="BA193" s="164"/>
      <c r="BB193" s="164"/>
      <c r="BC193" s="164"/>
      <c r="BD193" s="164"/>
      <c r="BE193" s="164"/>
      <c r="BF193" s="164"/>
      <c r="BG193" s="164"/>
      <c r="BH193" s="164"/>
      <c r="BI193" s="164"/>
      <c r="BJ193" s="164"/>
      <c r="BK193" s="164"/>
      <c r="BL193" s="164"/>
      <c r="BM193" s="164"/>
      <c r="BN193" s="164"/>
      <c r="BO193" s="164"/>
    </row>
    <row r="194" spans="1:67" s="180" customFormat="1">
      <c r="A194" s="593" t="s">
        <v>1305</v>
      </c>
      <c r="B194" s="593"/>
      <c r="C194" s="667" t="s">
        <v>316</v>
      </c>
      <c r="D194" s="607">
        <f>D257</f>
        <v>28.163690677876133</v>
      </c>
      <c r="E194" s="607">
        <f>E257</f>
        <v>1.5346882910425017</v>
      </c>
      <c r="F194" s="607">
        <f t="shared" ref="F194:AH194" si="152">F257</f>
        <v>0.76905223929500577</v>
      </c>
      <c r="G194" s="607">
        <f t="shared" si="152"/>
        <v>0</v>
      </c>
      <c r="H194" s="607">
        <f t="shared" si="152"/>
        <v>0</v>
      </c>
      <c r="I194" s="607">
        <f t="shared" si="152"/>
        <v>0.36564691403861288</v>
      </c>
      <c r="J194" s="607">
        <f t="shared" si="152"/>
        <v>0</v>
      </c>
      <c r="K194" s="607">
        <f t="shared" si="152"/>
        <v>0.28856517688881739</v>
      </c>
      <c r="L194" s="607">
        <f t="shared" si="152"/>
        <v>0</v>
      </c>
      <c r="M194" s="607">
        <f t="shared" si="152"/>
        <v>0</v>
      </c>
      <c r="N194" s="607">
        <f t="shared" si="152"/>
        <v>1.5535723212750163</v>
      </c>
      <c r="O194" s="607">
        <f t="shared" si="152"/>
        <v>0</v>
      </c>
      <c r="P194" s="607">
        <f t="shared" si="152"/>
        <v>0</v>
      </c>
      <c r="Q194" s="607">
        <f t="shared" si="152"/>
        <v>0.53242372232035828</v>
      </c>
      <c r="R194" s="607">
        <f t="shared" si="152"/>
        <v>0</v>
      </c>
      <c r="S194" s="607">
        <f t="shared" si="152"/>
        <v>0.95526753556951649</v>
      </c>
      <c r="T194" s="607">
        <f t="shared" si="152"/>
        <v>0</v>
      </c>
      <c r="U194" s="607">
        <f t="shared" si="152"/>
        <v>0</v>
      </c>
      <c r="V194" s="607">
        <f t="shared" si="152"/>
        <v>0</v>
      </c>
      <c r="W194" s="607">
        <f t="shared" si="152"/>
        <v>0</v>
      </c>
      <c r="X194" s="607">
        <f t="shared" si="152"/>
        <v>0</v>
      </c>
      <c r="Y194" s="607">
        <f t="shared" si="152"/>
        <v>5.3597668482518799</v>
      </c>
      <c r="Z194" s="607">
        <f t="shared" si="152"/>
        <v>0</v>
      </c>
      <c r="AA194" s="607">
        <f t="shared" si="152"/>
        <v>0</v>
      </c>
      <c r="AB194" s="607">
        <f t="shared" si="152"/>
        <v>0</v>
      </c>
      <c r="AC194" s="607">
        <f t="shared" si="152"/>
        <v>0.49286567372195761</v>
      </c>
      <c r="AD194" s="607">
        <f t="shared" si="152"/>
        <v>1.4086713888521121</v>
      </c>
      <c r="AE194" s="607">
        <f>AE257</f>
        <v>3.3544904026235942</v>
      </c>
      <c r="AF194" s="607">
        <f t="shared" si="152"/>
        <v>11.548680163996758</v>
      </c>
      <c r="AG194" s="607">
        <f t="shared" si="152"/>
        <v>0</v>
      </c>
      <c r="AH194" s="607">
        <f t="shared" si="152"/>
        <v>0</v>
      </c>
      <c r="AI194" s="164"/>
      <c r="AJ194" s="164"/>
      <c r="AK194" s="164"/>
      <c r="AL194" s="164"/>
      <c r="AM194" s="164"/>
      <c r="AN194" s="164"/>
      <c r="AO194" s="164"/>
      <c r="AP194" s="164"/>
      <c r="AQ194" s="164"/>
      <c r="AR194" s="164"/>
      <c r="AS194" s="164"/>
      <c r="AT194" s="164"/>
      <c r="AU194" s="164"/>
      <c r="AV194" s="164"/>
      <c r="AW194" s="164"/>
      <c r="AX194" s="164"/>
      <c r="AY194" s="164"/>
      <c r="AZ194" s="164"/>
      <c r="BA194" s="164"/>
      <c r="BB194" s="164"/>
      <c r="BC194" s="164"/>
      <c r="BD194" s="164"/>
      <c r="BE194" s="164"/>
      <c r="BF194" s="164"/>
      <c r="BG194" s="164"/>
      <c r="BH194" s="164"/>
      <c r="BI194" s="164"/>
      <c r="BJ194" s="164"/>
      <c r="BK194" s="164"/>
      <c r="BL194" s="164"/>
      <c r="BM194" s="164"/>
      <c r="BN194" s="164"/>
      <c r="BO194" s="164"/>
    </row>
    <row r="195" spans="1:67" s="164" customFormat="1">
      <c r="A195" s="593"/>
      <c r="B195" s="593"/>
      <c r="C195" s="618"/>
      <c r="D195" s="610"/>
      <c r="E195" s="606"/>
      <c r="F195" s="606"/>
      <c r="G195" s="606"/>
      <c r="H195" s="606"/>
      <c r="I195" s="606"/>
      <c r="J195" s="606"/>
      <c r="K195" s="606"/>
      <c r="L195" s="606"/>
      <c r="M195" s="606"/>
      <c r="N195" s="606"/>
      <c r="O195" s="606"/>
      <c r="P195" s="606"/>
      <c r="Q195" s="606"/>
      <c r="R195" s="606"/>
      <c r="S195" s="606"/>
      <c r="T195" s="606"/>
      <c r="U195" s="606"/>
      <c r="V195" s="606"/>
      <c r="W195" s="606"/>
      <c r="X195" s="606"/>
      <c r="Y195" s="606"/>
      <c r="Z195" s="606"/>
      <c r="AA195" s="606"/>
      <c r="AB195" s="606"/>
      <c r="AC195" s="606"/>
      <c r="AD195" s="606"/>
      <c r="AE195" s="606"/>
      <c r="AF195" s="606"/>
      <c r="AG195" s="606"/>
      <c r="AH195" s="606"/>
    </row>
    <row r="196" spans="1:67" s="180" customFormat="1" ht="13.5" thickBot="1">
      <c r="A196" s="593" t="s">
        <v>1305</v>
      </c>
      <c r="B196" s="593"/>
      <c r="C196" s="620" t="s">
        <v>1320</v>
      </c>
      <c r="D196" s="620">
        <f>SUM(D197:D202)</f>
        <v>1493.2928536158242</v>
      </c>
      <c r="E196" s="620">
        <f>SUM(E197:E202)</f>
        <v>69.906010184042003</v>
      </c>
      <c r="F196" s="620">
        <f t="shared" ref="F196:AH196" si="153">SUM(F197:F202)</f>
        <v>14.252513007506717</v>
      </c>
      <c r="G196" s="620">
        <f t="shared" si="153"/>
        <v>18.523097399347083</v>
      </c>
      <c r="H196" s="620">
        <f t="shared" si="153"/>
        <v>0</v>
      </c>
      <c r="I196" s="620">
        <f t="shared" si="153"/>
        <v>54.114050000000006</v>
      </c>
      <c r="J196" s="620">
        <f t="shared" si="153"/>
        <v>160.647704956788</v>
      </c>
      <c r="K196" s="620">
        <f t="shared" si="153"/>
        <v>8.0237518570222104</v>
      </c>
      <c r="L196" s="620">
        <f t="shared" si="153"/>
        <v>2.2111275845016771</v>
      </c>
      <c r="M196" s="620">
        <f t="shared" si="153"/>
        <v>180.59194227650443</v>
      </c>
      <c r="N196" s="620">
        <f t="shared" si="153"/>
        <v>158.02063577105372</v>
      </c>
      <c r="O196" s="620">
        <f t="shared" si="153"/>
        <v>164.08352853993591</v>
      </c>
      <c r="P196" s="620">
        <f t="shared" si="153"/>
        <v>17.561395166798</v>
      </c>
      <c r="Q196" s="620">
        <f t="shared" si="153"/>
        <v>10.51626685224131</v>
      </c>
      <c r="R196" s="620">
        <f t="shared" si="153"/>
        <v>5.7035014995651547</v>
      </c>
      <c r="S196" s="620">
        <f t="shared" si="153"/>
        <v>11.426342298147324</v>
      </c>
      <c r="T196" s="620">
        <f t="shared" si="153"/>
        <v>10.00922222222222</v>
      </c>
      <c r="U196" s="620">
        <f t="shared" si="153"/>
        <v>0</v>
      </c>
      <c r="V196" s="620">
        <f t="shared" si="153"/>
        <v>1.0837750939345141</v>
      </c>
      <c r="W196" s="620">
        <f t="shared" si="153"/>
        <v>0</v>
      </c>
      <c r="X196" s="620">
        <f t="shared" si="153"/>
        <v>155.90531740820123</v>
      </c>
      <c r="Y196" s="620">
        <f t="shared" si="153"/>
        <v>176.21039192753128</v>
      </c>
      <c r="Z196" s="620">
        <f t="shared" si="153"/>
        <v>26.66141449114161</v>
      </c>
      <c r="AA196" s="620">
        <f t="shared" si="153"/>
        <v>7.297999999999992</v>
      </c>
      <c r="AB196" s="620">
        <f t="shared" si="153"/>
        <v>52.81523809158746</v>
      </c>
      <c r="AC196" s="620">
        <f t="shared" si="153"/>
        <v>9.8778530687791086</v>
      </c>
      <c r="AD196" s="620">
        <f t="shared" si="153"/>
        <v>17.135500000000004</v>
      </c>
      <c r="AE196" s="620">
        <f t="shared" si="153"/>
        <v>121.73366298354094</v>
      </c>
      <c r="AF196" s="620">
        <f t="shared" si="153"/>
        <v>38.980610935432424</v>
      </c>
      <c r="AG196" s="620">
        <f t="shared" si="153"/>
        <v>0</v>
      </c>
      <c r="AH196" s="620">
        <f t="shared" si="153"/>
        <v>0</v>
      </c>
      <c r="AI196" s="164"/>
      <c r="AJ196" s="164"/>
      <c r="AK196" s="164"/>
      <c r="AL196" s="164"/>
      <c r="AM196" s="164"/>
      <c r="AN196" s="164"/>
      <c r="AO196" s="164"/>
      <c r="AP196" s="164"/>
      <c r="AQ196" s="164"/>
      <c r="AR196" s="164"/>
      <c r="AS196" s="164"/>
      <c r="AT196" s="164"/>
      <c r="AU196" s="164"/>
      <c r="AV196" s="164"/>
      <c r="AW196" s="164"/>
      <c r="AX196" s="164"/>
      <c r="AY196" s="164"/>
      <c r="AZ196" s="164"/>
      <c r="BA196" s="164"/>
      <c r="BB196" s="164"/>
      <c r="BC196" s="164"/>
      <c r="BD196" s="164"/>
      <c r="BE196" s="164"/>
      <c r="BF196" s="164"/>
      <c r="BG196" s="164"/>
      <c r="BH196" s="164"/>
      <c r="BI196" s="164"/>
      <c r="BJ196" s="164"/>
      <c r="BK196" s="164"/>
      <c r="BL196" s="164"/>
      <c r="BM196" s="164"/>
      <c r="BN196" s="164"/>
      <c r="BO196" s="164"/>
    </row>
    <row r="197" spans="1:67" s="180" customFormat="1">
      <c r="A197" s="593" t="s">
        <v>1305</v>
      </c>
      <c r="B197" s="593"/>
      <c r="C197" s="667" t="s">
        <v>69</v>
      </c>
      <c r="D197" s="622">
        <f t="shared" ref="D197:D202" si="154">SUM(E197:AH197)</f>
        <v>197.51737274953672</v>
      </c>
      <c r="E197" s="607">
        <f>E189-E179</f>
        <v>3.9274776789972727</v>
      </c>
      <c r="F197" s="607">
        <f t="shared" ref="F197:AH197" si="155">F189-F179</f>
        <v>1.9192778577514049</v>
      </c>
      <c r="G197" s="607">
        <f t="shared" si="155"/>
        <v>6.3859668123090367</v>
      </c>
      <c r="H197" s="607">
        <f t="shared" si="155"/>
        <v>0</v>
      </c>
      <c r="I197" s="607">
        <f>I189-I179</f>
        <v>37.275108513147543</v>
      </c>
      <c r="J197" s="607">
        <f t="shared" si="155"/>
        <v>8.8770431737229103</v>
      </c>
      <c r="K197" s="607">
        <f t="shared" si="155"/>
        <v>2.7582295088755593E-2</v>
      </c>
      <c r="L197" s="607">
        <f t="shared" si="155"/>
        <v>0.57385968060252623</v>
      </c>
      <c r="M197" s="607">
        <f t="shared" si="155"/>
        <v>2.0402239199182821</v>
      </c>
      <c r="N197" s="607">
        <f t="shared" si="155"/>
        <v>9.3630185158440575</v>
      </c>
      <c r="O197" s="607">
        <f t="shared" si="155"/>
        <v>4.4565784025985664</v>
      </c>
      <c r="P197" s="607">
        <f t="shared" si="155"/>
        <v>0</v>
      </c>
      <c r="Q197" s="607">
        <f t="shared" si="155"/>
        <v>0</v>
      </c>
      <c r="R197" s="607">
        <f t="shared" si="155"/>
        <v>0.9957068984617683</v>
      </c>
      <c r="S197" s="607">
        <f t="shared" si="155"/>
        <v>0.12168277142045136</v>
      </c>
      <c r="T197" s="607">
        <f t="shared" si="155"/>
        <v>0</v>
      </c>
      <c r="U197" s="607">
        <f t="shared" si="155"/>
        <v>0</v>
      </c>
      <c r="V197" s="607">
        <f t="shared" si="155"/>
        <v>0</v>
      </c>
      <c r="W197" s="607">
        <f t="shared" si="155"/>
        <v>0</v>
      </c>
      <c r="X197" s="607">
        <f t="shared" si="155"/>
        <v>0</v>
      </c>
      <c r="Y197" s="607">
        <f>Y189-Y179</f>
        <v>104.3448301389089</v>
      </c>
      <c r="Z197" s="607">
        <f t="shared" si="155"/>
        <v>0</v>
      </c>
      <c r="AA197" s="607">
        <f t="shared" si="155"/>
        <v>5.3059543661971773</v>
      </c>
      <c r="AB197" s="607">
        <f t="shared" si="155"/>
        <v>0.15331121687483021</v>
      </c>
      <c r="AC197" s="607">
        <f t="shared" si="155"/>
        <v>1.4204588003625893</v>
      </c>
      <c r="AD197" s="607">
        <f t="shared" si="155"/>
        <v>6.5020975771216749</v>
      </c>
      <c r="AE197" s="607">
        <f t="shared" si="155"/>
        <v>3.8271941302089969</v>
      </c>
      <c r="AF197" s="607">
        <f t="shared" si="155"/>
        <v>0</v>
      </c>
      <c r="AG197" s="607">
        <f t="shared" si="155"/>
        <v>0</v>
      </c>
      <c r="AH197" s="607">
        <f t="shared" si="155"/>
        <v>0</v>
      </c>
      <c r="AI197" s="164"/>
      <c r="AJ197" s="164"/>
      <c r="AK197" s="164"/>
      <c r="AL197" s="164"/>
      <c r="AM197" s="164"/>
      <c r="AN197" s="164"/>
      <c r="AO197" s="164"/>
      <c r="AP197" s="164"/>
      <c r="AQ197" s="164"/>
      <c r="AR197" s="164"/>
      <c r="AS197" s="164"/>
      <c r="AT197" s="164"/>
      <c r="AU197" s="164"/>
      <c r="AV197" s="164"/>
      <c r="AW197" s="164"/>
      <c r="AX197" s="164"/>
      <c r="AY197" s="164"/>
      <c r="AZ197" s="164"/>
      <c r="BA197" s="164"/>
      <c r="BB197" s="164"/>
      <c r="BC197" s="164"/>
      <c r="BD197" s="164"/>
      <c r="BE197" s="164"/>
      <c r="BF197" s="164"/>
      <c r="BG197" s="164"/>
      <c r="BH197" s="164"/>
      <c r="BI197" s="164"/>
      <c r="BJ197" s="164"/>
      <c r="BK197" s="164"/>
      <c r="BL197" s="164"/>
      <c r="BM197" s="164"/>
      <c r="BN197" s="164"/>
      <c r="BO197" s="164"/>
    </row>
    <row r="198" spans="1:67" s="180" customFormat="1">
      <c r="A198" s="593" t="s">
        <v>1305</v>
      </c>
      <c r="B198" s="593"/>
      <c r="C198" s="667" t="s">
        <v>70</v>
      </c>
      <c r="D198" s="622">
        <f t="shared" si="154"/>
        <v>111.13966210305163</v>
      </c>
      <c r="E198" s="607">
        <f>E190-E181</f>
        <v>1.1133007594008015</v>
      </c>
      <c r="F198" s="607">
        <f t="shared" ref="F198:AH198" si="156">F190-F181</f>
        <v>3.7941915602878624</v>
      </c>
      <c r="G198" s="607">
        <f t="shared" si="156"/>
        <v>4.141394318873683</v>
      </c>
      <c r="H198" s="607">
        <f t="shared" si="156"/>
        <v>0</v>
      </c>
      <c r="I198" s="607">
        <f t="shared" si="156"/>
        <v>0.96775039530007878</v>
      </c>
      <c r="J198" s="607">
        <f t="shared" si="156"/>
        <v>12.811401751263766</v>
      </c>
      <c r="K198" s="607">
        <f>K190-K181</f>
        <v>0.18360500558982196</v>
      </c>
      <c r="L198" s="607">
        <f t="shared" si="156"/>
        <v>0</v>
      </c>
      <c r="M198" s="607">
        <f t="shared" si="156"/>
        <v>1.5814091185773478</v>
      </c>
      <c r="N198" s="607">
        <f t="shared" si="156"/>
        <v>7.0259805503142285</v>
      </c>
      <c r="O198" s="607">
        <f t="shared" si="156"/>
        <v>6.1684508339254229</v>
      </c>
      <c r="P198" s="607">
        <f t="shared" si="156"/>
        <v>4.305142839664474</v>
      </c>
      <c r="Q198" s="607">
        <f t="shared" si="156"/>
        <v>0.67282577429566937</v>
      </c>
      <c r="R198" s="607">
        <f t="shared" si="156"/>
        <v>0</v>
      </c>
      <c r="S198" s="607">
        <f t="shared" si="156"/>
        <v>3.7040411653327681</v>
      </c>
      <c r="T198" s="607">
        <f t="shared" si="156"/>
        <v>0</v>
      </c>
      <c r="U198" s="607">
        <f t="shared" si="156"/>
        <v>0</v>
      </c>
      <c r="V198" s="607">
        <f t="shared" si="156"/>
        <v>0</v>
      </c>
      <c r="W198" s="607">
        <f t="shared" si="156"/>
        <v>0</v>
      </c>
      <c r="X198" s="607">
        <f t="shared" si="156"/>
        <v>11.184529878247076</v>
      </c>
      <c r="Y198" s="607">
        <f t="shared" si="156"/>
        <v>27.139437261463868</v>
      </c>
      <c r="Z198" s="607">
        <f t="shared" si="156"/>
        <v>7.8289447675600812</v>
      </c>
      <c r="AA198" s="607">
        <f t="shared" si="156"/>
        <v>0.43464949698189104</v>
      </c>
      <c r="AB198" s="607">
        <f t="shared" si="156"/>
        <v>3.0090897225121944</v>
      </c>
      <c r="AC198" s="607">
        <f t="shared" si="156"/>
        <v>0.69715769342949152</v>
      </c>
      <c r="AD198" s="607">
        <f t="shared" si="156"/>
        <v>4.219784191711903</v>
      </c>
      <c r="AE198" s="607">
        <f t="shared" si="156"/>
        <v>6.5684545180773419</v>
      </c>
      <c r="AF198" s="607">
        <f t="shared" si="156"/>
        <v>3.5881205002418528</v>
      </c>
      <c r="AG198" s="607">
        <f t="shared" si="156"/>
        <v>0</v>
      </c>
      <c r="AH198" s="607">
        <f t="shared" si="156"/>
        <v>0</v>
      </c>
      <c r="AI198" s="164"/>
      <c r="AJ198" s="164"/>
      <c r="AK198" s="164"/>
      <c r="AL198" s="164"/>
      <c r="AM198" s="164"/>
      <c r="AN198" s="164"/>
      <c r="AO198" s="164"/>
      <c r="AP198" s="164"/>
      <c r="AQ198" s="164"/>
      <c r="AR198" s="164"/>
      <c r="AS198" s="164"/>
      <c r="AT198" s="164"/>
      <c r="AU198" s="164"/>
      <c r="AV198" s="164"/>
      <c r="AW198" s="164"/>
      <c r="AX198" s="164"/>
      <c r="AY198" s="164"/>
      <c r="AZ198" s="164"/>
      <c r="BA198" s="164"/>
      <c r="BB198" s="164"/>
      <c r="BC198" s="164"/>
      <c r="BD198" s="164"/>
      <c r="BE198" s="164"/>
      <c r="BF198" s="164"/>
      <c r="BG198" s="164"/>
      <c r="BH198" s="164"/>
      <c r="BI198" s="164"/>
      <c r="BJ198" s="164"/>
      <c r="BK198" s="164"/>
      <c r="BL198" s="164"/>
      <c r="BM198" s="164"/>
      <c r="BN198" s="164"/>
      <c r="BO198" s="164"/>
    </row>
    <row r="199" spans="1:67" s="180" customFormat="1">
      <c r="A199" s="593" t="s">
        <v>1305</v>
      </c>
      <c r="B199" s="593"/>
      <c r="C199" s="667" t="s">
        <v>305</v>
      </c>
      <c r="D199" s="622">
        <f t="shared" si="154"/>
        <v>829.10204628329029</v>
      </c>
      <c r="E199" s="607">
        <f>E191-E182-E183</f>
        <v>35.684381840905132</v>
      </c>
      <c r="F199" s="607">
        <f t="shared" ref="F199:AH199" si="157">F191-F182-F183</f>
        <v>6.3440741957374467</v>
      </c>
      <c r="G199" s="607">
        <f t="shared" si="157"/>
        <v>7.5948745890550651</v>
      </c>
      <c r="H199" s="607">
        <f t="shared" si="157"/>
        <v>0</v>
      </c>
      <c r="I199" s="607">
        <f t="shared" si="157"/>
        <v>0.93390982571853343</v>
      </c>
      <c r="J199" s="607">
        <f t="shared" si="157"/>
        <v>119.81024618765154</v>
      </c>
      <c r="K199" s="607">
        <f t="shared" si="157"/>
        <v>7.4058812430425061</v>
      </c>
      <c r="L199" s="607">
        <f t="shared" si="157"/>
        <v>1.3598570630391618</v>
      </c>
      <c r="M199" s="607">
        <f t="shared" si="157"/>
        <v>163.5471736492434</v>
      </c>
      <c r="N199" s="607">
        <f t="shared" si="157"/>
        <v>37.160687650371237</v>
      </c>
      <c r="O199" s="607">
        <f t="shared" si="157"/>
        <v>103.63873326275386</v>
      </c>
      <c r="P199" s="607">
        <f t="shared" si="157"/>
        <v>8.2562523271335273</v>
      </c>
      <c r="Q199" s="607">
        <f t="shared" si="157"/>
        <v>9.2513543965654534</v>
      </c>
      <c r="R199" s="607">
        <f t="shared" si="157"/>
        <v>4.576915601563309</v>
      </c>
      <c r="S199" s="607">
        <f t="shared" si="157"/>
        <v>6.2539223439484548</v>
      </c>
      <c r="T199" s="607">
        <f t="shared" si="157"/>
        <v>8.6066092769218212</v>
      </c>
      <c r="U199" s="673">
        <v>0</v>
      </c>
      <c r="V199" s="607">
        <f t="shared" si="157"/>
        <v>1.0726451828286399</v>
      </c>
      <c r="W199" s="607">
        <f t="shared" si="157"/>
        <v>0</v>
      </c>
      <c r="X199" s="607">
        <f>X191-X182-X183</f>
        <v>118.09085603980616</v>
      </c>
      <c r="Y199" s="607">
        <f t="shared" si="157"/>
        <v>28.894288792325874</v>
      </c>
      <c r="Z199" s="607">
        <f t="shared" si="157"/>
        <v>13.191582217391225</v>
      </c>
      <c r="AA199" s="607">
        <f t="shared" si="157"/>
        <v>1.4484400804828965</v>
      </c>
      <c r="AB199" s="607">
        <f t="shared" si="157"/>
        <v>0.39994230489086124</v>
      </c>
      <c r="AC199" s="607">
        <f t="shared" si="157"/>
        <v>3.7080074819281084</v>
      </c>
      <c r="AD199" s="607">
        <f t="shared" si="157"/>
        <v>5.2985516020124459</v>
      </c>
      <c r="AE199" s="607">
        <f t="shared" si="157"/>
        <v>109.95131993263101</v>
      </c>
      <c r="AF199" s="607">
        <f t="shared" si="157"/>
        <v>26.621539195342777</v>
      </c>
      <c r="AG199" s="607">
        <f t="shared" si="157"/>
        <v>0</v>
      </c>
      <c r="AH199" s="607">
        <f t="shared" si="157"/>
        <v>0</v>
      </c>
      <c r="AI199" s="164"/>
      <c r="AJ199" s="164"/>
      <c r="AK199" s="164"/>
      <c r="AL199" s="164"/>
      <c r="AM199" s="164"/>
      <c r="AN199" s="164"/>
      <c r="AO199" s="164"/>
      <c r="AP199" s="164"/>
      <c r="AQ199" s="164"/>
      <c r="AR199" s="164"/>
      <c r="AS199" s="164"/>
      <c r="AT199" s="164"/>
      <c r="AU199" s="164"/>
      <c r="AV199" s="164"/>
      <c r="AW199" s="164"/>
      <c r="AX199" s="164"/>
      <c r="AY199" s="164"/>
      <c r="AZ199" s="164"/>
      <c r="BA199" s="164"/>
      <c r="BB199" s="164"/>
      <c r="BC199" s="164"/>
      <c r="BD199" s="164"/>
      <c r="BE199" s="164"/>
      <c r="BF199" s="164"/>
      <c r="BG199" s="164"/>
      <c r="BH199" s="164"/>
      <c r="BI199" s="164"/>
      <c r="BJ199" s="164"/>
      <c r="BK199" s="164"/>
      <c r="BL199" s="164"/>
      <c r="BM199" s="164"/>
      <c r="BN199" s="164"/>
      <c r="BO199" s="164"/>
    </row>
    <row r="200" spans="1:67" s="180" customFormat="1">
      <c r="A200" s="593" t="s">
        <v>1305</v>
      </c>
      <c r="B200" s="593"/>
      <c r="C200" s="667" t="s">
        <v>304</v>
      </c>
      <c r="D200" s="622">
        <f t="shared" si="154"/>
        <v>32.434998506191775</v>
      </c>
      <c r="E200" s="607">
        <f>E192-E180</f>
        <v>0</v>
      </c>
      <c r="F200" s="607">
        <f t="shared" ref="F200:AH200" si="158">F192-F180</f>
        <v>0</v>
      </c>
      <c r="G200" s="607">
        <f>G192-G180</f>
        <v>0.40086167910929987</v>
      </c>
      <c r="H200" s="607">
        <f t="shared" si="158"/>
        <v>0</v>
      </c>
      <c r="I200" s="607">
        <f t="shared" si="158"/>
        <v>0</v>
      </c>
      <c r="J200" s="607">
        <f t="shared" si="158"/>
        <v>0.73240068931146762</v>
      </c>
      <c r="K200" s="607">
        <f t="shared" si="158"/>
        <v>0.32352165668014088</v>
      </c>
      <c r="L200" s="607">
        <f t="shared" si="158"/>
        <v>0</v>
      </c>
      <c r="M200" s="607">
        <f t="shared" si="158"/>
        <v>0</v>
      </c>
      <c r="N200" s="607">
        <f t="shared" si="158"/>
        <v>0</v>
      </c>
      <c r="O200" s="607">
        <f t="shared" si="158"/>
        <v>0.47274100934620605</v>
      </c>
      <c r="P200" s="607">
        <f t="shared" si="158"/>
        <v>0</v>
      </c>
      <c r="Q200" s="607">
        <f t="shared" si="158"/>
        <v>0</v>
      </c>
      <c r="R200" s="607">
        <f t="shared" si="158"/>
        <v>0</v>
      </c>
      <c r="S200" s="607">
        <f t="shared" si="158"/>
        <v>1.2721900745831469</v>
      </c>
      <c r="T200" s="607">
        <f t="shared" si="158"/>
        <v>0</v>
      </c>
      <c r="U200" s="607">
        <f t="shared" si="158"/>
        <v>0</v>
      </c>
      <c r="V200" s="607">
        <f t="shared" si="158"/>
        <v>0</v>
      </c>
      <c r="W200" s="607">
        <f t="shared" si="158"/>
        <v>0</v>
      </c>
      <c r="X200" s="607">
        <f t="shared" si="158"/>
        <v>26.629931490147982</v>
      </c>
      <c r="Y200" s="607">
        <f t="shared" si="158"/>
        <v>0</v>
      </c>
      <c r="Z200" s="607">
        <f t="shared" si="158"/>
        <v>0</v>
      </c>
      <c r="AA200" s="607">
        <f t="shared" si="158"/>
        <v>9.897086519114684E-2</v>
      </c>
      <c r="AB200" s="607">
        <f t="shared" si="158"/>
        <v>0</v>
      </c>
      <c r="AC200" s="607">
        <f t="shared" si="158"/>
        <v>0</v>
      </c>
      <c r="AD200" s="607">
        <f t="shared" si="158"/>
        <v>0.11230070832781677</v>
      </c>
      <c r="AE200" s="607">
        <f t="shared" si="158"/>
        <v>0</v>
      </c>
      <c r="AF200" s="607">
        <f t="shared" si="158"/>
        <v>2.3920803334945693</v>
      </c>
      <c r="AG200" s="607">
        <f t="shared" si="158"/>
        <v>0</v>
      </c>
      <c r="AH200" s="607">
        <f t="shared" si="158"/>
        <v>0</v>
      </c>
      <c r="AI200" s="164"/>
      <c r="AJ200" s="164"/>
      <c r="AK200" s="164"/>
      <c r="AL200" s="164"/>
      <c r="AM200" s="164"/>
      <c r="AN200" s="164"/>
      <c r="AO200" s="164"/>
      <c r="AP200" s="164"/>
      <c r="AQ200" s="164"/>
      <c r="AR200" s="164"/>
      <c r="AS200" s="164"/>
      <c r="AT200" s="164"/>
      <c r="AU200" s="164"/>
      <c r="AV200" s="164"/>
      <c r="AW200" s="164"/>
      <c r="AX200" s="164"/>
      <c r="AY200" s="164"/>
      <c r="AZ200" s="164"/>
      <c r="BA200" s="164"/>
      <c r="BB200" s="164"/>
      <c r="BC200" s="164"/>
      <c r="BD200" s="164"/>
      <c r="BE200" s="164"/>
      <c r="BF200" s="164"/>
      <c r="BG200" s="164"/>
      <c r="BH200" s="164"/>
      <c r="BI200" s="164"/>
      <c r="BJ200" s="164"/>
      <c r="BK200" s="164"/>
      <c r="BL200" s="164"/>
      <c r="BM200" s="164"/>
      <c r="BN200" s="164"/>
      <c r="BO200" s="164"/>
    </row>
    <row r="201" spans="1:67" s="180" customFormat="1">
      <c r="A201" s="593" t="s">
        <v>1305</v>
      </c>
      <c r="B201" s="593"/>
      <c r="C201" s="667" t="s">
        <v>97</v>
      </c>
      <c r="D201" s="622">
        <f t="shared" si="154"/>
        <v>307.56292329587757</v>
      </c>
      <c r="E201" s="607">
        <f>E193-E186-E184</f>
        <v>28.021161613696286</v>
      </c>
      <c r="F201" s="607">
        <f t="shared" ref="F201:AH201" si="159">F193-F186-F184</f>
        <v>1.7999171544349994</v>
      </c>
      <c r="G201" s="607">
        <f t="shared" si="159"/>
        <v>0</v>
      </c>
      <c r="H201" s="607">
        <f t="shared" si="159"/>
        <v>0</v>
      </c>
      <c r="I201" s="607">
        <f t="shared" si="159"/>
        <v>14.758634351795232</v>
      </c>
      <c r="J201" s="607">
        <f t="shared" si="159"/>
        <v>18.416613154838295</v>
      </c>
      <c r="K201" s="607">
        <f t="shared" si="159"/>
        <v>3.3596479732168505E-2</v>
      </c>
      <c r="L201" s="607">
        <f t="shared" si="159"/>
        <v>0.27741084085998896</v>
      </c>
      <c r="M201" s="607">
        <f t="shared" si="159"/>
        <v>13.423135588765405</v>
      </c>
      <c r="N201" s="607">
        <f t="shared" si="159"/>
        <v>103.30837673324919</v>
      </c>
      <c r="O201" s="607">
        <f t="shared" si="159"/>
        <v>49.347025031311844</v>
      </c>
      <c r="P201" s="607">
        <f t="shared" si="159"/>
        <v>5</v>
      </c>
      <c r="Q201" s="607">
        <f t="shared" si="159"/>
        <v>0.18166295905983074</v>
      </c>
      <c r="R201" s="607">
        <f t="shared" si="159"/>
        <v>0.13087899954007776</v>
      </c>
      <c r="S201" s="607">
        <f t="shared" si="159"/>
        <v>3.4238407292987771E-2</v>
      </c>
      <c r="T201" s="607">
        <f t="shared" si="159"/>
        <v>1.4026129453003995</v>
      </c>
      <c r="U201" s="607">
        <f t="shared" si="159"/>
        <v>0</v>
      </c>
      <c r="V201" s="607">
        <f t="shared" si="159"/>
        <v>1.1129911105874343E-2</v>
      </c>
      <c r="W201" s="607">
        <f t="shared" si="159"/>
        <v>0</v>
      </c>
      <c r="X201" s="607">
        <f t="shared" si="159"/>
        <v>0</v>
      </c>
      <c r="Y201" s="607">
        <f t="shared" si="159"/>
        <v>12.270068886580724</v>
      </c>
      <c r="Z201" s="607">
        <f t="shared" si="159"/>
        <v>5.6408875061903023</v>
      </c>
      <c r="AA201" s="607">
        <f t="shared" si="159"/>
        <v>9.9851911468812823E-3</v>
      </c>
      <c r="AB201" s="607">
        <f t="shared" si="159"/>
        <v>49.252894847309577</v>
      </c>
      <c r="AC201" s="607">
        <f t="shared" si="159"/>
        <v>3.6513634193369615</v>
      </c>
      <c r="AD201" s="607">
        <f t="shared" si="159"/>
        <v>0.25409453197405008</v>
      </c>
      <c r="AE201" s="607">
        <f t="shared" si="159"/>
        <v>0</v>
      </c>
      <c r="AF201" s="607">
        <f t="shared" si="159"/>
        <v>0.3372347423564625</v>
      </c>
      <c r="AG201" s="607">
        <f t="shared" si="159"/>
        <v>0</v>
      </c>
      <c r="AH201" s="607">
        <f t="shared" si="159"/>
        <v>0</v>
      </c>
      <c r="AI201" s="164"/>
      <c r="AJ201" s="164"/>
      <c r="AK201" s="164"/>
      <c r="AL201" s="164"/>
      <c r="AM201" s="164"/>
      <c r="AN201" s="164"/>
      <c r="AO201" s="164"/>
      <c r="AP201" s="164"/>
      <c r="AQ201" s="164"/>
      <c r="AR201" s="164"/>
      <c r="AS201" s="164"/>
      <c r="AT201" s="164"/>
      <c r="AU201" s="164"/>
      <c r="AV201" s="164"/>
      <c r="AW201" s="164"/>
      <c r="AX201" s="164"/>
      <c r="AY201" s="164"/>
      <c r="AZ201" s="164"/>
      <c r="BA201" s="164"/>
      <c r="BB201" s="164"/>
      <c r="BC201" s="164"/>
      <c r="BD201" s="164"/>
      <c r="BE201" s="164"/>
      <c r="BF201" s="164"/>
      <c r="BG201" s="164"/>
      <c r="BH201" s="164"/>
      <c r="BI201" s="164"/>
      <c r="BJ201" s="164"/>
      <c r="BK201" s="164"/>
      <c r="BL201" s="164"/>
      <c r="BM201" s="164"/>
      <c r="BN201" s="164"/>
      <c r="BO201" s="164"/>
    </row>
    <row r="202" spans="1:67" s="180" customFormat="1">
      <c r="A202" s="593" t="s">
        <v>1305</v>
      </c>
      <c r="B202" s="593"/>
      <c r="C202" s="667" t="s">
        <v>316</v>
      </c>
      <c r="D202" s="622">
        <f t="shared" si="154"/>
        <v>15.53585067787613</v>
      </c>
      <c r="E202" s="607">
        <f>E194-E185</f>
        <v>1.1596882910425017</v>
      </c>
      <c r="F202" s="607">
        <f t="shared" ref="F202:AH202" si="160">F194-F185</f>
        <v>0.39505223929500577</v>
      </c>
      <c r="G202" s="607">
        <f t="shared" si="160"/>
        <v>0</v>
      </c>
      <c r="H202" s="607">
        <f t="shared" si="160"/>
        <v>0</v>
      </c>
      <c r="I202" s="607">
        <f t="shared" si="160"/>
        <v>0.17864691403861283</v>
      </c>
      <c r="J202" s="607">
        <f t="shared" si="160"/>
        <v>0</v>
      </c>
      <c r="K202" s="607">
        <f t="shared" si="160"/>
        <v>4.956517688881662E-2</v>
      </c>
      <c r="L202" s="607">
        <f t="shared" si="160"/>
        <v>0</v>
      </c>
      <c r="M202" s="607">
        <f t="shared" si="160"/>
        <v>0</v>
      </c>
      <c r="N202" s="607">
        <f t="shared" si="160"/>
        <v>1.1625723212750163</v>
      </c>
      <c r="O202" s="607">
        <f t="shared" si="160"/>
        <v>0</v>
      </c>
      <c r="P202" s="607">
        <f t="shared" si="160"/>
        <v>0</v>
      </c>
      <c r="Q202" s="607">
        <f t="shared" si="160"/>
        <v>0.41042372232035829</v>
      </c>
      <c r="R202" s="607">
        <f t="shared" si="160"/>
        <v>0</v>
      </c>
      <c r="S202" s="607">
        <f t="shared" si="160"/>
        <v>4.0267535569516455E-2</v>
      </c>
      <c r="T202" s="607">
        <f t="shared" si="160"/>
        <v>0</v>
      </c>
      <c r="U202" s="607">
        <f t="shared" si="160"/>
        <v>0</v>
      </c>
      <c r="V202" s="607">
        <f t="shared" si="160"/>
        <v>0</v>
      </c>
      <c r="W202" s="607">
        <f t="shared" si="160"/>
        <v>0</v>
      </c>
      <c r="X202" s="607">
        <f t="shared" si="160"/>
        <v>0</v>
      </c>
      <c r="Y202" s="607">
        <f t="shared" si="160"/>
        <v>3.5617668482518798</v>
      </c>
      <c r="Z202" s="607">
        <f t="shared" si="160"/>
        <v>0</v>
      </c>
      <c r="AA202" s="607">
        <f t="shared" si="160"/>
        <v>0</v>
      </c>
      <c r="AB202" s="607">
        <f t="shared" si="160"/>
        <v>0</v>
      </c>
      <c r="AC202" s="607">
        <f t="shared" si="160"/>
        <v>0.40086567372195758</v>
      </c>
      <c r="AD202" s="607">
        <f t="shared" si="160"/>
        <v>0.74867138885211204</v>
      </c>
      <c r="AE202" s="607">
        <f t="shared" si="160"/>
        <v>1.3866944026235943</v>
      </c>
      <c r="AF202" s="607">
        <f t="shared" si="160"/>
        <v>6.0416361639967588</v>
      </c>
      <c r="AG202" s="607">
        <f t="shared" si="160"/>
        <v>0</v>
      </c>
      <c r="AH202" s="607">
        <f t="shared" si="160"/>
        <v>0</v>
      </c>
      <c r="AI202" s="164"/>
      <c r="AJ202" s="164"/>
      <c r="AK202" s="164"/>
      <c r="AL202" s="164"/>
      <c r="AM202" s="164"/>
      <c r="AN202" s="164"/>
      <c r="AO202" s="164"/>
      <c r="AP202" s="164"/>
      <c r="AQ202" s="164"/>
      <c r="AR202" s="164"/>
      <c r="AS202" s="164"/>
      <c r="AT202" s="164"/>
      <c r="AU202" s="164"/>
      <c r="AV202" s="164"/>
      <c r="AW202" s="164"/>
      <c r="AX202" s="164"/>
      <c r="AY202" s="164"/>
      <c r="AZ202" s="164"/>
      <c r="BA202" s="164"/>
      <c r="BB202" s="164"/>
      <c r="BC202" s="164"/>
      <c r="BD202" s="164"/>
      <c r="BE202" s="164"/>
      <c r="BF202" s="164"/>
      <c r="BG202" s="164"/>
      <c r="BH202" s="164"/>
      <c r="BI202" s="164"/>
      <c r="BJ202" s="164"/>
      <c r="BK202" s="164"/>
      <c r="BL202" s="164"/>
      <c r="BM202" s="164"/>
      <c r="BN202" s="164"/>
      <c r="BO202" s="164"/>
    </row>
    <row r="203" spans="1:67" s="164" customFormat="1">
      <c r="A203" s="593"/>
      <c r="B203" s="593"/>
      <c r="C203" s="618"/>
      <c r="D203" s="610"/>
      <c r="E203" s="606"/>
      <c r="F203" s="606"/>
      <c r="G203" s="606"/>
      <c r="H203" s="606"/>
      <c r="I203" s="606"/>
      <c r="J203" s="606"/>
      <c r="K203" s="606"/>
      <c r="L203" s="606"/>
      <c r="M203" s="606"/>
      <c r="N203" s="606"/>
      <c r="O203" s="606"/>
      <c r="P203" s="606"/>
      <c r="Q203" s="606"/>
      <c r="R203" s="606"/>
      <c r="S203" s="606"/>
      <c r="T203" s="606"/>
      <c r="U203" s="606"/>
      <c r="V203" s="606"/>
      <c r="W203" s="606"/>
      <c r="X203" s="606"/>
      <c r="Y203" s="606"/>
      <c r="Z203" s="606"/>
      <c r="AA203" s="606"/>
      <c r="AB203" s="606"/>
      <c r="AC203" s="606"/>
      <c r="AD203" s="606"/>
      <c r="AE203" s="606"/>
      <c r="AF203" s="606"/>
      <c r="AG203" s="606"/>
      <c r="AH203" s="606"/>
    </row>
    <row r="204" spans="1:67" s="164" customFormat="1">
      <c r="A204" s="593"/>
      <c r="B204" s="593"/>
      <c r="C204" s="618"/>
      <c r="D204" s="610"/>
      <c r="E204" s="606"/>
      <c r="F204" s="606"/>
      <c r="G204" s="606"/>
      <c r="H204" s="606"/>
      <c r="I204" s="606"/>
      <c r="J204" s="606"/>
      <c r="K204" s="606"/>
      <c r="L204" s="606"/>
      <c r="M204" s="606"/>
      <c r="N204" s="606"/>
      <c r="O204" s="606"/>
      <c r="P204" s="606"/>
      <c r="Q204" s="606"/>
      <c r="R204" s="606"/>
      <c r="S204" s="606"/>
      <c r="T204" s="606"/>
      <c r="U204" s="606"/>
      <c r="V204" s="606"/>
      <c r="W204" s="606"/>
      <c r="X204" s="606"/>
      <c r="Y204" s="606"/>
      <c r="Z204" s="606"/>
      <c r="AA204" s="606"/>
      <c r="AB204" s="606"/>
      <c r="AC204" s="606"/>
      <c r="AD204" s="606"/>
      <c r="AE204" s="606"/>
      <c r="AF204" s="606"/>
      <c r="AG204" s="606"/>
      <c r="AH204" s="606"/>
    </row>
    <row r="205" spans="1:67" s="164" customFormat="1">
      <c r="A205" s="593"/>
      <c r="B205" s="593"/>
      <c r="C205" s="638" t="s">
        <v>317</v>
      </c>
      <c r="D205" s="609">
        <f>D188-D178</f>
        <v>1492.1688562904385</v>
      </c>
      <c r="E205" s="629"/>
      <c r="F205" s="629"/>
      <c r="G205" s="629"/>
      <c r="H205" s="629"/>
      <c r="I205" s="629"/>
      <c r="J205" s="629"/>
      <c r="K205" s="629"/>
      <c r="L205" s="629"/>
      <c r="M205" s="629"/>
      <c r="N205" s="629"/>
      <c r="O205" s="629"/>
      <c r="P205" s="629"/>
      <c r="Q205" s="629"/>
      <c r="R205" s="629"/>
      <c r="S205" s="629"/>
      <c r="T205" s="629"/>
      <c r="U205" s="629"/>
      <c r="V205" s="629"/>
      <c r="W205" s="629"/>
      <c r="X205" s="629"/>
      <c r="Y205" s="629"/>
      <c r="Z205" s="629"/>
      <c r="AA205" s="629"/>
      <c r="AB205" s="629"/>
      <c r="AC205" s="629"/>
      <c r="AD205" s="629"/>
      <c r="AE205" s="629"/>
      <c r="AF205" s="629"/>
      <c r="AG205" s="629"/>
      <c r="AH205" s="629"/>
      <c r="AI205" s="509"/>
      <c r="AJ205" s="165"/>
      <c r="AK205" s="165"/>
      <c r="AL205" s="165"/>
      <c r="AM205" s="165"/>
      <c r="AN205" s="165"/>
      <c r="AO205" s="165"/>
      <c r="AP205" s="165"/>
      <c r="AQ205" s="165"/>
      <c r="AR205" s="165"/>
      <c r="AS205" s="165"/>
      <c r="AT205" s="165"/>
      <c r="AU205" s="165"/>
      <c r="AV205" s="165"/>
      <c r="AW205" s="165"/>
      <c r="AX205" s="165"/>
      <c r="AY205" s="165"/>
    </row>
    <row r="206" spans="1:67" s="164" customFormat="1">
      <c r="A206" s="593"/>
      <c r="B206" s="593"/>
      <c r="C206" s="631" t="s">
        <v>149</v>
      </c>
      <c r="D206" s="609"/>
      <c r="E206" s="629">
        <f t="shared" ref="E206:AH206" si="161">E$106</f>
        <v>0.54587429930234022</v>
      </c>
      <c r="F206" s="629">
        <f t="shared" si="161"/>
        <v>0.32826302520463785</v>
      </c>
      <c r="G206" s="629">
        <f t="shared" si="161"/>
        <v>0.70115343743877068</v>
      </c>
      <c r="H206" s="629">
        <f t="shared" si="161"/>
        <v>0</v>
      </c>
      <c r="I206" s="629">
        <f t="shared" si="161"/>
        <v>0.77751401381713625</v>
      </c>
      <c r="J206" s="629">
        <f t="shared" si="161"/>
        <v>0.33965451757672693</v>
      </c>
      <c r="K206" s="629">
        <f t="shared" si="161"/>
        <v>0.56672393337976723</v>
      </c>
      <c r="L206" s="629">
        <f t="shared" si="161"/>
        <v>0.48982038604577172</v>
      </c>
      <c r="M206" s="629">
        <f t="shared" si="161"/>
        <v>0.89999999999999991</v>
      </c>
      <c r="N206" s="629">
        <f t="shared" si="161"/>
        <v>0.5298536268850097</v>
      </c>
      <c r="O206" s="629">
        <f t="shared" si="161"/>
        <v>0.45026578529306632</v>
      </c>
      <c r="P206" s="629">
        <f t="shared" si="161"/>
        <v>0.49780596610463002</v>
      </c>
      <c r="Q206" s="629">
        <f t="shared" si="161"/>
        <v>0.34645302760666807</v>
      </c>
      <c r="R206" s="629">
        <f t="shared" si="161"/>
        <v>0.56421070667718776</v>
      </c>
      <c r="S206" s="629">
        <f t="shared" si="161"/>
        <v>0.71469206074653024</v>
      </c>
      <c r="T206" s="629">
        <f t="shared" si="161"/>
        <v>0.9</v>
      </c>
      <c r="U206" s="629">
        <f t="shared" si="161"/>
        <v>0.41931981751201536</v>
      </c>
      <c r="V206" s="629">
        <f t="shared" si="161"/>
        <v>0.45101959318995727</v>
      </c>
      <c r="W206" s="629">
        <f t="shared" si="161"/>
        <v>0</v>
      </c>
      <c r="X206" s="629">
        <f t="shared" si="161"/>
        <v>0.87876645230225914</v>
      </c>
      <c r="Y206" s="629">
        <f t="shared" si="161"/>
        <v>0.45180762443518252</v>
      </c>
      <c r="Z206" s="629">
        <f t="shared" si="161"/>
        <v>0.9</v>
      </c>
      <c r="AA206" s="629">
        <f t="shared" si="161"/>
        <v>0.8999999999999998</v>
      </c>
      <c r="AB206" s="629">
        <f t="shared" si="161"/>
        <v>0.56749344973014737</v>
      </c>
      <c r="AC206" s="629">
        <f t="shared" si="161"/>
        <v>0.52727461096192085</v>
      </c>
      <c r="AD206" s="629">
        <f t="shared" si="161"/>
        <v>0.55731748671307157</v>
      </c>
      <c r="AE206" s="629">
        <f t="shared" si="161"/>
        <v>0.82690862310043178</v>
      </c>
      <c r="AF206" s="629">
        <f t="shared" si="161"/>
        <v>0.9</v>
      </c>
      <c r="AG206" s="629">
        <f t="shared" si="161"/>
        <v>0</v>
      </c>
      <c r="AH206" s="629">
        <f t="shared" si="161"/>
        <v>0</v>
      </c>
      <c r="AI206" s="509"/>
      <c r="AJ206" s="165"/>
      <c r="AK206" s="165"/>
      <c r="AL206" s="165"/>
      <c r="AM206" s="165"/>
      <c r="AN206" s="165"/>
      <c r="AO206" s="165"/>
      <c r="AP206" s="165"/>
      <c r="AQ206" s="165"/>
      <c r="AR206" s="165"/>
      <c r="AS206" s="165"/>
      <c r="AT206" s="165"/>
      <c r="AU206" s="165"/>
      <c r="AV206" s="165"/>
      <c r="AW206" s="165"/>
      <c r="AX206" s="165"/>
      <c r="AY206" s="165"/>
    </row>
    <row r="207" spans="1:67" s="164" customFormat="1">
      <c r="A207" s="593"/>
      <c r="B207" s="593"/>
      <c r="C207" s="631" t="s">
        <v>147</v>
      </c>
      <c r="D207" s="609"/>
      <c r="E207" s="629">
        <f t="shared" ref="E207:AH207" si="162">E$105</f>
        <v>3.1885402014117492</v>
      </c>
      <c r="F207" s="629">
        <f t="shared" si="162"/>
        <v>3.2267384181057097</v>
      </c>
      <c r="G207" s="629">
        <f t="shared" si="162"/>
        <v>3.0419714175053745</v>
      </c>
      <c r="H207" s="629">
        <f t="shared" si="162"/>
        <v>0</v>
      </c>
      <c r="I207" s="629">
        <f t="shared" si="162"/>
        <v>1.7585867425071102</v>
      </c>
      <c r="J207" s="629">
        <f t="shared" si="162"/>
        <v>3.4811238034337091</v>
      </c>
      <c r="K207" s="629">
        <f t="shared" si="162"/>
        <v>2.790050054043812</v>
      </c>
      <c r="L207" s="629">
        <f t="shared" si="162"/>
        <v>4.1005273326413114</v>
      </c>
      <c r="M207" s="629">
        <f t="shared" si="162"/>
        <v>1.3202539430516294</v>
      </c>
      <c r="N207" s="629">
        <f t="shared" si="162"/>
        <v>4.291426574686291</v>
      </c>
      <c r="O207" s="629">
        <f t="shared" si="162"/>
        <v>4.3193778485017624</v>
      </c>
      <c r="P207" s="629">
        <f t="shared" si="162"/>
        <v>2.4751773049645394</v>
      </c>
      <c r="Q207" s="629">
        <f t="shared" si="162"/>
        <v>6.1158868799634423</v>
      </c>
      <c r="R207" s="629">
        <f t="shared" si="162"/>
        <v>2.403987696684927</v>
      </c>
      <c r="S207" s="629">
        <f t="shared" si="162"/>
        <v>2.1465856114092969</v>
      </c>
      <c r="T207" s="629">
        <f t="shared" si="162"/>
        <v>13.412698412698413</v>
      </c>
      <c r="U207" s="629">
        <f t="shared" si="162"/>
        <v>2.0030949105914715</v>
      </c>
      <c r="V207" s="629">
        <f t="shared" si="162"/>
        <v>4.7101449275362315</v>
      </c>
      <c r="W207" s="629">
        <f t="shared" si="162"/>
        <v>0</v>
      </c>
      <c r="X207" s="629">
        <f t="shared" si="162"/>
        <v>3.208182402068958</v>
      </c>
      <c r="Y207" s="629">
        <f t="shared" si="162"/>
        <v>6.0828030042426322</v>
      </c>
      <c r="Z207" s="629">
        <f t="shared" si="162"/>
        <v>2.247780353839572</v>
      </c>
      <c r="AA207" s="629">
        <f t="shared" si="162"/>
        <v>2.7646811594202902</v>
      </c>
      <c r="AB207" s="629">
        <f t="shared" si="162"/>
        <v>4.0000511090667477</v>
      </c>
      <c r="AC207" s="629">
        <f t="shared" si="162"/>
        <v>7.5211930534227243</v>
      </c>
      <c r="AD207" s="629">
        <f t="shared" si="162"/>
        <v>0.29892473118279572</v>
      </c>
      <c r="AE207" s="629">
        <f t="shared" si="162"/>
        <v>1.2287391748752095</v>
      </c>
      <c r="AF207" s="629">
        <f t="shared" si="162"/>
        <v>3.4553853922908568</v>
      </c>
      <c r="AG207" s="629">
        <f t="shared" si="162"/>
        <v>0</v>
      </c>
      <c r="AH207" s="629">
        <f t="shared" si="162"/>
        <v>0</v>
      </c>
      <c r="AI207" s="509"/>
      <c r="AJ207" s="165"/>
      <c r="AK207" s="165"/>
      <c r="AL207" s="165"/>
      <c r="AM207" s="165"/>
      <c r="AN207" s="165"/>
      <c r="AO207" s="165"/>
      <c r="AP207" s="165"/>
      <c r="AQ207" s="165"/>
      <c r="AR207" s="165"/>
      <c r="AS207" s="165"/>
      <c r="AT207" s="165"/>
      <c r="AU207" s="165"/>
      <c r="AV207" s="165"/>
      <c r="AW207" s="165"/>
      <c r="AX207" s="165"/>
      <c r="AY207" s="165"/>
    </row>
    <row r="208" spans="1:67" s="164" customFormat="1">
      <c r="A208" s="593"/>
      <c r="B208" s="593"/>
      <c r="C208" s="631" t="s">
        <v>320</v>
      </c>
      <c r="D208" s="646">
        <f t="shared" ref="D208" si="163">SUM(E208:AI208)</f>
        <v>4.0219668568390112</v>
      </c>
      <c r="E208" s="629">
        <f t="shared" ref="E208:AH208" si="164">IF(E$178&gt;0,E179/E$178*E$120,0)</f>
        <v>4.5020450850185467E-2</v>
      </c>
      <c r="F208" s="629">
        <f t="shared" si="164"/>
        <v>6.589916600281559E-2</v>
      </c>
      <c r="G208" s="629">
        <f t="shared" si="164"/>
        <v>8.3150745881017993E-2</v>
      </c>
      <c r="H208" s="629">
        <f t="shared" si="164"/>
        <v>0</v>
      </c>
      <c r="I208" s="629">
        <f t="shared" si="164"/>
        <v>0.74147947933956482</v>
      </c>
      <c r="J208" s="629">
        <f t="shared" si="164"/>
        <v>0.44006858905124197</v>
      </c>
      <c r="K208" s="629">
        <f t="shared" si="164"/>
        <v>1.990351868286379E-3</v>
      </c>
      <c r="L208" s="629">
        <f t="shared" si="164"/>
        <v>6.9571509088597596E-3</v>
      </c>
      <c r="M208" s="629">
        <f t="shared" si="164"/>
        <v>4.8309759109010419E-2</v>
      </c>
      <c r="N208" s="629">
        <f t="shared" si="164"/>
        <v>0.11344415593271366</v>
      </c>
      <c r="O208" s="629">
        <f t="shared" si="164"/>
        <v>0.40258315775384818</v>
      </c>
      <c r="P208" s="629">
        <f t="shared" si="164"/>
        <v>0</v>
      </c>
      <c r="Q208" s="629">
        <f t="shared" si="164"/>
        <v>0</v>
      </c>
      <c r="R208" s="629">
        <f t="shared" si="164"/>
        <v>2.2257055676040499E-2</v>
      </c>
      <c r="S208" s="629">
        <f t="shared" si="164"/>
        <v>2.9670708401215523E-2</v>
      </c>
      <c r="T208" s="629">
        <f t="shared" si="164"/>
        <v>0</v>
      </c>
      <c r="U208" s="629">
        <f t="shared" si="164"/>
        <v>0</v>
      </c>
      <c r="V208" s="629">
        <f t="shared" si="164"/>
        <v>0</v>
      </c>
      <c r="W208" s="629">
        <f t="shared" si="164"/>
        <v>0</v>
      </c>
      <c r="X208" s="629">
        <f t="shared" si="164"/>
        <v>0</v>
      </c>
      <c r="Y208" s="629">
        <f t="shared" si="164"/>
        <v>1.5069765941181761</v>
      </c>
      <c r="Z208" s="629">
        <f t="shared" si="164"/>
        <v>0</v>
      </c>
      <c r="AA208" s="629">
        <f t="shared" si="164"/>
        <v>0.20153343786154926</v>
      </c>
      <c r="AB208" s="629">
        <f t="shared" si="164"/>
        <v>2.74719457666234E-3</v>
      </c>
      <c r="AC208" s="629">
        <f t="shared" si="164"/>
        <v>1.1054423614718452E-2</v>
      </c>
      <c r="AD208" s="629">
        <f t="shared" si="164"/>
        <v>0.18074051635111879</v>
      </c>
      <c r="AE208" s="629">
        <f t="shared" si="164"/>
        <v>0.11808391954198678</v>
      </c>
      <c r="AF208" s="629">
        <f t="shared" si="164"/>
        <v>0</v>
      </c>
      <c r="AG208" s="629">
        <f t="shared" si="164"/>
        <v>0</v>
      </c>
      <c r="AH208" s="629">
        <f t="shared" si="164"/>
        <v>0</v>
      </c>
      <c r="AI208" s="509"/>
      <c r="AJ208" s="165"/>
      <c r="AK208" s="165"/>
      <c r="AL208" s="165"/>
      <c r="AM208" s="165"/>
      <c r="AN208" s="165"/>
      <c r="AO208" s="165"/>
      <c r="AP208" s="165"/>
      <c r="AQ208" s="165"/>
      <c r="AR208" s="165"/>
      <c r="AS208" s="165"/>
      <c r="AT208" s="165"/>
      <c r="AU208" s="165"/>
      <c r="AV208" s="165"/>
      <c r="AW208" s="165"/>
      <c r="AX208" s="165"/>
      <c r="AY208" s="165"/>
    </row>
    <row r="209" spans="1:51" s="164" customFormat="1">
      <c r="A209" s="593"/>
      <c r="B209" s="593"/>
      <c r="C209" s="631" t="s">
        <v>420</v>
      </c>
      <c r="D209" s="609"/>
      <c r="E209" s="629">
        <f t="shared" ref="E209:AH209" si="165">E$107/(1+E207)</f>
        <v>0.14908495726683887</v>
      </c>
      <c r="F209" s="629">
        <f t="shared" si="165"/>
        <v>0.18255182769194236</v>
      </c>
      <c r="G209" s="629">
        <f t="shared" si="165"/>
        <v>0.16074234553677902</v>
      </c>
      <c r="H209" s="629">
        <f t="shared" si="165"/>
        <v>0</v>
      </c>
      <c r="I209" s="629">
        <f t="shared" si="165"/>
        <v>0.23825719371493057</v>
      </c>
      <c r="J209" s="629">
        <f t="shared" si="165"/>
        <v>0.17931747403717105</v>
      </c>
      <c r="K209" s="629">
        <f t="shared" si="165"/>
        <v>0.22147653718044794</v>
      </c>
      <c r="L209" s="629">
        <f t="shared" si="165"/>
        <v>0.1368989860486392</v>
      </c>
      <c r="M209" s="629">
        <f t="shared" si="165"/>
        <v>0.34468414699279876</v>
      </c>
      <c r="N209" s="629">
        <f t="shared" si="165"/>
        <v>0.15147279248545273</v>
      </c>
      <c r="O209" s="629">
        <f t="shared" si="165"/>
        <v>0.15115141856919867</v>
      </c>
      <c r="P209" s="629">
        <f t="shared" si="165"/>
        <v>0.20619840977533202</v>
      </c>
      <c r="Q209" s="629">
        <f t="shared" si="165"/>
        <v>0.1078999565059939</v>
      </c>
      <c r="R209" s="629">
        <f t="shared" si="165"/>
        <v>0.22348126963347045</v>
      </c>
      <c r="S209" s="629">
        <f t="shared" si="165"/>
        <v>0.23161772077635151</v>
      </c>
      <c r="T209" s="629">
        <f t="shared" si="165"/>
        <v>5.4782608695652171E-2</v>
      </c>
      <c r="U209" s="629">
        <f t="shared" si="165"/>
        <v>0.2976627807790731</v>
      </c>
      <c r="V209" s="629">
        <f t="shared" si="165"/>
        <v>0.15085020242914979</v>
      </c>
      <c r="W209" s="629">
        <f t="shared" si="165"/>
        <v>0</v>
      </c>
      <c r="X209" s="629">
        <f t="shared" si="165"/>
        <v>0.19762031010990475</v>
      </c>
      <c r="Y209" s="629">
        <f t="shared" si="165"/>
        <v>0.11029467560389529</v>
      </c>
      <c r="Z209" s="629">
        <f t="shared" si="165"/>
        <v>0.28058760738791144</v>
      </c>
      <c r="AA209" s="629">
        <f t="shared" si="165"/>
        <v>0.24468085106382984</v>
      </c>
      <c r="AB209" s="629">
        <f t="shared" si="165"/>
        <v>0.15639193901305865</v>
      </c>
      <c r="AC209" s="629">
        <f t="shared" si="165"/>
        <v>0.10522976216858211</v>
      </c>
      <c r="AD209" s="629">
        <f t="shared" si="165"/>
        <v>0.25960330629778389</v>
      </c>
      <c r="AE209" s="629">
        <f t="shared" si="165"/>
        <v>0.33254158981555149</v>
      </c>
      <c r="AF209" s="629">
        <f t="shared" si="165"/>
        <v>0.13667590655054926</v>
      </c>
      <c r="AG209" s="629">
        <f t="shared" si="165"/>
        <v>0</v>
      </c>
      <c r="AH209" s="629">
        <f t="shared" si="165"/>
        <v>0</v>
      </c>
      <c r="AI209" s="509"/>
      <c r="AJ209" s="165"/>
      <c r="AK209" s="165"/>
      <c r="AL209" s="165"/>
      <c r="AM209" s="165"/>
      <c r="AN209" s="165"/>
      <c r="AO209" s="165"/>
      <c r="AP209" s="165"/>
      <c r="AQ209" s="165"/>
      <c r="AR209" s="165"/>
      <c r="AS209" s="165"/>
      <c r="AT209" s="165"/>
      <c r="AU209" s="165"/>
      <c r="AV209" s="165"/>
      <c r="AW209" s="165"/>
      <c r="AX209" s="165"/>
      <c r="AY209" s="165"/>
    </row>
    <row r="210" spans="1:51" s="164" customFormat="1">
      <c r="A210" s="593"/>
      <c r="B210" s="593"/>
      <c r="C210" s="631" t="s">
        <v>319</v>
      </c>
      <c r="D210" s="609"/>
      <c r="E210" s="629">
        <f>E212*E209</f>
        <v>0.7748657376686573</v>
      </c>
      <c r="F210" s="629">
        <f t="shared" ref="F210:AH210" si="166">F212*F209</f>
        <v>0.68206435169745405</v>
      </c>
      <c r="G210" s="629">
        <f t="shared" si="166"/>
        <v>1.8382441288913165</v>
      </c>
      <c r="H210" s="629">
        <f t="shared" si="166"/>
        <v>0</v>
      </c>
      <c r="I210" s="629">
        <f t="shared" si="166"/>
        <v>18.177381934131212</v>
      </c>
      <c r="J210" s="629">
        <f>J212*J209</f>
        <v>4.7128295944478671</v>
      </c>
      <c r="K210" s="629">
        <f t="shared" si="166"/>
        <v>3.5565210648746438E-2</v>
      </c>
      <c r="L210" s="629">
        <f t="shared" si="166"/>
        <v>0.10744649446494466</v>
      </c>
      <c r="M210" s="629">
        <f t="shared" si="166"/>
        <v>1.3708860342363884</v>
      </c>
      <c r="N210" s="629">
        <f t="shared" si="166"/>
        <v>1.8952303842245892</v>
      </c>
      <c r="O210" s="629">
        <f t="shared" si="166"/>
        <v>3.4481535867738375</v>
      </c>
      <c r="P210" s="629">
        <f t="shared" si="166"/>
        <v>0</v>
      </c>
      <c r="Q210" s="629">
        <f t="shared" si="166"/>
        <v>0</v>
      </c>
      <c r="R210" s="629">
        <f t="shared" si="166"/>
        <v>0.39594330708661413</v>
      </c>
      <c r="S210" s="629">
        <f t="shared" si="166"/>
        <v>0.66860688412076663</v>
      </c>
      <c r="T210" s="629">
        <f t="shared" si="166"/>
        <v>0</v>
      </c>
      <c r="U210" s="629">
        <f t="shared" si="166"/>
        <v>0</v>
      </c>
      <c r="V210" s="629">
        <f t="shared" si="166"/>
        <v>0</v>
      </c>
      <c r="W210" s="629">
        <f t="shared" si="166"/>
        <v>0</v>
      </c>
      <c r="X210" s="629">
        <f t="shared" si="166"/>
        <v>0</v>
      </c>
      <c r="Y210" s="629">
        <f t="shared" si="166"/>
        <v>18.710259739995251</v>
      </c>
      <c r="Z210" s="629">
        <f t="shared" si="166"/>
        <v>0</v>
      </c>
      <c r="AA210" s="629">
        <f t="shared" si="166"/>
        <v>5.7189143661971826</v>
      </c>
      <c r="AB210" s="629">
        <f t="shared" si="166"/>
        <v>4.9155740660608696E-2</v>
      </c>
      <c r="AC210" s="629">
        <f t="shared" si="166"/>
        <v>0.1837794441993825</v>
      </c>
      <c r="AD210" s="629">
        <f t="shared" si="166"/>
        <v>3.1760121805904942</v>
      </c>
      <c r="AE210" s="629">
        <f t="shared" si="166"/>
        <v>3.0787345948807068</v>
      </c>
      <c r="AF210" s="629">
        <f t="shared" si="166"/>
        <v>0</v>
      </c>
      <c r="AG210" s="629">
        <f t="shared" si="166"/>
        <v>0</v>
      </c>
      <c r="AH210" s="629">
        <f t="shared" si="166"/>
        <v>0</v>
      </c>
      <c r="AI210" s="509"/>
      <c r="AJ210" s="165"/>
      <c r="AK210" s="165"/>
      <c r="AL210" s="165"/>
      <c r="AM210" s="165"/>
      <c r="AN210" s="165"/>
      <c r="AO210" s="165"/>
      <c r="AP210" s="165"/>
      <c r="AQ210" s="165"/>
      <c r="AR210" s="165"/>
      <c r="AS210" s="165"/>
      <c r="AT210" s="165"/>
      <c r="AU210" s="165"/>
      <c r="AV210" s="165"/>
      <c r="AW210" s="165"/>
      <c r="AX210" s="165"/>
      <c r="AY210" s="165"/>
    </row>
    <row r="211" spans="1:51" s="164" customFormat="1">
      <c r="A211" s="593"/>
      <c r="B211" s="593"/>
      <c r="C211" s="631" t="s">
        <v>318</v>
      </c>
      <c r="D211" s="646">
        <f t="shared" ref="D211" si="167">SUM(E211:AI211)</f>
        <v>222.33280028120629</v>
      </c>
      <c r="E211" s="629">
        <f>E210*E207</f>
        <v>2.4706905552530842</v>
      </c>
      <c r="F211" s="629">
        <f t="shared" ref="F211:AH211" si="168">F210*F207</f>
        <v>2.2008432472425392</v>
      </c>
      <c r="G211" s="629">
        <f t="shared" si="168"/>
        <v>5.5918860984844505</v>
      </c>
      <c r="H211" s="629">
        <f t="shared" si="168"/>
        <v>0</v>
      </c>
      <c r="I211" s="629">
        <f t="shared" si="168"/>
        <v>31.966502882851401</v>
      </c>
      <c r="J211" s="629">
        <f>J210*J207</f>
        <v>16.405943282759303</v>
      </c>
      <c r="K211" s="629">
        <f t="shared" si="168"/>
        <v>9.922871789261456E-2</v>
      </c>
      <c r="L211" s="629">
        <f t="shared" si="168"/>
        <v>0.44058728734999891</v>
      </c>
      <c r="M211" s="629">
        <f t="shared" si="168"/>
        <v>1.8099176921750029</v>
      </c>
      <c r="N211" s="629">
        <f t="shared" si="168"/>
        <v>8.1332420360143125</v>
      </c>
      <c r="O211" s="629">
        <f t="shared" si="168"/>
        <v>14.893878220942813</v>
      </c>
      <c r="P211" s="629">
        <f t="shared" si="168"/>
        <v>0</v>
      </c>
      <c r="Q211" s="629">
        <f t="shared" si="168"/>
        <v>0</v>
      </c>
      <c r="R211" s="629">
        <f t="shared" si="168"/>
        <v>0.95184283882096221</v>
      </c>
      <c r="S211" s="629">
        <f t="shared" si="168"/>
        <v>1.4352219171428409</v>
      </c>
      <c r="T211" s="629">
        <f t="shared" si="168"/>
        <v>0</v>
      </c>
      <c r="U211" s="629">
        <f t="shared" si="168"/>
        <v>0</v>
      </c>
      <c r="V211" s="629">
        <f t="shared" si="168"/>
        <v>0</v>
      </c>
      <c r="W211" s="629">
        <f t="shared" si="168"/>
        <v>0</v>
      </c>
      <c r="X211" s="629">
        <f>X210*X207</f>
        <v>0</v>
      </c>
      <c r="Y211" s="629">
        <f t="shared" si="168"/>
        <v>113.81082415660309</v>
      </c>
      <c r="Z211" s="629">
        <f t="shared" si="168"/>
        <v>0</v>
      </c>
      <c r="AA211" s="629">
        <f t="shared" si="168"/>
        <v>15.810974800563381</v>
      </c>
      <c r="AB211" s="629">
        <f t="shared" si="168"/>
        <v>0.19662547494646523</v>
      </c>
      <c r="AC211" s="629">
        <f t="shared" si="168"/>
        <v>1.3822406790742847</v>
      </c>
      <c r="AD211" s="629">
        <f t="shared" si="168"/>
        <v>0.94938858731629838</v>
      </c>
      <c r="AE211" s="629">
        <f t="shared" si="168"/>
        <v>3.782961805773482</v>
      </c>
      <c r="AF211" s="629">
        <f t="shared" si="168"/>
        <v>0</v>
      </c>
      <c r="AG211" s="629">
        <f t="shared" si="168"/>
        <v>0</v>
      </c>
      <c r="AH211" s="629">
        <f t="shared" si="168"/>
        <v>0</v>
      </c>
      <c r="AI211" s="509"/>
      <c r="AJ211" s="165"/>
      <c r="AK211" s="165"/>
      <c r="AL211" s="165"/>
      <c r="AM211" s="165"/>
      <c r="AN211" s="165"/>
      <c r="AO211" s="165"/>
      <c r="AP211" s="165"/>
      <c r="AQ211" s="165"/>
      <c r="AR211" s="165"/>
      <c r="AS211" s="165"/>
      <c r="AT211" s="165"/>
      <c r="AU211" s="165"/>
      <c r="AV211" s="165"/>
      <c r="AW211" s="165"/>
      <c r="AX211" s="165"/>
      <c r="AY211" s="165"/>
    </row>
    <row r="212" spans="1:51" s="164" customFormat="1">
      <c r="A212" s="593"/>
      <c r="B212" s="593"/>
      <c r="C212" s="631" t="s">
        <v>321</v>
      </c>
      <c r="D212" s="646">
        <f>SUM(E212:AI212)</f>
        <v>384.4153727495368</v>
      </c>
      <c r="E212" s="629">
        <f t="shared" ref="E212:N212" si="169">IF(E$178&gt;0,E179/E$178*E$146,0)</f>
        <v>5.1974776789972728</v>
      </c>
      <c r="F212" s="629">
        <f t="shared" si="169"/>
        <v>3.7362778577514049</v>
      </c>
      <c r="G212" s="629">
        <f t="shared" si="169"/>
        <v>11.435966812309037</v>
      </c>
      <c r="H212" s="629">
        <f t="shared" si="169"/>
        <v>0</v>
      </c>
      <c r="I212" s="629">
        <f>IF(I$178&gt;0,I179/I$178*I$146,0)</f>
        <v>76.293108513147544</v>
      </c>
      <c r="J212" s="629">
        <f>IF(J$178&gt;0,J179/J$178*J$146,0)</f>
        <v>26.282043173722911</v>
      </c>
      <c r="K212" s="629">
        <f t="shared" si="169"/>
        <v>0.1605822950887556</v>
      </c>
      <c r="L212" s="629">
        <f t="shared" si="169"/>
        <v>0.7848596806025262</v>
      </c>
      <c r="M212" s="629">
        <f t="shared" si="169"/>
        <v>3.9772239199182824</v>
      </c>
      <c r="N212" s="629">
        <f t="shared" si="169"/>
        <v>12.512018515844058</v>
      </c>
      <c r="O212" s="665">
        <f>IF(O$178&gt;0,O179/O$178*O$146,0)-15</f>
        <v>22.812578402598568</v>
      </c>
      <c r="P212" s="629">
        <f t="shared" ref="P212:X212" si="170">IF(P$178&gt;0,P179/P$178*P$146,0)</f>
        <v>0</v>
      </c>
      <c r="Q212" s="629">
        <f t="shared" si="170"/>
        <v>0</v>
      </c>
      <c r="R212" s="629">
        <f t="shared" si="170"/>
        <v>1.7717068984617683</v>
      </c>
      <c r="S212" s="629">
        <f t="shared" si="170"/>
        <v>2.8866827714204515</v>
      </c>
      <c r="T212" s="629">
        <f t="shared" si="170"/>
        <v>0</v>
      </c>
      <c r="U212" s="629">
        <f t="shared" si="170"/>
        <v>0</v>
      </c>
      <c r="V212" s="629">
        <f t="shared" si="170"/>
        <v>0</v>
      </c>
      <c r="W212" s="629">
        <f t="shared" si="170"/>
        <v>0</v>
      </c>
      <c r="X212" s="629">
        <f t="shared" si="170"/>
        <v>0</v>
      </c>
      <c r="Y212" s="665">
        <f>IF(Y$178&gt;0,Y179/Y$178*Y$146,0)-25</f>
        <v>169.6388301389089</v>
      </c>
      <c r="Z212" s="629">
        <f t="shared" ref="Z212:AH212" si="171">IF(Z$178&gt;0,Z179/Z$178*Z$146,0)</f>
        <v>0</v>
      </c>
      <c r="AA212" s="629">
        <f t="shared" si="171"/>
        <v>23.372954366197177</v>
      </c>
      <c r="AB212" s="629">
        <f t="shared" si="171"/>
        <v>0.31431121687483021</v>
      </c>
      <c r="AC212" s="629">
        <f t="shared" si="171"/>
        <v>1.7464588003625894</v>
      </c>
      <c r="AD212" s="629">
        <f>IF(AD$178&gt;0,AD179/AD$178*AD$146,0)</f>
        <v>12.234097577121675</v>
      </c>
      <c r="AE212" s="629">
        <f>IF(AE$178&gt;0,AE179/AE$178*AE$146,0)</f>
        <v>9.258194130208997</v>
      </c>
      <c r="AF212" s="629">
        <f t="shared" si="171"/>
        <v>0</v>
      </c>
      <c r="AG212" s="629">
        <f t="shared" si="171"/>
        <v>0</v>
      </c>
      <c r="AH212" s="629">
        <f t="shared" si="171"/>
        <v>0</v>
      </c>
      <c r="AI212" s="509"/>
      <c r="AJ212" s="165"/>
      <c r="AK212" s="165"/>
      <c r="AL212" s="165"/>
      <c r="AM212" s="165"/>
      <c r="AN212" s="165"/>
      <c r="AO212" s="165"/>
      <c r="AP212" s="165"/>
      <c r="AQ212" s="165"/>
      <c r="AR212" s="165"/>
      <c r="AS212" s="165"/>
      <c r="AT212" s="165"/>
      <c r="AU212" s="165"/>
      <c r="AV212" s="165"/>
      <c r="AW212" s="165"/>
      <c r="AX212" s="165"/>
      <c r="AY212" s="165"/>
    </row>
    <row r="213" spans="1:51" s="164" customFormat="1">
      <c r="A213" s="593"/>
      <c r="B213" s="593"/>
      <c r="C213" s="638"/>
      <c r="D213" s="609"/>
      <c r="E213" s="629"/>
      <c r="F213" s="629"/>
      <c r="G213" s="629"/>
      <c r="H213" s="629"/>
      <c r="I213" s="629"/>
      <c r="J213" s="629"/>
      <c r="K213" s="629"/>
      <c r="L213" s="629"/>
      <c r="M213" s="629"/>
      <c r="N213" s="629"/>
      <c r="O213" s="629"/>
      <c r="P213" s="629"/>
      <c r="Q213" s="629"/>
      <c r="R213" s="629"/>
      <c r="S213" s="629"/>
      <c r="T213" s="629"/>
      <c r="U213" s="629"/>
      <c r="V213" s="629"/>
      <c r="W213" s="629"/>
      <c r="X213" s="629"/>
      <c r="Y213" s="629"/>
      <c r="Z213" s="629"/>
      <c r="AA213" s="629"/>
      <c r="AB213" s="629"/>
      <c r="AC213" s="629"/>
      <c r="AD213" s="629"/>
      <c r="AE213" s="629"/>
      <c r="AF213" s="629"/>
      <c r="AG213" s="629"/>
      <c r="AH213" s="629"/>
      <c r="AI213" s="509"/>
      <c r="AJ213" s="165"/>
      <c r="AK213" s="165"/>
      <c r="AL213" s="165"/>
      <c r="AM213" s="165"/>
      <c r="AN213" s="165"/>
      <c r="AO213" s="165"/>
      <c r="AP213" s="165"/>
      <c r="AQ213" s="165"/>
      <c r="AR213" s="165"/>
      <c r="AS213" s="165"/>
      <c r="AT213" s="165"/>
      <c r="AU213" s="165"/>
      <c r="AV213" s="165"/>
      <c r="AW213" s="165"/>
      <c r="AX213" s="165"/>
      <c r="AY213" s="165"/>
    </row>
    <row r="214" spans="1:51" s="164" customFormat="1">
      <c r="A214" s="593"/>
      <c r="B214" s="593"/>
      <c r="C214" s="638" t="s">
        <v>322</v>
      </c>
      <c r="D214" s="609"/>
      <c r="E214" s="629"/>
      <c r="F214" s="629"/>
      <c r="G214" s="629"/>
      <c r="H214" s="629"/>
      <c r="I214" s="629"/>
      <c r="J214" s="629"/>
      <c r="K214" s="629"/>
      <c r="L214" s="629"/>
      <c r="M214" s="629"/>
      <c r="N214" s="629"/>
      <c r="O214" s="629"/>
      <c r="P214" s="629"/>
      <c r="Q214" s="629"/>
      <c r="R214" s="629"/>
      <c r="S214" s="629"/>
      <c r="T214" s="629"/>
      <c r="U214" s="629"/>
      <c r="V214" s="629"/>
      <c r="W214" s="629"/>
      <c r="X214" s="629"/>
      <c r="Y214" s="629"/>
      <c r="Z214" s="629"/>
      <c r="AA214" s="629"/>
      <c r="AB214" s="629"/>
      <c r="AC214" s="629"/>
      <c r="AD214" s="629"/>
      <c r="AE214" s="629"/>
      <c r="AF214" s="629"/>
      <c r="AG214" s="629"/>
      <c r="AH214" s="629"/>
      <c r="AI214" s="509"/>
      <c r="AJ214" s="165"/>
      <c r="AK214" s="165"/>
      <c r="AL214" s="165"/>
      <c r="AM214" s="165"/>
      <c r="AN214" s="165"/>
      <c r="AO214" s="165"/>
      <c r="AP214" s="165"/>
      <c r="AQ214" s="165"/>
      <c r="AR214" s="165"/>
      <c r="AS214" s="165"/>
      <c r="AT214" s="165"/>
      <c r="AU214" s="165"/>
      <c r="AV214" s="165"/>
      <c r="AW214" s="165"/>
      <c r="AX214" s="165"/>
      <c r="AY214" s="165"/>
    </row>
    <row r="215" spans="1:51" s="164" customFormat="1">
      <c r="A215" s="593"/>
      <c r="B215" s="593"/>
      <c r="C215" s="631" t="s">
        <v>149</v>
      </c>
      <c r="D215" s="609"/>
      <c r="E215" s="629">
        <f>E206</f>
        <v>0.54587429930234022</v>
      </c>
      <c r="F215" s="629">
        <f t="shared" ref="F215:AH215" si="172">F206</f>
        <v>0.32826302520463785</v>
      </c>
      <c r="G215" s="629">
        <f t="shared" si="172"/>
        <v>0.70115343743877068</v>
      </c>
      <c r="H215" s="629">
        <f t="shared" si="172"/>
        <v>0</v>
      </c>
      <c r="I215" s="629">
        <f t="shared" si="172"/>
        <v>0.77751401381713625</v>
      </c>
      <c r="J215" s="629">
        <f t="shared" si="172"/>
        <v>0.33965451757672693</v>
      </c>
      <c r="K215" s="629">
        <f t="shared" si="172"/>
        <v>0.56672393337976723</v>
      </c>
      <c r="L215" s="629">
        <f t="shared" si="172"/>
        <v>0.48982038604577172</v>
      </c>
      <c r="M215" s="629">
        <f t="shared" si="172"/>
        <v>0.89999999999999991</v>
      </c>
      <c r="N215" s="629">
        <f t="shared" si="172"/>
        <v>0.5298536268850097</v>
      </c>
      <c r="O215" s="629">
        <f t="shared" si="172"/>
        <v>0.45026578529306632</v>
      </c>
      <c r="P215" s="629">
        <f t="shared" si="172"/>
        <v>0.49780596610463002</v>
      </c>
      <c r="Q215" s="629">
        <f t="shared" si="172"/>
        <v>0.34645302760666807</v>
      </c>
      <c r="R215" s="629">
        <f t="shared" si="172"/>
        <v>0.56421070667718776</v>
      </c>
      <c r="S215" s="629">
        <f t="shared" si="172"/>
        <v>0.71469206074653024</v>
      </c>
      <c r="T215" s="629">
        <f t="shared" si="172"/>
        <v>0.9</v>
      </c>
      <c r="U215" s="629">
        <f t="shared" si="172"/>
        <v>0.41931981751201536</v>
      </c>
      <c r="V215" s="629">
        <f t="shared" si="172"/>
        <v>0.45101959318995727</v>
      </c>
      <c r="W215" s="629">
        <f t="shared" si="172"/>
        <v>0</v>
      </c>
      <c r="X215" s="629">
        <f t="shared" si="172"/>
        <v>0.87876645230225914</v>
      </c>
      <c r="Y215" s="629">
        <f t="shared" si="172"/>
        <v>0.45180762443518252</v>
      </c>
      <c r="Z215" s="629">
        <f t="shared" si="172"/>
        <v>0.9</v>
      </c>
      <c r="AA215" s="629">
        <f t="shared" si="172"/>
        <v>0.8999999999999998</v>
      </c>
      <c r="AB215" s="629">
        <f t="shared" si="172"/>
        <v>0.56749344973014737</v>
      </c>
      <c r="AC215" s="629">
        <f t="shared" si="172"/>
        <v>0.52727461096192085</v>
      </c>
      <c r="AD215" s="629">
        <f t="shared" si="172"/>
        <v>0.55731748671307157</v>
      </c>
      <c r="AE215" s="629">
        <f t="shared" si="172"/>
        <v>0.82690862310043178</v>
      </c>
      <c r="AF215" s="629">
        <f t="shared" si="172"/>
        <v>0.9</v>
      </c>
      <c r="AG215" s="629">
        <f t="shared" si="172"/>
        <v>0</v>
      </c>
      <c r="AH215" s="629">
        <f t="shared" si="172"/>
        <v>0</v>
      </c>
      <c r="AI215" s="509"/>
      <c r="AJ215" s="165"/>
      <c r="AK215" s="165"/>
      <c r="AL215" s="165"/>
      <c r="AM215" s="165"/>
      <c r="AN215" s="165"/>
      <c r="AO215" s="165"/>
      <c r="AP215" s="165"/>
      <c r="AQ215" s="165"/>
      <c r="AR215" s="165"/>
      <c r="AS215" s="165"/>
      <c r="AT215" s="165"/>
      <c r="AU215" s="165"/>
      <c r="AV215" s="165"/>
      <c r="AW215" s="165"/>
      <c r="AX215" s="165"/>
      <c r="AY215" s="165"/>
    </row>
    <row r="216" spans="1:51" s="164" customFormat="1">
      <c r="A216" s="593"/>
      <c r="B216" s="593"/>
      <c r="C216" s="631" t="s">
        <v>147</v>
      </c>
      <c r="D216" s="609"/>
      <c r="E216" s="629">
        <f>E207</f>
        <v>3.1885402014117492</v>
      </c>
      <c r="F216" s="629">
        <f t="shared" ref="F216:AH216" si="173">F207</f>
        <v>3.2267384181057097</v>
      </c>
      <c r="G216" s="629">
        <f t="shared" si="173"/>
        <v>3.0419714175053745</v>
      </c>
      <c r="H216" s="629">
        <f t="shared" si="173"/>
        <v>0</v>
      </c>
      <c r="I216" s="629">
        <f t="shared" si="173"/>
        <v>1.7585867425071102</v>
      </c>
      <c r="J216" s="629">
        <f t="shared" si="173"/>
        <v>3.4811238034337091</v>
      </c>
      <c r="K216" s="629">
        <f t="shared" si="173"/>
        <v>2.790050054043812</v>
      </c>
      <c r="L216" s="629">
        <f t="shared" si="173"/>
        <v>4.1005273326413114</v>
      </c>
      <c r="M216" s="629">
        <f t="shared" si="173"/>
        <v>1.3202539430516294</v>
      </c>
      <c r="N216" s="629">
        <f t="shared" si="173"/>
        <v>4.291426574686291</v>
      </c>
      <c r="O216" s="629">
        <f t="shared" si="173"/>
        <v>4.3193778485017624</v>
      </c>
      <c r="P216" s="629">
        <f t="shared" si="173"/>
        <v>2.4751773049645394</v>
      </c>
      <c r="Q216" s="629">
        <f t="shared" si="173"/>
        <v>6.1158868799634423</v>
      </c>
      <c r="R216" s="629">
        <f t="shared" si="173"/>
        <v>2.403987696684927</v>
      </c>
      <c r="S216" s="629">
        <f t="shared" si="173"/>
        <v>2.1465856114092969</v>
      </c>
      <c r="T216" s="629">
        <f t="shared" si="173"/>
        <v>13.412698412698413</v>
      </c>
      <c r="U216" s="629">
        <f t="shared" si="173"/>
        <v>2.0030949105914715</v>
      </c>
      <c r="V216" s="629">
        <f t="shared" si="173"/>
        <v>4.7101449275362315</v>
      </c>
      <c r="W216" s="629">
        <f t="shared" si="173"/>
        <v>0</v>
      </c>
      <c r="X216" s="629">
        <f t="shared" si="173"/>
        <v>3.208182402068958</v>
      </c>
      <c r="Y216" s="629">
        <f t="shared" si="173"/>
        <v>6.0828030042426322</v>
      </c>
      <c r="Z216" s="629">
        <f t="shared" si="173"/>
        <v>2.247780353839572</v>
      </c>
      <c r="AA216" s="629">
        <f t="shared" si="173"/>
        <v>2.7646811594202902</v>
      </c>
      <c r="AB216" s="629">
        <f t="shared" si="173"/>
        <v>4.0000511090667477</v>
      </c>
      <c r="AC216" s="629">
        <f t="shared" si="173"/>
        <v>7.5211930534227243</v>
      </c>
      <c r="AD216" s="629">
        <f t="shared" si="173"/>
        <v>0.29892473118279572</v>
      </c>
      <c r="AE216" s="629">
        <f t="shared" si="173"/>
        <v>1.2287391748752095</v>
      </c>
      <c r="AF216" s="629">
        <f t="shared" si="173"/>
        <v>3.4553853922908568</v>
      </c>
      <c r="AG216" s="629">
        <f t="shared" si="173"/>
        <v>0</v>
      </c>
      <c r="AH216" s="629">
        <f t="shared" si="173"/>
        <v>0</v>
      </c>
      <c r="AI216" s="509"/>
      <c r="AJ216" s="165"/>
      <c r="AK216" s="165"/>
      <c r="AL216" s="165"/>
      <c r="AM216" s="165"/>
      <c r="AN216" s="165"/>
      <c r="AO216" s="165"/>
      <c r="AP216" s="165"/>
      <c r="AQ216" s="165"/>
      <c r="AR216" s="165"/>
      <c r="AS216" s="165"/>
      <c r="AT216" s="165"/>
      <c r="AU216" s="165"/>
      <c r="AV216" s="165"/>
      <c r="AW216" s="165"/>
      <c r="AX216" s="165"/>
      <c r="AY216" s="165"/>
    </row>
    <row r="217" spans="1:51" s="164" customFormat="1">
      <c r="A217" s="593"/>
      <c r="B217" s="593"/>
      <c r="C217" s="631" t="s">
        <v>320</v>
      </c>
      <c r="D217" s="646">
        <f t="shared" ref="D217" si="174">SUM(E217:AI217)</f>
        <v>0.69557172334299111</v>
      </c>
      <c r="E217" s="629">
        <f t="shared" ref="E217:AH217" si="175">IF(E$178&gt;0,E180/E$178*E$120,0)</f>
        <v>0</v>
      </c>
      <c r="F217" s="629">
        <f t="shared" si="175"/>
        <v>0</v>
      </c>
      <c r="G217" s="629">
        <f t="shared" si="175"/>
        <v>5.219561672135188E-3</v>
      </c>
      <c r="H217" s="629">
        <f t="shared" si="175"/>
        <v>0</v>
      </c>
      <c r="I217" s="629">
        <f t="shared" si="175"/>
        <v>0</v>
      </c>
      <c r="J217" s="629">
        <f t="shared" si="175"/>
        <v>3.630787094958824E-2</v>
      </c>
      <c r="K217" s="629">
        <f t="shared" si="175"/>
        <v>2.3345480560351514E-2</v>
      </c>
      <c r="L217" s="629">
        <f t="shared" si="175"/>
        <v>0</v>
      </c>
      <c r="M217" s="629">
        <f t="shared" si="175"/>
        <v>0</v>
      </c>
      <c r="N217" s="629">
        <f t="shared" si="175"/>
        <v>0</v>
      </c>
      <c r="O217" s="629">
        <f t="shared" si="175"/>
        <v>9.7816565895737766E-3</v>
      </c>
      <c r="P217" s="629">
        <f t="shared" si="175"/>
        <v>0</v>
      </c>
      <c r="Q217" s="629">
        <f t="shared" si="175"/>
        <v>0</v>
      </c>
      <c r="R217" s="629">
        <f t="shared" si="175"/>
        <v>0</v>
      </c>
      <c r="S217" s="629">
        <f t="shared" si="175"/>
        <v>0.31020645152344961</v>
      </c>
      <c r="T217" s="629">
        <f t="shared" si="175"/>
        <v>0</v>
      </c>
      <c r="U217" s="629">
        <f t="shared" si="175"/>
        <v>0</v>
      </c>
      <c r="V217" s="629">
        <f t="shared" si="175"/>
        <v>0</v>
      </c>
      <c r="W217" s="629">
        <f t="shared" si="175"/>
        <v>0</v>
      </c>
      <c r="X217" s="629">
        <f t="shared" si="175"/>
        <v>0.2818067590014558</v>
      </c>
      <c r="Y217" s="629">
        <f t="shared" si="175"/>
        <v>0</v>
      </c>
      <c r="Z217" s="629">
        <f t="shared" si="175"/>
        <v>0</v>
      </c>
      <c r="AA217" s="629">
        <f t="shared" si="175"/>
        <v>3.7591613748459681E-3</v>
      </c>
      <c r="AB217" s="629">
        <f t="shared" si="175"/>
        <v>0</v>
      </c>
      <c r="AC217" s="629">
        <f t="shared" si="175"/>
        <v>0</v>
      </c>
      <c r="AD217" s="629">
        <f t="shared" si="175"/>
        <v>3.1216523235800347E-3</v>
      </c>
      <c r="AE217" s="629">
        <f t="shared" si="175"/>
        <v>0</v>
      </c>
      <c r="AF217" s="629">
        <f t="shared" si="175"/>
        <v>2.2023129348010918E-2</v>
      </c>
      <c r="AG217" s="629">
        <f t="shared" si="175"/>
        <v>0</v>
      </c>
      <c r="AH217" s="629">
        <f t="shared" si="175"/>
        <v>0</v>
      </c>
      <c r="AI217" s="509"/>
      <c r="AJ217" s="165"/>
      <c r="AK217" s="165"/>
      <c r="AL217" s="165"/>
      <c r="AM217" s="165"/>
      <c r="AN217" s="165"/>
      <c r="AO217" s="165"/>
      <c r="AP217" s="165"/>
      <c r="AQ217" s="165"/>
      <c r="AR217" s="165"/>
      <c r="AS217" s="165"/>
      <c r="AT217" s="165"/>
      <c r="AU217" s="165"/>
      <c r="AV217" s="165"/>
      <c r="AW217" s="165"/>
      <c r="AX217" s="165"/>
      <c r="AY217" s="165"/>
    </row>
    <row r="218" spans="1:51" s="164" customFormat="1">
      <c r="A218" s="593"/>
      <c r="B218" s="593"/>
      <c r="C218" s="631" t="s">
        <v>420</v>
      </c>
      <c r="D218" s="609"/>
      <c r="E218" s="629">
        <f>E209</f>
        <v>0.14908495726683887</v>
      </c>
      <c r="F218" s="629">
        <f t="shared" ref="F218:AH218" si="176">F209</f>
        <v>0.18255182769194236</v>
      </c>
      <c r="G218" s="629">
        <f t="shared" si="176"/>
        <v>0.16074234553677902</v>
      </c>
      <c r="H218" s="629">
        <f t="shared" si="176"/>
        <v>0</v>
      </c>
      <c r="I218" s="629">
        <f t="shared" si="176"/>
        <v>0.23825719371493057</v>
      </c>
      <c r="J218" s="629">
        <f t="shared" si="176"/>
        <v>0.17931747403717105</v>
      </c>
      <c r="K218" s="629">
        <f t="shared" si="176"/>
        <v>0.22147653718044794</v>
      </c>
      <c r="L218" s="629">
        <f t="shared" si="176"/>
        <v>0.1368989860486392</v>
      </c>
      <c r="M218" s="629">
        <f t="shared" si="176"/>
        <v>0.34468414699279876</v>
      </c>
      <c r="N218" s="629">
        <f t="shared" si="176"/>
        <v>0.15147279248545273</v>
      </c>
      <c r="O218" s="629">
        <f t="shared" si="176"/>
        <v>0.15115141856919867</v>
      </c>
      <c r="P218" s="629">
        <f t="shared" si="176"/>
        <v>0.20619840977533202</v>
      </c>
      <c r="Q218" s="629">
        <f t="shared" si="176"/>
        <v>0.1078999565059939</v>
      </c>
      <c r="R218" s="629">
        <f t="shared" si="176"/>
        <v>0.22348126963347045</v>
      </c>
      <c r="S218" s="629">
        <f t="shared" si="176"/>
        <v>0.23161772077635151</v>
      </c>
      <c r="T218" s="629">
        <f t="shared" si="176"/>
        <v>5.4782608695652171E-2</v>
      </c>
      <c r="U218" s="629">
        <f t="shared" si="176"/>
        <v>0.2976627807790731</v>
      </c>
      <c r="V218" s="629">
        <f t="shared" si="176"/>
        <v>0.15085020242914979</v>
      </c>
      <c r="W218" s="629">
        <f t="shared" si="176"/>
        <v>0</v>
      </c>
      <c r="X218" s="629">
        <f>X209</f>
        <v>0.19762031010990475</v>
      </c>
      <c r="Y218" s="629">
        <f t="shared" si="176"/>
        <v>0.11029467560389529</v>
      </c>
      <c r="Z218" s="629">
        <f t="shared" si="176"/>
        <v>0.28058760738791144</v>
      </c>
      <c r="AA218" s="629">
        <f t="shared" si="176"/>
        <v>0.24468085106382984</v>
      </c>
      <c r="AB218" s="629">
        <f t="shared" si="176"/>
        <v>0.15639193901305865</v>
      </c>
      <c r="AC218" s="629">
        <f t="shared" si="176"/>
        <v>0.10522976216858211</v>
      </c>
      <c r="AD218" s="629">
        <f t="shared" si="176"/>
        <v>0.25960330629778389</v>
      </c>
      <c r="AE218" s="629">
        <f t="shared" si="176"/>
        <v>0.33254158981555149</v>
      </c>
      <c r="AF218" s="629">
        <f t="shared" si="176"/>
        <v>0.13667590655054926</v>
      </c>
      <c r="AG218" s="629">
        <f t="shared" si="176"/>
        <v>0</v>
      </c>
      <c r="AH218" s="629">
        <f t="shared" si="176"/>
        <v>0</v>
      </c>
      <c r="AI218" s="509"/>
      <c r="AJ218" s="165"/>
      <c r="AK218" s="165"/>
      <c r="AL218" s="165"/>
      <c r="AM218" s="165"/>
      <c r="AN218" s="165"/>
      <c r="AO218" s="165"/>
      <c r="AP218" s="165"/>
      <c r="AQ218" s="165"/>
      <c r="AR218" s="165"/>
      <c r="AS218" s="165"/>
      <c r="AT218" s="165"/>
      <c r="AU218" s="165"/>
      <c r="AV218" s="165"/>
      <c r="AW218" s="165"/>
      <c r="AX218" s="165"/>
      <c r="AY218" s="165"/>
    </row>
    <row r="219" spans="1:51" s="164" customFormat="1">
      <c r="A219" s="593"/>
      <c r="B219" s="593"/>
      <c r="C219" s="631" t="s">
        <v>319</v>
      </c>
      <c r="D219" s="609"/>
      <c r="E219" s="629">
        <f>E221*E218</f>
        <v>0</v>
      </c>
      <c r="F219" s="629">
        <f t="shared" ref="F219:AH219" si="177">F221*F218</f>
        <v>0</v>
      </c>
      <c r="G219" s="629">
        <f t="shared" si="177"/>
        <v>0.11539077007099946</v>
      </c>
      <c r="H219" s="629">
        <f t="shared" si="177"/>
        <v>0</v>
      </c>
      <c r="I219" s="629">
        <f t="shared" si="177"/>
        <v>0</v>
      </c>
      <c r="J219" s="629">
        <f t="shared" si="177"/>
        <v>0.3888321343077929</v>
      </c>
      <c r="K219" s="629">
        <f t="shared" si="177"/>
        <v>0.41715585422589813</v>
      </c>
      <c r="L219" s="629">
        <f t="shared" si="177"/>
        <v>0</v>
      </c>
      <c r="M219" s="629">
        <f t="shared" si="177"/>
        <v>0</v>
      </c>
      <c r="N219" s="629">
        <f t="shared" si="177"/>
        <v>0</v>
      </c>
      <c r="O219" s="629">
        <f t="shared" si="177"/>
        <v>0.13886900686037645</v>
      </c>
      <c r="P219" s="629">
        <f t="shared" si="177"/>
        <v>0</v>
      </c>
      <c r="Q219" s="629">
        <f t="shared" si="177"/>
        <v>0</v>
      </c>
      <c r="R219" s="629">
        <f t="shared" si="177"/>
        <v>0</v>
      </c>
      <c r="S219" s="629">
        <f t="shared" si="177"/>
        <v>6.9902668376720145</v>
      </c>
      <c r="T219" s="629">
        <f t="shared" si="177"/>
        <v>0</v>
      </c>
      <c r="U219" s="629">
        <f t="shared" si="177"/>
        <v>0</v>
      </c>
      <c r="V219" s="629">
        <f t="shared" si="177"/>
        <v>0</v>
      </c>
      <c r="W219" s="629">
        <f t="shared" si="177"/>
        <v>0</v>
      </c>
      <c r="X219" s="629">
        <f t="shared" si="177"/>
        <v>7.8081625338142446</v>
      </c>
      <c r="Y219" s="629">
        <f t="shared" si="177"/>
        <v>0</v>
      </c>
      <c r="Z219" s="629">
        <f t="shared" si="177"/>
        <v>0</v>
      </c>
      <c r="AA219" s="629">
        <f t="shared" si="177"/>
        <v>0.10667372233400405</v>
      </c>
      <c r="AB219" s="629">
        <f t="shared" si="177"/>
        <v>0</v>
      </c>
      <c r="AC219" s="629">
        <f t="shared" si="177"/>
        <v>0</v>
      </c>
      <c r="AD219" s="629">
        <f t="shared" si="177"/>
        <v>5.4854362504964914E-2</v>
      </c>
      <c r="AE219" s="629">
        <f t="shared" si="177"/>
        <v>0</v>
      </c>
      <c r="AF219" s="629">
        <f t="shared" si="177"/>
        <v>0.62495034150850581</v>
      </c>
      <c r="AG219" s="629">
        <f t="shared" si="177"/>
        <v>0</v>
      </c>
      <c r="AH219" s="629">
        <f t="shared" si="177"/>
        <v>0</v>
      </c>
      <c r="AI219" s="509"/>
      <c r="AJ219" s="165"/>
      <c r="AK219" s="165"/>
      <c r="AL219" s="165"/>
      <c r="AM219" s="165"/>
      <c r="AN219" s="165"/>
      <c r="AO219" s="165"/>
      <c r="AP219" s="165"/>
      <c r="AQ219" s="165"/>
      <c r="AR219" s="165"/>
      <c r="AS219" s="165"/>
      <c r="AT219" s="165"/>
      <c r="AU219" s="165"/>
      <c r="AV219" s="165"/>
      <c r="AW219" s="165"/>
      <c r="AX219" s="165"/>
      <c r="AY219" s="165"/>
    </row>
    <row r="220" spans="1:51" s="164" customFormat="1">
      <c r="A220" s="593"/>
      <c r="B220" s="593"/>
      <c r="C220" s="631" t="s">
        <v>318</v>
      </c>
      <c r="D220" s="646">
        <f t="shared" ref="D220:D221" si="178">SUM(E220:AI220)</f>
        <v>45.994277932381578</v>
      </c>
      <c r="E220" s="629">
        <f>E219*E216</f>
        <v>0</v>
      </c>
      <c r="F220" s="629">
        <f t="shared" ref="F220:AH220" si="179">F219*F216</f>
        <v>0</v>
      </c>
      <c r="G220" s="629">
        <f t="shared" si="179"/>
        <v>0.35101542439991495</v>
      </c>
      <c r="H220" s="629">
        <f t="shared" si="179"/>
        <v>0</v>
      </c>
      <c r="I220" s="629">
        <f t="shared" si="179"/>
        <v>0</v>
      </c>
      <c r="J220" s="629">
        <f t="shared" si="179"/>
        <v>1.3535727982787908</v>
      </c>
      <c r="K220" s="629">
        <f t="shared" si="179"/>
        <v>1.1638857136276597</v>
      </c>
      <c r="L220" s="629">
        <f t="shared" si="179"/>
        <v>0</v>
      </c>
      <c r="M220" s="629">
        <f t="shared" si="179"/>
        <v>0</v>
      </c>
      <c r="N220" s="629">
        <f t="shared" si="179"/>
        <v>0</v>
      </c>
      <c r="O220" s="629">
        <f t="shared" si="179"/>
        <v>0.59982771207614938</v>
      </c>
      <c r="P220" s="629">
        <f t="shared" si="179"/>
        <v>0</v>
      </c>
      <c r="Q220" s="629">
        <f t="shared" si="179"/>
        <v>0</v>
      </c>
      <c r="R220" s="629">
        <f t="shared" si="179"/>
        <v>0</v>
      </c>
      <c r="S220" s="629">
        <f t="shared" si="179"/>
        <v>15.005206213658314</v>
      </c>
      <c r="T220" s="629">
        <f t="shared" si="179"/>
        <v>0</v>
      </c>
      <c r="U220" s="629">
        <f t="shared" si="179"/>
        <v>0</v>
      </c>
      <c r="V220" s="629">
        <f t="shared" si="179"/>
        <v>0</v>
      </c>
      <c r="W220" s="629">
        <f t="shared" si="179"/>
        <v>0</v>
      </c>
      <c r="X220" s="629">
        <f>X219*X216</f>
        <v>25.050009633477025</v>
      </c>
      <c r="Y220" s="629">
        <f t="shared" si="179"/>
        <v>0</v>
      </c>
      <c r="Z220" s="629">
        <f t="shared" si="179"/>
        <v>0</v>
      </c>
      <c r="AA220" s="629">
        <f t="shared" si="179"/>
        <v>0.29491883034205241</v>
      </c>
      <c r="AB220" s="629">
        <f t="shared" si="179"/>
        <v>0</v>
      </c>
      <c r="AC220" s="629">
        <f t="shared" si="179"/>
        <v>0</v>
      </c>
      <c r="AD220" s="629">
        <f t="shared" si="179"/>
        <v>1.6397325566000265E-2</v>
      </c>
      <c r="AE220" s="629">
        <f t="shared" si="179"/>
        <v>0</v>
      </c>
      <c r="AF220" s="629">
        <f t="shared" si="179"/>
        <v>2.1594442809556731</v>
      </c>
      <c r="AG220" s="629">
        <f t="shared" si="179"/>
        <v>0</v>
      </c>
      <c r="AH220" s="629">
        <f t="shared" si="179"/>
        <v>0</v>
      </c>
      <c r="AI220" s="509"/>
      <c r="AJ220" s="165"/>
      <c r="AK220" s="165"/>
      <c r="AL220" s="165"/>
      <c r="AM220" s="165"/>
      <c r="AN220" s="165"/>
      <c r="AO220" s="165"/>
      <c r="AP220" s="165"/>
      <c r="AQ220" s="165"/>
      <c r="AR220" s="165"/>
      <c r="AS220" s="165"/>
      <c r="AT220" s="165"/>
      <c r="AU220" s="165"/>
      <c r="AV220" s="165"/>
      <c r="AW220" s="165"/>
      <c r="AX220" s="165"/>
      <c r="AY220" s="165"/>
    </row>
    <row r="221" spans="1:51" s="164" customFormat="1">
      <c r="A221" s="593"/>
      <c r="B221" s="593"/>
      <c r="C221" s="631" t="s">
        <v>321</v>
      </c>
      <c r="D221" s="646">
        <f t="shared" si="178"/>
        <v>80.599416407983242</v>
      </c>
      <c r="E221" s="629">
        <f t="shared" ref="E221:AH221" si="180">IF(E$178&gt;0,E180/E$178*E$146,0)</f>
        <v>0</v>
      </c>
      <c r="F221" s="629">
        <f t="shared" si="180"/>
        <v>0</v>
      </c>
      <c r="G221" s="629">
        <f t="shared" si="180"/>
        <v>0.71786167910929988</v>
      </c>
      <c r="H221" s="629">
        <f t="shared" si="180"/>
        <v>0</v>
      </c>
      <c r="I221" s="629">
        <f t="shared" si="180"/>
        <v>0</v>
      </c>
      <c r="J221" s="629">
        <f t="shared" si="180"/>
        <v>2.1684006893114676</v>
      </c>
      <c r="K221" s="629">
        <f t="shared" si="180"/>
        <v>1.8835216566801409</v>
      </c>
      <c r="L221" s="629">
        <f t="shared" si="180"/>
        <v>0</v>
      </c>
      <c r="M221" s="629">
        <f t="shared" si="180"/>
        <v>0</v>
      </c>
      <c r="N221" s="629">
        <f t="shared" si="180"/>
        <v>0</v>
      </c>
      <c r="O221" s="629">
        <f t="shared" si="180"/>
        <v>0.91874100934620606</v>
      </c>
      <c r="P221" s="629">
        <f t="shared" si="180"/>
        <v>0</v>
      </c>
      <c r="Q221" s="629">
        <f t="shared" si="180"/>
        <v>0</v>
      </c>
      <c r="R221" s="629">
        <f t="shared" si="180"/>
        <v>0</v>
      </c>
      <c r="S221" s="629">
        <f t="shared" si="180"/>
        <v>30.180190074583148</v>
      </c>
      <c r="T221" s="629">
        <f t="shared" si="180"/>
        <v>0</v>
      </c>
      <c r="U221" s="629">
        <f t="shared" si="180"/>
        <v>0</v>
      </c>
      <c r="V221" s="629">
        <f t="shared" si="180"/>
        <v>0</v>
      </c>
      <c r="W221" s="629">
        <f t="shared" si="180"/>
        <v>0</v>
      </c>
      <c r="X221" s="629">
        <f t="shared" si="180"/>
        <v>39.510931490147982</v>
      </c>
      <c r="Y221" s="629">
        <f t="shared" si="180"/>
        <v>0</v>
      </c>
      <c r="Z221" s="629">
        <f t="shared" si="180"/>
        <v>0</v>
      </c>
      <c r="AA221" s="629">
        <f t="shared" si="180"/>
        <v>0.43597086519114686</v>
      </c>
      <c r="AB221" s="629">
        <f t="shared" si="180"/>
        <v>0</v>
      </c>
      <c r="AC221" s="629">
        <f t="shared" si="180"/>
        <v>0</v>
      </c>
      <c r="AD221" s="629">
        <f t="shared" si="180"/>
        <v>0.21130070832781678</v>
      </c>
      <c r="AE221" s="629">
        <f t="shared" si="180"/>
        <v>0</v>
      </c>
      <c r="AF221" s="629">
        <f t="shared" si="180"/>
        <v>4.5724982352860373</v>
      </c>
      <c r="AG221" s="629">
        <f t="shared" si="180"/>
        <v>0</v>
      </c>
      <c r="AH221" s="629">
        <f t="shared" si="180"/>
        <v>0</v>
      </c>
      <c r="AI221" s="509"/>
      <c r="AJ221" s="165"/>
      <c r="AK221" s="165"/>
      <c r="AL221" s="165"/>
      <c r="AM221" s="165"/>
      <c r="AN221" s="165"/>
      <c r="AO221" s="165"/>
      <c r="AP221" s="165"/>
      <c r="AQ221" s="165"/>
      <c r="AR221" s="165"/>
      <c r="AS221" s="165"/>
      <c r="AT221" s="165"/>
      <c r="AU221" s="165"/>
      <c r="AV221" s="165"/>
      <c r="AW221" s="165"/>
      <c r="AX221" s="165"/>
      <c r="AY221" s="165"/>
    </row>
    <row r="222" spans="1:51" s="164" customFormat="1">
      <c r="A222" s="593"/>
      <c r="B222" s="593"/>
      <c r="C222" s="638"/>
      <c r="D222" s="609"/>
      <c r="E222" s="629"/>
      <c r="F222" s="629"/>
      <c r="G222" s="629"/>
      <c r="H222" s="629"/>
      <c r="I222" s="629"/>
      <c r="J222" s="629"/>
      <c r="K222" s="629"/>
      <c r="L222" s="629"/>
      <c r="M222" s="629"/>
      <c r="N222" s="629"/>
      <c r="O222" s="629"/>
      <c r="P222" s="629"/>
      <c r="Q222" s="629"/>
      <c r="R222" s="629"/>
      <c r="S222" s="629"/>
      <c r="T222" s="629"/>
      <c r="U222" s="629"/>
      <c r="V222" s="629"/>
      <c r="W222" s="629"/>
      <c r="X222" s="629"/>
      <c r="Y222" s="629"/>
      <c r="Z222" s="629"/>
      <c r="AA222" s="629"/>
      <c r="AB222" s="629"/>
      <c r="AC222" s="629"/>
      <c r="AD222" s="629"/>
      <c r="AE222" s="629"/>
      <c r="AF222" s="629"/>
      <c r="AG222" s="629"/>
      <c r="AH222" s="629"/>
      <c r="AI222" s="509"/>
      <c r="AJ222" s="165"/>
      <c r="AK222" s="165"/>
      <c r="AL222" s="165"/>
      <c r="AM222" s="165"/>
      <c r="AN222" s="165"/>
      <c r="AO222" s="165"/>
      <c r="AP222" s="165"/>
      <c r="AQ222" s="165"/>
      <c r="AR222" s="165"/>
      <c r="AS222" s="165"/>
      <c r="AT222" s="165"/>
      <c r="AU222" s="165"/>
      <c r="AV222" s="165"/>
      <c r="AW222" s="165"/>
      <c r="AX222" s="165"/>
      <c r="AY222" s="165"/>
    </row>
    <row r="223" spans="1:51" s="164" customFormat="1">
      <c r="A223" s="593"/>
      <c r="B223" s="593"/>
      <c r="C223" s="638" t="s">
        <v>323</v>
      </c>
      <c r="D223" s="609"/>
      <c r="E223" s="629"/>
      <c r="F223" s="629"/>
      <c r="G223" s="629"/>
      <c r="H223" s="629"/>
      <c r="I223" s="629"/>
      <c r="J223" s="629"/>
      <c r="K223" s="629"/>
      <c r="L223" s="629"/>
      <c r="M223" s="629"/>
      <c r="N223" s="629"/>
      <c r="O223" s="629"/>
      <c r="P223" s="629"/>
      <c r="Q223" s="629"/>
      <c r="R223" s="629"/>
      <c r="S223" s="629"/>
      <c r="T223" s="629"/>
      <c r="U223" s="629"/>
      <c r="V223" s="629"/>
      <c r="W223" s="629"/>
      <c r="X223" s="629"/>
      <c r="Y223" s="629"/>
      <c r="Z223" s="629"/>
      <c r="AA223" s="629"/>
      <c r="AB223" s="629"/>
      <c r="AC223" s="629"/>
      <c r="AD223" s="629"/>
      <c r="AE223" s="629"/>
      <c r="AF223" s="629"/>
      <c r="AG223" s="629"/>
      <c r="AH223" s="629"/>
      <c r="AI223" s="509"/>
      <c r="AJ223" s="165"/>
      <c r="AK223" s="165"/>
      <c r="AL223" s="165"/>
      <c r="AM223" s="165"/>
      <c r="AN223" s="165"/>
      <c r="AO223" s="165"/>
      <c r="AP223" s="165"/>
      <c r="AQ223" s="165"/>
      <c r="AR223" s="165"/>
      <c r="AS223" s="165"/>
      <c r="AT223" s="165"/>
      <c r="AU223" s="165"/>
      <c r="AV223" s="165"/>
      <c r="AW223" s="165"/>
      <c r="AX223" s="165"/>
      <c r="AY223" s="165"/>
    </row>
    <row r="224" spans="1:51" s="164" customFormat="1">
      <c r="A224" s="593"/>
      <c r="B224" s="593"/>
      <c r="C224" s="631" t="s">
        <v>149</v>
      </c>
      <c r="D224" s="609"/>
      <c r="E224" s="629">
        <f>E215</f>
        <v>0.54587429930234022</v>
      </c>
      <c r="F224" s="629">
        <f t="shared" ref="F224:AH224" si="181">F215</f>
        <v>0.32826302520463785</v>
      </c>
      <c r="G224" s="629">
        <f t="shared" si="181"/>
        <v>0.70115343743877068</v>
      </c>
      <c r="H224" s="629">
        <f t="shared" si="181"/>
        <v>0</v>
      </c>
      <c r="I224" s="629">
        <f t="shared" si="181"/>
        <v>0.77751401381713625</v>
      </c>
      <c r="J224" s="629">
        <f t="shared" si="181"/>
        <v>0.33965451757672693</v>
      </c>
      <c r="K224" s="629">
        <f t="shared" si="181"/>
        <v>0.56672393337976723</v>
      </c>
      <c r="L224" s="629">
        <f t="shared" si="181"/>
        <v>0.48982038604577172</v>
      </c>
      <c r="M224" s="629">
        <f t="shared" si="181"/>
        <v>0.89999999999999991</v>
      </c>
      <c r="N224" s="629">
        <f t="shared" si="181"/>
        <v>0.5298536268850097</v>
      </c>
      <c r="O224" s="629">
        <f t="shared" si="181"/>
        <v>0.45026578529306632</v>
      </c>
      <c r="P224" s="629">
        <f t="shared" si="181"/>
        <v>0.49780596610463002</v>
      </c>
      <c r="Q224" s="629">
        <f t="shared" si="181"/>
        <v>0.34645302760666807</v>
      </c>
      <c r="R224" s="629">
        <f t="shared" si="181"/>
        <v>0.56421070667718776</v>
      </c>
      <c r="S224" s="629">
        <f t="shared" si="181"/>
        <v>0.71469206074653024</v>
      </c>
      <c r="T224" s="629">
        <f t="shared" si="181"/>
        <v>0.9</v>
      </c>
      <c r="U224" s="629">
        <f t="shared" si="181"/>
        <v>0.41931981751201536</v>
      </c>
      <c r="V224" s="629">
        <f t="shared" si="181"/>
        <v>0.45101959318995727</v>
      </c>
      <c r="W224" s="629">
        <f t="shared" si="181"/>
        <v>0</v>
      </c>
      <c r="X224" s="629">
        <f t="shared" si="181"/>
        <v>0.87876645230225914</v>
      </c>
      <c r="Y224" s="629">
        <f t="shared" si="181"/>
        <v>0.45180762443518252</v>
      </c>
      <c r="Z224" s="629">
        <f t="shared" si="181"/>
        <v>0.9</v>
      </c>
      <c r="AA224" s="629">
        <f t="shared" si="181"/>
        <v>0.8999999999999998</v>
      </c>
      <c r="AB224" s="629">
        <f t="shared" si="181"/>
        <v>0.56749344973014737</v>
      </c>
      <c r="AC224" s="629">
        <f t="shared" si="181"/>
        <v>0.52727461096192085</v>
      </c>
      <c r="AD224" s="629">
        <f t="shared" si="181"/>
        <v>0.55731748671307157</v>
      </c>
      <c r="AE224" s="629">
        <f t="shared" si="181"/>
        <v>0.82690862310043178</v>
      </c>
      <c r="AF224" s="629">
        <f t="shared" si="181"/>
        <v>0.9</v>
      </c>
      <c r="AG224" s="629">
        <f t="shared" si="181"/>
        <v>0</v>
      </c>
      <c r="AH224" s="629">
        <f t="shared" si="181"/>
        <v>0</v>
      </c>
      <c r="AI224" s="509"/>
      <c r="AJ224" s="165"/>
      <c r="AK224" s="165"/>
      <c r="AL224" s="165"/>
      <c r="AM224" s="165"/>
      <c r="AN224" s="165"/>
      <c r="AO224" s="165"/>
      <c r="AP224" s="165"/>
      <c r="AQ224" s="165"/>
      <c r="AR224" s="165"/>
      <c r="AS224" s="165"/>
      <c r="AT224" s="165"/>
      <c r="AU224" s="165"/>
      <c r="AV224" s="165"/>
      <c r="AW224" s="165"/>
      <c r="AX224" s="165"/>
      <c r="AY224" s="165"/>
    </row>
    <row r="225" spans="1:51" s="164" customFormat="1">
      <c r="A225" s="593"/>
      <c r="B225" s="593"/>
      <c r="C225" s="631" t="s">
        <v>147</v>
      </c>
      <c r="D225" s="609"/>
      <c r="E225" s="629">
        <f>E216</f>
        <v>3.1885402014117492</v>
      </c>
      <c r="F225" s="629">
        <f t="shared" ref="F225:AH225" si="182">F216</f>
        <v>3.2267384181057097</v>
      </c>
      <c r="G225" s="629">
        <f t="shared" si="182"/>
        <v>3.0419714175053745</v>
      </c>
      <c r="H225" s="629">
        <f t="shared" si="182"/>
        <v>0</v>
      </c>
      <c r="I225" s="629">
        <f t="shared" si="182"/>
        <v>1.7585867425071102</v>
      </c>
      <c r="J225" s="629">
        <f t="shared" si="182"/>
        <v>3.4811238034337091</v>
      </c>
      <c r="K225" s="629">
        <f t="shared" si="182"/>
        <v>2.790050054043812</v>
      </c>
      <c r="L225" s="629">
        <f t="shared" si="182"/>
        <v>4.1005273326413114</v>
      </c>
      <c r="M225" s="629">
        <f t="shared" si="182"/>
        <v>1.3202539430516294</v>
      </c>
      <c r="N225" s="629">
        <f t="shared" si="182"/>
        <v>4.291426574686291</v>
      </c>
      <c r="O225" s="629">
        <f t="shared" si="182"/>
        <v>4.3193778485017624</v>
      </c>
      <c r="P225" s="629">
        <f t="shared" si="182"/>
        <v>2.4751773049645394</v>
      </c>
      <c r="Q225" s="629">
        <f t="shared" si="182"/>
        <v>6.1158868799634423</v>
      </c>
      <c r="R225" s="629">
        <f t="shared" si="182"/>
        <v>2.403987696684927</v>
      </c>
      <c r="S225" s="629">
        <f t="shared" si="182"/>
        <v>2.1465856114092969</v>
      </c>
      <c r="T225" s="629">
        <f t="shared" si="182"/>
        <v>13.412698412698413</v>
      </c>
      <c r="U225" s="629">
        <f t="shared" si="182"/>
        <v>2.0030949105914715</v>
      </c>
      <c r="V225" s="629">
        <f t="shared" si="182"/>
        <v>4.7101449275362315</v>
      </c>
      <c r="W225" s="629">
        <f t="shared" si="182"/>
        <v>0</v>
      </c>
      <c r="X225" s="629">
        <f t="shared" si="182"/>
        <v>3.208182402068958</v>
      </c>
      <c r="Y225" s="629">
        <f t="shared" si="182"/>
        <v>6.0828030042426322</v>
      </c>
      <c r="Z225" s="629">
        <f t="shared" si="182"/>
        <v>2.247780353839572</v>
      </c>
      <c r="AA225" s="629">
        <f t="shared" si="182"/>
        <v>2.7646811594202902</v>
      </c>
      <c r="AB225" s="629">
        <f t="shared" si="182"/>
        <v>4.0000511090667477</v>
      </c>
      <c r="AC225" s="629">
        <f t="shared" si="182"/>
        <v>7.5211930534227243</v>
      </c>
      <c r="AD225" s="629">
        <f t="shared" si="182"/>
        <v>0.29892473118279572</v>
      </c>
      <c r="AE225" s="629">
        <f t="shared" si="182"/>
        <v>1.2287391748752095</v>
      </c>
      <c r="AF225" s="629">
        <f t="shared" si="182"/>
        <v>3.4553853922908568</v>
      </c>
      <c r="AG225" s="629">
        <f t="shared" si="182"/>
        <v>0</v>
      </c>
      <c r="AH225" s="629">
        <f t="shared" si="182"/>
        <v>0</v>
      </c>
      <c r="AI225" s="509"/>
      <c r="AJ225" s="165"/>
      <c r="AK225" s="165"/>
      <c r="AL225" s="165"/>
      <c r="AM225" s="165"/>
      <c r="AN225" s="165"/>
      <c r="AO225" s="165"/>
      <c r="AP225" s="165"/>
      <c r="AQ225" s="165"/>
      <c r="AR225" s="165"/>
      <c r="AS225" s="165"/>
      <c r="AT225" s="165"/>
      <c r="AU225" s="165"/>
      <c r="AV225" s="165"/>
      <c r="AW225" s="165"/>
      <c r="AX225" s="165"/>
      <c r="AY225" s="165"/>
    </row>
    <row r="226" spans="1:51" s="164" customFormat="1">
      <c r="A226" s="593"/>
      <c r="B226" s="593"/>
      <c r="C226" s="631" t="s">
        <v>320</v>
      </c>
      <c r="D226" s="646">
        <f t="shared" ref="D226" si="183">SUM(E226:AI226)</f>
        <v>4.2186515486719882</v>
      </c>
      <c r="E226" s="629">
        <f t="shared" ref="E226:AH226" si="184">IF(E$178&gt;0,E181/E$178*E$120,0)</f>
        <v>1.2761702603202179E-2</v>
      </c>
      <c r="F226" s="629">
        <f t="shared" si="184"/>
        <v>0.13027507115141093</v>
      </c>
      <c r="G226" s="629">
        <f t="shared" si="184"/>
        <v>5.3924493615907704E-2</v>
      </c>
      <c r="H226" s="629">
        <f t="shared" si="184"/>
        <v>0</v>
      </c>
      <c r="I226" s="629">
        <f t="shared" si="184"/>
        <v>1.9250569290352636E-2</v>
      </c>
      <c r="J226" s="629">
        <f t="shared" si="184"/>
        <v>0.63510961725815263</v>
      </c>
      <c r="K226" s="629">
        <f t="shared" si="184"/>
        <v>0.37405146577306803</v>
      </c>
      <c r="L226" s="629">
        <f t="shared" si="184"/>
        <v>0</v>
      </c>
      <c r="M226" s="629">
        <f t="shared" si="184"/>
        <v>0.88987723542049135</v>
      </c>
      <c r="N226" s="629">
        <f t="shared" si="184"/>
        <v>8.5128148767546E-2</v>
      </c>
      <c r="O226" s="629">
        <f t="shared" si="184"/>
        <v>0.29316458213639618</v>
      </c>
      <c r="P226" s="629">
        <f t="shared" si="184"/>
        <v>5.9710234933605714E-2</v>
      </c>
      <c r="Q226" s="629">
        <f t="shared" si="184"/>
        <v>8.6214537013307099E-3</v>
      </c>
      <c r="R226" s="629">
        <f t="shared" si="184"/>
        <v>0</v>
      </c>
      <c r="S226" s="629">
        <f t="shared" si="184"/>
        <v>0.90318065605971309</v>
      </c>
      <c r="T226" s="629">
        <f t="shared" si="184"/>
        <v>0</v>
      </c>
      <c r="U226" s="629">
        <f t="shared" si="184"/>
        <v>0</v>
      </c>
      <c r="V226" s="629">
        <f t="shared" si="184"/>
        <v>0</v>
      </c>
      <c r="W226" s="629">
        <f t="shared" si="184"/>
        <v>0</v>
      </c>
      <c r="X226" s="629">
        <f t="shared" si="184"/>
        <v>0.11835840122644796</v>
      </c>
      <c r="Y226" s="629">
        <f t="shared" si="184"/>
        <v>2.4926252360823818E-2</v>
      </c>
      <c r="Z226" s="629">
        <f t="shared" si="184"/>
        <v>0.18146133394103611</v>
      </c>
      <c r="AA226" s="629">
        <f t="shared" si="184"/>
        <v>1.6509076661044605E-2</v>
      </c>
      <c r="AB226" s="629">
        <f t="shared" si="184"/>
        <v>5.3920092312130394E-2</v>
      </c>
      <c r="AC226" s="629">
        <f t="shared" si="184"/>
        <v>5.4254839826839022E-3</v>
      </c>
      <c r="AD226" s="629">
        <f t="shared" si="184"/>
        <v>0.11729845094664372</v>
      </c>
      <c r="AE226" s="629">
        <f t="shared" si="184"/>
        <v>0.20266253250798355</v>
      </c>
      <c r="AF226" s="509">
        <f t="shared" si="184"/>
        <v>3.3034694022016364E-2</v>
      </c>
      <c r="AG226" s="629">
        <f t="shared" si="184"/>
        <v>0</v>
      </c>
      <c r="AH226" s="629">
        <f t="shared" si="184"/>
        <v>0</v>
      </c>
      <c r="AI226" s="509"/>
      <c r="AJ226" s="165"/>
      <c r="AK226" s="165"/>
      <c r="AL226" s="165"/>
      <c r="AM226" s="165"/>
      <c r="AN226" s="165"/>
      <c r="AO226" s="165"/>
      <c r="AP226" s="165"/>
      <c r="AQ226" s="165"/>
      <c r="AR226" s="165"/>
      <c r="AS226" s="165"/>
      <c r="AT226" s="165"/>
      <c r="AU226" s="165"/>
      <c r="AV226" s="165"/>
      <c r="AW226" s="165"/>
      <c r="AX226" s="165"/>
      <c r="AY226" s="165"/>
    </row>
    <row r="227" spans="1:51" s="164" customFormat="1">
      <c r="A227" s="593"/>
      <c r="B227" s="593"/>
      <c r="C227" s="631" t="s">
        <v>420</v>
      </c>
      <c r="D227" s="609"/>
      <c r="E227" s="629">
        <f t="shared" ref="E227:AH227" si="185">E$107/(1+E225)</f>
        <v>0.14908495726683887</v>
      </c>
      <c r="F227" s="629">
        <f t="shared" si="185"/>
        <v>0.18255182769194236</v>
      </c>
      <c r="G227" s="629">
        <f t="shared" si="185"/>
        <v>0.16074234553677902</v>
      </c>
      <c r="H227" s="629">
        <f t="shared" si="185"/>
        <v>0</v>
      </c>
      <c r="I227" s="629">
        <f t="shared" si="185"/>
        <v>0.23825719371493057</v>
      </c>
      <c r="J227" s="629">
        <f t="shared" si="185"/>
        <v>0.17931747403717105</v>
      </c>
      <c r="K227" s="629">
        <f t="shared" si="185"/>
        <v>0.22147653718044794</v>
      </c>
      <c r="L227" s="629">
        <f t="shared" si="185"/>
        <v>0.1368989860486392</v>
      </c>
      <c r="M227" s="629">
        <f t="shared" si="185"/>
        <v>0.34468414699279876</v>
      </c>
      <c r="N227" s="629">
        <f t="shared" si="185"/>
        <v>0.15147279248545273</v>
      </c>
      <c r="O227" s="629">
        <f t="shared" si="185"/>
        <v>0.15115141856919867</v>
      </c>
      <c r="P227" s="629">
        <f t="shared" si="185"/>
        <v>0.20619840977533202</v>
      </c>
      <c r="Q227" s="629">
        <f t="shared" si="185"/>
        <v>0.1078999565059939</v>
      </c>
      <c r="R227" s="629">
        <f t="shared" si="185"/>
        <v>0.22348126963347045</v>
      </c>
      <c r="S227" s="629">
        <f t="shared" si="185"/>
        <v>0.23161772077635151</v>
      </c>
      <c r="T227" s="629">
        <f t="shared" si="185"/>
        <v>5.4782608695652171E-2</v>
      </c>
      <c r="U227" s="629">
        <f t="shared" si="185"/>
        <v>0.2976627807790731</v>
      </c>
      <c r="V227" s="629">
        <f t="shared" si="185"/>
        <v>0.15085020242914979</v>
      </c>
      <c r="W227" s="629">
        <f t="shared" si="185"/>
        <v>0</v>
      </c>
      <c r="X227" s="629">
        <f t="shared" si="185"/>
        <v>0.19762031010990475</v>
      </c>
      <c r="Y227" s="629">
        <f t="shared" si="185"/>
        <v>0.11029467560389529</v>
      </c>
      <c r="Z227" s="629">
        <f t="shared" si="185"/>
        <v>0.28058760738791144</v>
      </c>
      <c r="AA227" s="629">
        <f t="shared" si="185"/>
        <v>0.24468085106382984</v>
      </c>
      <c r="AB227" s="629">
        <f t="shared" si="185"/>
        <v>0.15639193901305865</v>
      </c>
      <c r="AC227" s="629">
        <f t="shared" si="185"/>
        <v>0.10522976216858211</v>
      </c>
      <c r="AD227" s="629">
        <f t="shared" si="185"/>
        <v>0.25960330629778389</v>
      </c>
      <c r="AE227" s="629">
        <f t="shared" si="185"/>
        <v>0.33254158981555149</v>
      </c>
      <c r="AF227" s="629">
        <f t="shared" si="185"/>
        <v>0.13667590655054926</v>
      </c>
      <c r="AG227" s="629">
        <f t="shared" si="185"/>
        <v>0</v>
      </c>
      <c r="AH227" s="629">
        <f t="shared" si="185"/>
        <v>0</v>
      </c>
      <c r="AI227" s="509"/>
      <c r="AJ227" s="165"/>
      <c r="AK227" s="165"/>
      <c r="AL227" s="165"/>
      <c r="AM227" s="165"/>
      <c r="AN227" s="165"/>
      <c r="AO227" s="165"/>
      <c r="AP227" s="165"/>
      <c r="AQ227" s="165"/>
      <c r="AR227" s="165"/>
      <c r="AS227" s="165"/>
      <c r="AT227" s="165"/>
      <c r="AU227" s="165"/>
      <c r="AV227" s="165"/>
      <c r="AW227" s="165"/>
      <c r="AX227" s="165"/>
      <c r="AY227" s="165"/>
    </row>
    <row r="228" spans="1:51" s="164" customFormat="1">
      <c r="A228" s="593"/>
      <c r="B228" s="593"/>
      <c r="C228" s="631" t="s">
        <v>319</v>
      </c>
      <c r="D228" s="609"/>
      <c r="E228" s="629">
        <f>E230*E227</f>
        <v>0.21964698075646977</v>
      </c>
      <c r="F228" s="629">
        <f t="shared" ref="F228:AH228" si="186">F230*F227</f>
        <v>1.3483627690133488</v>
      </c>
      <c r="G228" s="629">
        <f t="shared" si="186"/>
        <v>1.1921286182413984</v>
      </c>
      <c r="H228" s="629">
        <f t="shared" si="186"/>
        <v>0</v>
      </c>
      <c r="I228" s="629">
        <f t="shared" si="186"/>
        <v>0.47192803063393612</v>
      </c>
      <c r="J228" s="629">
        <f t="shared" si="186"/>
        <v>6.8015838312517074</v>
      </c>
      <c r="K228" s="629">
        <f t="shared" si="186"/>
        <v>5.5764702476723267</v>
      </c>
      <c r="L228" s="629">
        <f t="shared" si="186"/>
        <v>0</v>
      </c>
      <c r="M228" s="629">
        <f t="shared" si="186"/>
        <v>12.843417017786527</v>
      </c>
      <c r="N228" s="629">
        <f t="shared" si="186"/>
        <v>1.4221751025476987</v>
      </c>
      <c r="O228" s="629">
        <f t="shared" si="186"/>
        <v>2.9528111059366631</v>
      </c>
      <c r="P228" s="629">
        <f t="shared" si="186"/>
        <v>0.93720122574055142</v>
      </c>
      <c r="Q228" s="629">
        <f t="shared" si="186"/>
        <v>9.4177863083813179E-2</v>
      </c>
      <c r="R228" s="629">
        <f t="shared" si="186"/>
        <v>0</v>
      </c>
      <c r="S228" s="629">
        <f t="shared" si="186"/>
        <v>20.352490276959333</v>
      </c>
      <c r="T228" s="629">
        <f t="shared" si="186"/>
        <v>0</v>
      </c>
      <c r="U228" s="629">
        <f t="shared" si="186"/>
        <v>0</v>
      </c>
      <c r="V228" s="629">
        <f t="shared" si="186"/>
        <v>0</v>
      </c>
      <c r="W228" s="629">
        <f t="shared" si="186"/>
        <v>0</v>
      </c>
      <c r="X228" s="629">
        <f t="shared" si="186"/>
        <v>3.2794161406672671</v>
      </c>
      <c r="Y228" s="629">
        <f t="shared" si="186"/>
        <v>3.1124536784776327</v>
      </c>
      <c r="Z228" s="629">
        <f t="shared" si="186"/>
        <v>5.1493282732447838</v>
      </c>
      <c r="AA228" s="629">
        <f t="shared" si="186"/>
        <v>0.4684780684104628</v>
      </c>
      <c r="AB228" s="629">
        <f t="shared" si="186"/>
        <v>0.96479590364921397</v>
      </c>
      <c r="AC228" s="629">
        <f t="shared" si="186"/>
        <v>9.0198500220555811E-2</v>
      </c>
      <c r="AD228" s="629">
        <f t="shared" si="186"/>
        <v>2.0611942274592874</v>
      </c>
      <c r="AE228" s="629">
        <f t="shared" si="186"/>
        <v>5.283904466743337</v>
      </c>
      <c r="AF228" s="629">
        <f t="shared" si="186"/>
        <v>0.9374255122627585</v>
      </c>
      <c r="AG228" s="629">
        <f t="shared" si="186"/>
        <v>0</v>
      </c>
      <c r="AH228" s="629">
        <f t="shared" si="186"/>
        <v>0</v>
      </c>
      <c r="AI228" s="509"/>
      <c r="AJ228" s="165"/>
      <c r="AK228" s="165"/>
      <c r="AL228" s="165"/>
      <c r="AM228" s="165"/>
      <c r="AN228" s="165"/>
      <c r="AO228" s="165"/>
      <c r="AP228" s="165"/>
      <c r="AQ228" s="165"/>
      <c r="AR228" s="165"/>
      <c r="AS228" s="165"/>
      <c r="AT228" s="165"/>
      <c r="AU228" s="165"/>
      <c r="AV228" s="165"/>
      <c r="AW228" s="165"/>
      <c r="AX228" s="165"/>
      <c r="AY228" s="165"/>
    </row>
    <row r="229" spans="1:51" s="164" customFormat="1">
      <c r="A229" s="593"/>
      <c r="B229" s="593"/>
      <c r="C229" s="631" t="s">
        <v>318</v>
      </c>
      <c r="D229" s="646">
        <f t="shared" ref="D229:D230" si="187">SUM(E229:AI229)</f>
        <v>188.35006442524514</v>
      </c>
      <c r="E229" s="629">
        <f>E228*E225</f>
        <v>0.70035322826071666</v>
      </c>
      <c r="F229" s="629">
        <f t="shared" ref="F229:AH229" si="188">F228*F225</f>
        <v>4.350813948318768</v>
      </c>
      <c r="G229" s="629">
        <f t="shared" si="188"/>
        <v>3.6264211826805099</v>
      </c>
      <c r="H229" s="629">
        <f t="shared" si="188"/>
        <v>0</v>
      </c>
      <c r="I229" s="629">
        <f t="shared" si="188"/>
        <v>0.82992637809032943</v>
      </c>
      <c r="J229" s="629">
        <f t="shared" si="188"/>
        <v>23.677155376020163</v>
      </c>
      <c r="K229" s="629">
        <f t="shared" si="188"/>
        <v>15.558631115891885</v>
      </c>
      <c r="L229" s="629">
        <f t="shared" si="188"/>
        <v>0</v>
      </c>
      <c r="M229" s="629">
        <f t="shared" si="188"/>
        <v>16.956571959989059</v>
      </c>
      <c r="N229" s="629">
        <f t="shared" si="188"/>
        <v>6.1031600289303958</v>
      </c>
      <c r="O229" s="629">
        <f t="shared" si="188"/>
        <v>12.754306881792813</v>
      </c>
      <c r="P229" s="629">
        <f t="shared" si="188"/>
        <v>2.319739204137961</v>
      </c>
      <c r="Q229" s="629">
        <f t="shared" si="188"/>
        <v>0.57598115721728649</v>
      </c>
      <c r="R229" s="629">
        <f t="shared" si="188"/>
        <v>0</v>
      </c>
      <c r="S229" s="629">
        <f t="shared" si="188"/>
        <v>43.688362784868524</v>
      </c>
      <c r="T229" s="629">
        <f t="shared" si="188"/>
        <v>0</v>
      </c>
      <c r="U229" s="629">
        <f t="shared" si="188"/>
        <v>0</v>
      </c>
      <c r="V229" s="629">
        <f t="shared" si="188"/>
        <v>0</v>
      </c>
      <c r="W229" s="629">
        <f t="shared" si="188"/>
        <v>0</v>
      </c>
      <c r="X229" s="629">
        <f t="shared" si="188"/>
        <v>10.520965151549625</v>
      </c>
      <c r="Y229" s="629">
        <f t="shared" si="188"/>
        <v>18.932442586009774</v>
      </c>
      <c r="Z229" s="629">
        <f t="shared" si="188"/>
        <v>11.574558928070273</v>
      </c>
      <c r="AA229" s="629">
        <f t="shared" si="188"/>
        <v>1.2951924893360163</v>
      </c>
      <c r="AB229" s="629">
        <f t="shared" si="188"/>
        <v>3.8592329244150934</v>
      </c>
      <c r="AC229" s="629">
        <f t="shared" si="188"/>
        <v>0.67840033328799243</v>
      </c>
      <c r="AD229" s="629">
        <f t="shared" si="188"/>
        <v>0.61614193035879783</v>
      </c>
      <c r="AE229" s="629">
        <f t="shared" si="188"/>
        <v>6.4925404145856414</v>
      </c>
      <c r="AF229" s="629">
        <f t="shared" si="188"/>
        <v>3.2391664214335094</v>
      </c>
      <c r="AG229" s="629">
        <f t="shared" si="188"/>
        <v>0</v>
      </c>
      <c r="AH229" s="629">
        <f t="shared" si="188"/>
        <v>0</v>
      </c>
      <c r="AI229" s="509"/>
      <c r="AJ229" s="165"/>
      <c r="AK229" s="165"/>
      <c r="AL229" s="165"/>
      <c r="AM229" s="165"/>
      <c r="AN229" s="165"/>
      <c r="AO229" s="165"/>
      <c r="AP229" s="165"/>
      <c r="AQ229" s="165"/>
      <c r="AR229" s="165"/>
      <c r="AS229" s="165"/>
      <c r="AT229" s="165"/>
      <c r="AU229" s="165"/>
      <c r="AV229" s="165"/>
      <c r="AW229" s="165"/>
      <c r="AX229" s="165"/>
      <c r="AY229" s="165"/>
    </row>
    <row r="230" spans="1:51" s="164" customFormat="1">
      <c r="A230" s="593"/>
      <c r="B230" s="593"/>
      <c r="C230" s="631" t="s">
        <v>321</v>
      </c>
      <c r="D230" s="646">
        <f t="shared" si="187"/>
        <v>343.63528895573882</v>
      </c>
      <c r="E230" s="629">
        <f t="shared" ref="E230:J230" si="189">IF(E$178&gt;0,E181/E$178*E$146,0)</f>
        <v>1.4733007594008016</v>
      </c>
      <c r="F230" s="629">
        <f t="shared" si="189"/>
        <v>7.3861915602878625</v>
      </c>
      <c r="G230" s="629">
        <f t="shared" si="189"/>
        <v>7.4163943188736825</v>
      </c>
      <c r="H230" s="629">
        <f t="shared" si="189"/>
        <v>0</v>
      </c>
      <c r="I230" s="629">
        <f t="shared" si="189"/>
        <v>1.9807503953000787</v>
      </c>
      <c r="J230" s="629">
        <f t="shared" si="189"/>
        <v>37.930401751263766</v>
      </c>
      <c r="K230" s="665">
        <f>IF(K$178&gt;0,K181/K$178*K$146,0)-5</f>
        <v>25.178605005589823</v>
      </c>
      <c r="L230" s="629">
        <f>IF(L$178&gt;0,L181/L$178*L$146,0)</f>
        <v>0</v>
      </c>
      <c r="M230" s="665">
        <f>IF(M$178&gt;0,M181/M$178*M$146,0)-36</f>
        <v>37.261409118577347</v>
      </c>
      <c r="N230" s="629">
        <f>IF(N$178&gt;0,N181/N$178*N$146,0)</f>
        <v>9.3889805503142281</v>
      </c>
      <c r="O230" s="665">
        <f>IF(O$178&gt;0,O181/O$178*O$146,0)-8</f>
        <v>19.535450833925424</v>
      </c>
      <c r="P230" s="629">
        <f t="shared" ref="P230:X230" si="190">IF(P$178&gt;0,P181/P$178*P$146,0)</f>
        <v>4.5451428396644742</v>
      </c>
      <c r="Q230" s="629">
        <f t="shared" si="190"/>
        <v>0.87282577429566932</v>
      </c>
      <c r="R230" s="629">
        <f t="shared" si="190"/>
        <v>0</v>
      </c>
      <c r="S230" s="629">
        <f t="shared" si="190"/>
        <v>87.87104116533277</v>
      </c>
      <c r="T230" s="629">
        <f t="shared" si="190"/>
        <v>0</v>
      </c>
      <c r="U230" s="629">
        <f t="shared" si="190"/>
        <v>0</v>
      </c>
      <c r="V230" s="629">
        <f t="shared" si="190"/>
        <v>0</v>
      </c>
      <c r="W230" s="629">
        <f t="shared" si="190"/>
        <v>0</v>
      </c>
      <c r="X230" s="629">
        <f t="shared" si="190"/>
        <v>16.594529878247076</v>
      </c>
      <c r="Y230" s="665">
        <f>IF(Y$178&gt;0,Y181/Y$178*Y$146,0)+25</f>
        <v>28.219437261463867</v>
      </c>
      <c r="Z230" s="629">
        <f t="shared" ref="Z230:AH230" si="191">IF(Z$178&gt;0,Z181/Z$178*Z$146,0)</f>
        <v>18.351944767560081</v>
      </c>
      <c r="AA230" s="629">
        <f t="shared" si="191"/>
        <v>1.914649496981891</v>
      </c>
      <c r="AB230" s="629">
        <f t="shared" si="191"/>
        <v>6.1690897225121946</v>
      </c>
      <c r="AC230" s="629">
        <f t="shared" si="191"/>
        <v>0.85715769342949155</v>
      </c>
      <c r="AD230" s="629">
        <f t="shared" si="191"/>
        <v>7.9397841917119027</v>
      </c>
      <c r="AE230" s="629">
        <f t="shared" si="191"/>
        <v>15.889454518077342</v>
      </c>
      <c r="AF230" s="629">
        <f t="shared" si="191"/>
        <v>6.8587473529290541</v>
      </c>
      <c r="AG230" s="629">
        <f t="shared" si="191"/>
        <v>0</v>
      </c>
      <c r="AH230" s="629">
        <f t="shared" si="191"/>
        <v>0</v>
      </c>
      <c r="AI230" s="509"/>
      <c r="AJ230" s="165"/>
      <c r="AK230" s="165"/>
      <c r="AL230" s="165"/>
      <c r="AM230" s="165"/>
      <c r="AN230" s="165"/>
      <c r="AO230" s="165"/>
      <c r="AP230" s="165"/>
      <c r="AQ230" s="165"/>
      <c r="AR230" s="165"/>
      <c r="AS230" s="165"/>
      <c r="AT230" s="165"/>
      <c r="AU230" s="165"/>
      <c r="AV230" s="165"/>
      <c r="AW230" s="165"/>
      <c r="AX230" s="165"/>
      <c r="AY230" s="165"/>
    </row>
    <row r="231" spans="1:51" s="164" customFormat="1">
      <c r="A231" s="593"/>
      <c r="B231" s="593"/>
      <c r="C231" s="638"/>
      <c r="D231" s="609"/>
      <c r="E231" s="629"/>
      <c r="F231" s="629"/>
      <c r="G231" s="629"/>
      <c r="H231" s="629"/>
      <c r="I231" s="629"/>
      <c r="J231" s="629"/>
      <c r="K231" s="629"/>
      <c r="L231" s="629"/>
      <c r="M231" s="629"/>
      <c r="N231" s="629"/>
      <c r="O231" s="629"/>
      <c r="P231" s="629"/>
      <c r="Q231" s="629"/>
      <c r="R231" s="629"/>
      <c r="S231" s="629"/>
      <c r="T231" s="629"/>
      <c r="U231" s="629"/>
      <c r="V231" s="629"/>
      <c r="W231" s="629"/>
      <c r="X231" s="629"/>
      <c r="Y231" s="629"/>
      <c r="Z231" s="629"/>
      <c r="AA231" s="629"/>
      <c r="AB231" s="629"/>
      <c r="AC231" s="629"/>
      <c r="AD231" s="629"/>
      <c r="AE231" s="629"/>
      <c r="AF231" s="629"/>
      <c r="AG231" s="629"/>
      <c r="AH231" s="629"/>
      <c r="AI231" s="509"/>
      <c r="AJ231" s="165"/>
      <c r="AK231" s="165"/>
      <c r="AL231" s="165"/>
      <c r="AM231" s="165"/>
      <c r="AN231" s="165"/>
      <c r="AO231" s="165"/>
      <c r="AP231" s="165"/>
      <c r="AQ231" s="165"/>
      <c r="AR231" s="165"/>
      <c r="AS231" s="165"/>
      <c r="AT231" s="165"/>
      <c r="AU231" s="165"/>
      <c r="AV231" s="165"/>
      <c r="AW231" s="165"/>
      <c r="AX231" s="165"/>
      <c r="AY231" s="165"/>
    </row>
    <row r="232" spans="1:51" s="164" customFormat="1">
      <c r="A232" s="593"/>
      <c r="B232" s="593"/>
      <c r="C232" s="638" t="s">
        <v>324</v>
      </c>
      <c r="D232" s="609"/>
      <c r="E232" s="629"/>
      <c r="F232" s="629"/>
      <c r="G232" s="629"/>
      <c r="H232" s="629"/>
      <c r="I232" s="629"/>
      <c r="J232" s="629"/>
      <c r="K232" s="629"/>
      <c r="L232" s="629"/>
      <c r="M232" s="629"/>
      <c r="N232" s="629"/>
      <c r="O232" s="629"/>
      <c r="P232" s="629"/>
      <c r="Q232" s="629"/>
      <c r="R232" s="629"/>
      <c r="S232" s="629"/>
      <c r="T232" s="629"/>
      <c r="U232" s="629"/>
      <c r="V232" s="629"/>
      <c r="W232" s="629"/>
      <c r="X232" s="629"/>
      <c r="Y232" s="629"/>
      <c r="Z232" s="629"/>
      <c r="AA232" s="629"/>
      <c r="AB232" s="629"/>
      <c r="AC232" s="629"/>
      <c r="AD232" s="629"/>
      <c r="AE232" s="629"/>
      <c r="AF232" s="629"/>
      <c r="AG232" s="629"/>
      <c r="AH232" s="629"/>
      <c r="AI232" s="509"/>
      <c r="AJ232" s="165"/>
      <c r="AK232" s="165"/>
      <c r="AL232" s="165"/>
      <c r="AM232" s="165"/>
      <c r="AN232" s="165"/>
      <c r="AO232" s="165"/>
      <c r="AP232" s="165"/>
      <c r="AQ232" s="165"/>
      <c r="AR232" s="165"/>
      <c r="AS232" s="165"/>
      <c r="AT232" s="165"/>
      <c r="AU232" s="165"/>
      <c r="AV232" s="165"/>
      <c r="AW232" s="165"/>
      <c r="AX232" s="165"/>
      <c r="AY232" s="165"/>
    </row>
    <row r="233" spans="1:51" s="164" customFormat="1">
      <c r="A233" s="593"/>
      <c r="B233" s="593"/>
      <c r="C233" s="631" t="s">
        <v>149</v>
      </c>
      <c r="D233" s="609"/>
      <c r="E233" s="629">
        <f>E224</f>
        <v>0.54587429930234022</v>
      </c>
      <c r="F233" s="629">
        <f t="shared" ref="F233:AH233" si="192">F224</f>
        <v>0.32826302520463785</v>
      </c>
      <c r="G233" s="629">
        <f t="shared" si="192"/>
        <v>0.70115343743877068</v>
      </c>
      <c r="H233" s="629">
        <f t="shared" si="192"/>
        <v>0</v>
      </c>
      <c r="I233" s="629">
        <f t="shared" si="192"/>
        <v>0.77751401381713625</v>
      </c>
      <c r="J233" s="629">
        <f t="shared" si="192"/>
        <v>0.33965451757672693</v>
      </c>
      <c r="K233" s="629">
        <f t="shared" si="192"/>
        <v>0.56672393337976723</v>
      </c>
      <c r="L233" s="629">
        <f t="shared" si="192"/>
        <v>0.48982038604577172</v>
      </c>
      <c r="M233" s="629">
        <f t="shared" si="192"/>
        <v>0.89999999999999991</v>
      </c>
      <c r="N233" s="629">
        <f t="shared" si="192"/>
        <v>0.5298536268850097</v>
      </c>
      <c r="O233" s="629">
        <f t="shared" si="192"/>
        <v>0.45026578529306632</v>
      </c>
      <c r="P233" s="629">
        <f t="shared" si="192"/>
        <v>0.49780596610463002</v>
      </c>
      <c r="Q233" s="629">
        <f t="shared" si="192"/>
        <v>0.34645302760666807</v>
      </c>
      <c r="R233" s="629">
        <f t="shared" si="192"/>
        <v>0.56421070667718776</v>
      </c>
      <c r="S233" s="629">
        <f t="shared" si="192"/>
        <v>0.71469206074653024</v>
      </c>
      <c r="T233" s="629">
        <f t="shared" si="192"/>
        <v>0.9</v>
      </c>
      <c r="U233" s="629">
        <f t="shared" si="192"/>
        <v>0.41931981751201536</v>
      </c>
      <c r="V233" s="629">
        <f t="shared" si="192"/>
        <v>0.45101959318995727</v>
      </c>
      <c r="W233" s="629">
        <f t="shared" si="192"/>
        <v>0</v>
      </c>
      <c r="X233" s="629">
        <f t="shared" si="192"/>
        <v>0.87876645230225914</v>
      </c>
      <c r="Y233" s="629">
        <f t="shared" si="192"/>
        <v>0.45180762443518252</v>
      </c>
      <c r="Z233" s="629">
        <f t="shared" si="192"/>
        <v>0.9</v>
      </c>
      <c r="AA233" s="629">
        <f t="shared" si="192"/>
        <v>0.8999999999999998</v>
      </c>
      <c r="AB233" s="629">
        <f t="shared" si="192"/>
        <v>0.56749344973014737</v>
      </c>
      <c r="AC233" s="629">
        <f t="shared" si="192"/>
        <v>0.52727461096192085</v>
      </c>
      <c r="AD233" s="629">
        <f t="shared" si="192"/>
        <v>0.55731748671307157</v>
      </c>
      <c r="AE233" s="629">
        <f t="shared" si="192"/>
        <v>0.82690862310043178</v>
      </c>
      <c r="AF233" s="629">
        <f t="shared" si="192"/>
        <v>0.9</v>
      </c>
      <c r="AG233" s="629">
        <f t="shared" si="192"/>
        <v>0</v>
      </c>
      <c r="AH233" s="629">
        <f t="shared" si="192"/>
        <v>0</v>
      </c>
      <c r="AI233" s="509"/>
      <c r="AJ233" s="165"/>
      <c r="AK233" s="165"/>
      <c r="AL233" s="165"/>
      <c r="AM233" s="165"/>
      <c r="AN233" s="165"/>
      <c r="AO233" s="165"/>
      <c r="AP233" s="165"/>
      <c r="AQ233" s="165"/>
      <c r="AR233" s="165"/>
      <c r="AS233" s="165"/>
      <c r="AT233" s="165"/>
      <c r="AU233" s="165"/>
      <c r="AV233" s="165"/>
      <c r="AW233" s="165"/>
      <c r="AX233" s="165"/>
      <c r="AY233" s="165"/>
    </row>
    <row r="234" spans="1:51" s="164" customFormat="1">
      <c r="A234" s="593"/>
      <c r="B234" s="593"/>
      <c r="C234" s="631" t="s">
        <v>147</v>
      </c>
      <c r="D234" s="609"/>
      <c r="E234" s="629">
        <f>E225</f>
        <v>3.1885402014117492</v>
      </c>
      <c r="F234" s="629">
        <f t="shared" ref="F234:AH234" si="193">F225</f>
        <v>3.2267384181057097</v>
      </c>
      <c r="G234" s="629">
        <f t="shared" si="193"/>
        <v>3.0419714175053745</v>
      </c>
      <c r="H234" s="629">
        <f t="shared" si="193"/>
        <v>0</v>
      </c>
      <c r="I234" s="629">
        <f t="shared" si="193"/>
        <v>1.7585867425071102</v>
      </c>
      <c r="J234" s="629">
        <f t="shared" si="193"/>
        <v>3.4811238034337091</v>
      </c>
      <c r="K234" s="629">
        <f t="shared" si="193"/>
        <v>2.790050054043812</v>
      </c>
      <c r="L234" s="629">
        <f t="shared" si="193"/>
        <v>4.1005273326413114</v>
      </c>
      <c r="M234" s="629">
        <f t="shared" si="193"/>
        <v>1.3202539430516294</v>
      </c>
      <c r="N234" s="629">
        <f t="shared" si="193"/>
        <v>4.291426574686291</v>
      </c>
      <c r="O234" s="629">
        <f t="shared" si="193"/>
        <v>4.3193778485017624</v>
      </c>
      <c r="P234" s="629">
        <f t="shared" si="193"/>
        <v>2.4751773049645394</v>
      </c>
      <c r="Q234" s="629">
        <f t="shared" si="193"/>
        <v>6.1158868799634423</v>
      </c>
      <c r="R234" s="629">
        <f t="shared" si="193"/>
        <v>2.403987696684927</v>
      </c>
      <c r="S234" s="629">
        <f t="shared" si="193"/>
        <v>2.1465856114092969</v>
      </c>
      <c r="T234" s="629">
        <f t="shared" si="193"/>
        <v>13.412698412698413</v>
      </c>
      <c r="U234" s="629">
        <f t="shared" si="193"/>
        <v>2.0030949105914715</v>
      </c>
      <c r="V234" s="629">
        <f t="shared" si="193"/>
        <v>4.7101449275362315</v>
      </c>
      <c r="W234" s="629">
        <f t="shared" si="193"/>
        <v>0</v>
      </c>
      <c r="X234" s="629">
        <f>X225</f>
        <v>3.208182402068958</v>
      </c>
      <c r="Y234" s="629">
        <f t="shared" si="193"/>
        <v>6.0828030042426322</v>
      </c>
      <c r="Z234" s="629">
        <f t="shared" si="193"/>
        <v>2.247780353839572</v>
      </c>
      <c r="AA234" s="629">
        <f t="shared" si="193"/>
        <v>2.7646811594202902</v>
      </c>
      <c r="AB234" s="629">
        <f t="shared" si="193"/>
        <v>4.0000511090667477</v>
      </c>
      <c r="AC234" s="629">
        <f t="shared" si="193"/>
        <v>7.5211930534227243</v>
      </c>
      <c r="AD234" s="629">
        <f t="shared" si="193"/>
        <v>0.29892473118279572</v>
      </c>
      <c r="AE234" s="629">
        <f t="shared" si="193"/>
        <v>1.2287391748752095</v>
      </c>
      <c r="AF234" s="629">
        <f t="shared" si="193"/>
        <v>3.4553853922908568</v>
      </c>
      <c r="AG234" s="629">
        <f t="shared" si="193"/>
        <v>0</v>
      </c>
      <c r="AH234" s="629">
        <f t="shared" si="193"/>
        <v>0</v>
      </c>
      <c r="AI234" s="509"/>
      <c r="AJ234" s="165"/>
      <c r="AK234" s="165"/>
      <c r="AL234" s="165"/>
      <c r="AM234" s="165"/>
      <c r="AN234" s="165"/>
      <c r="AO234" s="165"/>
      <c r="AP234" s="165"/>
      <c r="AQ234" s="165"/>
      <c r="AR234" s="165"/>
      <c r="AS234" s="165"/>
      <c r="AT234" s="165"/>
      <c r="AU234" s="165"/>
      <c r="AV234" s="165"/>
      <c r="AW234" s="165"/>
      <c r="AX234" s="165"/>
      <c r="AY234" s="165"/>
    </row>
    <row r="235" spans="1:51" s="164" customFormat="1">
      <c r="A235" s="593"/>
      <c r="B235" s="593"/>
      <c r="C235" s="631" t="s">
        <v>320</v>
      </c>
      <c r="D235" s="646">
        <f t="shared" ref="D235" si="194">SUM(E235:AI235)</f>
        <v>21.18757632889038</v>
      </c>
      <c r="E235" s="629">
        <f t="shared" ref="E235:AH235" si="195">IF(E$178&gt;0,(E182+E183)/E$178*E$120,0)</f>
        <v>0.40904801760652759</v>
      </c>
      <c r="F235" s="629">
        <f t="shared" si="195"/>
        <v>0.21782630215350057</v>
      </c>
      <c r="G235" s="629">
        <f t="shared" si="195"/>
        <v>9.8891758368592889E-2</v>
      </c>
      <c r="H235" s="629">
        <f t="shared" si="195"/>
        <v>0</v>
      </c>
      <c r="I235" s="629">
        <f t="shared" si="195"/>
        <v>0.47609527387088318</v>
      </c>
      <c r="J235" s="629">
        <f t="shared" si="195"/>
        <v>5.9394468362791262</v>
      </c>
      <c r="K235" s="629">
        <f t="shared" si="195"/>
        <v>0.17360956409015252</v>
      </c>
      <c r="L235" s="629">
        <f t="shared" si="195"/>
        <v>1.648613959445441E-2</v>
      </c>
      <c r="M235" s="629">
        <f t="shared" si="195"/>
        <v>3.0201455702356776</v>
      </c>
      <c r="N235" s="629">
        <f t="shared" si="195"/>
        <v>0.4502461291988108</v>
      </c>
      <c r="O235" s="629">
        <f t="shared" si="195"/>
        <v>2.5582541096207025</v>
      </c>
      <c r="P235" s="629">
        <f t="shared" si="195"/>
        <v>0.18385776506639429</v>
      </c>
      <c r="Q235" s="629">
        <f t="shared" si="195"/>
        <v>0.11854498839329726</v>
      </c>
      <c r="R235" s="629">
        <f t="shared" si="195"/>
        <v>0.10230788350056244</v>
      </c>
      <c r="S235" s="629">
        <f t="shared" si="195"/>
        <v>1.5249349112043167</v>
      </c>
      <c r="T235" s="629">
        <f t="shared" si="195"/>
        <v>1.8877884399523641E-2</v>
      </c>
      <c r="U235" s="629">
        <f t="shared" si="195"/>
        <v>9.1520000000000004E-2</v>
      </c>
      <c r="V235" s="629">
        <f t="shared" si="195"/>
        <v>1.9557073170731704E-2</v>
      </c>
      <c r="W235" s="629">
        <f t="shared" si="195"/>
        <v>0</v>
      </c>
      <c r="X235" s="629">
        <f t="shared" si="195"/>
        <v>1.2496765686609856</v>
      </c>
      <c r="Y235" s="629">
        <f t="shared" si="195"/>
        <v>0.33664288605090387</v>
      </c>
      <c r="Z235" s="629">
        <f t="shared" si="195"/>
        <v>0.30575795040468612</v>
      </c>
      <c r="AA235" s="629">
        <f t="shared" si="195"/>
        <v>5.501538249477838E-2</v>
      </c>
      <c r="AB235" s="629">
        <f t="shared" si="195"/>
        <v>7.166594547814798E-3</v>
      </c>
      <c r="AC235" s="629">
        <f t="shared" si="195"/>
        <v>2.8856792932900006E-2</v>
      </c>
      <c r="AD235" s="629">
        <f t="shared" si="195"/>
        <v>0.14728523235800345</v>
      </c>
      <c r="AE235" s="629">
        <f t="shared" si="195"/>
        <v>3.3924285977495061</v>
      </c>
      <c r="AF235" s="629">
        <f t="shared" si="195"/>
        <v>0.2450961169375408</v>
      </c>
      <c r="AG235" s="629">
        <f t="shared" si="195"/>
        <v>0</v>
      </c>
      <c r="AH235" s="629">
        <f t="shared" si="195"/>
        <v>0</v>
      </c>
      <c r="AI235" s="509"/>
      <c r="AJ235" s="165"/>
      <c r="AK235" s="165"/>
      <c r="AL235" s="165"/>
      <c r="AM235" s="165"/>
      <c r="AN235" s="165"/>
      <c r="AO235" s="165"/>
      <c r="AP235" s="165"/>
      <c r="AQ235" s="165"/>
      <c r="AR235" s="165"/>
      <c r="AS235" s="165"/>
      <c r="AT235" s="165"/>
      <c r="AU235" s="165"/>
      <c r="AV235" s="165"/>
      <c r="AW235" s="165"/>
      <c r="AX235" s="165"/>
      <c r="AY235" s="165"/>
    </row>
    <row r="236" spans="1:51" s="164" customFormat="1">
      <c r="A236" s="593"/>
      <c r="B236" s="593"/>
      <c r="C236" s="631" t="s">
        <v>420</v>
      </c>
      <c r="D236" s="609"/>
      <c r="E236" s="629">
        <f t="shared" ref="E236:AH236" si="196">E$107/(1+E225)</f>
        <v>0.14908495726683887</v>
      </c>
      <c r="F236" s="629">
        <f t="shared" si="196"/>
        <v>0.18255182769194236</v>
      </c>
      <c r="G236" s="629">
        <f t="shared" si="196"/>
        <v>0.16074234553677902</v>
      </c>
      <c r="H236" s="629">
        <f t="shared" si="196"/>
        <v>0</v>
      </c>
      <c r="I236" s="629">
        <f t="shared" si="196"/>
        <v>0.23825719371493057</v>
      </c>
      <c r="J236" s="629">
        <f t="shared" si="196"/>
        <v>0.17931747403717105</v>
      </c>
      <c r="K236" s="629">
        <f t="shared" si="196"/>
        <v>0.22147653718044794</v>
      </c>
      <c r="L236" s="629">
        <f t="shared" si="196"/>
        <v>0.1368989860486392</v>
      </c>
      <c r="M236" s="629">
        <f t="shared" si="196"/>
        <v>0.34468414699279876</v>
      </c>
      <c r="N236" s="629">
        <f t="shared" si="196"/>
        <v>0.15147279248545273</v>
      </c>
      <c r="O236" s="629">
        <f t="shared" si="196"/>
        <v>0.15115141856919867</v>
      </c>
      <c r="P236" s="629">
        <f t="shared" si="196"/>
        <v>0.20619840977533202</v>
      </c>
      <c r="Q236" s="629">
        <f t="shared" si="196"/>
        <v>0.1078999565059939</v>
      </c>
      <c r="R236" s="629">
        <f t="shared" si="196"/>
        <v>0.22348126963347045</v>
      </c>
      <c r="S236" s="629">
        <f t="shared" si="196"/>
        <v>0.23161772077635151</v>
      </c>
      <c r="T236" s="629">
        <f t="shared" si="196"/>
        <v>5.4782608695652171E-2</v>
      </c>
      <c r="U236" s="629">
        <f t="shared" si="196"/>
        <v>0.2976627807790731</v>
      </c>
      <c r="V236" s="629">
        <f t="shared" si="196"/>
        <v>0.15085020242914979</v>
      </c>
      <c r="W236" s="629">
        <f t="shared" si="196"/>
        <v>0</v>
      </c>
      <c r="X236" s="629">
        <f t="shared" si="196"/>
        <v>0.19762031010990475</v>
      </c>
      <c r="Y236" s="629">
        <f t="shared" si="196"/>
        <v>0.11029467560389529</v>
      </c>
      <c r="Z236" s="629">
        <f t="shared" si="196"/>
        <v>0.28058760738791144</v>
      </c>
      <c r="AA236" s="629">
        <f t="shared" si="196"/>
        <v>0.24468085106382984</v>
      </c>
      <c r="AB236" s="629">
        <f t="shared" si="196"/>
        <v>0.15639193901305865</v>
      </c>
      <c r="AC236" s="629">
        <f t="shared" si="196"/>
        <v>0.10522976216858211</v>
      </c>
      <c r="AD236" s="629">
        <f t="shared" si="196"/>
        <v>0.25960330629778389</v>
      </c>
      <c r="AE236" s="629">
        <f t="shared" si="196"/>
        <v>0.33254158981555149</v>
      </c>
      <c r="AF236" s="629">
        <f t="shared" si="196"/>
        <v>0.13667590655054926</v>
      </c>
      <c r="AG236" s="629">
        <f t="shared" si="196"/>
        <v>0</v>
      </c>
      <c r="AH236" s="629">
        <f t="shared" si="196"/>
        <v>0</v>
      </c>
      <c r="AI236" s="509"/>
      <c r="AJ236" s="165"/>
      <c r="AK236" s="165"/>
      <c r="AL236" s="165"/>
      <c r="AM236" s="165"/>
      <c r="AN236" s="165"/>
      <c r="AO236" s="165"/>
      <c r="AP236" s="165"/>
      <c r="AQ236" s="165"/>
      <c r="AR236" s="165"/>
      <c r="AS236" s="165"/>
      <c r="AT236" s="165"/>
      <c r="AU236" s="165"/>
      <c r="AV236" s="165"/>
      <c r="AW236" s="165"/>
      <c r="AX236" s="165"/>
      <c r="AY236" s="165"/>
    </row>
    <row r="237" spans="1:51" s="164" customFormat="1">
      <c r="A237" s="593"/>
      <c r="B237" s="593"/>
      <c r="C237" s="631" t="s">
        <v>319</v>
      </c>
      <c r="D237" s="609"/>
      <c r="E237" s="629">
        <f>E239*E236</f>
        <v>7.040295863746957</v>
      </c>
      <c r="F237" s="629">
        <f t="shared" ref="F237:AH237" si="197">F239*F236</f>
        <v>2.2545286165629661</v>
      </c>
      <c r="G237" s="629">
        <f t="shared" si="197"/>
        <v>2.1862364827962866</v>
      </c>
      <c r="H237" s="629">
        <f t="shared" si="197"/>
        <v>0</v>
      </c>
      <c r="I237" s="629">
        <f t="shared" si="197"/>
        <v>6.1915682083986532</v>
      </c>
      <c r="J237" s="629">
        <f t="shared" si="197"/>
        <v>63.607359218739091</v>
      </c>
      <c r="K237" s="629">
        <f t="shared" si="197"/>
        <v>4.209578240309062</v>
      </c>
      <c r="L237" s="629">
        <f t="shared" si="197"/>
        <v>0.25461254612546125</v>
      </c>
      <c r="M237" s="629">
        <f t="shared" si="197"/>
        <v>98.111300138318569</v>
      </c>
      <c r="N237" s="629">
        <f t="shared" si="197"/>
        <v>7.5219400895645965</v>
      </c>
      <c r="O237" s="629">
        <f t="shared" si="197"/>
        <v>33.296198770384223</v>
      </c>
      <c r="P237" s="629">
        <f t="shared" si="197"/>
        <v>1.8548067253827882</v>
      </c>
      <c r="Q237" s="629">
        <f t="shared" si="197"/>
        <v>1.2949456174024312</v>
      </c>
      <c r="R237" s="629">
        <f t="shared" si="197"/>
        <v>1.8200125984251967</v>
      </c>
      <c r="S237" s="629">
        <f t="shared" si="197"/>
        <v>34.363250303303403</v>
      </c>
      <c r="T237" s="629">
        <f t="shared" si="197"/>
        <v>0.53569772560528239</v>
      </c>
      <c r="U237" s="629">
        <f t="shared" si="197"/>
        <v>1.21</v>
      </c>
      <c r="V237" s="629">
        <f t="shared" si="197"/>
        <v>0.2781142490372272</v>
      </c>
      <c r="W237" s="629">
        <f t="shared" si="197"/>
        <v>0</v>
      </c>
      <c r="X237" s="629">
        <f>X239*X236</f>
        <v>34.625421325518481</v>
      </c>
      <c r="Y237" s="629">
        <f t="shared" si="197"/>
        <v>4.7956443475132664</v>
      </c>
      <c r="Z237" s="629">
        <f t="shared" si="197"/>
        <v>8.6764933586337811</v>
      </c>
      <c r="AA237" s="629">
        <f t="shared" si="197"/>
        <v>1.5611715090543261</v>
      </c>
      <c r="AB237" s="629">
        <f t="shared" si="197"/>
        <v>0.12823236694071832</v>
      </c>
      <c r="AC237" s="629">
        <f t="shared" si="197"/>
        <v>0.47974327304808123</v>
      </c>
      <c r="AD237" s="629">
        <f t="shared" si="197"/>
        <v>2.5881285581887989</v>
      </c>
      <c r="AE237" s="629">
        <f t="shared" si="197"/>
        <v>88.448853366866501</v>
      </c>
      <c r="AF237" s="629">
        <f t="shared" si="197"/>
        <v>6.9550925103365948</v>
      </c>
      <c r="AG237" s="629">
        <f t="shared" si="197"/>
        <v>0</v>
      </c>
      <c r="AH237" s="629">
        <f t="shared" si="197"/>
        <v>0</v>
      </c>
      <c r="AI237" s="509"/>
      <c r="AJ237" s="165"/>
      <c r="AK237" s="165"/>
      <c r="AL237" s="165"/>
      <c r="AM237" s="165"/>
      <c r="AN237" s="165"/>
      <c r="AO237" s="165"/>
      <c r="AP237" s="165"/>
      <c r="AQ237" s="165"/>
      <c r="AR237" s="165"/>
      <c r="AS237" s="165"/>
      <c r="AT237" s="165"/>
      <c r="AU237" s="165"/>
      <c r="AV237" s="165"/>
      <c r="AW237" s="165"/>
      <c r="AX237" s="165"/>
      <c r="AY237" s="165"/>
    </row>
    <row r="238" spans="1:51" s="164" customFormat="1">
      <c r="A238" s="593"/>
      <c r="B238" s="593"/>
      <c r="C238" s="631" t="s">
        <v>318</v>
      </c>
      <c r="D238" s="646">
        <f t="shared" ref="D238:D239" si="198">SUM(E238:AI238)</f>
        <v>990.35760681559009</v>
      </c>
      <c r="E238" s="629">
        <f>E237*E234</f>
        <v>22.448266391390028</v>
      </c>
      <c r="F238" s="629">
        <f>F237*F234</f>
        <v>7.2747741017824392</v>
      </c>
      <c r="G238" s="629">
        <f t="shared" ref="G238:AH238" si="199">G237*G234</f>
        <v>6.6504688925737838</v>
      </c>
      <c r="H238" s="629">
        <f t="shared" si="199"/>
        <v>0</v>
      </c>
      <c r="I238" s="629">
        <f t="shared" si="199"/>
        <v>10.888409766618372</v>
      </c>
      <c r="J238" s="629">
        <f t="shared" si="199"/>
        <v>221.42509224991122</v>
      </c>
      <c r="K238" s="629">
        <f t="shared" si="199"/>
        <v>11.744933996875954</v>
      </c>
      <c r="L238" s="629">
        <f t="shared" si="199"/>
        <v>1.0440457046208504</v>
      </c>
      <c r="M238" s="629">
        <f t="shared" si="199"/>
        <v>129.53183086553696</v>
      </c>
      <c r="N238" s="629">
        <f t="shared" si="199"/>
        <v>32.279853593555686</v>
      </c>
      <c r="O238" s="629">
        <f t="shared" si="199"/>
        <v>143.81886340810922</v>
      </c>
      <c r="P238" s="629">
        <f t="shared" si="199"/>
        <v>4.5909755117630722</v>
      </c>
      <c r="Q238" s="629">
        <f t="shared" si="199"/>
        <v>7.919740911737688</v>
      </c>
      <c r="R238" s="629">
        <f t="shared" si="199"/>
        <v>4.3752878944257372</v>
      </c>
      <c r="S238" s="629">
        <f t="shared" si="199"/>
        <v>73.763658662327245</v>
      </c>
      <c r="T238" s="629">
        <f t="shared" si="199"/>
        <v>7.1851520339121215</v>
      </c>
      <c r="U238" s="629">
        <f t="shared" si="199"/>
        <v>2.4237448418156804</v>
      </c>
      <c r="V238" s="629">
        <f t="shared" si="199"/>
        <v>1.3099584193782439</v>
      </c>
      <c r="W238" s="629">
        <f t="shared" si="199"/>
        <v>0</v>
      </c>
      <c r="X238" s="629">
        <f>X237*X234</f>
        <v>111.08466736075161</v>
      </c>
      <c r="Y238" s="629">
        <f t="shared" si="199"/>
        <v>29.170959844332895</v>
      </c>
      <c r="Z238" s="629">
        <f t="shared" si="199"/>
        <v>19.502851311756537</v>
      </c>
      <c r="AA238" s="629">
        <f t="shared" si="199"/>
        <v>4.3161414577062382</v>
      </c>
      <c r="AB238" s="629">
        <f t="shared" si="199"/>
        <v>0.51293602159947449</v>
      </c>
      <c r="AC238" s="629">
        <f t="shared" si="199"/>
        <v>3.6082417726755098</v>
      </c>
      <c r="AD238" s="629">
        <f t="shared" si="199"/>
        <v>0.7736556335231034</v>
      </c>
      <c r="AE238" s="629">
        <f t="shared" si="199"/>
        <v>108.68057110466194</v>
      </c>
      <c r="AF238" s="629">
        <f t="shared" si="199"/>
        <v>24.032525062248617</v>
      </c>
      <c r="AG238" s="629">
        <f t="shared" si="199"/>
        <v>0</v>
      </c>
      <c r="AH238" s="629">
        <f t="shared" si="199"/>
        <v>0</v>
      </c>
      <c r="AI238" s="509"/>
      <c r="AJ238" s="165"/>
      <c r="AK238" s="165"/>
      <c r="AL238" s="165"/>
      <c r="AM238" s="165"/>
      <c r="AN238" s="165"/>
      <c r="AO238" s="165"/>
      <c r="AP238" s="165"/>
      <c r="AQ238" s="165"/>
      <c r="AR238" s="165"/>
      <c r="AS238" s="165"/>
      <c r="AT238" s="165"/>
      <c r="AU238" s="165"/>
      <c r="AV238" s="165"/>
      <c r="AW238" s="165"/>
      <c r="AX238" s="165"/>
      <c r="AY238" s="165"/>
    </row>
    <row r="239" spans="1:51" s="164" customFormat="1">
      <c r="A239" s="593"/>
      <c r="B239" s="593"/>
      <c r="C239" s="631" t="s">
        <v>321</v>
      </c>
      <c r="D239" s="646">
        <f t="shared" si="198"/>
        <v>1810.7299901230028</v>
      </c>
      <c r="E239" s="629">
        <f>IF(E$178,(E182+E183)/E$178*E$146,0)</f>
        <v>47.223381840905134</v>
      </c>
      <c r="F239" s="629">
        <f>IF(F$178,(F182+F183)/F$178*F$146,0)</f>
        <v>12.350074195737447</v>
      </c>
      <c r="G239" s="629">
        <f>IF(G$178,(G182+G183)/G$178*G$146,0)</f>
        <v>13.600874589055065</v>
      </c>
      <c r="H239" s="629">
        <f>IF(H$178,(H182+H183)/H$178*H$146,0)</f>
        <v>0</v>
      </c>
      <c r="I239" s="665">
        <f>IF(I$178,(I182+I183)/I$178*I$146,0)-23</f>
        <v>25.986909825718534</v>
      </c>
      <c r="J239" s="629">
        <f>IF(J$178,(J182+J183)/J$178*J$146,0)</f>
        <v>354.71924618765155</v>
      </c>
      <c r="K239" s="665">
        <f>IF(K$178,(K182+K183)/K$178*K$146,0)+5</f>
        <v>19.006881243042507</v>
      </c>
      <c r="L239" s="629">
        <f>IF(L$178,(L182+L183)/L$178*L$146,0)</f>
        <v>1.8598570630391615</v>
      </c>
      <c r="M239" s="665">
        <f>IF(M$178,(M182+M183)/M$178*M$146,0)+36</f>
        <v>284.6411736492434</v>
      </c>
      <c r="N239" s="629">
        <f>IF(N$178,(N182+N183)/N$178*N$146,0)</f>
        <v>49.658687650371235</v>
      </c>
      <c r="O239" s="665">
        <f>IF(O$178,(O182+O183)/O$178*O$146,0)-20</f>
        <v>220.28373326275386</v>
      </c>
      <c r="P239" s="665">
        <f>IF(P$178,(P182+P183)/P$178*P$146,0)-5</f>
        <v>8.9952523271335281</v>
      </c>
      <c r="Q239" s="629">
        <f t="shared" ref="Q239:AH239" si="200">IF(Q$178,(Q182+Q183)/Q$178*Q$146,0)</f>
        <v>12.001354396565453</v>
      </c>
      <c r="R239" s="629">
        <f t="shared" si="200"/>
        <v>8.1439156015633092</v>
      </c>
      <c r="S239" s="629">
        <f t="shared" si="200"/>
        <v>148.36192234394846</v>
      </c>
      <c r="T239" s="629">
        <f t="shared" si="200"/>
        <v>9.7786092769218218</v>
      </c>
      <c r="U239" s="629">
        <f t="shared" si="200"/>
        <v>4.0650026746140906</v>
      </c>
      <c r="V239" s="629">
        <f t="shared" si="200"/>
        <v>1.84364518282864</v>
      </c>
      <c r="W239" s="629">
        <f t="shared" si="200"/>
        <v>0</v>
      </c>
      <c r="X239" s="629">
        <f t="shared" si="200"/>
        <v>175.21185603980615</v>
      </c>
      <c r="Y239" s="629">
        <f t="shared" si="200"/>
        <v>43.480288792325872</v>
      </c>
      <c r="Z239" s="629">
        <f t="shared" si="200"/>
        <v>30.922582217391227</v>
      </c>
      <c r="AA239" s="629">
        <f t="shared" si="200"/>
        <v>6.3804400804828969</v>
      </c>
      <c r="AB239" s="629">
        <f t="shared" si="200"/>
        <v>0.81994230489086128</v>
      </c>
      <c r="AC239" s="629">
        <f t="shared" si="200"/>
        <v>4.5590074819281083</v>
      </c>
      <c r="AD239" s="629">
        <f>IF(AD$178,(AD182+AD183)/AD$178*AD$146,0)</f>
        <v>9.9695516020124462</v>
      </c>
      <c r="AE239" s="629">
        <f t="shared" si="200"/>
        <v>265.978319932631</v>
      </c>
      <c r="AF239" s="629">
        <f t="shared" si="200"/>
        <v>50.887480360441366</v>
      </c>
      <c r="AG239" s="629">
        <f t="shared" si="200"/>
        <v>0</v>
      </c>
      <c r="AH239" s="629">
        <f t="shared" si="200"/>
        <v>0</v>
      </c>
      <c r="AI239" s="509"/>
      <c r="AJ239" s="165"/>
      <c r="AK239" s="165"/>
      <c r="AL239" s="165"/>
      <c r="AM239" s="165"/>
      <c r="AN239" s="165"/>
      <c r="AO239" s="165"/>
      <c r="AP239" s="165"/>
      <c r="AQ239" s="165"/>
      <c r="AR239" s="165"/>
      <c r="AS239" s="165"/>
      <c r="AT239" s="165"/>
      <c r="AU239" s="165"/>
      <c r="AV239" s="165"/>
      <c r="AW239" s="165"/>
      <c r="AX239" s="165"/>
      <c r="AY239" s="165"/>
    </row>
    <row r="240" spans="1:51" s="164" customFormat="1">
      <c r="A240" s="593"/>
      <c r="B240" s="593"/>
      <c r="C240" s="638"/>
      <c r="D240" s="609"/>
      <c r="E240" s="629"/>
      <c r="F240" s="629"/>
      <c r="G240" s="629"/>
      <c r="H240" s="629"/>
      <c r="I240" s="629"/>
      <c r="J240" s="629"/>
      <c r="K240" s="629"/>
      <c r="L240" s="629"/>
      <c r="M240" s="629"/>
      <c r="N240" s="629"/>
      <c r="O240" s="629"/>
      <c r="P240" s="629"/>
      <c r="Q240" s="629"/>
      <c r="R240" s="629"/>
      <c r="S240" s="629"/>
      <c r="T240" s="629"/>
      <c r="U240" s="629"/>
      <c r="V240" s="629"/>
      <c r="W240" s="629"/>
      <c r="X240" s="629"/>
      <c r="Y240" s="629"/>
      <c r="Z240" s="629"/>
      <c r="AA240" s="629"/>
      <c r="AB240" s="629"/>
      <c r="AC240" s="629"/>
      <c r="AD240" s="629"/>
      <c r="AE240" s="629"/>
      <c r="AF240" s="629"/>
      <c r="AG240" s="629"/>
      <c r="AH240" s="629"/>
      <c r="AI240" s="509"/>
      <c r="AJ240" s="165"/>
      <c r="AK240" s="165"/>
      <c r="AL240" s="165"/>
      <c r="AM240" s="165"/>
      <c r="AN240" s="165"/>
      <c r="AO240" s="165"/>
      <c r="AP240" s="165"/>
      <c r="AQ240" s="165"/>
      <c r="AR240" s="165"/>
      <c r="AS240" s="165"/>
      <c r="AT240" s="165"/>
      <c r="AU240" s="165"/>
      <c r="AV240" s="165"/>
      <c r="AW240" s="165"/>
      <c r="AX240" s="165"/>
      <c r="AY240" s="165"/>
    </row>
    <row r="241" spans="1:51" s="164" customFormat="1">
      <c r="A241" s="593"/>
      <c r="B241" s="593"/>
      <c r="C241" s="638" t="s">
        <v>325</v>
      </c>
      <c r="D241" s="609"/>
      <c r="E241" s="629"/>
      <c r="F241" s="629"/>
      <c r="G241" s="629"/>
      <c r="H241" s="629"/>
      <c r="I241" s="629"/>
      <c r="J241" s="629"/>
      <c r="K241" s="629"/>
      <c r="L241" s="629"/>
      <c r="M241" s="629"/>
      <c r="N241" s="629"/>
      <c r="O241" s="629"/>
      <c r="P241" s="629"/>
      <c r="Q241" s="629"/>
      <c r="R241" s="629"/>
      <c r="S241" s="629"/>
      <c r="T241" s="629"/>
      <c r="U241" s="629"/>
      <c r="V241" s="629"/>
      <c r="W241" s="629"/>
      <c r="X241" s="629"/>
      <c r="Y241" s="629"/>
      <c r="Z241" s="629"/>
      <c r="AA241" s="629"/>
      <c r="AB241" s="629"/>
      <c r="AC241" s="629"/>
      <c r="AD241" s="629"/>
      <c r="AE241" s="629"/>
      <c r="AF241" s="629"/>
      <c r="AG241" s="629"/>
      <c r="AH241" s="629"/>
      <c r="AI241" s="509"/>
      <c r="AJ241" s="165"/>
      <c r="AK241" s="165"/>
      <c r="AL241" s="165"/>
      <c r="AM241" s="165"/>
      <c r="AN241" s="165"/>
      <c r="AO241" s="165"/>
      <c r="AP241" s="165"/>
      <c r="AQ241" s="165"/>
      <c r="AR241" s="165"/>
      <c r="AS241" s="165"/>
      <c r="AT241" s="165"/>
      <c r="AU241" s="165"/>
      <c r="AV241" s="165"/>
      <c r="AW241" s="165"/>
      <c r="AX241" s="165"/>
      <c r="AY241" s="165"/>
    </row>
    <row r="242" spans="1:51" s="164" customFormat="1">
      <c r="A242" s="593"/>
      <c r="B242" s="593"/>
      <c r="C242" s="631" t="s">
        <v>149</v>
      </c>
      <c r="D242" s="609"/>
      <c r="E242" s="629">
        <f>E233</f>
        <v>0.54587429930234022</v>
      </c>
      <c r="F242" s="629">
        <f t="shared" ref="F242:AH242" si="201">F233</f>
        <v>0.32826302520463785</v>
      </c>
      <c r="G242" s="629">
        <f t="shared" si="201"/>
        <v>0.70115343743877068</v>
      </c>
      <c r="H242" s="629">
        <f t="shared" si="201"/>
        <v>0</v>
      </c>
      <c r="I242" s="629">
        <f t="shared" si="201"/>
        <v>0.77751401381713625</v>
      </c>
      <c r="J242" s="629">
        <f t="shared" si="201"/>
        <v>0.33965451757672693</v>
      </c>
      <c r="K242" s="629">
        <f t="shared" si="201"/>
        <v>0.56672393337976723</v>
      </c>
      <c r="L242" s="629">
        <f t="shared" si="201"/>
        <v>0.48982038604577172</v>
      </c>
      <c r="M242" s="629">
        <f t="shared" si="201"/>
        <v>0.89999999999999991</v>
      </c>
      <c r="N242" s="629">
        <f t="shared" si="201"/>
        <v>0.5298536268850097</v>
      </c>
      <c r="O242" s="629">
        <f t="shared" si="201"/>
        <v>0.45026578529306632</v>
      </c>
      <c r="P242" s="629">
        <f t="shared" si="201"/>
        <v>0.49780596610463002</v>
      </c>
      <c r="Q242" s="629">
        <f t="shared" si="201"/>
        <v>0.34645302760666807</v>
      </c>
      <c r="R242" s="629">
        <f t="shared" si="201"/>
        <v>0.56421070667718776</v>
      </c>
      <c r="S242" s="629">
        <f t="shared" si="201"/>
        <v>0.71469206074653024</v>
      </c>
      <c r="T242" s="629">
        <f t="shared" si="201"/>
        <v>0.9</v>
      </c>
      <c r="U242" s="629">
        <f t="shared" si="201"/>
        <v>0.41931981751201536</v>
      </c>
      <c r="V242" s="629">
        <f t="shared" si="201"/>
        <v>0.45101959318995727</v>
      </c>
      <c r="W242" s="629">
        <f t="shared" si="201"/>
        <v>0</v>
      </c>
      <c r="X242" s="629">
        <f t="shared" si="201"/>
        <v>0.87876645230225914</v>
      </c>
      <c r="Y242" s="629">
        <f t="shared" si="201"/>
        <v>0.45180762443518252</v>
      </c>
      <c r="Z242" s="629">
        <f t="shared" si="201"/>
        <v>0.9</v>
      </c>
      <c r="AA242" s="629">
        <f t="shared" si="201"/>
        <v>0.8999999999999998</v>
      </c>
      <c r="AB242" s="629">
        <f t="shared" si="201"/>
        <v>0.56749344973014737</v>
      </c>
      <c r="AC242" s="629">
        <f t="shared" si="201"/>
        <v>0.52727461096192085</v>
      </c>
      <c r="AD242" s="629">
        <f t="shared" si="201"/>
        <v>0.55731748671307157</v>
      </c>
      <c r="AE242" s="629">
        <f t="shared" si="201"/>
        <v>0.82690862310043178</v>
      </c>
      <c r="AF242" s="629">
        <f t="shared" si="201"/>
        <v>0.9</v>
      </c>
      <c r="AG242" s="629">
        <f t="shared" si="201"/>
        <v>0</v>
      </c>
      <c r="AH242" s="629">
        <f t="shared" si="201"/>
        <v>0</v>
      </c>
      <c r="AI242" s="509"/>
      <c r="AJ242" s="165"/>
      <c r="AK242" s="165"/>
      <c r="AL242" s="165"/>
      <c r="AM242" s="165"/>
      <c r="AN242" s="165"/>
      <c r="AO242" s="165"/>
      <c r="AP242" s="165"/>
      <c r="AQ242" s="165"/>
      <c r="AR242" s="165"/>
      <c r="AS242" s="165"/>
      <c r="AT242" s="165"/>
      <c r="AU242" s="165"/>
      <c r="AV242" s="165"/>
      <c r="AW242" s="165"/>
      <c r="AX242" s="165"/>
      <c r="AY242" s="165"/>
    </row>
    <row r="243" spans="1:51" s="164" customFormat="1">
      <c r="A243" s="593"/>
      <c r="B243" s="593"/>
      <c r="C243" s="631" t="s">
        <v>147</v>
      </c>
      <c r="D243" s="609"/>
      <c r="E243" s="629">
        <f>E234</f>
        <v>3.1885402014117492</v>
      </c>
      <c r="F243" s="629">
        <f t="shared" ref="F243:AH243" si="202">F234</f>
        <v>3.2267384181057097</v>
      </c>
      <c r="G243" s="629">
        <f t="shared" si="202"/>
        <v>3.0419714175053745</v>
      </c>
      <c r="H243" s="629">
        <f t="shared" si="202"/>
        <v>0</v>
      </c>
      <c r="I243" s="629">
        <f t="shared" si="202"/>
        <v>1.7585867425071102</v>
      </c>
      <c r="J243" s="629">
        <f t="shared" si="202"/>
        <v>3.4811238034337091</v>
      </c>
      <c r="K243" s="629">
        <f t="shared" si="202"/>
        <v>2.790050054043812</v>
      </c>
      <c r="L243" s="629">
        <f t="shared" si="202"/>
        <v>4.1005273326413114</v>
      </c>
      <c r="M243" s="629">
        <f t="shared" si="202"/>
        <v>1.3202539430516294</v>
      </c>
      <c r="N243" s="629">
        <f t="shared" si="202"/>
        <v>4.291426574686291</v>
      </c>
      <c r="O243" s="629">
        <f t="shared" si="202"/>
        <v>4.3193778485017624</v>
      </c>
      <c r="P243" s="629">
        <f t="shared" si="202"/>
        <v>2.4751773049645394</v>
      </c>
      <c r="Q243" s="629">
        <f t="shared" si="202"/>
        <v>6.1158868799634423</v>
      </c>
      <c r="R243" s="629">
        <f t="shared" si="202"/>
        <v>2.403987696684927</v>
      </c>
      <c r="S243" s="629">
        <f t="shared" si="202"/>
        <v>2.1465856114092969</v>
      </c>
      <c r="T243" s="629">
        <f t="shared" si="202"/>
        <v>13.412698412698413</v>
      </c>
      <c r="U243" s="629">
        <f t="shared" si="202"/>
        <v>2.0030949105914715</v>
      </c>
      <c r="V243" s="629">
        <f t="shared" si="202"/>
        <v>4.7101449275362315</v>
      </c>
      <c r="W243" s="629">
        <f t="shared" si="202"/>
        <v>0</v>
      </c>
      <c r="X243" s="629">
        <f t="shared" si="202"/>
        <v>3.208182402068958</v>
      </c>
      <c r="Y243" s="629">
        <f t="shared" si="202"/>
        <v>6.0828030042426322</v>
      </c>
      <c r="Z243" s="629">
        <f t="shared" si="202"/>
        <v>2.247780353839572</v>
      </c>
      <c r="AA243" s="629">
        <f t="shared" si="202"/>
        <v>2.7646811594202902</v>
      </c>
      <c r="AB243" s="629">
        <f t="shared" si="202"/>
        <v>4.0000511090667477</v>
      </c>
      <c r="AC243" s="629">
        <f t="shared" si="202"/>
        <v>7.5211930534227243</v>
      </c>
      <c r="AD243" s="629">
        <f t="shared" si="202"/>
        <v>0.29892473118279572</v>
      </c>
      <c r="AE243" s="629">
        <f t="shared" si="202"/>
        <v>1.2287391748752095</v>
      </c>
      <c r="AF243" s="629">
        <f t="shared" si="202"/>
        <v>3.4553853922908568</v>
      </c>
      <c r="AG243" s="629">
        <f t="shared" si="202"/>
        <v>0</v>
      </c>
      <c r="AH243" s="629">
        <f t="shared" si="202"/>
        <v>0</v>
      </c>
      <c r="AI243" s="509"/>
      <c r="AJ243" s="165"/>
      <c r="AK243" s="165"/>
      <c r="AL243" s="165"/>
      <c r="AM243" s="165"/>
      <c r="AN243" s="165"/>
      <c r="AO243" s="165"/>
      <c r="AP243" s="165"/>
      <c r="AQ243" s="165"/>
      <c r="AR243" s="165"/>
      <c r="AS243" s="165"/>
      <c r="AT243" s="165"/>
      <c r="AU243" s="165"/>
      <c r="AV243" s="165"/>
      <c r="AW243" s="165"/>
      <c r="AX243" s="165"/>
      <c r="AY243" s="165"/>
    </row>
    <row r="244" spans="1:51" s="164" customFormat="1">
      <c r="A244" s="593"/>
      <c r="B244" s="593"/>
      <c r="C244" s="631" t="s">
        <v>320</v>
      </c>
      <c r="D244" s="646">
        <f t="shared" ref="D244" si="203">SUM(E244:AI244)</f>
        <v>4.2795836173042527</v>
      </c>
      <c r="E244" s="629">
        <f t="shared" ref="E244:AH244" si="204">IF(E$178&gt;0,(E186+E184)/E$178*E$120,0)</f>
        <v>0.32120496468781928</v>
      </c>
      <c r="F244" s="629">
        <f t="shared" si="204"/>
        <v>6.1800868942651507E-2</v>
      </c>
      <c r="G244" s="629">
        <f t="shared" si="204"/>
        <v>0</v>
      </c>
      <c r="H244" s="629">
        <f t="shared" si="204"/>
        <v>0</v>
      </c>
      <c r="I244" s="629">
        <f t="shared" si="204"/>
        <v>6.4821018607495409E-2</v>
      </c>
      <c r="J244" s="629">
        <f t="shared" si="204"/>
        <v>0.91298113657289826</v>
      </c>
      <c r="K244" s="629">
        <f t="shared" si="204"/>
        <v>2.4243383658826573E-3</v>
      </c>
      <c r="L244" s="629">
        <f t="shared" si="204"/>
        <v>3.3631724772686992E-3</v>
      </c>
      <c r="M244" s="629">
        <f t="shared" si="204"/>
        <v>0.31784180179929211</v>
      </c>
      <c r="N244" s="629">
        <f t="shared" si="204"/>
        <v>1.2517044134271629</v>
      </c>
      <c r="O244" s="629">
        <f t="shared" si="204"/>
        <v>0.13132860909947935</v>
      </c>
      <c r="P244" s="629">
        <f t="shared" si="204"/>
        <v>0</v>
      </c>
      <c r="Q244" s="629">
        <f t="shared" si="204"/>
        <v>2.3277924993592917E-3</v>
      </c>
      <c r="R244" s="629">
        <f t="shared" si="204"/>
        <v>2.9255408233970753E-3</v>
      </c>
      <c r="S244" s="629">
        <f t="shared" si="204"/>
        <v>8.3485754561105508E-3</v>
      </c>
      <c r="T244" s="629">
        <f t="shared" si="204"/>
        <v>3.0765152903660547E-3</v>
      </c>
      <c r="U244" s="629">
        <f t="shared" si="204"/>
        <v>0</v>
      </c>
      <c r="V244" s="629">
        <f t="shared" si="204"/>
        <v>2.0292682926829265E-4</v>
      </c>
      <c r="W244" s="629">
        <f t="shared" si="204"/>
        <v>0</v>
      </c>
      <c r="X244" s="629">
        <f t="shared" si="204"/>
        <v>0</v>
      </c>
      <c r="Y244" s="629">
        <f t="shared" si="204"/>
        <v>0.14295667326198397</v>
      </c>
      <c r="Z244" s="629">
        <f t="shared" si="204"/>
        <v>0.13074596920468837</v>
      </c>
      <c r="AA244" s="629">
        <f t="shared" si="204"/>
        <v>3.7926257194291664E-4</v>
      </c>
      <c r="AB244" s="629">
        <f t="shared" si="204"/>
        <v>0.88256611856339251</v>
      </c>
      <c r="AC244" s="629">
        <f t="shared" si="204"/>
        <v>2.8415972359306936E-2</v>
      </c>
      <c r="AD244" s="629">
        <f t="shared" si="204"/>
        <v>7.063132530120482E-3</v>
      </c>
      <c r="AE244" s="629">
        <f t="shared" si="204"/>
        <v>0</v>
      </c>
      <c r="AF244" s="629">
        <f t="shared" si="204"/>
        <v>3.1048139343671298E-3</v>
      </c>
      <c r="AG244" s="629">
        <f t="shared" si="204"/>
        <v>0</v>
      </c>
      <c r="AH244" s="629">
        <f t="shared" si="204"/>
        <v>0</v>
      </c>
      <c r="AI244" s="509"/>
      <c r="AJ244" s="165"/>
      <c r="AK244" s="165"/>
      <c r="AL244" s="165"/>
      <c r="AM244" s="165"/>
      <c r="AN244" s="165"/>
      <c r="AO244" s="165"/>
      <c r="AP244" s="165"/>
      <c r="AQ244" s="165"/>
      <c r="AR244" s="165"/>
      <c r="AS244" s="165"/>
      <c r="AT244" s="165"/>
      <c r="AU244" s="165"/>
      <c r="AV244" s="165"/>
      <c r="AW244" s="165"/>
      <c r="AX244" s="165"/>
      <c r="AY244" s="165"/>
    </row>
    <row r="245" spans="1:51" s="164" customFormat="1">
      <c r="A245" s="593"/>
      <c r="B245" s="593"/>
      <c r="C245" s="631" t="s">
        <v>420</v>
      </c>
      <c r="D245" s="609"/>
      <c r="E245" s="629">
        <f t="shared" ref="E245:AH245" si="205">E$107/(1+E243)</f>
        <v>0.14908495726683887</v>
      </c>
      <c r="F245" s="629">
        <f t="shared" si="205"/>
        <v>0.18255182769194236</v>
      </c>
      <c r="G245" s="629">
        <f t="shared" si="205"/>
        <v>0.16074234553677902</v>
      </c>
      <c r="H245" s="629">
        <f t="shared" si="205"/>
        <v>0</v>
      </c>
      <c r="I245" s="629">
        <f t="shared" si="205"/>
        <v>0.23825719371493057</v>
      </c>
      <c r="J245" s="629">
        <f t="shared" si="205"/>
        <v>0.17931747403717105</v>
      </c>
      <c r="K245" s="629">
        <f t="shared" si="205"/>
        <v>0.22147653718044794</v>
      </c>
      <c r="L245" s="629">
        <f t="shared" si="205"/>
        <v>0.1368989860486392</v>
      </c>
      <c r="M245" s="629">
        <f t="shared" si="205"/>
        <v>0.34468414699279876</v>
      </c>
      <c r="N245" s="629">
        <f t="shared" si="205"/>
        <v>0.15147279248545273</v>
      </c>
      <c r="O245" s="629">
        <f t="shared" si="205"/>
        <v>0.15115141856919867</v>
      </c>
      <c r="P245" s="629">
        <f t="shared" si="205"/>
        <v>0.20619840977533202</v>
      </c>
      <c r="Q245" s="629">
        <f t="shared" si="205"/>
        <v>0.1078999565059939</v>
      </c>
      <c r="R245" s="629">
        <f t="shared" si="205"/>
        <v>0.22348126963347045</v>
      </c>
      <c r="S245" s="629">
        <f t="shared" si="205"/>
        <v>0.23161772077635151</v>
      </c>
      <c r="T245" s="629">
        <f t="shared" si="205"/>
        <v>5.4782608695652171E-2</v>
      </c>
      <c r="U245" s="629">
        <f t="shared" si="205"/>
        <v>0.2976627807790731</v>
      </c>
      <c r="V245" s="629">
        <f t="shared" si="205"/>
        <v>0.15085020242914979</v>
      </c>
      <c r="W245" s="629">
        <f t="shared" si="205"/>
        <v>0</v>
      </c>
      <c r="X245" s="629">
        <f t="shared" si="205"/>
        <v>0.19762031010990475</v>
      </c>
      <c r="Y245" s="629">
        <f t="shared" si="205"/>
        <v>0.11029467560389529</v>
      </c>
      <c r="Z245" s="629">
        <f t="shared" si="205"/>
        <v>0.28058760738791144</v>
      </c>
      <c r="AA245" s="629">
        <f t="shared" si="205"/>
        <v>0.24468085106382984</v>
      </c>
      <c r="AB245" s="629">
        <f t="shared" si="205"/>
        <v>0.15639193901305865</v>
      </c>
      <c r="AC245" s="629">
        <f t="shared" si="205"/>
        <v>0.10522976216858211</v>
      </c>
      <c r="AD245" s="629">
        <f t="shared" si="205"/>
        <v>0.25960330629778389</v>
      </c>
      <c r="AE245" s="629">
        <f t="shared" si="205"/>
        <v>0.33254158981555149</v>
      </c>
      <c r="AF245" s="629">
        <f t="shared" si="205"/>
        <v>0.13667590655054926</v>
      </c>
      <c r="AG245" s="629">
        <f t="shared" si="205"/>
        <v>0</v>
      </c>
      <c r="AH245" s="629">
        <f t="shared" si="205"/>
        <v>0</v>
      </c>
      <c r="AI245" s="509"/>
      <c r="AJ245" s="165"/>
      <c r="AK245" s="165"/>
      <c r="AL245" s="165"/>
      <c r="AM245" s="165"/>
      <c r="AN245" s="165"/>
      <c r="AO245" s="165"/>
      <c r="AP245" s="165"/>
      <c r="AQ245" s="165"/>
      <c r="AR245" s="165"/>
      <c r="AS245" s="165"/>
      <c r="AT245" s="165"/>
      <c r="AU245" s="165"/>
      <c r="AV245" s="165"/>
      <c r="AW245" s="165"/>
      <c r="AX245" s="165"/>
      <c r="AY245" s="165"/>
    </row>
    <row r="246" spans="1:51" s="164" customFormat="1">
      <c r="A246" s="593"/>
      <c r="B246" s="593"/>
      <c r="C246" s="631" t="s">
        <v>319</v>
      </c>
      <c r="D246" s="609"/>
      <c r="E246" s="629">
        <f>E248*E245</f>
        <v>5.5283924795399235</v>
      </c>
      <c r="F246" s="629">
        <f t="shared" ref="F246:AH246" si="206">F248*F245</f>
        <v>0.63964648062325902</v>
      </c>
      <c r="G246" s="629">
        <f t="shared" si="206"/>
        <v>0</v>
      </c>
      <c r="H246" s="629">
        <f t="shared" si="206"/>
        <v>0</v>
      </c>
      <c r="I246" s="629">
        <f t="shared" si="206"/>
        <v>4.3290460914851332</v>
      </c>
      <c r="J246" s="629">
        <f t="shared" si="206"/>
        <v>9.7773952212535491</v>
      </c>
      <c r="K246" s="629">
        <f t="shared" si="206"/>
        <v>4.3320031015766348E-2</v>
      </c>
      <c r="L246" s="629">
        <f t="shared" si="206"/>
        <v>5.1940959409594097E-2</v>
      </c>
      <c r="M246" s="629">
        <f t="shared" si="206"/>
        <v>9.0193968096585095</v>
      </c>
      <c r="N246" s="629">
        <f t="shared" si="206"/>
        <v>20.911330485831485</v>
      </c>
      <c r="O246" s="629">
        <f t="shared" si="206"/>
        <v>8.3639675300449028</v>
      </c>
      <c r="P246" s="629">
        <f t="shared" si="206"/>
        <v>1.0309920488766602</v>
      </c>
      <c r="Q246" s="629">
        <f t="shared" si="206"/>
        <v>2.5428023032629556E-2</v>
      </c>
      <c r="R246" s="629">
        <f t="shared" si="206"/>
        <v>5.2044094488188961E-2</v>
      </c>
      <c r="S246" s="629">
        <f t="shared" si="206"/>
        <v>0.18812880862421572</v>
      </c>
      <c r="T246" s="629">
        <f t="shared" si="206"/>
        <v>8.7302274394717536E-2</v>
      </c>
      <c r="U246" s="629">
        <f t="shared" si="206"/>
        <v>0</v>
      </c>
      <c r="V246" s="629">
        <f t="shared" si="206"/>
        <v>2.8857509627727854E-3</v>
      </c>
      <c r="W246" s="629">
        <f t="shared" si="206"/>
        <v>0</v>
      </c>
      <c r="X246" s="629">
        <f t="shared" si="206"/>
        <v>0</v>
      </c>
      <c r="Y246" s="629">
        <f t="shared" si="206"/>
        <v>2.0364884881733971</v>
      </c>
      <c r="Z246" s="629">
        <f t="shared" si="206"/>
        <v>3.710178368121444</v>
      </c>
      <c r="AA246" s="629">
        <f t="shared" si="206"/>
        <v>1.0762334004024146E-2</v>
      </c>
      <c r="AB246" s="629">
        <f t="shared" si="206"/>
        <v>15.791815988749462</v>
      </c>
      <c r="AC246" s="629">
        <f t="shared" si="206"/>
        <v>0.47241464490516105</v>
      </c>
      <c r="AD246" s="629">
        <f t="shared" si="206"/>
        <v>0.12411492122335496</v>
      </c>
      <c r="AE246" s="629">
        <f t="shared" si="206"/>
        <v>0</v>
      </c>
      <c r="AF246" s="629">
        <f t="shared" si="206"/>
        <v>8.8105305015536053E-2</v>
      </c>
      <c r="AG246" s="629">
        <f t="shared" si="206"/>
        <v>0</v>
      </c>
      <c r="AH246" s="629">
        <f t="shared" si="206"/>
        <v>0</v>
      </c>
      <c r="AI246" s="509"/>
      <c r="AJ246" s="165"/>
      <c r="AK246" s="165"/>
      <c r="AL246" s="165"/>
      <c r="AM246" s="165"/>
      <c r="AN246" s="165"/>
      <c r="AO246" s="165"/>
      <c r="AP246" s="165"/>
      <c r="AQ246" s="165"/>
      <c r="AR246" s="165"/>
      <c r="AS246" s="165"/>
      <c r="AT246" s="165"/>
      <c r="AU246" s="165"/>
      <c r="AV246" s="165"/>
      <c r="AW246" s="165"/>
      <c r="AX246" s="165"/>
      <c r="AY246" s="165"/>
    </row>
    <row r="247" spans="1:51" s="164" customFormat="1">
      <c r="A247" s="593"/>
      <c r="B247" s="593"/>
      <c r="C247" s="631" t="s">
        <v>318</v>
      </c>
      <c r="D247" s="646">
        <f t="shared" ref="D247:D248" si="207">SUM(E247:AI247)</f>
        <v>291.68973260452344</v>
      </c>
      <c r="E247" s="629">
        <f>E246*E243</f>
        <v>17.627501670195429</v>
      </c>
      <c r="F247" s="629">
        <f t="shared" ref="F247:AH247" si="208">F246*F243</f>
        <v>2.0639718730331791</v>
      </c>
      <c r="G247" s="629">
        <f t="shared" si="208"/>
        <v>0</v>
      </c>
      <c r="H247" s="629">
        <f t="shared" si="208"/>
        <v>0</v>
      </c>
      <c r="I247" s="629">
        <f t="shared" si="208"/>
        <v>7.6130030641879776</v>
      </c>
      <c r="J247" s="629">
        <f t="shared" si="208"/>
        <v>34.036323240284723</v>
      </c>
      <c r="K247" s="629">
        <f t="shared" si="208"/>
        <v>0.12086505487671852</v>
      </c>
      <c r="L247" s="629">
        <f t="shared" si="208"/>
        <v>0.2129853237426535</v>
      </c>
      <c r="M247" s="629">
        <f t="shared" si="208"/>
        <v>11.907894201898934</v>
      </c>
      <c r="N247" s="629">
        <f t="shared" si="208"/>
        <v>89.739439358944821</v>
      </c>
      <c r="O247" s="629">
        <f t="shared" si="208"/>
        <v>36.127136074863955</v>
      </c>
      <c r="P247" s="629">
        <f t="shared" si="208"/>
        <v>2.5518881209784006</v>
      </c>
      <c r="Q247" s="629">
        <f t="shared" si="208"/>
        <v>0.15551491244866733</v>
      </c>
      <c r="R247" s="629">
        <f t="shared" si="208"/>
        <v>0.12511336283471408</v>
      </c>
      <c r="S247" s="629">
        <f t="shared" si="208"/>
        <v>0.40383459368431468</v>
      </c>
      <c r="T247" s="629">
        <f t="shared" si="208"/>
        <v>1.1709590771989893</v>
      </c>
      <c r="U247" s="629">
        <f t="shared" si="208"/>
        <v>0</v>
      </c>
      <c r="V247" s="629">
        <f t="shared" si="208"/>
        <v>1.3592305259437032E-2</v>
      </c>
      <c r="W247" s="629">
        <f t="shared" si="208"/>
        <v>0</v>
      </c>
      <c r="X247" s="629">
        <f t="shared" si="208"/>
        <v>0</v>
      </c>
      <c r="Y247" s="629">
        <f t="shared" si="208"/>
        <v>12.387558293966675</v>
      </c>
      <c r="Z247" s="629">
        <f t="shared" si="208"/>
        <v>8.3396660451039448</v>
      </c>
      <c r="AA247" s="629">
        <f t="shared" si="208"/>
        <v>2.9754422052313888E-2</v>
      </c>
      <c r="AB247" s="629">
        <f t="shared" si="208"/>
        <v>63.168071059975283</v>
      </c>
      <c r="AC247" s="629">
        <f t="shared" si="208"/>
        <v>3.5531217455958601</v>
      </c>
      <c r="AD247" s="629">
        <f t="shared" si="208"/>
        <v>3.7101019462465253E-2</v>
      </c>
      <c r="AE247" s="629">
        <f t="shared" si="208"/>
        <v>0</v>
      </c>
      <c r="AF247" s="629">
        <f t="shared" si="208"/>
        <v>0.30443778393401366</v>
      </c>
      <c r="AG247" s="629">
        <f t="shared" si="208"/>
        <v>0</v>
      </c>
      <c r="AH247" s="629">
        <f t="shared" si="208"/>
        <v>0</v>
      </c>
      <c r="AI247" s="509"/>
      <c r="AJ247" s="165"/>
      <c r="AK247" s="165"/>
      <c r="AL247" s="165"/>
      <c r="AM247" s="165"/>
      <c r="AN247" s="165"/>
      <c r="AO247" s="165"/>
      <c r="AP247" s="165"/>
      <c r="AQ247" s="165"/>
      <c r="AR247" s="165"/>
      <c r="AS247" s="165"/>
      <c r="AT247" s="165"/>
      <c r="AU247" s="165"/>
      <c r="AV247" s="165"/>
      <c r="AW247" s="165"/>
      <c r="AX247" s="165"/>
      <c r="AY247" s="165"/>
    </row>
    <row r="248" spans="1:51" s="164" customFormat="1">
      <c r="A248" s="593"/>
      <c r="B248" s="593"/>
      <c r="C248" s="631" t="s">
        <v>321</v>
      </c>
      <c r="D248" s="646">
        <f t="shared" si="207"/>
        <v>479.62431793436178</v>
      </c>
      <c r="E248" s="629">
        <f>IF(E$178&gt;0,(E184+E186)/E$178*E$146,0)</f>
        <v>37.082161613696286</v>
      </c>
      <c r="F248" s="629">
        <f>IF(F$178&gt;0,(F184+F186)/F$178*F$146,0)</f>
        <v>3.5039171544349994</v>
      </c>
      <c r="G248" s="629">
        <f>IF(G$178&gt;0,(G184+G186)/G$178*G$146,0)</f>
        <v>0</v>
      </c>
      <c r="H248" s="629">
        <f>IF(H$178&gt;0,(H184+H186)/H$178*H$146,0)</f>
        <v>0</v>
      </c>
      <c r="I248" s="665">
        <f>IF(I$178&gt;0,(I184+I186)/I$178*I$146,0)+11.5</f>
        <v>18.169634351795231</v>
      </c>
      <c r="J248" s="629">
        <f>IF(J$178&gt;0,(J184+J186)/J$178*J$146,0)</f>
        <v>54.525613154838297</v>
      </c>
      <c r="K248" s="629">
        <f>IF(K$178&gt;0,(K184+K186)/K$178*K$146,0)</f>
        <v>0.19559647973216851</v>
      </c>
      <c r="L248" s="629">
        <f>IF(L$178&gt;0,(L184+L186)/L$178*L$146,0)</f>
        <v>0.37941084085998894</v>
      </c>
      <c r="M248" s="629">
        <f>IF(M$178&gt;0,(M184+M186)/M$178*M$146,0)</f>
        <v>26.167135588765404</v>
      </c>
      <c r="N248" s="629">
        <f>IF(N$178&gt;0,(N184+N186)/N$178*N$146,0)</f>
        <v>138.05337673324919</v>
      </c>
      <c r="O248" s="665">
        <f>IF(O$178&gt;0,(O184+O186)/O$178*O$146,0)+15+8+20</f>
        <v>55.335025031311844</v>
      </c>
      <c r="P248" s="665">
        <f>IF(P$178&gt;0,(P184+P186)/P$178*P$146,0)+5</f>
        <v>5</v>
      </c>
      <c r="Q248" s="629">
        <f t="shared" ref="Q248:AH248" si="209">IF(Q$178&gt;0,(Q184+Q186)/Q$178*Q$146,0)</f>
        <v>0.23566295905983073</v>
      </c>
      <c r="R248" s="629">
        <f t="shared" si="209"/>
        <v>0.23287899954007776</v>
      </c>
      <c r="S248" s="629">
        <f t="shared" si="209"/>
        <v>0.8122384072929878</v>
      </c>
      <c r="T248" s="629">
        <f t="shared" si="209"/>
        <v>1.5936129453003995</v>
      </c>
      <c r="U248" s="629">
        <f t="shared" si="209"/>
        <v>0</v>
      </c>
      <c r="V248" s="629">
        <f t="shared" si="209"/>
        <v>1.9129911105874343E-2</v>
      </c>
      <c r="W248" s="629">
        <f t="shared" si="209"/>
        <v>0</v>
      </c>
      <c r="X248" s="629">
        <f t="shared" si="209"/>
        <v>0</v>
      </c>
      <c r="Y248" s="629">
        <f t="shared" si="209"/>
        <v>18.464068886580723</v>
      </c>
      <c r="Z248" s="629">
        <f t="shared" si="209"/>
        <v>13.222887506190302</v>
      </c>
      <c r="AA248" s="629">
        <f t="shared" si="209"/>
        <v>4.3985191146881285E-2</v>
      </c>
      <c r="AB248" s="629">
        <f t="shared" si="209"/>
        <v>100.97589484730958</v>
      </c>
      <c r="AC248" s="629">
        <f t="shared" si="209"/>
        <v>4.4893634193369616</v>
      </c>
      <c r="AD248" s="629">
        <f t="shared" si="209"/>
        <v>0.47809453197405011</v>
      </c>
      <c r="AE248" s="629">
        <f t="shared" si="209"/>
        <v>0</v>
      </c>
      <c r="AF248" s="629">
        <f t="shared" si="209"/>
        <v>0.64462938084080323</v>
      </c>
      <c r="AG248" s="629">
        <f t="shared" si="209"/>
        <v>0</v>
      </c>
      <c r="AH248" s="629">
        <f t="shared" si="209"/>
        <v>0</v>
      </c>
      <c r="AI248" s="509"/>
      <c r="AJ248" s="165"/>
      <c r="AK248" s="165"/>
      <c r="AL248" s="165"/>
      <c r="AM248" s="165"/>
      <c r="AN248" s="165"/>
      <c r="AO248" s="165"/>
      <c r="AP248" s="165"/>
      <c r="AQ248" s="165"/>
      <c r="AR248" s="165"/>
      <c r="AS248" s="165"/>
      <c r="AT248" s="165"/>
      <c r="AU248" s="165"/>
      <c r="AV248" s="165"/>
      <c r="AW248" s="165"/>
      <c r="AX248" s="165"/>
      <c r="AY248" s="165"/>
    </row>
    <row r="249" spans="1:51" s="164" customFormat="1">
      <c r="A249" s="593"/>
      <c r="B249" s="593"/>
      <c r="C249" s="638"/>
      <c r="D249" s="609"/>
      <c r="E249" s="629"/>
      <c r="F249" s="629"/>
      <c r="G249" s="629"/>
      <c r="H249" s="629"/>
      <c r="I249" s="629"/>
      <c r="J249" s="629"/>
      <c r="K249" s="629"/>
      <c r="L249" s="629"/>
      <c r="M249" s="629"/>
      <c r="N249" s="629"/>
      <c r="O249" s="629"/>
      <c r="P249" s="629"/>
      <c r="Q249" s="629"/>
      <c r="R249" s="629"/>
      <c r="S249" s="629"/>
      <c r="T249" s="629"/>
      <c r="U249" s="629"/>
      <c r="V249" s="629"/>
      <c r="W249" s="629"/>
      <c r="X249" s="629"/>
      <c r="Y249" s="629"/>
      <c r="Z249" s="629"/>
      <c r="AA249" s="629"/>
      <c r="AB249" s="629"/>
      <c r="AC249" s="629"/>
      <c r="AD249" s="629"/>
      <c r="AE249" s="629"/>
      <c r="AF249" s="629"/>
      <c r="AG249" s="629"/>
      <c r="AH249" s="629"/>
      <c r="AI249" s="509"/>
      <c r="AJ249" s="165"/>
      <c r="AK249" s="165"/>
      <c r="AL249" s="165"/>
      <c r="AM249" s="165"/>
      <c r="AN249" s="165"/>
      <c r="AO249" s="165"/>
      <c r="AP249" s="165"/>
      <c r="AQ249" s="165"/>
      <c r="AR249" s="165"/>
      <c r="AS249" s="165"/>
      <c r="AT249" s="165"/>
      <c r="AU249" s="165"/>
      <c r="AV249" s="165"/>
      <c r="AW249" s="165"/>
      <c r="AX249" s="165"/>
      <c r="AY249" s="165"/>
    </row>
    <row r="250" spans="1:51" s="164" customFormat="1">
      <c r="A250" s="593"/>
      <c r="B250" s="593"/>
      <c r="C250" s="638" t="s">
        <v>326</v>
      </c>
      <c r="D250" s="609"/>
      <c r="E250" s="629"/>
      <c r="F250" s="629"/>
      <c r="G250" s="629"/>
      <c r="H250" s="629"/>
      <c r="I250" s="629"/>
      <c r="J250" s="629"/>
      <c r="K250" s="629"/>
      <c r="L250" s="629"/>
      <c r="M250" s="629"/>
      <c r="N250" s="629"/>
      <c r="O250" s="629"/>
      <c r="P250" s="629"/>
      <c r="Q250" s="629"/>
      <c r="R250" s="629"/>
      <c r="S250" s="629"/>
      <c r="T250" s="629"/>
      <c r="U250" s="629"/>
      <c r="V250" s="629"/>
      <c r="W250" s="629"/>
      <c r="X250" s="629"/>
      <c r="Y250" s="629"/>
      <c r="Z250" s="629"/>
      <c r="AA250" s="629"/>
      <c r="AB250" s="629"/>
      <c r="AC250" s="629"/>
      <c r="AD250" s="629"/>
      <c r="AE250" s="629"/>
      <c r="AF250" s="629"/>
      <c r="AG250" s="629"/>
      <c r="AH250" s="629"/>
      <c r="AI250" s="509"/>
      <c r="AJ250" s="165"/>
      <c r="AK250" s="165"/>
      <c r="AL250" s="165"/>
      <c r="AM250" s="165"/>
      <c r="AN250" s="165"/>
      <c r="AO250" s="165"/>
      <c r="AP250" s="165"/>
      <c r="AQ250" s="165"/>
      <c r="AR250" s="165"/>
      <c r="AS250" s="165"/>
      <c r="AT250" s="165"/>
      <c r="AU250" s="165"/>
      <c r="AV250" s="165"/>
      <c r="AW250" s="165"/>
      <c r="AX250" s="165"/>
      <c r="AY250" s="165"/>
    </row>
    <row r="251" spans="1:51" s="164" customFormat="1">
      <c r="A251" s="593"/>
      <c r="B251" s="593"/>
      <c r="C251" s="631" t="s">
        <v>149</v>
      </c>
      <c r="D251" s="609"/>
      <c r="E251" s="629">
        <f>E242</f>
        <v>0.54587429930234022</v>
      </c>
      <c r="F251" s="629">
        <f t="shared" ref="F251:AH251" si="210">F242</f>
        <v>0.32826302520463785</v>
      </c>
      <c r="G251" s="629">
        <f t="shared" si="210"/>
        <v>0.70115343743877068</v>
      </c>
      <c r="H251" s="629">
        <f t="shared" si="210"/>
        <v>0</v>
      </c>
      <c r="I251" s="629">
        <f t="shared" si="210"/>
        <v>0.77751401381713625</v>
      </c>
      <c r="J251" s="629">
        <f t="shared" si="210"/>
        <v>0.33965451757672693</v>
      </c>
      <c r="K251" s="629">
        <f t="shared" si="210"/>
        <v>0.56672393337976723</v>
      </c>
      <c r="L251" s="629">
        <f t="shared" si="210"/>
        <v>0.48982038604577172</v>
      </c>
      <c r="M251" s="629">
        <f t="shared" si="210"/>
        <v>0.89999999999999991</v>
      </c>
      <c r="N251" s="629">
        <f t="shared" si="210"/>
        <v>0.5298536268850097</v>
      </c>
      <c r="O251" s="629">
        <f t="shared" si="210"/>
        <v>0.45026578529306632</v>
      </c>
      <c r="P251" s="629">
        <f t="shared" si="210"/>
        <v>0.49780596610463002</v>
      </c>
      <c r="Q251" s="629">
        <f t="shared" si="210"/>
        <v>0.34645302760666807</v>
      </c>
      <c r="R251" s="629">
        <f t="shared" si="210"/>
        <v>0.56421070667718776</v>
      </c>
      <c r="S251" s="629">
        <f t="shared" si="210"/>
        <v>0.71469206074653024</v>
      </c>
      <c r="T251" s="629">
        <f t="shared" si="210"/>
        <v>0.9</v>
      </c>
      <c r="U251" s="629">
        <f t="shared" si="210"/>
        <v>0.41931981751201536</v>
      </c>
      <c r="V251" s="629">
        <f t="shared" si="210"/>
        <v>0.45101959318995727</v>
      </c>
      <c r="W251" s="629">
        <f t="shared" si="210"/>
        <v>0</v>
      </c>
      <c r="X251" s="629">
        <f t="shared" si="210"/>
        <v>0.87876645230225914</v>
      </c>
      <c r="Y251" s="629">
        <f t="shared" si="210"/>
        <v>0.45180762443518252</v>
      </c>
      <c r="Z251" s="629">
        <f t="shared" si="210"/>
        <v>0.9</v>
      </c>
      <c r="AA251" s="629">
        <f t="shared" si="210"/>
        <v>0.8999999999999998</v>
      </c>
      <c r="AB251" s="629">
        <f t="shared" si="210"/>
        <v>0.56749344973014737</v>
      </c>
      <c r="AC251" s="629">
        <f t="shared" si="210"/>
        <v>0.52727461096192085</v>
      </c>
      <c r="AD251" s="629">
        <f t="shared" si="210"/>
        <v>0.55731748671307157</v>
      </c>
      <c r="AE251" s="629">
        <f t="shared" si="210"/>
        <v>0.82690862310043178</v>
      </c>
      <c r="AF251" s="629">
        <f t="shared" si="210"/>
        <v>0.9</v>
      </c>
      <c r="AG251" s="629">
        <f t="shared" si="210"/>
        <v>0</v>
      </c>
      <c r="AH251" s="629">
        <f t="shared" si="210"/>
        <v>0</v>
      </c>
      <c r="AI251" s="509"/>
      <c r="AJ251" s="165"/>
      <c r="AK251" s="165"/>
      <c r="AL251" s="165"/>
      <c r="AM251" s="165"/>
      <c r="AN251" s="165"/>
      <c r="AO251" s="165"/>
      <c r="AP251" s="165"/>
      <c r="AQ251" s="165"/>
      <c r="AR251" s="165"/>
      <c r="AS251" s="165"/>
      <c r="AT251" s="165"/>
      <c r="AU251" s="165"/>
      <c r="AV251" s="165"/>
      <c r="AW251" s="165"/>
      <c r="AX251" s="165"/>
      <c r="AY251" s="165"/>
    </row>
    <row r="252" spans="1:51" s="164" customFormat="1">
      <c r="A252" s="593"/>
      <c r="B252" s="593"/>
      <c r="C252" s="631" t="s">
        <v>147</v>
      </c>
      <c r="D252" s="609"/>
      <c r="E252" s="629">
        <f>E243</f>
        <v>3.1885402014117492</v>
      </c>
      <c r="F252" s="629">
        <f t="shared" ref="F252:AH252" si="211">F243</f>
        <v>3.2267384181057097</v>
      </c>
      <c r="G252" s="629">
        <f t="shared" si="211"/>
        <v>3.0419714175053745</v>
      </c>
      <c r="H252" s="629">
        <f t="shared" si="211"/>
        <v>0</v>
      </c>
      <c r="I252" s="629">
        <f t="shared" si="211"/>
        <v>1.7585867425071102</v>
      </c>
      <c r="J252" s="629">
        <f t="shared" si="211"/>
        <v>3.4811238034337091</v>
      </c>
      <c r="K252" s="629">
        <f t="shared" si="211"/>
        <v>2.790050054043812</v>
      </c>
      <c r="L252" s="629">
        <f t="shared" si="211"/>
        <v>4.1005273326413114</v>
      </c>
      <c r="M252" s="629">
        <f t="shared" si="211"/>
        <v>1.3202539430516294</v>
      </c>
      <c r="N252" s="629">
        <f t="shared" si="211"/>
        <v>4.291426574686291</v>
      </c>
      <c r="O252" s="629">
        <f t="shared" si="211"/>
        <v>4.3193778485017624</v>
      </c>
      <c r="P252" s="629">
        <f t="shared" si="211"/>
        <v>2.4751773049645394</v>
      </c>
      <c r="Q252" s="629">
        <f t="shared" si="211"/>
        <v>6.1158868799634423</v>
      </c>
      <c r="R252" s="629">
        <f t="shared" si="211"/>
        <v>2.403987696684927</v>
      </c>
      <c r="S252" s="629">
        <f t="shared" si="211"/>
        <v>2.1465856114092969</v>
      </c>
      <c r="T252" s="629">
        <f t="shared" si="211"/>
        <v>13.412698412698413</v>
      </c>
      <c r="U252" s="629">
        <f t="shared" si="211"/>
        <v>2.0030949105914715</v>
      </c>
      <c r="V252" s="629">
        <f t="shared" si="211"/>
        <v>4.7101449275362315</v>
      </c>
      <c r="W252" s="629">
        <f t="shared" si="211"/>
        <v>0</v>
      </c>
      <c r="X252" s="629">
        <f t="shared" si="211"/>
        <v>3.208182402068958</v>
      </c>
      <c r="Y252" s="629">
        <f t="shared" si="211"/>
        <v>6.0828030042426322</v>
      </c>
      <c r="Z252" s="629">
        <f t="shared" si="211"/>
        <v>2.247780353839572</v>
      </c>
      <c r="AA252" s="629">
        <f t="shared" si="211"/>
        <v>2.7646811594202902</v>
      </c>
      <c r="AB252" s="629">
        <f t="shared" si="211"/>
        <v>4.0000511090667477</v>
      </c>
      <c r="AC252" s="629">
        <f t="shared" si="211"/>
        <v>7.5211930534227243</v>
      </c>
      <c r="AD252" s="629">
        <f t="shared" si="211"/>
        <v>0.29892473118279572</v>
      </c>
      <c r="AE252" s="629">
        <f t="shared" si="211"/>
        <v>1.2287391748752095</v>
      </c>
      <c r="AF252" s="629">
        <f t="shared" si="211"/>
        <v>3.4553853922908568</v>
      </c>
      <c r="AG252" s="629">
        <f t="shared" si="211"/>
        <v>0</v>
      </c>
      <c r="AH252" s="629">
        <f t="shared" si="211"/>
        <v>0</v>
      </c>
      <c r="AI252" s="509"/>
      <c r="AJ252" s="165"/>
      <c r="AK252" s="165"/>
      <c r="AL252" s="165"/>
      <c r="AM252" s="165"/>
      <c r="AN252" s="165"/>
      <c r="AO252" s="165"/>
      <c r="AP252" s="165"/>
      <c r="AQ252" s="165"/>
      <c r="AR252" s="165"/>
      <c r="AS252" s="165"/>
      <c r="AT252" s="165"/>
      <c r="AU252" s="165"/>
      <c r="AV252" s="165"/>
      <c r="AW252" s="165"/>
      <c r="AX252" s="165"/>
      <c r="AY252" s="165"/>
    </row>
    <row r="253" spans="1:51" s="164" customFormat="1">
      <c r="A253" s="593"/>
      <c r="B253" s="593"/>
      <c r="C253" s="631" t="s">
        <v>320</v>
      </c>
      <c r="D253" s="646">
        <f t="shared" ref="D253" si="212">SUM(E253:AI253)</f>
        <v>0.22698841073093814</v>
      </c>
      <c r="E253" s="629">
        <f t="shared" ref="E253:AH253" si="213">IF(E$178&gt;0,E185/E$178*E$120,0)</f>
        <v>1.3293440211668936E-2</v>
      </c>
      <c r="F253" s="629">
        <f t="shared" si="213"/>
        <v>1.3564275225675859E-2</v>
      </c>
      <c r="G253" s="629">
        <f t="shared" si="213"/>
        <v>0</v>
      </c>
      <c r="H253" s="629">
        <f t="shared" si="213"/>
        <v>0</v>
      </c>
      <c r="I253" s="629">
        <f t="shared" si="213"/>
        <v>3.5536588917037953E-3</v>
      </c>
      <c r="J253" s="629">
        <f t="shared" si="213"/>
        <v>0</v>
      </c>
      <c r="K253" s="629">
        <f t="shared" si="213"/>
        <v>3.5766473422589929E-3</v>
      </c>
      <c r="L253" s="629">
        <f t="shared" si="213"/>
        <v>0</v>
      </c>
      <c r="M253" s="629">
        <f t="shared" si="213"/>
        <v>0</v>
      </c>
      <c r="N253" s="629">
        <f t="shared" si="213"/>
        <v>1.4085952673766606E-2</v>
      </c>
      <c r="O253" s="629">
        <f t="shared" si="213"/>
        <v>0</v>
      </c>
      <c r="P253" s="629">
        <f t="shared" si="213"/>
        <v>0</v>
      </c>
      <c r="Q253" s="629">
        <f t="shared" si="213"/>
        <v>5.2590867578117331E-3</v>
      </c>
      <c r="R253" s="629">
        <f t="shared" si="213"/>
        <v>0</v>
      </c>
      <c r="S253" s="629">
        <f t="shared" si="213"/>
        <v>9.8186973551942867E-3</v>
      </c>
      <c r="T253" s="629">
        <f t="shared" si="213"/>
        <v>0</v>
      </c>
      <c r="U253" s="629">
        <f t="shared" si="213"/>
        <v>0</v>
      </c>
      <c r="V253" s="629">
        <f t="shared" si="213"/>
        <v>0</v>
      </c>
      <c r="W253" s="629">
        <f t="shared" si="213"/>
        <v>0</v>
      </c>
      <c r="X253" s="629">
        <f t="shared" si="213"/>
        <v>0</v>
      </c>
      <c r="Y253" s="629">
        <f t="shared" si="213"/>
        <v>4.1497594208112241E-2</v>
      </c>
      <c r="Z253" s="629">
        <f t="shared" si="213"/>
        <v>0</v>
      </c>
      <c r="AA253" s="629">
        <f t="shared" si="213"/>
        <v>0</v>
      </c>
      <c r="AB253" s="629">
        <f t="shared" si="213"/>
        <v>0</v>
      </c>
      <c r="AC253" s="629">
        <f t="shared" si="213"/>
        <v>3.1196532900432438E-3</v>
      </c>
      <c r="AD253" s="629">
        <f t="shared" si="213"/>
        <v>2.0811015490533567E-2</v>
      </c>
      <c r="AE253" s="629">
        <f t="shared" si="213"/>
        <v>4.2784950200523551E-2</v>
      </c>
      <c r="AF253" s="629">
        <f t="shared" si="213"/>
        <v>5.5623439083645303E-2</v>
      </c>
      <c r="AG253" s="629">
        <f t="shared" si="213"/>
        <v>0</v>
      </c>
      <c r="AH253" s="629">
        <f t="shared" si="213"/>
        <v>0</v>
      </c>
      <c r="AI253" s="509"/>
      <c r="AJ253" s="165"/>
      <c r="AK253" s="165"/>
      <c r="AL253" s="165"/>
      <c r="AM253" s="165"/>
      <c r="AN253" s="165"/>
      <c r="AO253" s="165"/>
      <c r="AP253" s="165"/>
      <c r="AQ253" s="165"/>
      <c r="AR253" s="165"/>
      <c r="AS253" s="165"/>
      <c r="AT253" s="165"/>
      <c r="AU253" s="165"/>
      <c r="AV253" s="165"/>
      <c r="AW253" s="165"/>
      <c r="AX253" s="165"/>
      <c r="AY253" s="165"/>
    </row>
    <row r="254" spans="1:51" s="164" customFormat="1">
      <c r="A254" s="593"/>
      <c r="B254" s="593"/>
      <c r="C254" s="631" t="s">
        <v>420</v>
      </c>
      <c r="D254" s="609"/>
      <c r="E254" s="629">
        <f t="shared" ref="E254:AH254" si="214">E$107/(1+E252)</f>
        <v>0.14908495726683887</v>
      </c>
      <c r="F254" s="629">
        <f t="shared" si="214"/>
        <v>0.18255182769194236</v>
      </c>
      <c r="G254" s="629">
        <f t="shared" si="214"/>
        <v>0.16074234553677902</v>
      </c>
      <c r="H254" s="629">
        <f t="shared" si="214"/>
        <v>0</v>
      </c>
      <c r="I254" s="629">
        <f t="shared" si="214"/>
        <v>0.23825719371493057</v>
      </c>
      <c r="J254" s="629">
        <f t="shared" si="214"/>
        <v>0.17931747403717105</v>
      </c>
      <c r="K254" s="629">
        <f t="shared" si="214"/>
        <v>0.22147653718044794</v>
      </c>
      <c r="L254" s="629">
        <f t="shared" si="214"/>
        <v>0.1368989860486392</v>
      </c>
      <c r="M254" s="629">
        <f t="shared" si="214"/>
        <v>0.34468414699279876</v>
      </c>
      <c r="N254" s="629">
        <f t="shared" si="214"/>
        <v>0.15147279248545273</v>
      </c>
      <c r="O254" s="629">
        <f t="shared" si="214"/>
        <v>0.15115141856919867</v>
      </c>
      <c r="P254" s="629">
        <f t="shared" si="214"/>
        <v>0.20619840977533202</v>
      </c>
      <c r="Q254" s="629">
        <f t="shared" si="214"/>
        <v>0.1078999565059939</v>
      </c>
      <c r="R254" s="629">
        <f t="shared" si="214"/>
        <v>0.22348126963347045</v>
      </c>
      <c r="S254" s="629">
        <f t="shared" si="214"/>
        <v>0.23161772077635151</v>
      </c>
      <c r="T254" s="629">
        <f t="shared" si="214"/>
        <v>5.4782608695652171E-2</v>
      </c>
      <c r="U254" s="629">
        <f t="shared" si="214"/>
        <v>0.2976627807790731</v>
      </c>
      <c r="V254" s="629">
        <f t="shared" si="214"/>
        <v>0.15085020242914979</v>
      </c>
      <c r="W254" s="629">
        <f t="shared" si="214"/>
        <v>0</v>
      </c>
      <c r="X254" s="629">
        <f t="shared" si="214"/>
        <v>0.19762031010990475</v>
      </c>
      <c r="Y254" s="629">
        <f t="shared" si="214"/>
        <v>0.11029467560389529</v>
      </c>
      <c r="Z254" s="629">
        <f t="shared" si="214"/>
        <v>0.28058760738791144</v>
      </c>
      <c r="AA254" s="629">
        <f t="shared" si="214"/>
        <v>0.24468085106382984</v>
      </c>
      <c r="AB254" s="629">
        <f t="shared" si="214"/>
        <v>0.15639193901305865</v>
      </c>
      <c r="AC254" s="629">
        <f t="shared" si="214"/>
        <v>0.10522976216858211</v>
      </c>
      <c r="AD254" s="629">
        <f t="shared" si="214"/>
        <v>0.25960330629778389</v>
      </c>
      <c r="AE254" s="629">
        <f t="shared" si="214"/>
        <v>0.33254158981555149</v>
      </c>
      <c r="AF254" s="629">
        <f t="shared" si="214"/>
        <v>0.13667590655054926</v>
      </c>
      <c r="AG254" s="629">
        <f t="shared" si="214"/>
        <v>0</v>
      </c>
      <c r="AH254" s="629">
        <f t="shared" si="214"/>
        <v>0</v>
      </c>
      <c r="AI254" s="509"/>
      <c r="AJ254" s="165"/>
      <c r="AK254" s="165"/>
      <c r="AL254" s="165"/>
      <c r="AM254" s="165"/>
      <c r="AN254" s="165"/>
      <c r="AO254" s="165"/>
      <c r="AP254" s="165"/>
      <c r="AQ254" s="165"/>
      <c r="AR254" s="165"/>
      <c r="AS254" s="165"/>
      <c r="AT254" s="165"/>
      <c r="AU254" s="165"/>
      <c r="AV254" s="165"/>
      <c r="AW254" s="165"/>
      <c r="AX254" s="165"/>
      <c r="AY254" s="165"/>
    </row>
    <row r="255" spans="1:51" s="164" customFormat="1">
      <c r="A255" s="593"/>
      <c r="B255" s="593"/>
      <c r="C255" s="631" t="s">
        <v>319</v>
      </c>
      <c r="D255" s="609"/>
      <c r="E255" s="629">
        <f>E257*E254</f>
        <v>0.22879893828798936</v>
      </c>
      <c r="F255" s="629">
        <f t="shared" ref="F255:AH255" si="215">F257*F254</f>
        <v>0.14039189187388432</v>
      </c>
      <c r="G255" s="629">
        <f t="shared" si="215"/>
        <v>0</v>
      </c>
      <c r="H255" s="629">
        <f t="shared" si="215"/>
        <v>0</v>
      </c>
      <c r="I255" s="629">
        <f t="shared" si="215"/>
        <v>8.711800762936435E-2</v>
      </c>
      <c r="J255" s="629">
        <f t="shared" si="215"/>
        <v>0</v>
      </c>
      <c r="K255" s="629">
        <f t="shared" si="215"/>
        <v>6.3910416128198699E-2</v>
      </c>
      <c r="L255" s="629">
        <f t="shared" si="215"/>
        <v>0</v>
      </c>
      <c r="M255" s="629">
        <f t="shared" si="215"/>
        <v>0</v>
      </c>
      <c r="N255" s="629">
        <f t="shared" si="215"/>
        <v>0.23532393783163363</v>
      </c>
      <c r="O255" s="629">
        <f t="shared" si="215"/>
        <v>0</v>
      </c>
      <c r="P255" s="629">
        <f t="shared" si="215"/>
        <v>0</v>
      </c>
      <c r="Q255" s="629">
        <f t="shared" si="215"/>
        <v>5.7448496481126037E-2</v>
      </c>
      <c r="R255" s="629">
        <f t="shared" si="215"/>
        <v>0</v>
      </c>
      <c r="S255" s="629">
        <f t="shared" si="215"/>
        <v>0.2212568893202537</v>
      </c>
      <c r="T255" s="629">
        <f t="shared" si="215"/>
        <v>0</v>
      </c>
      <c r="U255" s="629">
        <f t="shared" si="215"/>
        <v>0</v>
      </c>
      <c r="V255" s="629">
        <f t="shared" si="215"/>
        <v>0</v>
      </c>
      <c r="W255" s="629">
        <f t="shared" si="215"/>
        <v>0</v>
      </c>
      <c r="X255" s="629">
        <f t="shared" si="215"/>
        <v>0</v>
      </c>
      <c r="Y255" s="629">
        <f t="shared" si="215"/>
        <v>0.59115374584045333</v>
      </c>
      <c r="Z255" s="629">
        <f t="shared" si="215"/>
        <v>0</v>
      </c>
      <c r="AA255" s="629">
        <f t="shared" si="215"/>
        <v>0</v>
      </c>
      <c r="AB255" s="629">
        <f t="shared" si="215"/>
        <v>0</v>
      </c>
      <c r="AC255" s="629">
        <f t="shared" si="215"/>
        <v>5.1864137626819587E-2</v>
      </c>
      <c r="AD255" s="629">
        <f t="shared" si="215"/>
        <v>0.36569575003309945</v>
      </c>
      <c r="AE255" s="629">
        <f t="shared" si="215"/>
        <v>1.1155075715094593</v>
      </c>
      <c r="AF255" s="629">
        <f t="shared" si="215"/>
        <v>1.5784263308766029</v>
      </c>
      <c r="AG255" s="629">
        <f t="shared" si="215"/>
        <v>0</v>
      </c>
      <c r="AH255" s="629">
        <f t="shared" si="215"/>
        <v>0</v>
      </c>
      <c r="AI255" s="509"/>
      <c r="AJ255" s="165"/>
      <c r="AK255" s="165"/>
      <c r="AL255" s="165"/>
      <c r="AM255" s="165"/>
      <c r="AN255" s="165"/>
      <c r="AO255" s="165"/>
      <c r="AP255" s="165"/>
      <c r="AQ255" s="165"/>
      <c r="AR255" s="165"/>
      <c r="AS255" s="165"/>
      <c r="AT255" s="165"/>
      <c r="AU255" s="165"/>
      <c r="AV255" s="165"/>
      <c r="AW255" s="165"/>
      <c r="AX255" s="165"/>
      <c r="AY255" s="165"/>
    </row>
    <row r="256" spans="1:51" s="164" customFormat="1">
      <c r="A256" s="593"/>
      <c r="B256" s="593"/>
      <c r="C256" s="631" t="s">
        <v>318</v>
      </c>
      <c r="D256" s="646">
        <f t="shared" ref="D256:D290" si="216">SUM(E256:AI256)</f>
        <v>14.270237734591117</v>
      </c>
      <c r="E256" s="629">
        <f>E255*E252</f>
        <v>0.72953461277157994</v>
      </c>
      <c r="F256" s="629">
        <f t="shared" ref="F256:AH256" si="217">F255*F252</f>
        <v>0.45300791110000532</v>
      </c>
      <c r="G256" s="629">
        <f t="shared" si="217"/>
        <v>0</v>
      </c>
      <c r="H256" s="629">
        <f t="shared" si="217"/>
        <v>0</v>
      </c>
      <c r="I256" s="629">
        <f t="shared" si="217"/>
        <v>0.15320457325063344</v>
      </c>
      <c r="J256" s="629">
        <f t="shared" si="217"/>
        <v>0</v>
      </c>
      <c r="K256" s="629">
        <f t="shared" si="217"/>
        <v>0.17831325997244329</v>
      </c>
      <c r="L256" s="629">
        <f t="shared" si="217"/>
        <v>0</v>
      </c>
      <c r="M256" s="629">
        <f t="shared" si="217"/>
        <v>0</v>
      </c>
      <c r="N256" s="629">
        <f t="shared" si="217"/>
        <v>1.0098754004704973</v>
      </c>
      <c r="O256" s="629">
        <f t="shared" si="217"/>
        <v>0</v>
      </c>
      <c r="P256" s="629">
        <f t="shared" si="217"/>
        <v>0</v>
      </c>
      <c r="Q256" s="629">
        <f t="shared" si="217"/>
        <v>0.35134850590254468</v>
      </c>
      <c r="R256" s="629">
        <f t="shared" si="217"/>
        <v>0</v>
      </c>
      <c r="S256" s="629">
        <f t="shared" si="217"/>
        <v>0.47494685504003592</v>
      </c>
      <c r="T256" s="629">
        <f t="shared" si="217"/>
        <v>0</v>
      </c>
      <c r="U256" s="629">
        <f t="shared" si="217"/>
        <v>0</v>
      </c>
      <c r="V256" s="629">
        <f t="shared" si="217"/>
        <v>0</v>
      </c>
      <c r="W256" s="629">
        <f t="shared" si="217"/>
        <v>0</v>
      </c>
      <c r="X256" s="629">
        <f>X255*X252</f>
        <v>0</v>
      </c>
      <c r="Y256" s="629">
        <f t="shared" si="217"/>
        <v>3.5958717811675949</v>
      </c>
      <c r="Z256" s="629">
        <f t="shared" si="217"/>
        <v>0</v>
      </c>
      <c r="AA256" s="629">
        <f t="shared" si="217"/>
        <v>0</v>
      </c>
      <c r="AB256" s="629">
        <f t="shared" si="217"/>
        <v>0</v>
      </c>
      <c r="AC256" s="629">
        <f t="shared" si="217"/>
        <v>0.3900801916405956</v>
      </c>
      <c r="AD256" s="629">
        <f t="shared" si="217"/>
        <v>0.10931550377333511</v>
      </c>
      <c r="AE256" s="629">
        <f t="shared" si="217"/>
        <v>1.3706678529835818</v>
      </c>
      <c r="AF256" s="629">
        <f t="shared" si="217"/>
        <v>5.4540712865182686</v>
      </c>
      <c r="AG256" s="629">
        <f t="shared" si="217"/>
        <v>0</v>
      </c>
      <c r="AH256" s="629">
        <f t="shared" si="217"/>
        <v>0</v>
      </c>
      <c r="AI256" s="509"/>
      <c r="AJ256" s="165"/>
      <c r="AK256" s="165"/>
      <c r="AL256" s="165"/>
      <c r="AM256" s="165"/>
      <c r="AN256" s="165"/>
      <c r="AO256" s="165"/>
      <c r="AP256" s="165"/>
      <c r="AQ256" s="165"/>
      <c r="AR256" s="165"/>
      <c r="AS256" s="165"/>
      <c r="AT256" s="165"/>
      <c r="AU256" s="165"/>
      <c r="AV256" s="165"/>
      <c r="AW256" s="165"/>
      <c r="AX256" s="165"/>
      <c r="AY256" s="165"/>
    </row>
    <row r="257" spans="1:67" s="164" customFormat="1">
      <c r="A257" s="593"/>
      <c r="B257" s="593"/>
      <c r="C257" s="631" t="s">
        <v>321</v>
      </c>
      <c r="D257" s="646">
        <f t="shared" si="216"/>
        <v>28.163690677876133</v>
      </c>
      <c r="E257" s="629">
        <f t="shared" ref="E257:AH257" si="218">IF(E$178&gt;0,E185/E$178*E$146,0)</f>
        <v>1.5346882910425017</v>
      </c>
      <c r="F257" s="629">
        <f t="shared" si="218"/>
        <v>0.76905223929500577</v>
      </c>
      <c r="G257" s="629">
        <f t="shared" si="218"/>
        <v>0</v>
      </c>
      <c r="H257" s="629">
        <f t="shared" si="218"/>
        <v>0</v>
      </c>
      <c r="I257" s="629">
        <f t="shared" si="218"/>
        <v>0.36564691403861288</v>
      </c>
      <c r="J257" s="629">
        <f t="shared" si="218"/>
        <v>0</v>
      </c>
      <c r="K257" s="629">
        <f t="shared" si="218"/>
        <v>0.28856517688881739</v>
      </c>
      <c r="L257" s="629">
        <f t="shared" si="218"/>
        <v>0</v>
      </c>
      <c r="M257" s="629">
        <f t="shared" si="218"/>
        <v>0</v>
      </c>
      <c r="N257" s="629">
        <f t="shared" si="218"/>
        <v>1.5535723212750163</v>
      </c>
      <c r="O257" s="629">
        <f t="shared" si="218"/>
        <v>0</v>
      </c>
      <c r="P257" s="629">
        <f t="shared" si="218"/>
        <v>0</v>
      </c>
      <c r="Q257" s="629">
        <f t="shared" si="218"/>
        <v>0.53242372232035828</v>
      </c>
      <c r="R257" s="629">
        <f t="shared" si="218"/>
        <v>0</v>
      </c>
      <c r="S257" s="629">
        <f t="shared" si="218"/>
        <v>0.95526753556951649</v>
      </c>
      <c r="T257" s="629">
        <f t="shared" si="218"/>
        <v>0</v>
      </c>
      <c r="U257" s="629">
        <f t="shared" si="218"/>
        <v>0</v>
      </c>
      <c r="V257" s="629">
        <f t="shared" si="218"/>
        <v>0</v>
      </c>
      <c r="W257" s="629">
        <f t="shared" si="218"/>
        <v>0</v>
      </c>
      <c r="X257" s="629">
        <f t="shared" si="218"/>
        <v>0</v>
      </c>
      <c r="Y257" s="629">
        <f t="shared" si="218"/>
        <v>5.3597668482518799</v>
      </c>
      <c r="Z257" s="629">
        <f t="shared" si="218"/>
        <v>0</v>
      </c>
      <c r="AA257" s="629">
        <f t="shared" si="218"/>
        <v>0</v>
      </c>
      <c r="AB257" s="629">
        <f t="shared" si="218"/>
        <v>0</v>
      </c>
      <c r="AC257" s="629">
        <f t="shared" si="218"/>
        <v>0.49286567372195761</v>
      </c>
      <c r="AD257" s="629">
        <f t="shared" si="218"/>
        <v>1.4086713888521121</v>
      </c>
      <c r="AE257" s="629">
        <f t="shared" si="218"/>
        <v>3.3544904026235942</v>
      </c>
      <c r="AF257" s="629">
        <f t="shared" si="218"/>
        <v>11.548680163996758</v>
      </c>
      <c r="AG257" s="629">
        <f t="shared" si="218"/>
        <v>0</v>
      </c>
      <c r="AH257" s="629">
        <f t="shared" si="218"/>
        <v>0</v>
      </c>
      <c r="AI257" s="509"/>
      <c r="AJ257" s="165"/>
      <c r="AK257" s="165"/>
      <c r="AL257" s="165"/>
      <c r="AM257" s="165"/>
      <c r="AN257" s="165"/>
      <c r="AO257" s="165"/>
      <c r="AP257" s="165"/>
      <c r="AQ257" s="165"/>
      <c r="AR257" s="165"/>
      <c r="AS257" s="165"/>
      <c r="AT257" s="165"/>
      <c r="AU257" s="165"/>
      <c r="AV257" s="165"/>
      <c r="AW257" s="165"/>
      <c r="AX257" s="165"/>
      <c r="AY257" s="165"/>
    </row>
    <row r="258" spans="1:67" s="164" customFormat="1">
      <c r="A258" s="593"/>
      <c r="B258" s="593"/>
      <c r="C258" s="631"/>
      <c r="D258" s="646"/>
      <c r="E258" s="629"/>
      <c r="F258" s="629"/>
      <c r="G258" s="629"/>
      <c r="H258" s="629"/>
      <c r="I258" s="629"/>
      <c r="J258" s="629"/>
      <c r="K258" s="629"/>
      <c r="L258" s="629"/>
      <c r="M258" s="629"/>
      <c r="N258" s="629"/>
      <c r="O258" s="629"/>
      <c r="P258" s="629"/>
      <c r="Q258" s="629"/>
      <c r="R258" s="629"/>
      <c r="S258" s="629"/>
      <c r="T258" s="629"/>
      <c r="U258" s="629"/>
      <c r="V258" s="629"/>
      <c r="W258" s="629"/>
      <c r="X258" s="629"/>
      <c r="Y258" s="629"/>
      <c r="Z258" s="629"/>
      <c r="AA258" s="629"/>
      <c r="AB258" s="629"/>
      <c r="AC258" s="629"/>
      <c r="AD258" s="629"/>
      <c r="AE258" s="629"/>
      <c r="AF258" s="629"/>
      <c r="AG258" s="629"/>
      <c r="AH258" s="629"/>
      <c r="AI258" s="509"/>
      <c r="AJ258" s="165"/>
      <c r="AK258" s="165"/>
      <c r="AL258" s="165"/>
      <c r="AM258" s="165"/>
      <c r="AN258" s="165"/>
      <c r="AO258" s="165"/>
      <c r="AP258" s="165"/>
      <c r="AQ258" s="165"/>
      <c r="AR258" s="165"/>
      <c r="AS258" s="165"/>
      <c r="AT258" s="165"/>
      <c r="AU258" s="165"/>
      <c r="AV258" s="165"/>
      <c r="AW258" s="165"/>
      <c r="AX258" s="165"/>
      <c r="AY258" s="165"/>
    </row>
    <row r="259" spans="1:67" s="181" customFormat="1">
      <c r="A259" s="599" t="s">
        <v>461</v>
      </c>
      <c r="B259" s="599"/>
      <c r="C259" s="680" t="s">
        <v>1062</v>
      </c>
      <c r="D259" s="651"/>
      <c r="E259" s="651"/>
      <c r="F259" s="651"/>
      <c r="G259" s="651"/>
      <c r="H259" s="651"/>
      <c r="I259" s="651"/>
      <c r="J259" s="651"/>
      <c r="K259" s="651"/>
      <c r="L259" s="651"/>
      <c r="M259" s="651"/>
      <c r="N259" s="651"/>
      <c r="O259" s="651"/>
      <c r="P259" s="651"/>
      <c r="Q259" s="651"/>
      <c r="R259" s="651"/>
      <c r="S259" s="651"/>
      <c r="T259" s="651"/>
      <c r="U259" s="651"/>
      <c r="V259" s="651"/>
      <c r="W259" s="651"/>
      <c r="X259" s="651"/>
      <c r="Y259" s="651"/>
      <c r="Z259" s="651"/>
      <c r="AA259" s="651"/>
      <c r="AB259" s="651"/>
      <c r="AC259" s="651"/>
      <c r="AD259" s="651"/>
      <c r="AE259" s="651"/>
      <c r="AF259" s="651"/>
      <c r="AG259" s="651"/>
      <c r="AH259" s="651"/>
      <c r="AI259" s="164"/>
      <c r="AJ259" s="164"/>
      <c r="AK259" s="164"/>
      <c r="AL259" s="164"/>
      <c r="AM259" s="164"/>
      <c r="AN259" s="164"/>
      <c r="AO259" s="164"/>
      <c r="AP259" s="164"/>
      <c r="AQ259" s="164"/>
      <c r="AR259" s="164"/>
      <c r="AS259" s="164"/>
      <c r="AT259" s="164"/>
      <c r="AU259" s="164"/>
      <c r="AV259" s="164"/>
      <c r="AW259" s="164"/>
      <c r="AX259" s="164"/>
      <c r="AY259" s="164"/>
      <c r="AZ259" s="164"/>
      <c r="BA259" s="164"/>
      <c r="BB259" s="164"/>
      <c r="BC259" s="164"/>
      <c r="BD259" s="164"/>
      <c r="BE259" s="164"/>
      <c r="BF259" s="164"/>
      <c r="BG259" s="164"/>
      <c r="BH259" s="164"/>
      <c r="BI259" s="164"/>
      <c r="BJ259" s="164"/>
      <c r="BK259" s="164"/>
      <c r="BL259" s="164"/>
      <c r="BM259" s="164"/>
      <c r="BN259" s="164"/>
      <c r="BO259" s="164"/>
    </row>
    <row r="260" spans="1:67" s="181" customFormat="1">
      <c r="A260" s="599" t="s">
        <v>461</v>
      </c>
      <c r="B260" s="599"/>
      <c r="C260" s="650" t="s">
        <v>419</v>
      </c>
      <c r="D260" s="651"/>
      <c r="E260" s="651"/>
      <c r="F260" s="651"/>
      <c r="G260" s="651"/>
      <c r="H260" s="651"/>
      <c r="I260" s="651"/>
      <c r="J260" s="651"/>
      <c r="K260" s="651"/>
      <c r="L260" s="651"/>
      <c r="M260" s="651"/>
      <c r="N260" s="651"/>
      <c r="O260" s="651"/>
      <c r="P260" s="651"/>
      <c r="Q260" s="651"/>
      <c r="R260" s="651"/>
      <c r="S260" s="651"/>
      <c r="T260" s="651"/>
      <c r="U260" s="651"/>
      <c r="V260" s="651"/>
      <c r="W260" s="651"/>
      <c r="X260" s="651"/>
      <c r="Y260" s="651"/>
      <c r="Z260" s="651"/>
      <c r="AA260" s="651"/>
      <c r="AB260" s="651"/>
      <c r="AC260" s="651"/>
      <c r="AD260" s="651"/>
      <c r="AE260" s="651"/>
      <c r="AF260" s="651"/>
      <c r="AG260" s="651"/>
      <c r="AH260" s="651"/>
      <c r="AI260" s="164"/>
      <c r="AJ260" s="164"/>
      <c r="AK260" s="164"/>
      <c r="AL260" s="164"/>
      <c r="AM260" s="164"/>
      <c r="AN260" s="164"/>
      <c r="AO260" s="164"/>
      <c r="AP260" s="164"/>
      <c r="AQ260" s="164"/>
      <c r="AR260" s="164"/>
      <c r="AS260" s="164"/>
      <c r="AT260" s="164"/>
      <c r="AU260" s="164"/>
      <c r="AV260" s="164"/>
      <c r="AW260" s="164"/>
      <c r="AX260" s="164"/>
      <c r="AY260" s="164"/>
      <c r="AZ260" s="164"/>
      <c r="BA260" s="164"/>
      <c r="BB260" s="164"/>
      <c r="BC260" s="164"/>
      <c r="BD260" s="164"/>
      <c r="BE260" s="164"/>
      <c r="BF260" s="164"/>
      <c r="BG260" s="164"/>
      <c r="BH260" s="164"/>
      <c r="BI260" s="164"/>
      <c r="BJ260" s="164"/>
      <c r="BK260" s="164"/>
      <c r="BL260" s="164"/>
      <c r="BM260" s="164"/>
      <c r="BN260" s="164"/>
      <c r="BO260" s="164"/>
    </row>
    <row r="261" spans="1:67" s="181" customFormat="1">
      <c r="A261" s="599" t="s">
        <v>461</v>
      </c>
      <c r="B261" s="599"/>
      <c r="C261" s="649" t="s">
        <v>334</v>
      </c>
      <c r="D261" s="651">
        <f>SUM(E261:AI261)</f>
        <v>32.434998506191775</v>
      </c>
      <c r="E261" s="651">
        <f t="shared" ref="E261:AH261" si="219">E200</f>
        <v>0</v>
      </c>
      <c r="F261" s="651">
        <f t="shared" si="219"/>
        <v>0</v>
      </c>
      <c r="G261" s="651">
        <f t="shared" si="219"/>
        <v>0.40086167910929987</v>
      </c>
      <c r="H261" s="651">
        <f t="shared" si="219"/>
        <v>0</v>
      </c>
      <c r="I261" s="651">
        <f t="shared" si="219"/>
        <v>0</v>
      </c>
      <c r="J261" s="651">
        <f t="shared" si="219"/>
        <v>0.73240068931146762</v>
      </c>
      <c r="K261" s="651">
        <f t="shared" si="219"/>
        <v>0.32352165668014088</v>
      </c>
      <c r="L261" s="651">
        <f t="shared" si="219"/>
        <v>0</v>
      </c>
      <c r="M261" s="651">
        <f t="shared" si="219"/>
        <v>0</v>
      </c>
      <c r="N261" s="651">
        <f t="shared" si="219"/>
        <v>0</v>
      </c>
      <c r="O261" s="651">
        <f t="shared" si="219"/>
        <v>0.47274100934620605</v>
      </c>
      <c r="P261" s="651">
        <f t="shared" si="219"/>
        <v>0</v>
      </c>
      <c r="Q261" s="651">
        <f t="shared" si="219"/>
        <v>0</v>
      </c>
      <c r="R261" s="651">
        <f t="shared" si="219"/>
        <v>0</v>
      </c>
      <c r="S261" s="651">
        <f t="shared" si="219"/>
        <v>1.2721900745831469</v>
      </c>
      <c r="T261" s="651">
        <f t="shared" si="219"/>
        <v>0</v>
      </c>
      <c r="U261" s="651">
        <f t="shared" si="219"/>
        <v>0</v>
      </c>
      <c r="V261" s="651">
        <f t="shared" si="219"/>
        <v>0</v>
      </c>
      <c r="W261" s="651">
        <f t="shared" si="219"/>
        <v>0</v>
      </c>
      <c r="X261" s="651">
        <f t="shared" si="219"/>
        <v>26.629931490147982</v>
      </c>
      <c r="Y261" s="651">
        <f t="shared" si="219"/>
        <v>0</v>
      </c>
      <c r="Z261" s="651">
        <f t="shared" si="219"/>
        <v>0</v>
      </c>
      <c r="AA261" s="651">
        <f t="shared" si="219"/>
        <v>9.897086519114684E-2</v>
      </c>
      <c r="AB261" s="651">
        <f t="shared" si="219"/>
        <v>0</v>
      </c>
      <c r="AC261" s="651">
        <f t="shared" si="219"/>
        <v>0</v>
      </c>
      <c r="AD261" s="651">
        <f t="shared" si="219"/>
        <v>0.11230070832781677</v>
      </c>
      <c r="AE261" s="651">
        <f t="shared" si="219"/>
        <v>0</v>
      </c>
      <c r="AF261" s="651">
        <f t="shared" si="219"/>
        <v>2.3920803334945693</v>
      </c>
      <c r="AG261" s="651">
        <f t="shared" si="219"/>
        <v>0</v>
      </c>
      <c r="AH261" s="651">
        <f t="shared" si="219"/>
        <v>0</v>
      </c>
      <c r="AI261" s="164"/>
      <c r="AJ261" s="164"/>
      <c r="AK261" s="164"/>
      <c r="AL261" s="164"/>
      <c r="AM261" s="164"/>
      <c r="AN261" s="164"/>
      <c r="AO261" s="164"/>
      <c r="AP261" s="164"/>
      <c r="AQ261" s="164"/>
      <c r="AR261" s="164"/>
      <c r="AS261" s="164"/>
      <c r="AT261" s="164"/>
      <c r="AU261" s="164"/>
      <c r="AV261" s="164"/>
      <c r="AW261" s="164"/>
      <c r="AX261" s="164"/>
      <c r="AY261" s="164"/>
      <c r="AZ261" s="164"/>
      <c r="BA261" s="164"/>
      <c r="BB261" s="164"/>
      <c r="BC261" s="164"/>
      <c r="BD261" s="164"/>
      <c r="BE261" s="164"/>
      <c r="BF261" s="164"/>
      <c r="BG261" s="164"/>
      <c r="BH261" s="164"/>
      <c r="BI261" s="164"/>
      <c r="BJ261" s="164"/>
      <c r="BK261" s="164"/>
      <c r="BL261" s="164"/>
      <c r="BM261" s="164"/>
      <c r="BN261" s="164"/>
      <c r="BO261" s="164"/>
    </row>
    <row r="262" spans="1:67" s="181" customFormat="1">
      <c r="A262" s="599" t="s">
        <v>461</v>
      </c>
      <c r="B262" s="599"/>
      <c r="C262" s="650"/>
      <c r="D262" s="651"/>
      <c r="E262" s="651"/>
      <c r="F262" s="651"/>
      <c r="G262" s="651"/>
      <c r="H262" s="651"/>
      <c r="I262" s="651"/>
      <c r="J262" s="651"/>
      <c r="K262" s="651"/>
      <c r="L262" s="651"/>
      <c r="M262" s="651"/>
      <c r="N262" s="651"/>
      <c r="O262" s="651"/>
      <c r="P262" s="651"/>
      <c r="Q262" s="651"/>
      <c r="R262" s="651"/>
      <c r="S262" s="651"/>
      <c r="T262" s="651"/>
      <c r="U262" s="651"/>
      <c r="V262" s="651"/>
      <c r="W262" s="651"/>
      <c r="X262" s="651"/>
      <c r="Y262" s="651"/>
      <c r="Z262" s="651"/>
      <c r="AA262" s="651"/>
      <c r="AB262" s="651"/>
      <c r="AC262" s="651"/>
      <c r="AD262" s="651"/>
      <c r="AE262" s="651"/>
      <c r="AF262" s="651"/>
      <c r="AG262" s="651"/>
      <c r="AH262" s="651"/>
      <c r="AI262" s="164"/>
      <c r="AJ262" s="164"/>
      <c r="AK262" s="164"/>
      <c r="AL262" s="164"/>
      <c r="AM262" s="164"/>
      <c r="AN262" s="164"/>
      <c r="AO262" s="164"/>
      <c r="AP262" s="164"/>
      <c r="AQ262" s="164"/>
      <c r="AR262" s="164"/>
      <c r="AS262" s="164"/>
      <c r="AT262" s="164"/>
      <c r="AU262" s="164"/>
      <c r="AV262" s="164"/>
      <c r="AW262" s="164"/>
      <c r="AX262" s="164"/>
      <c r="AY262" s="164"/>
      <c r="AZ262" s="164"/>
      <c r="BA262" s="164"/>
      <c r="BB262" s="164"/>
      <c r="BC262" s="164"/>
      <c r="BD262" s="164"/>
      <c r="BE262" s="164"/>
      <c r="BF262" s="164"/>
      <c r="BG262" s="164"/>
      <c r="BH262" s="164"/>
      <c r="BI262" s="164"/>
      <c r="BJ262" s="164"/>
      <c r="BK262" s="164"/>
      <c r="BL262" s="164"/>
      <c r="BM262" s="164"/>
      <c r="BN262" s="164"/>
      <c r="BO262" s="164"/>
    </row>
    <row r="263" spans="1:67" s="181" customFormat="1">
      <c r="A263" s="599" t="s">
        <v>461</v>
      </c>
      <c r="B263" s="599"/>
      <c r="C263" s="649" t="s">
        <v>411</v>
      </c>
      <c r="D263" s="651">
        <f t="shared" si="216"/>
        <v>99.133511008203342</v>
      </c>
      <c r="E263" s="651">
        <f>IF(('INDCONSby Product'!D43+'INDCONSby Product'!D44)&gt;0,MIN(E197,'INDCONSby Product'!D43+'INDCONSby Product'!D44),0)</f>
        <v>1.0048319999999999</v>
      </c>
      <c r="F263" s="651">
        <f>IF(('INDCONSby Product'!E43+'INDCONSby Product'!E44)&gt;0,MIN(F197,'INDCONSby Product'!E43+'INDCONSby Product'!E44),0)</f>
        <v>0.293076</v>
      </c>
      <c r="G263" s="651">
        <f>IF(('INDCONSby Product'!F43+'INDCONSby Product'!F44)&gt;0,MIN(G197,'INDCONSby Product'!F43+'INDCONSby Product'!F44),0)</f>
        <v>2.7770000000000001</v>
      </c>
      <c r="H263" s="651">
        <f>IF(('INDCONSby Product'!G43+'INDCONSby Product'!G44)&gt;0,MIN(H197,'INDCONSby Product'!G43+'INDCONSby Product'!G44),0)</f>
        <v>0</v>
      </c>
      <c r="I263" s="651">
        <f>IF(('INDCONSby Product'!H43+'INDCONSby Product'!H44)&gt;0,MIN(I197,'INDCONSby Product'!H43+'INDCONSby Product'!H44),0)</f>
        <v>36.299556000000003</v>
      </c>
      <c r="J263" s="651">
        <f>IF(('INDCONSby Product'!I43+'INDCONSby Product'!I44)&gt;0,MIN(J197,'INDCONSby Product'!I43+'INDCONSby Product'!I44),0)</f>
        <v>8.8770431737229103</v>
      </c>
      <c r="K263" s="651">
        <f>IF(('INDCONSby Product'!J43+'INDCONSby Product'!J44)&gt;0,MIN(K197,'INDCONSby Product'!J43+'INDCONSby Product'!J44),0)</f>
        <v>2.7582295088755593E-2</v>
      </c>
      <c r="L263" s="651">
        <f>IF(('INDCONSby Product'!K43+'INDCONSby Product'!K44)&gt;0,MIN(L197,'INDCONSby Product'!K43+'INDCONSby Product'!K44),0)</f>
        <v>0</v>
      </c>
      <c r="M263" s="651">
        <f>IF(('INDCONSby Product'!L43+'INDCONSby Product'!L44)&gt;0,MIN(M197,'INDCONSby Product'!L43+'INDCONSby Product'!L44),0)</f>
        <v>2.0402239199182821</v>
      </c>
      <c r="N263" s="651">
        <f>IF(('INDCONSby Product'!M43+'INDCONSby Product'!M44)&gt;0,MIN(N197,'INDCONSby Product'!M43+'INDCONSby Product'!M44),0)</f>
        <v>3.851</v>
      </c>
      <c r="O263" s="651">
        <f>IF(('INDCONSby Product'!N43+'INDCONSby Product'!N44)&gt;0,MIN(O197,'INDCONSby Product'!N43+'INDCONSby Product'!N44),0)</f>
        <v>4.4565784025985664</v>
      </c>
      <c r="P263" s="651">
        <f>IF(('INDCONSby Product'!O43+'INDCONSby Product'!O44)&gt;0,MIN(P197,'INDCONSby Product'!O43+'INDCONSby Product'!O44),0)</f>
        <v>0</v>
      </c>
      <c r="Q263" s="651">
        <f>IF(('INDCONSby Product'!P43+'INDCONSby Product'!P44)&gt;0,MIN(Q197,'INDCONSby Product'!P43+'INDCONSby Product'!P44),0)</f>
        <v>0</v>
      </c>
      <c r="R263" s="651">
        <f>IF(('INDCONSby Product'!Q43+'INDCONSby Product'!Q44)&gt;0,MIN(R197,'INDCONSby Product'!Q43+'INDCONSby Product'!Q44),0)</f>
        <v>0</v>
      </c>
      <c r="S263" s="651">
        <f>IF(('INDCONSby Product'!R43+'INDCONSby Product'!R44)&gt;0,MIN(S197,'INDCONSby Product'!R43+'INDCONSby Product'!R44),0)</f>
        <v>0.08</v>
      </c>
      <c r="T263" s="651">
        <f>IF(('INDCONSby Product'!S43+'INDCONSby Product'!S44)&gt;0,MIN(T197,'INDCONSby Product'!S43+'INDCONSby Product'!S44),0)</f>
        <v>0</v>
      </c>
      <c r="U263" s="651">
        <f>IF(('INDCONSby Product'!T43+'INDCONSby Product'!T44)&gt;0,MIN(U197,'INDCONSby Product'!T43+'INDCONSby Product'!T44),0)</f>
        <v>0</v>
      </c>
      <c r="V263" s="651">
        <f>IF(('INDCONSby Product'!U43+'INDCONSby Product'!U44)&gt;0,MIN(V197,'INDCONSby Product'!U43+'INDCONSby Product'!U44),0)</f>
        <v>0</v>
      </c>
      <c r="W263" s="651">
        <f>IF(('INDCONSby Product'!V43+'INDCONSby Product'!V44)&gt;0,MIN(W197,'INDCONSby Product'!V43+'INDCONSby Product'!V44),0)</f>
        <v>0</v>
      </c>
      <c r="X263" s="651">
        <f>IF(('INDCONSby Product'!W43+'INDCONSby Product'!W44)&gt;0,MIN(X197,'INDCONSby Product'!W43+'INDCONSby Product'!W44),0)</f>
        <v>0</v>
      </c>
      <c r="Y263" s="651">
        <f>IF(('INDCONSby Product'!X43+'INDCONSby Product'!X44)&gt;0,MIN(Y197,'INDCONSby Product'!X43+'INDCONSby Product'!X44),0)</f>
        <v>30.120999999999999</v>
      </c>
      <c r="Z263" s="651">
        <f>IF(('INDCONSby Product'!Y43+'INDCONSby Product'!Y44)&gt;0,MIN(Z197,'INDCONSby Product'!Y43+'INDCONSby Product'!Y44),0)</f>
        <v>0</v>
      </c>
      <c r="AA263" s="651">
        <f>IF(('INDCONSby Product'!Z43+'INDCONSby Product'!Z44)&gt;0,MIN(AA197,'INDCONSby Product'!Z43+'INDCONSby Product'!Z44),0)</f>
        <v>5.2720000000000002</v>
      </c>
      <c r="AB263" s="651">
        <f>IF(('INDCONSby Product'!AA43+'INDCONSby Product'!AA44)&gt;0,MIN(AB197,'INDCONSby Product'!AA43+'INDCONSby Product'!AA44),0)</f>
        <v>0.15331121687483021</v>
      </c>
      <c r="AC263" s="651">
        <f>IF(('INDCONSby Product'!AB43+'INDCONSby Product'!AB44)&gt;0,MIN(AC197,'INDCONSby Product'!AB43+'INDCONSby Product'!AB44),0)</f>
        <v>0</v>
      </c>
      <c r="AD263" s="651">
        <f>IF(('INDCONSby Product'!AC43+'INDCONSby Product'!AC44)&gt;0,MIN(AD197,'INDCONSby Product'!AC43+'INDCONSby Product'!AC44),0)</f>
        <v>0.48899999999999999</v>
      </c>
      <c r="AE263" s="651">
        <f>IF(('INDCONSby Product'!AD43+'INDCONSby Product'!AD44)&gt;0,MIN(AE197,'INDCONSby Product'!AD43+'INDCONSby Product'!AD44),0)</f>
        <v>3.391308</v>
      </c>
      <c r="AF263" s="651">
        <f>IF(('INDCONSby Product'!AE43+'INDCONSby Product'!AE44)&gt;0,MIN(AF197,'INDCONSby Product'!AE43+'INDCONSby Product'!AE44),0)</f>
        <v>0</v>
      </c>
      <c r="AG263" s="651">
        <f>IF(('INDCONSby Product'!AF43+'INDCONSby Product'!AF44)&gt;0,MIN(AG197,'INDCONSby Product'!AF43+'INDCONSby Product'!AF44),0)</f>
        <v>0</v>
      </c>
      <c r="AH263" s="651">
        <f>IF(('INDCONSby Product'!AG43+'INDCONSby Product'!AG44)&gt;0,MIN(AH197,'INDCONSby Product'!AG43+'INDCONSby Product'!AG44),0)</f>
        <v>0</v>
      </c>
      <c r="AI263" s="164"/>
      <c r="AJ263" s="164"/>
      <c r="AK263" s="164"/>
      <c r="AL263" s="164"/>
      <c r="AM263" s="164"/>
      <c r="AN263" s="164"/>
      <c r="AO263" s="164"/>
      <c r="AP263" s="164"/>
      <c r="AQ263" s="164"/>
      <c r="AR263" s="164"/>
      <c r="AS263" s="164"/>
      <c r="AT263" s="164"/>
      <c r="AU263" s="164"/>
      <c r="AV263" s="164"/>
      <c r="AW263" s="164"/>
      <c r="AX263" s="164"/>
      <c r="AY263" s="164"/>
      <c r="AZ263" s="164"/>
      <c r="BA263" s="164"/>
      <c r="BB263" s="164"/>
      <c r="BC263" s="164"/>
      <c r="BD263" s="164"/>
      <c r="BE263" s="164"/>
      <c r="BF263" s="164"/>
      <c r="BG263" s="164"/>
      <c r="BH263" s="164"/>
      <c r="BI263" s="164"/>
      <c r="BJ263" s="164"/>
      <c r="BK263" s="164"/>
      <c r="BL263" s="164"/>
      <c r="BM263" s="164"/>
      <c r="BN263" s="164"/>
      <c r="BO263" s="164"/>
    </row>
    <row r="264" spans="1:67" s="181" customFormat="1">
      <c r="A264" s="599" t="s">
        <v>461</v>
      </c>
      <c r="B264" s="599"/>
      <c r="C264" s="649" t="s">
        <v>412</v>
      </c>
      <c r="D264" s="651">
        <f t="shared" si="216"/>
        <v>16.449375215847244</v>
      </c>
      <c r="E264" s="651">
        <f>IF(('INDCONSby Product'!D31+'INDCONSby Product'!D32)&gt;0,MIN(E197-E263,'INDCONSby Product'!D31+'INDCONSby Product'!D32),0)</f>
        <v>0</v>
      </c>
      <c r="F264" s="651">
        <f>IF(('INDCONSby Product'!E31+'INDCONSby Product'!E32)&gt;0,MIN(F197-F263,'INDCONSby Product'!E31+'INDCONSby Product'!E32),0)</f>
        <v>1.626201857751405</v>
      </c>
      <c r="G264" s="651">
        <f>IF(('INDCONSby Product'!F31+'INDCONSby Product'!F32)&gt;0,MIN(G197-G263,'INDCONSby Product'!F31+'INDCONSby Product'!F32),0)</f>
        <v>1.0009999999999999</v>
      </c>
      <c r="H264" s="651">
        <f>IF(('INDCONSby Product'!G31+'INDCONSby Product'!G32)&gt;0,MIN(H197-H263,'INDCONSby Product'!G31+'INDCONSby Product'!G32),0)</f>
        <v>0</v>
      </c>
      <c r="I264" s="651">
        <f>IF(('INDCONSby Product'!H31+'INDCONSby Product'!H32)&gt;0,MIN(I197-I263,'INDCONSby Product'!H31+'INDCONSby Product'!H32),0)</f>
        <v>0.97555251314754088</v>
      </c>
      <c r="J264" s="651">
        <f>IF(('INDCONSby Product'!I31+'INDCONSby Product'!I32)&gt;0,MIN(J197-J263,'INDCONSby Product'!I31+'INDCONSby Product'!I32),0)</f>
        <v>0</v>
      </c>
      <c r="K264" s="651">
        <f>IF(('INDCONSby Product'!J31+'INDCONSby Product'!J32)&gt;0,MIN(K197-K263,'INDCONSby Product'!J31+'INDCONSby Product'!J32),0)</f>
        <v>0</v>
      </c>
      <c r="L264" s="651">
        <f>IF(('INDCONSby Product'!K31+'INDCONSby Product'!K32)&gt;0,MIN(L197-L263,'INDCONSby Product'!K31+'INDCONSby Product'!K32),0)</f>
        <v>0</v>
      </c>
      <c r="M264" s="651">
        <f>IF(('INDCONSby Product'!L31+'INDCONSby Product'!L32)&gt;0,MIN(M197-M263,'INDCONSby Product'!L31+'INDCONSby Product'!L32),0)</f>
        <v>0</v>
      </c>
      <c r="N264" s="651">
        <f>IF(('INDCONSby Product'!M31+'INDCONSby Product'!M32)&gt;0,MIN(N197-N263,'INDCONSby Product'!M31+'INDCONSby Product'!M32),0)</f>
        <v>0</v>
      </c>
      <c r="O264" s="651">
        <f>IF(('INDCONSby Product'!N31+'INDCONSby Product'!N32)&gt;0,MIN(O197-O263,'INDCONSby Product'!N31+'INDCONSby Product'!N32),0)</f>
        <v>0</v>
      </c>
      <c r="P264" s="651">
        <f>IF(('INDCONSby Product'!O31+'INDCONSby Product'!O32)&gt;0,MIN(P197-P263,'INDCONSby Product'!O31+'INDCONSby Product'!O32),0)</f>
        <v>0</v>
      </c>
      <c r="Q264" s="651">
        <f>IF(('INDCONSby Product'!P31+'INDCONSby Product'!P32)&gt;0,MIN(Q197-Q263,'INDCONSby Product'!P31+'INDCONSby Product'!P32),0)</f>
        <v>0</v>
      </c>
      <c r="R264" s="651">
        <f>IF(('INDCONSby Product'!Q31+'INDCONSby Product'!Q32)&gt;0,MIN(R197-R263,'INDCONSby Product'!Q31+'INDCONSby Product'!Q32),0)</f>
        <v>0</v>
      </c>
      <c r="S264" s="651">
        <f>IF(('INDCONSby Product'!R31+'INDCONSby Product'!R32)&gt;0,MIN(S197-S263,'INDCONSby Product'!R31+'INDCONSby Product'!R32),0)</f>
        <v>4.1682771420451362E-2</v>
      </c>
      <c r="T264" s="651">
        <f>IF(('INDCONSby Product'!S31+'INDCONSby Product'!S32)&gt;0,MIN(T197-T263,'INDCONSby Product'!S31+'INDCONSby Product'!S32),0)</f>
        <v>0</v>
      </c>
      <c r="U264" s="651">
        <f>IF(('INDCONSby Product'!T31+'INDCONSby Product'!T32)&gt;0,MIN(U197-U263,'INDCONSby Product'!T31+'INDCONSby Product'!T32),0)</f>
        <v>0</v>
      </c>
      <c r="V264" s="651">
        <f>IF(('INDCONSby Product'!U31+'INDCONSby Product'!U32)&gt;0,MIN(V197-V263,'INDCONSby Product'!U31+'INDCONSby Product'!U32),0)</f>
        <v>0</v>
      </c>
      <c r="W264" s="651">
        <f>IF(('INDCONSby Product'!V31+'INDCONSby Product'!V32)&gt;0,MIN(W197-W263,'INDCONSby Product'!V31+'INDCONSby Product'!V32),0)</f>
        <v>0</v>
      </c>
      <c r="X264" s="651">
        <f>IF(('INDCONSby Product'!W31+'INDCONSby Product'!W32)&gt;0,MIN(X197-X263,'INDCONSby Product'!W31+'INDCONSby Product'!W32),0)</f>
        <v>0</v>
      </c>
      <c r="Y264" s="651">
        <f>IF(('INDCONSby Product'!X31+'INDCONSby Product'!X32)&gt;0,MIN(Y197-Y263,'INDCONSby Product'!X31+'INDCONSby Product'!X32),0)</f>
        <v>6.3220000000000001</v>
      </c>
      <c r="Z264" s="651">
        <f>IF(('INDCONSby Product'!Y31+'INDCONSby Product'!Y32)&gt;0,MIN(Z197-Z263,'INDCONSby Product'!Y31+'INDCONSby Product'!Y32),0)</f>
        <v>0</v>
      </c>
      <c r="AA264" s="651">
        <f>IF(('INDCONSby Product'!Z31+'INDCONSby Product'!Z32)&gt;0,MIN(AA197-AA263,'INDCONSby Product'!Z31+'INDCONSby Product'!Z32),0)</f>
        <v>3.3954366197177066E-2</v>
      </c>
      <c r="AB264" s="651">
        <f>IF(('INDCONSby Product'!AA31+'INDCONSby Product'!AA32)&gt;0,MIN(AB197-AB263,'INDCONSby Product'!AA31+'INDCONSby Product'!AA32),0)</f>
        <v>0</v>
      </c>
      <c r="AC264" s="651">
        <f>IF(('INDCONSby Product'!AB31+'INDCONSby Product'!AB32)&gt;0,MIN(AC197-AC263,'INDCONSby Product'!AB31+'INDCONSby Product'!AB32),0)</f>
        <v>0</v>
      </c>
      <c r="AD264" s="651">
        <f>IF(('INDCONSby Product'!AC31+'INDCONSby Product'!AC32)&gt;0,MIN(AD197-AD263,'INDCONSby Product'!AC31+'INDCONSby Product'!AC32),0)</f>
        <v>6.013097577121675</v>
      </c>
      <c r="AE264" s="651">
        <f>IF(('INDCONSby Product'!AD31+'INDCONSby Product'!AD32)&gt;0,MIN(AE197-AE263,'INDCONSby Product'!AD31+'INDCONSby Product'!AD32),0)</f>
        <v>0.43588613020899691</v>
      </c>
      <c r="AF264" s="651">
        <f>IF(('INDCONSby Product'!AE31+'INDCONSby Product'!AE32)&gt;0,MIN(AF197-AF263,'INDCONSby Product'!AE31+'INDCONSby Product'!AE32),0)</f>
        <v>0</v>
      </c>
      <c r="AG264" s="651">
        <f>IF(('INDCONSby Product'!AF31+'INDCONSby Product'!AF32)&gt;0,MIN(AG197-AG263,'INDCONSby Product'!AF31+'INDCONSby Product'!AF32),0)</f>
        <v>0</v>
      </c>
      <c r="AH264" s="651">
        <f>IF(('INDCONSby Product'!AG31+'INDCONSby Product'!AG32)&gt;0,MIN(AH197-AH263,'INDCONSby Product'!AG31+'INDCONSby Product'!AG32),0)</f>
        <v>0</v>
      </c>
      <c r="AI264" s="164"/>
      <c r="AJ264" s="164"/>
      <c r="AK264" s="164"/>
      <c r="AL264" s="164"/>
      <c r="AM264" s="164"/>
      <c r="AN264" s="164"/>
      <c r="AO264" s="164"/>
      <c r="AP264" s="164"/>
      <c r="AQ264" s="164"/>
      <c r="AR264" s="164"/>
      <c r="AS264" s="164"/>
      <c r="AT264" s="164"/>
      <c r="AU264" s="164"/>
      <c r="AV264" s="164"/>
      <c r="AW264" s="164"/>
      <c r="AX264" s="164"/>
      <c r="AY264" s="164"/>
      <c r="AZ264" s="164"/>
      <c r="BA264" s="164"/>
      <c r="BB264" s="164"/>
      <c r="BC264" s="164"/>
      <c r="BD264" s="164"/>
      <c r="BE264" s="164"/>
      <c r="BF264" s="164"/>
      <c r="BG264" s="164"/>
      <c r="BH264" s="164"/>
      <c r="BI264" s="164"/>
      <c r="BJ264" s="164"/>
      <c r="BK264" s="164"/>
      <c r="BL264" s="164"/>
      <c r="BM264" s="164"/>
      <c r="BN264" s="164"/>
      <c r="BO264" s="164"/>
    </row>
    <row r="265" spans="1:67" s="181" customFormat="1">
      <c r="A265" s="599" t="s">
        <v>461</v>
      </c>
      <c r="B265" s="599"/>
      <c r="C265" s="649" t="s">
        <v>413</v>
      </c>
      <c r="D265" s="651">
        <f t="shared" si="216"/>
        <v>59.652673710770799</v>
      </c>
      <c r="E265" s="651">
        <f>IF(('INDCONSby Product'!D67+'INDCONSby Product'!D68)&gt;0,MIN(E197-E263-E264,'INDCONSby Product'!D67+'INDCONSby Product'!D68),0)</f>
        <v>0</v>
      </c>
      <c r="F265" s="651">
        <f>IF(('INDCONSby Product'!E67+'INDCONSby Product'!E68)&gt;0,MIN(F197-F263-F264,'INDCONSby Product'!E67+'INDCONSby Product'!E68),0)</f>
        <v>0</v>
      </c>
      <c r="G265" s="651">
        <f>IF(('INDCONSby Product'!F67+'INDCONSby Product'!F68)&gt;0,MIN(G197-G263-G264,'INDCONSby Product'!F67+'INDCONSby Product'!F68),0)</f>
        <v>2.6079668123090367</v>
      </c>
      <c r="H265" s="651">
        <f>IF(('INDCONSby Product'!G67+'INDCONSby Product'!G68)&gt;0,MIN(H197-H263-H264,'INDCONSby Product'!G67+'INDCONSby Product'!G68),0)</f>
        <v>0</v>
      </c>
      <c r="I265" s="651">
        <f>IF(('INDCONSby Product'!H67+'INDCONSby Product'!H68)&gt;0,MIN(I197-I263-I264,'INDCONSby Product'!H67+'INDCONSby Product'!H68),0)</f>
        <v>0</v>
      </c>
      <c r="J265" s="651">
        <f>IF(('INDCONSby Product'!I67+'INDCONSby Product'!I68)&gt;0,MIN(J197-J263-J264,'INDCONSby Product'!I67+'INDCONSby Product'!I68),0)</f>
        <v>0</v>
      </c>
      <c r="K265" s="651">
        <f>IF(('INDCONSby Product'!J67+'INDCONSby Product'!J68)&gt;0,MIN(K197-K263-K264,'INDCONSby Product'!J67+'INDCONSby Product'!J68),0)</f>
        <v>0</v>
      </c>
      <c r="L265" s="651">
        <f>IF(('INDCONSby Product'!K67+'INDCONSby Product'!K68)&gt;0,MIN(L197-L263-L264,'INDCONSby Product'!K67+'INDCONSby Product'!K68),0)</f>
        <v>0.09</v>
      </c>
      <c r="M265" s="651">
        <f>IF(('INDCONSby Product'!L67+'INDCONSby Product'!L68)&gt;0,MIN(M197-M263-M264,'INDCONSby Product'!L67+'INDCONSby Product'!L68),0)</f>
        <v>0</v>
      </c>
      <c r="N265" s="651">
        <f>IF(('INDCONSby Product'!M67+'INDCONSby Product'!M68)&gt;0,MIN(N197-N263-N264,'INDCONSby Product'!M67+'INDCONSby Product'!M68),0)</f>
        <v>0.42799999999999999</v>
      </c>
      <c r="O265" s="651">
        <f>IF(('INDCONSby Product'!N67+'INDCONSby Product'!N68)&gt;0,MIN(O197-O263-O264,'INDCONSby Product'!N67+'INDCONSby Product'!N68),0)</f>
        <v>0</v>
      </c>
      <c r="P265" s="651">
        <f>IF(('INDCONSby Product'!O67+'INDCONSby Product'!O68)&gt;0,MIN(P197-P263-P264,'INDCONSby Product'!O67+'INDCONSby Product'!O68),0)</f>
        <v>0</v>
      </c>
      <c r="Q265" s="651">
        <f>IF(('INDCONSby Product'!P67+'INDCONSby Product'!P68)&gt;0,MIN(Q197-Q263-Q264,'INDCONSby Product'!P67+'INDCONSby Product'!P68),0)</f>
        <v>0</v>
      </c>
      <c r="R265" s="651">
        <f>IF(('INDCONSby Product'!Q67+'INDCONSby Product'!Q68)&gt;0,MIN(R197-R263-R264,'INDCONSby Product'!Q67+'INDCONSby Product'!Q68),0)</f>
        <v>0.9957068984617683</v>
      </c>
      <c r="S265" s="651">
        <f>IF(('INDCONSby Product'!R67+'INDCONSby Product'!R68)&gt;0,MIN(S197-S263-S264,'INDCONSby Product'!R67+'INDCONSby Product'!R68),0)</f>
        <v>0</v>
      </c>
      <c r="T265" s="651">
        <f>IF(('INDCONSby Product'!S67+'INDCONSby Product'!S68)&gt;0,MIN(T197-T263-T264,'INDCONSby Product'!S67+'INDCONSby Product'!S68),0)</f>
        <v>0</v>
      </c>
      <c r="U265" s="651">
        <f>IF(('INDCONSby Product'!T67+'INDCONSby Product'!T68)&gt;0,MIN(U197-U263-U264,'INDCONSby Product'!T67+'INDCONSby Product'!T68),0)</f>
        <v>0</v>
      </c>
      <c r="V265" s="651">
        <f>IF(('INDCONSby Product'!U67+'INDCONSby Product'!U68)&gt;0,MIN(V197-V263-V264,'INDCONSby Product'!U67+'INDCONSby Product'!U68),0)</f>
        <v>0</v>
      </c>
      <c r="W265" s="651">
        <f>IF(('INDCONSby Product'!V67+'INDCONSby Product'!V68)&gt;0,MIN(W197-W263-W264,'INDCONSby Product'!V67+'INDCONSby Product'!V68),0)</f>
        <v>0</v>
      </c>
      <c r="X265" s="651">
        <f>IF(('INDCONSby Product'!W67+'INDCONSby Product'!W68)&gt;0,MIN(X197-X263-X264,'INDCONSby Product'!W67+'INDCONSby Product'!W68),0)</f>
        <v>0</v>
      </c>
      <c r="Y265" s="651">
        <f>IF(('INDCONSby Product'!X67+'INDCONSby Product'!X68)&gt;0,MIN(Y197-Y263-Y264,'INDCONSby Product'!X67+'INDCONSby Product'!X68),0)</f>
        <v>55.508999999999993</v>
      </c>
      <c r="Z265" s="651">
        <f>IF(('INDCONSby Product'!Y67+'INDCONSby Product'!Y68)&gt;0,MIN(Z197-Z263-Z264,'INDCONSby Product'!Y67+'INDCONSby Product'!Y68),0)</f>
        <v>0</v>
      </c>
      <c r="AA265" s="651">
        <f>IF(('INDCONSby Product'!Z67+'INDCONSby Product'!Z68)&gt;0,MIN(AA197-AA263-AA264,'INDCONSby Product'!Z67+'INDCONSby Product'!Z68),0)</f>
        <v>0</v>
      </c>
      <c r="AB265" s="651">
        <f>IF(('INDCONSby Product'!AA67+'INDCONSby Product'!AA68)&gt;0,MIN(AB197-AB263-AB264,'INDCONSby Product'!AA67+'INDCONSby Product'!AA68),0)</f>
        <v>0</v>
      </c>
      <c r="AC265" s="651">
        <f>IF(('INDCONSby Product'!AB67+'INDCONSby Product'!AB68)&gt;0,MIN(AC197-AC263-AC264,'INDCONSby Product'!AB67+'INDCONSby Product'!AB68),0)</f>
        <v>2.1999999999999999E-2</v>
      </c>
      <c r="AD265" s="651">
        <f>IF(('INDCONSby Product'!AC67+'INDCONSby Product'!AC68)&gt;0,MIN(AD197-AD263-AD264,'INDCONSby Product'!AC67+'INDCONSby Product'!AC68),0)</f>
        <v>0</v>
      </c>
      <c r="AE265" s="651">
        <f>IF(('INDCONSby Product'!AD67+'INDCONSby Product'!AD68)&gt;0,MIN(AE197-AE263-AE264,'INDCONSby Product'!AD67+'INDCONSby Product'!AD68),0)</f>
        <v>0</v>
      </c>
      <c r="AF265" s="651">
        <f>IF(('INDCONSby Product'!AE67+'INDCONSby Product'!AE68)&gt;0,MIN(AF197-AF263-AF264,'INDCONSby Product'!AE67+'INDCONSby Product'!AE68),0)</f>
        <v>0</v>
      </c>
      <c r="AG265" s="651">
        <f>IF(('INDCONSby Product'!AF67+'INDCONSby Product'!AF68)&gt;0,MIN(AG197-AG263-AG264,'INDCONSby Product'!AF67+'INDCONSby Product'!AF68),0)</f>
        <v>0</v>
      </c>
      <c r="AH265" s="651">
        <f>IF(('INDCONSby Product'!AG67+'INDCONSby Product'!AG68)&gt;0,MIN(AH197-AH263-AH264,'INDCONSby Product'!AG67+'INDCONSby Product'!AG68),0)</f>
        <v>0</v>
      </c>
      <c r="AI265" s="164"/>
      <c r="AJ265" s="164"/>
      <c r="AK265" s="164"/>
      <c r="AL265" s="164"/>
      <c r="AM265" s="164"/>
      <c r="AN265" s="164"/>
      <c r="AO265" s="164"/>
      <c r="AP265" s="164"/>
      <c r="AQ265" s="164"/>
      <c r="AR265" s="164"/>
      <c r="AS265" s="164"/>
      <c r="AT265" s="164"/>
      <c r="AU265" s="164"/>
      <c r="AV265" s="164"/>
      <c r="AW265" s="164"/>
      <c r="AX265" s="164"/>
      <c r="AY265" s="164"/>
      <c r="AZ265" s="164"/>
      <c r="BA265" s="164"/>
      <c r="BB265" s="164"/>
      <c r="BC265" s="164"/>
      <c r="BD265" s="164"/>
      <c r="BE265" s="164"/>
      <c r="BF265" s="164"/>
      <c r="BG265" s="164"/>
      <c r="BH265" s="164"/>
      <c r="BI265" s="164"/>
      <c r="BJ265" s="164"/>
      <c r="BK265" s="164"/>
      <c r="BL265" s="164"/>
      <c r="BM265" s="164"/>
      <c r="BN265" s="164"/>
      <c r="BO265" s="164"/>
    </row>
    <row r="266" spans="1:67" s="181" customFormat="1">
      <c r="A266" s="599" t="s">
        <v>461</v>
      </c>
      <c r="B266" s="599"/>
      <c r="C266" s="649" t="s">
        <v>414</v>
      </c>
      <c r="D266" s="651">
        <f t="shared" si="216"/>
        <v>21.797953134112838</v>
      </c>
      <c r="E266" s="651">
        <f>IF(('INDCONSby Product'!D55+'INDCONSby Product'!D56)&gt;0,MIN(E197-E263-E265-E264,'INDCONSby Product'!D55+'INDCONSby Product'!D56),0)</f>
        <v>2.9226456789972728</v>
      </c>
      <c r="F266" s="651">
        <f>IF(('INDCONSby Product'!E55+'INDCONSby Product'!E56)&gt;0,MIN(F197-F263-F265-F264,'INDCONSby Product'!E55+'INDCONSby Product'!E56),0)</f>
        <v>0</v>
      </c>
      <c r="G266" s="651">
        <f>IF(('INDCONSby Product'!F55+'INDCONSby Product'!F56)&gt;0,MIN(G197-G263-G265-G264,'INDCONSby Product'!F55+'INDCONSby Product'!F56),0)</f>
        <v>0</v>
      </c>
      <c r="H266" s="651">
        <f>IF(('INDCONSby Product'!G55+'INDCONSby Product'!G56)&gt;0,MIN(H197-H263-H265-H264,'INDCONSby Product'!G55+'INDCONSby Product'!G56),0)</f>
        <v>0</v>
      </c>
      <c r="I266" s="651">
        <f>IF(('INDCONSby Product'!H55+'INDCONSby Product'!H56)&gt;0,MIN(I197-I263-I265-I264,'INDCONSby Product'!H55+'INDCONSby Product'!H56),0)</f>
        <v>0</v>
      </c>
      <c r="J266" s="651">
        <f>IF(('INDCONSby Product'!I55+'INDCONSby Product'!I56)&gt;0,MIN(J197-J263-J265-J264,'INDCONSby Product'!I55+'INDCONSby Product'!I56),0)</f>
        <v>0</v>
      </c>
      <c r="K266" s="651">
        <f>IF(('INDCONSby Product'!J55+'INDCONSby Product'!J56)&gt;0,MIN(K197-K263-K265-K264,'INDCONSby Product'!J55+'INDCONSby Product'!J56),0)</f>
        <v>0</v>
      </c>
      <c r="L266" s="651">
        <f>IF(('INDCONSby Product'!K55+'INDCONSby Product'!K56)&gt;0,MIN(L197-L263-L265-L264,'INDCONSby Product'!K55+'INDCONSby Product'!K56),0)</f>
        <v>0</v>
      </c>
      <c r="M266" s="651">
        <f>IF(('INDCONSby Product'!L55+'INDCONSby Product'!L56)&gt;0,MIN(M197-M263-M265-M264,'INDCONSby Product'!L55+'INDCONSby Product'!L56),0)</f>
        <v>0</v>
      </c>
      <c r="N266" s="651">
        <f>IF(('INDCONSby Product'!M55+'INDCONSby Product'!M56)&gt;0,MIN(N197-N263-N265-N264,'INDCONSby Product'!M55+'INDCONSby Product'!M56),0)</f>
        <v>5.0840185158440576</v>
      </c>
      <c r="O266" s="651">
        <f>IF(('INDCONSby Product'!N55+'INDCONSby Product'!N56)&gt;0,MIN(O197-O263-O265-O264,'INDCONSby Product'!N55+'INDCONSby Product'!N56),0)</f>
        <v>0</v>
      </c>
      <c r="P266" s="651">
        <f>IF(('INDCONSby Product'!O55+'INDCONSby Product'!O56)&gt;0,MIN(P197-P263-P265-P264,'INDCONSby Product'!O55+'INDCONSby Product'!O56),0)</f>
        <v>0</v>
      </c>
      <c r="Q266" s="651">
        <f>IF(('INDCONSby Product'!P55+'INDCONSby Product'!P56)&gt;0,MIN(Q197-Q263-Q265-Q264,'INDCONSby Product'!P55+'INDCONSby Product'!P56),0)</f>
        <v>0</v>
      </c>
      <c r="R266" s="651">
        <f>IF(('INDCONSby Product'!Q55+'INDCONSby Product'!Q56)&gt;0,MIN(R197-R263-R265-R264,'INDCONSby Product'!Q55+'INDCONSby Product'!Q56),0)</f>
        <v>0</v>
      </c>
      <c r="S266" s="651">
        <f>IF(('INDCONSby Product'!R55+'INDCONSby Product'!R56)&gt;0,MIN(S197-S263-S265-S264,'INDCONSby Product'!R55+'INDCONSby Product'!R56),0)</f>
        <v>0</v>
      </c>
      <c r="T266" s="651">
        <f>IF(('INDCONSby Product'!S55+'INDCONSby Product'!S56)&gt;0,MIN(T197-T263-T265-T264,'INDCONSby Product'!S55+'INDCONSby Product'!S56),0)</f>
        <v>0</v>
      </c>
      <c r="U266" s="651">
        <f>IF(('INDCONSby Product'!T55+'INDCONSby Product'!T56)&gt;0,MIN(U197-U263-U265-U264,'INDCONSby Product'!T55+'INDCONSby Product'!T56),0)</f>
        <v>0</v>
      </c>
      <c r="V266" s="651">
        <f>IF(('INDCONSby Product'!U55+'INDCONSby Product'!U56)&gt;0,MIN(V197-V263-V265-V264,'INDCONSby Product'!U55+'INDCONSby Product'!U56),0)</f>
        <v>0</v>
      </c>
      <c r="W266" s="651">
        <f>IF(('INDCONSby Product'!V55+'INDCONSby Product'!V56)&gt;0,MIN(W197-W263-W265-W264,'INDCONSby Product'!V55+'INDCONSby Product'!V56),0)</f>
        <v>0</v>
      </c>
      <c r="X266" s="651">
        <f>IF(('INDCONSby Product'!W55+'INDCONSby Product'!W56)&gt;0,MIN(X197-X263-X265-X264,'INDCONSby Product'!W55+'INDCONSby Product'!W56),0)</f>
        <v>0</v>
      </c>
      <c r="Y266" s="651">
        <f>IF(('INDCONSby Product'!X55+'INDCONSby Product'!X56)&gt;0,MIN(Y197-Y263-Y265-Y264,'INDCONSby Product'!X55+'INDCONSby Product'!X56),0)</f>
        <v>12.392830138908916</v>
      </c>
      <c r="Z266" s="651">
        <f>IF(('INDCONSby Product'!Y55+'INDCONSby Product'!Y56)&gt;0,MIN(Z197-Z263-Z265-Z264,'INDCONSby Product'!Y55+'INDCONSby Product'!Y56),0)</f>
        <v>0</v>
      </c>
      <c r="AA266" s="651">
        <f>IF(('INDCONSby Product'!Z55+'INDCONSby Product'!Z56)&gt;0,MIN(AA197-AA263-AA265-AA264,'INDCONSby Product'!Z55+'INDCONSby Product'!Z56),0)</f>
        <v>0</v>
      </c>
      <c r="AB266" s="651">
        <f>IF(('INDCONSby Product'!AA55+'INDCONSby Product'!AA56)&gt;0,MIN(AB197-AB263-AB265-AB264,'INDCONSby Product'!AA55+'INDCONSby Product'!AA56),0)</f>
        <v>0</v>
      </c>
      <c r="AC266" s="651">
        <f>IF(('INDCONSby Product'!AB55+'INDCONSby Product'!AB56)&gt;0,MIN(AC197-AC263-AC265-AC264,'INDCONSby Product'!AB55+'INDCONSby Product'!AB56),0)</f>
        <v>1.3984588003625893</v>
      </c>
      <c r="AD266" s="651">
        <f>IF(('INDCONSby Product'!AC55+'INDCONSby Product'!AC56)&gt;0,MIN(AD197-AD263-AD265-AD264,'INDCONSby Product'!AC55+'INDCONSby Product'!AC56),0)</f>
        <v>0</v>
      </c>
      <c r="AE266" s="651">
        <f>IF(('INDCONSby Product'!AD55+'INDCONSby Product'!AD56)&gt;0,MIN(AE197-AE263-AE265-AE264,'INDCONSby Product'!AD55+'INDCONSby Product'!AD56),0)</f>
        <v>0</v>
      </c>
      <c r="AF266" s="651">
        <f>IF(('INDCONSby Product'!AE55+'INDCONSby Product'!AE56)&gt;0,MIN(AF197-AF263-AF265-AF264,'INDCONSby Product'!AE55+'INDCONSby Product'!AE56),0)</f>
        <v>0</v>
      </c>
      <c r="AG266" s="651">
        <f>IF(('INDCONSby Product'!AF55+'INDCONSby Product'!AF56)&gt;0,MIN(AG197-AG263-AG265-AG264,'INDCONSby Product'!AF55+'INDCONSby Product'!AF56),0)</f>
        <v>0</v>
      </c>
      <c r="AH266" s="651">
        <f>IF(('INDCONSby Product'!AG55+'INDCONSby Product'!AG56)&gt;0,MIN(AH197-AH263-AH265-AH264,'INDCONSby Product'!AG55+'INDCONSby Product'!AG56),0)</f>
        <v>0</v>
      </c>
      <c r="AI266" s="164"/>
      <c r="AJ266" s="164"/>
      <c r="AK266" s="164"/>
      <c r="AL266" s="164"/>
      <c r="AM266" s="164"/>
      <c r="AN266" s="164"/>
      <c r="AO266" s="164"/>
      <c r="AP266" s="164"/>
      <c r="AQ266" s="164"/>
      <c r="AR266" s="164"/>
      <c r="AS266" s="164"/>
      <c r="AT266" s="164"/>
      <c r="AU266" s="164"/>
      <c r="AV266" s="164"/>
      <c r="AW266" s="164"/>
      <c r="AX266" s="164"/>
      <c r="AY266" s="164"/>
      <c r="AZ266" s="164"/>
      <c r="BA266" s="164"/>
      <c r="BB266" s="164"/>
      <c r="BC266" s="164"/>
      <c r="BD266" s="164"/>
      <c r="BE266" s="164"/>
      <c r="BF266" s="164"/>
      <c r="BG266" s="164"/>
      <c r="BH266" s="164"/>
      <c r="BI266" s="164"/>
      <c r="BJ266" s="164"/>
      <c r="BK266" s="164"/>
      <c r="BL266" s="164"/>
      <c r="BM266" s="164"/>
      <c r="BN266" s="164"/>
      <c r="BO266" s="164"/>
    </row>
    <row r="267" spans="1:67" s="181" customFormat="1">
      <c r="A267" s="599" t="s">
        <v>461</v>
      </c>
      <c r="B267" s="599"/>
      <c r="C267" s="650" t="s">
        <v>344</v>
      </c>
      <c r="D267" s="651"/>
      <c r="E267" s="651">
        <f t="shared" ref="E267:AH267" si="220">E197-E263-E264-E265-E266</f>
        <v>0</v>
      </c>
      <c r="F267" s="651">
        <f t="shared" si="220"/>
        <v>0</v>
      </c>
      <c r="G267" s="651">
        <f t="shared" si="220"/>
        <v>0</v>
      </c>
      <c r="H267" s="651">
        <f t="shared" si="220"/>
        <v>0</v>
      </c>
      <c r="I267" s="651">
        <f t="shared" si="220"/>
        <v>0</v>
      </c>
      <c r="J267" s="651">
        <f t="shared" si="220"/>
        <v>0</v>
      </c>
      <c r="K267" s="651">
        <f t="shared" si="220"/>
        <v>0</v>
      </c>
      <c r="L267" s="651">
        <f t="shared" si="220"/>
        <v>0.48385968060252627</v>
      </c>
      <c r="M267" s="651">
        <f t="shared" si="220"/>
        <v>0</v>
      </c>
      <c r="N267" s="651">
        <f t="shared" si="220"/>
        <v>0</v>
      </c>
      <c r="O267" s="651">
        <f t="shared" si="220"/>
        <v>0</v>
      </c>
      <c r="P267" s="651">
        <f t="shared" si="220"/>
        <v>0</v>
      </c>
      <c r="Q267" s="651">
        <f t="shared" si="220"/>
        <v>0</v>
      </c>
      <c r="R267" s="651">
        <f t="shared" si="220"/>
        <v>0</v>
      </c>
      <c r="S267" s="651">
        <f t="shared" si="220"/>
        <v>0</v>
      </c>
      <c r="T267" s="651">
        <f t="shared" si="220"/>
        <v>0</v>
      </c>
      <c r="U267" s="651">
        <f t="shared" si="220"/>
        <v>0</v>
      </c>
      <c r="V267" s="651">
        <f t="shared" si="220"/>
        <v>0</v>
      </c>
      <c r="W267" s="651">
        <f t="shared" si="220"/>
        <v>0</v>
      </c>
      <c r="X267" s="651">
        <f t="shared" si="220"/>
        <v>0</v>
      </c>
      <c r="Y267" s="651">
        <f t="shared" si="220"/>
        <v>0</v>
      </c>
      <c r="Z267" s="651">
        <f t="shared" si="220"/>
        <v>0</v>
      </c>
      <c r="AA267" s="651">
        <f t="shared" si="220"/>
        <v>0</v>
      </c>
      <c r="AB267" s="651">
        <f t="shared" si="220"/>
        <v>0</v>
      </c>
      <c r="AC267" s="651">
        <f t="shared" si="220"/>
        <v>0</v>
      </c>
      <c r="AD267" s="651">
        <f t="shared" si="220"/>
        <v>0</v>
      </c>
      <c r="AE267" s="651">
        <f t="shared" si="220"/>
        <v>0</v>
      </c>
      <c r="AF267" s="651">
        <f t="shared" si="220"/>
        <v>0</v>
      </c>
      <c r="AG267" s="651">
        <f t="shared" si="220"/>
        <v>0</v>
      </c>
      <c r="AH267" s="651">
        <f t="shared" si="220"/>
        <v>0</v>
      </c>
      <c r="AI267" s="164"/>
      <c r="AJ267" s="164"/>
      <c r="AK267" s="164"/>
      <c r="AL267" s="164"/>
      <c r="AM267" s="164"/>
      <c r="AN267" s="164"/>
      <c r="AO267" s="164"/>
      <c r="AP267" s="164"/>
      <c r="AQ267" s="164"/>
      <c r="AR267" s="164"/>
      <c r="AS267" s="164"/>
      <c r="AT267" s="164"/>
      <c r="AU267" s="164"/>
      <c r="AV267" s="164"/>
      <c r="AW267" s="164"/>
      <c r="AX267" s="164"/>
      <c r="AY267" s="164"/>
      <c r="AZ267" s="164"/>
      <c r="BA267" s="164"/>
      <c r="BB267" s="164"/>
      <c r="BC267" s="164"/>
      <c r="BD267" s="164"/>
      <c r="BE267" s="164"/>
      <c r="BF267" s="164"/>
      <c r="BG267" s="164"/>
      <c r="BH267" s="164"/>
      <c r="BI267" s="164"/>
      <c r="BJ267" s="164"/>
      <c r="BK267" s="164"/>
      <c r="BL267" s="164"/>
      <c r="BM267" s="164"/>
      <c r="BN267" s="164"/>
      <c r="BO267" s="164"/>
    </row>
    <row r="268" spans="1:67" s="181" customFormat="1">
      <c r="A268" s="599" t="s">
        <v>461</v>
      </c>
      <c r="B268" s="599"/>
      <c r="C268" s="649" t="s">
        <v>335</v>
      </c>
      <c r="D268" s="651">
        <f t="shared" si="216"/>
        <v>237.92912405217331</v>
      </c>
      <c r="E268" s="651">
        <f>IF('INDCONSby Product'!D60&gt;0,MIN(E201,'INDCONSby Product'!D60),0)</f>
        <v>16.437000000000001</v>
      </c>
      <c r="F268" s="651">
        <f>IF('INDCONSby Product'!E60&gt;0,MIN(F201,'INDCONSby Product'!E60),0)</f>
        <v>1.7999171544349994</v>
      </c>
      <c r="G268" s="651">
        <f>IF('INDCONSby Product'!F60&gt;0,MIN(G201,'INDCONSby Product'!F60),0)</f>
        <v>0</v>
      </c>
      <c r="H268" s="651">
        <f>IF('INDCONSby Product'!G60&gt;0,MIN(H201,'INDCONSby Product'!G60),0)</f>
        <v>0</v>
      </c>
      <c r="I268" s="651">
        <f>IF('INDCONSby Product'!H60&gt;0,MIN(I201,'INDCONSby Product'!H60),0)</f>
        <v>9.7530000000000001</v>
      </c>
      <c r="J268" s="651">
        <f>IF('INDCONSby Product'!I60&gt;0,MIN(J201,'INDCONSby Product'!I60),0)</f>
        <v>0</v>
      </c>
      <c r="K268" s="651">
        <f>IF('INDCONSby Product'!J60&gt;0,MIN(K201,'INDCONSby Product'!J60),0)</f>
        <v>0</v>
      </c>
      <c r="L268" s="651">
        <f>IF('INDCONSby Product'!K60&gt;0,MIN(L201,'INDCONSby Product'!K60),0)</f>
        <v>8.3736000000000005E-2</v>
      </c>
      <c r="M268" s="651">
        <f>IF('INDCONSby Product'!L60&gt;0,MIN(M201,'INDCONSby Product'!L60),0)</f>
        <v>13.423135588765405</v>
      </c>
      <c r="N268" s="651">
        <f>IF('INDCONSby Product'!M60&gt;0,MIN(N201,'INDCONSby Product'!M60),0)</f>
        <v>103.30837673324919</v>
      </c>
      <c r="O268" s="651">
        <f>IF('INDCONSby Product'!N60&gt;0,MIN(O201,'INDCONSby Product'!N60),0)</f>
        <v>23.231999999999999</v>
      </c>
      <c r="P268" s="651">
        <f>IF('INDCONSby Product'!O60&gt;0,MIN(P201,'INDCONSby Product'!O60),0)</f>
        <v>0</v>
      </c>
      <c r="Q268" s="651">
        <f>IF('INDCONSby Product'!P60&gt;0,MIN(Q201,'INDCONSby Product'!P60),0)</f>
        <v>0.18166295905983074</v>
      </c>
      <c r="R268" s="651">
        <f>IF('INDCONSby Product'!Q60&gt;0,MIN(R201,'INDCONSby Product'!Q60),0)</f>
        <v>0</v>
      </c>
      <c r="S268" s="651">
        <f>IF('INDCONSby Product'!R60&gt;0,MIN(S201,'INDCONSby Product'!R60),0)</f>
        <v>0</v>
      </c>
      <c r="T268" s="651">
        <f>IF('INDCONSby Product'!S60&gt;0,MIN(T201,'INDCONSby Product'!S60),0)</f>
        <v>0</v>
      </c>
      <c r="U268" s="651">
        <f>IF('INDCONSby Product'!T60&gt;0,MIN(U201,'INDCONSby Product'!T60),0)</f>
        <v>0</v>
      </c>
      <c r="V268" s="651">
        <f>IF('INDCONSby Product'!U60&gt;0,MIN(V201,'INDCONSby Product'!U60),0)</f>
        <v>1.1129911105874343E-2</v>
      </c>
      <c r="W268" s="651">
        <f>IF('INDCONSby Product'!V60&gt;0,MIN(W201,'INDCONSby Product'!V60),0)</f>
        <v>0</v>
      </c>
      <c r="X268" s="651">
        <f>IF('INDCONSby Product'!W60&gt;0,MIN(X201,'INDCONSby Product'!W60),0)</f>
        <v>0</v>
      </c>
      <c r="Y268" s="651">
        <f>IF('INDCONSby Product'!X60&gt;0,MIN(Y201,'INDCONSby Product'!X60),0)</f>
        <v>12.270068886580724</v>
      </c>
      <c r="Z268" s="651">
        <f>IF('INDCONSby Product'!Y60&gt;0,MIN(Z201,'INDCONSby Product'!Y60),0)</f>
        <v>5.6408875061903023</v>
      </c>
      <c r="AA268" s="651">
        <f>IF('INDCONSby Product'!Z60&gt;0,MIN(AA201,'INDCONSby Product'!Z60),0)</f>
        <v>9.9851911468812823E-3</v>
      </c>
      <c r="AB268" s="651">
        <f>IF('INDCONSby Product'!AA60&gt;0,MIN(AB201,'INDCONSby Product'!AA60),0)</f>
        <v>49.252894847309577</v>
      </c>
      <c r="AC268" s="651">
        <f>IF('INDCONSby Product'!AB60&gt;0,MIN(AC201,'INDCONSby Product'!AB60),0)</f>
        <v>1.9339999999999999</v>
      </c>
      <c r="AD268" s="651">
        <f>IF('INDCONSby Product'!AC60&gt;0,MIN(AD201,'INDCONSby Product'!AC60),0)</f>
        <v>0.25409453197405008</v>
      </c>
      <c r="AE268" s="651">
        <f>IF('INDCONSby Product'!AD60&gt;0,MIN(AE201,'INDCONSby Product'!AD60),0)</f>
        <v>0</v>
      </c>
      <c r="AF268" s="651">
        <f>IF('INDCONSby Product'!AE60&gt;0,MIN(AF201,'INDCONSby Product'!AE60),0)</f>
        <v>0.3372347423564625</v>
      </c>
      <c r="AG268" s="651">
        <f>IF('INDCONSby Product'!AF60&gt;0,MIN(AG201,'INDCONSby Product'!AF60),0)</f>
        <v>0</v>
      </c>
      <c r="AH268" s="651">
        <f>IF('INDCONSby Product'!AG60&gt;0,MIN(AH201,'INDCONSby Product'!AG60),0)</f>
        <v>0</v>
      </c>
      <c r="AI268" s="164"/>
      <c r="AJ268" s="164"/>
      <c r="AK268" s="164"/>
      <c r="AL268" s="164"/>
      <c r="AM268" s="164"/>
      <c r="AN268" s="164"/>
      <c r="AO268" s="164"/>
      <c r="AP268" s="164"/>
      <c r="AQ268" s="164"/>
      <c r="AR268" s="164"/>
      <c r="AS268" s="164"/>
      <c r="AT268" s="164"/>
      <c r="AU268" s="164"/>
      <c r="AV268" s="164"/>
      <c r="AW268" s="164"/>
      <c r="AX268" s="164"/>
      <c r="AY268" s="164"/>
      <c r="AZ268" s="164"/>
      <c r="BA268" s="164"/>
      <c r="BB268" s="164"/>
      <c r="BC268" s="164"/>
      <c r="BD268" s="164"/>
      <c r="BE268" s="164"/>
      <c r="BF268" s="164"/>
      <c r="BG268" s="164"/>
      <c r="BH268" s="164"/>
      <c r="BI268" s="164"/>
      <c r="BJ268" s="164"/>
      <c r="BK268" s="164"/>
      <c r="BL268" s="164"/>
      <c r="BM268" s="164"/>
      <c r="BN268" s="164"/>
      <c r="BO268" s="164"/>
    </row>
    <row r="269" spans="1:67" s="181" customFormat="1">
      <c r="A269" s="599" t="s">
        <v>461</v>
      </c>
      <c r="B269" s="599"/>
      <c r="C269" s="649" t="s">
        <v>336</v>
      </c>
      <c r="D269" s="651">
        <f t="shared" si="216"/>
        <v>66.938520223174891</v>
      </c>
      <c r="E269" s="651">
        <f>IF('INDCONSby Product'!D72&gt;0,MIN(E201-E268,'INDCONSby Product'!D72),0)</f>
        <v>9.0539999999999985</v>
      </c>
      <c r="F269" s="651">
        <f>IF('INDCONSby Product'!E72&gt;0,MIN(F201-F268,'INDCONSby Product'!E72),0)</f>
        <v>0</v>
      </c>
      <c r="G269" s="651">
        <f>IF('INDCONSby Product'!F72&gt;0,MIN(G201-G268,'INDCONSby Product'!F72),0)</f>
        <v>0</v>
      </c>
      <c r="H269" s="651">
        <f>IF('INDCONSby Product'!G72&gt;0,MIN(H201-H268,'INDCONSby Product'!G72),0)</f>
        <v>0</v>
      </c>
      <c r="I269" s="651">
        <f>IF('INDCONSby Product'!H72&gt;0,MIN(I201-I268,'INDCONSby Product'!H72),0)</f>
        <v>5.0056343517952318</v>
      </c>
      <c r="J269" s="651">
        <f>IF('INDCONSby Product'!I72&gt;0,MIN(J201-J268,'INDCONSby Product'!I72),0)</f>
        <v>18.416613154838295</v>
      </c>
      <c r="K269" s="651">
        <f>IF('INDCONSby Product'!J72&gt;0,MIN(K201-K268,'INDCONSby Product'!J72),0)</f>
        <v>3.3596479732168505E-2</v>
      </c>
      <c r="L269" s="651">
        <f>IF('INDCONSby Product'!K72&gt;0,MIN(L201-L268,'INDCONSby Product'!K72),0)</f>
        <v>0.19367484085998896</v>
      </c>
      <c r="M269" s="651">
        <f>IF('INDCONSby Product'!L72&gt;0,MIN(M201-M268,'INDCONSby Product'!L72),0)</f>
        <v>0</v>
      </c>
      <c r="N269" s="651">
        <f>IF('INDCONSby Product'!M72&gt;0,MIN(N201-N268,'INDCONSby Product'!M72),0)</f>
        <v>0</v>
      </c>
      <c r="O269" s="651">
        <f>IF('INDCONSby Product'!N72&gt;0,MIN(O201-O268,'INDCONSby Product'!N72),0)</f>
        <v>26.115025031311845</v>
      </c>
      <c r="P269" s="651">
        <f>IF('INDCONSby Product'!O72&gt;0,MIN(P201-P268,'INDCONSby Product'!O72),0)</f>
        <v>5</v>
      </c>
      <c r="Q269" s="651">
        <f>IF('INDCONSby Product'!P72&gt;0,MIN(Q201-Q268,'INDCONSby Product'!P72),0)</f>
        <v>0</v>
      </c>
      <c r="R269" s="651">
        <f>IF('INDCONSby Product'!Q72&gt;0,MIN(R201-R268,'INDCONSby Product'!Q72),0)</f>
        <v>0</v>
      </c>
      <c r="S269" s="651">
        <f>IF('INDCONSby Product'!R72&gt;0,MIN(S201-S268,'INDCONSby Product'!R72),0)</f>
        <v>0</v>
      </c>
      <c r="T269" s="651">
        <f>IF('INDCONSby Product'!S72&gt;0,MIN(T201-T268,'INDCONSby Product'!S72),0)</f>
        <v>1.4026129453003995</v>
      </c>
      <c r="U269" s="651">
        <f>IF('INDCONSby Product'!T72&gt;0,MIN(U201-U268,'INDCONSby Product'!T72),0)</f>
        <v>0</v>
      </c>
      <c r="V269" s="651">
        <f>IF('INDCONSby Product'!U72&gt;0,MIN(V201-V268,'INDCONSby Product'!U72),0)</f>
        <v>0</v>
      </c>
      <c r="W269" s="651">
        <f>IF('INDCONSby Product'!V72&gt;0,MIN(W201-W268,'INDCONSby Product'!V72),0)</f>
        <v>0</v>
      </c>
      <c r="X269" s="651">
        <f>IF('INDCONSby Product'!W72&gt;0,MIN(X201-X268,'INDCONSby Product'!W72),0)</f>
        <v>0</v>
      </c>
      <c r="Y269" s="651">
        <f>IF('INDCONSby Product'!X72&gt;0,MIN(Y201-Y268,'INDCONSby Product'!X72),0)</f>
        <v>0</v>
      </c>
      <c r="Z269" s="651">
        <f>IF('INDCONSby Product'!Y72&gt;0,MIN(Z201-Z268,'INDCONSby Product'!Y72),0)</f>
        <v>0</v>
      </c>
      <c r="AA269" s="651">
        <f>IF('INDCONSby Product'!Z72&gt;0,MIN(AA201-AA268,'INDCONSby Product'!Z72),0)</f>
        <v>0</v>
      </c>
      <c r="AB269" s="651">
        <f>IF('INDCONSby Product'!AA72&gt;0,MIN(AB201-AB268,'INDCONSby Product'!AA72),0)</f>
        <v>0</v>
      </c>
      <c r="AC269" s="651">
        <f>IF('INDCONSby Product'!AB72&gt;0,MIN(AC201-AC268,'INDCONSby Product'!AB72),0)</f>
        <v>1.7173634193369616</v>
      </c>
      <c r="AD269" s="651">
        <f>IF('INDCONSby Product'!AC72&gt;0,MIN(AD201-AD268,'INDCONSby Product'!AC72),0)</f>
        <v>0</v>
      </c>
      <c r="AE269" s="651">
        <f>IF('INDCONSby Product'!AD72&gt;0,MIN(AE201-AE268,'INDCONSby Product'!AD72),0)</f>
        <v>0</v>
      </c>
      <c r="AF269" s="651">
        <f>IF('INDCONSby Product'!AE72&gt;0,MIN(AF201-AF268,'INDCONSby Product'!AE72),0)</f>
        <v>0</v>
      </c>
      <c r="AG269" s="651">
        <f>IF('INDCONSby Product'!AF72&gt;0,MIN(AG201-AG268,'INDCONSby Product'!AF72),0)</f>
        <v>0</v>
      </c>
      <c r="AH269" s="651">
        <f>IF('INDCONSby Product'!AG72&gt;0,MIN(AH201-AH268,'INDCONSby Product'!AG72),0)</f>
        <v>0</v>
      </c>
      <c r="AI269" s="164"/>
      <c r="AJ269" s="164"/>
      <c r="AK269" s="164"/>
      <c r="AL269" s="164"/>
      <c r="AM269" s="164"/>
      <c r="AN269" s="164"/>
      <c r="AO269" s="164"/>
      <c r="AP269" s="164"/>
      <c r="AQ269" s="164"/>
      <c r="AR269" s="164"/>
      <c r="AS269" s="164"/>
      <c r="AT269" s="164"/>
      <c r="AU269" s="164"/>
      <c r="AV269" s="164"/>
      <c r="AW269" s="164"/>
      <c r="AX269" s="164"/>
      <c r="AY269" s="164"/>
      <c r="AZ269" s="164"/>
      <c r="BA269" s="164"/>
      <c r="BB269" s="164"/>
      <c r="BC269" s="164"/>
      <c r="BD269" s="164"/>
      <c r="BE269" s="164"/>
      <c r="BF269" s="164"/>
      <c r="BG269" s="164"/>
      <c r="BH269" s="164"/>
      <c r="BI269" s="164"/>
      <c r="BJ269" s="164"/>
      <c r="BK269" s="164"/>
      <c r="BL269" s="164"/>
      <c r="BM269" s="164"/>
      <c r="BN269" s="164"/>
      <c r="BO269" s="164"/>
    </row>
    <row r="270" spans="1:67" s="181" customFormat="1">
      <c r="A270" s="599" t="s">
        <v>461</v>
      </c>
      <c r="B270" s="599"/>
      <c r="C270" s="649" t="s">
        <v>353</v>
      </c>
      <c r="D270" s="651">
        <f t="shared" si="216"/>
        <v>1.353</v>
      </c>
      <c r="E270" s="651">
        <f>IF('INDCONSby Product'!D48&gt;0,MIN(E201-E269-E268,'INDCONSby Product'!D48),0)</f>
        <v>1.353</v>
      </c>
      <c r="F270" s="651">
        <f>IF('INDCONSby Product'!E48&gt;0,MIN(F201-F269-F268,'INDCONSby Product'!E48),0)</f>
        <v>0</v>
      </c>
      <c r="G270" s="651">
        <f>IF('INDCONSby Product'!F48&gt;0,MIN(G201-G269-G268,'INDCONSby Product'!F48),0)</f>
        <v>0</v>
      </c>
      <c r="H270" s="651">
        <f>IF('INDCONSby Product'!G48&gt;0,MIN(H201-H269-H268,'INDCONSby Product'!G48),0)</f>
        <v>0</v>
      </c>
      <c r="I270" s="651">
        <f>IF('INDCONSby Product'!H48&gt;0,MIN(I201-I269-I268,'INDCONSby Product'!H48),0)</f>
        <v>0</v>
      </c>
      <c r="J270" s="651">
        <f>IF('INDCONSby Product'!I48&gt;0,MIN(J201-J269-J268,'INDCONSby Product'!I48),0)</f>
        <v>0</v>
      </c>
      <c r="K270" s="651">
        <f>IF('INDCONSby Product'!J48&gt;0,MIN(K201-K269-K268,'INDCONSby Product'!J48),0)</f>
        <v>0</v>
      </c>
      <c r="L270" s="651">
        <f>IF('INDCONSby Product'!K48&gt;0,MIN(L201-L269-L268,'INDCONSby Product'!K48),0)</f>
        <v>0</v>
      </c>
      <c r="M270" s="651">
        <f>IF('INDCONSby Product'!L48&gt;0,MIN(M201-M269-M268,'INDCONSby Product'!L48),0)</f>
        <v>0</v>
      </c>
      <c r="N270" s="651">
        <f>IF('INDCONSby Product'!M48&gt;0,MIN(N201-N269-N268,'INDCONSby Product'!M48),0)</f>
        <v>0</v>
      </c>
      <c r="O270" s="651">
        <f>IF('INDCONSby Product'!N48&gt;0,MIN(O201-O269-O268,'INDCONSby Product'!N48),0)</f>
        <v>0</v>
      </c>
      <c r="P270" s="651">
        <f>IF('INDCONSby Product'!O48&gt;0,MIN(P201-P269-P268,'INDCONSby Product'!O48),0)</f>
        <v>0</v>
      </c>
      <c r="Q270" s="651">
        <f>IF('INDCONSby Product'!P48&gt;0,MIN(Q201-Q269-Q268,'INDCONSby Product'!P48),0)</f>
        <v>0</v>
      </c>
      <c r="R270" s="651">
        <f>IF('INDCONSby Product'!Q48&gt;0,MIN(R201-R269-R268,'INDCONSby Product'!Q48),0)</f>
        <v>0</v>
      </c>
      <c r="S270" s="651">
        <f>IF('INDCONSby Product'!R48&gt;0,MIN(S201-S269-S268,'INDCONSby Product'!R48),0)</f>
        <v>0</v>
      </c>
      <c r="T270" s="651">
        <f>IF('INDCONSby Product'!S48&gt;0,MIN(T201-T269-T268,'INDCONSby Product'!S48),0)</f>
        <v>0</v>
      </c>
      <c r="U270" s="651">
        <f>IF('INDCONSby Product'!T48&gt;0,MIN(U201-U269-U268,'INDCONSby Product'!T48),0)</f>
        <v>0</v>
      </c>
      <c r="V270" s="651">
        <f>IF('INDCONSby Product'!U48&gt;0,MIN(V201-V269-V268,'INDCONSby Product'!U48),0)</f>
        <v>0</v>
      </c>
      <c r="W270" s="651">
        <f>IF('INDCONSby Product'!V48&gt;0,MIN(W201-W269-W268,'INDCONSby Product'!V48),0)</f>
        <v>0</v>
      </c>
      <c r="X270" s="651">
        <f>IF('INDCONSby Product'!W48&gt;0,MIN(X201-X269-X268,'INDCONSby Product'!W48),0)</f>
        <v>0</v>
      </c>
      <c r="Y270" s="651">
        <f>IF('INDCONSby Product'!X48&gt;0,MIN(Y201-Y269-Y268,'INDCONSby Product'!X48),0)</f>
        <v>0</v>
      </c>
      <c r="Z270" s="651">
        <f>IF('INDCONSby Product'!Y48&gt;0,MIN(Z201-Z269-Z268,'INDCONSby Product'!Y48),0)</f>
        <v>0</v>
      </c>
      <c r="AA270" s="651">
        <f>IF('INDCONSby Product'!Z48&gt;0,MIN(AA201-AA269-AA268,'INDCONSby Product'!Z48),0)</f>
        <v>0</v>
      </c>
      <c r="AB270" s="651">
        <f>IF('INDCONSby Product'!AA48&gt;0,MIN(AB201-AB269-AB268,'INDCONSby Product'!AA48),0)</f>
        <v>0</v>
      </c>
      <c r="AC270" s="651">
        <f>IF('INDCONSby Product'!AB48&gt;0,MIN(AC201-AC269-AC268,'INDCONSby Product'!AB48),0)</f>
        <v>0</v>
      </c>
      <c r="AD270" s="651">
        <f>IF('INDCONSby Product'!AC48&gt;0,MIN(AD201-AD269-AD268,'INDCONSby Product'!AC48),0)</f>
        <v>0</v>
      </c>
      <c r="AE270" s="651">
        <f>IF('INDCONSby Product'!AD48&gt;0,MIN(AE201-AE269-AE268,'INDCONSby Product'!AD48),0)</f>
        <v>0</v>
      </c>
      <c r="AF270" s="651">
        <f>IF('INDCONSby Product'!AE48&gt;0,MIN(AF201-AF269-AF268,'INDCONSby Product'!AE48),0)</f>
        <v>0</v>
      </c>
      <c r="AG270" s="651">
        <f>IF('INDCONSby Product'!AF48&gt;0,MIN(AG201-AG269-AG268,'INDCONSby Product'!AF48),0)</f>
        <v>0</v>
      </c>
      <c r="AH270" s="651">
        <f>IF('INDCONSby Product'!AG48&gt;0,MIN(AH201-AH269-AH268,'INDCONSby Product'!AG48),0)</f>
        <v>0</v>
      </c>
      <c r="AI270" s="164"/>
      <c r="AJ270" s="164"/>
      <c r="AK270" s="164"/>
      <c r="AL270" s="164"/>
      <c r="AM270" s="164"/>
      <c r="AN270" s="164"/>
      <c r="AO270" s="164"/>
      <c r="AP270" s="164"/>
      <c r="AQ270" s="164"/>
      <c r="AR270" s="164"/>
      <c r="AS270" s="164"/>
      <c r="AT270" s="164"/>
      <c r="AU270" s="164"/>
      <c r="AV270" s="164"/>
      <c r="AW270" s="164"/>
      <c r="AX270" s="164"/>
      <c r="AY270" s="164"/>
      <c r="AZ270" s="164"/>
      <c r="BA270" s="164"/>
      <c r="BB270" s="164"/>
      <c r="BC270" s="164"/>
      <c r="BD270" s="164"/>
      <c r="BE270" s="164"/>
      <c r="BF270" s="164"/>
      <c r="BG270" s="164"/>
      <c r="BH270" s="164"/>
      <c r="BI270" s="164"/>
      <c r="BJ270" s="164"/>
      <c r="BK270" s="164"/>
      <c r="BL270" s="164"/>
      <c r="BM270" s="164"/>
      <c r="BN270" s="164"/>
      <c r="BO270" s="164"/>
    </row>
    <row r="271" spans="1:67" s="181" customFormat="1">
      <c r="A271" s="599" t="s">
        <v>461</v>
      </c>
      <c r="B271" s="599"/>
      <c r="C271" s="650" t="s">
        <v>345</v>
      </c>
      <c r="D271" s="651"/>
      <c r="E271" s="651">
        <f t="shared" ref="E271:AH271" si="221">E201-E268-E269-E270</f>
        <v>1.1771616136962864</v>
      </c>
      <c r="F271" s="651">
        <f t="shared" si="221"/>
        <v>0</v>
      </c>
      <c r="G271" s="651">
        <f t="shared" si="221"/>
        <v>0</v>
      </c>
      <c r="H271" s="651">
        <f t="shared" si="221"/>
        <v>0</v>
      </c>
      <c r="I271" s="651">
        <f t="shared" si="221"/>
        <v>0</v>
      </c>
      <c r="J271" s="651">
        <f t="shared" si="221"/>
        <v>0</v>
      </c>
      <c r="K271" s="651">
        <f t="shared" si="221"/>
        <v>0</v>
      </c>
      <c r="L271" s="651">
        <f t="shared" si="221"/>
        <v>0</v>
      </c>
      <c r="M271" s="651">
        <f t="shared" si="221"/>
        <v>0</v>
      </c>
      <c r="N271" s="651">
        <f t="shared" si="221"/>
        <v>0</v>
      </c>
      <c r="O271" s="651">
        <f t="shared" si="221"/>
        <v>0</v>
      </c>
      <c r="P271" s="651">
        <f t="shared" si="221"/>
        <v>0</v>
      </c>
      <c r="Q271" s="651">
        <f t="shared" si="221"/>
        <v>0</v>
      </c>
      <c r="R271" s="651">
        <f t="shared" si="221"/>
        <v>0.13087899954007776</v>
      </c>
      <c r="S271" s="651">
        <f t="shared" si="221"/>
        <v>3.4238407292987771E-2</v>
      </c>
      <c r="T271" s="651">
        <f t="shared" si="221"/>
        <v>0</v>
      </c>
      <c r="U271" s="651">
        <f t="shared" si="221"/>
        <v>0</v>
      </c>
      <c r="V271" s="651">
        <f t="shared" si="221"/>
        <v>0</v>
      </c>
      <c r="W271" s="651">
        <f t="shared" si="221"/>
        <v>0</v>
      </c>
      <c r="X271" s="651">
        <f t="shared" si="221"/>
        <v>0</v>
      </c>
      <c r="Y271" s="651">
        <f t="shared" si="221"/>
        <v>0</v>
      </c>
      <c r="Z271" s="651">
        <f t="shared" si="221"/>
        <v>0</v>
      </c>
      <c r="AA271" s="651">
        <f t="shared" si="221"/>
        <v>0</v>
      </c>
      <c r="AB271" s="651">
        <f t="shared" si="221"/>
        <v>0</v>
      </c>
      <c r="AC271" s="651">
        <f t="shared" si="221"/>
        <v>0</v>
      </c>
      <c r="AD271" s="651">
        <f t="shared" si="221"/>
        <v>0</v>
      </c>
      <c r="AE271" s="651">
        <f t="shared" si="221"/>
        <v>0</v>
      </c>
      <c r="AF271" s="651">
        <f t="shared" si="221"/>
        <v>0</v>
      </c>
      <c r="AG271" s="651">
        <f t="shared" si="221"/>
        <v>0</v>
      </c>
      <c r="AH271" s="651">
        <f t="shared" si="221"/>
        <v>0</v>
      </c>
      <c r="AI271" s="165"/>
      <c r="AJ271" s="164"/>
      <c r="AK271" s="164"/>
      <c r="AL271" s="164"/>
      <c r="AM271" s="164"/>
      <c r="AN271" s="164"/>
      <c r="AO271" s="164"/>
      <c r="AP271" s="164"/>
      <c r="AQ271" s="164"/>
      <c r="AR271" s="164"/>
      <c r="AS271" s="164"/>
      <c r="AT271" s="164"/>
      <c r="AU271" s="164"/>
      <c r="AV271" s="164"/>
      <c r="AW271" s="164"/>
      <c r="AX271" s="164"/>
      <c r="AY271" s="164"/>
      <c r="AZ271" s="164"/>
      <c r="BA271" s="164"/>
      <c r="BB271" s="164"/>
      <c r="BC271" s="164"/>
      <c r="BD271" s="164"/>
      <c r="BE271" s="164"/>
      <c r="BF271" s="164"/>
      <c r="BG271" s="164"/>
      <c r="BH271" s="164"/>
      <c r="BI271" s="164"/>
      <c r="BJ271" s="164"/>
      <c r="BK271" s="164"/>
      <c r="BL271" s="164"/>
      <c r="BM271" s="164"/>
      <c r="BN271" s="164"/>
      <c r="BO271" s="164"/>
    </row>
    <row r="272" spans="1:67" s="181" customFormat="1">
      <c r="A272" s="599" t="s">
        <v>461</v>
      </c>
      <c r="B272" s="599"/>
      <c r="C272" s="649" t="s">
        <v>339</v>
      </c>
      <c r="D272" s="651">
        <f t="shared" si="216"/>
        <v>5.6659508374022849</v>
      </c>
      <c r="E272" s="651">
        <f>IF(('INDCONSby Product'!D73+'INDCONSby Product'!D74)&gt;0,MIN(E202,'INDCONSby Product'!D73+'INDCONSby Product'!D74),0)</f>
        <v>1.101</v>
      </c>
      <c r="F272" s="651">
        <f>IF(('INDCONSby Product'!E73+'INDCONSby Product'!E74)&gt;0,MIN(F202,'INDCONSby Product'!E73+'INDCONSby Product'!E74),0)</f>
        <v>0</v>
      </c>
      <c r="G272" s="651">
        <f>IF(('INDCONSby Product'!F73+'INDCONSby Product'!F74)&gt;0,MIN(G202,'INDCONSby Product'!F73+'INDCONSby Product'!F74),0)</f>
        <v>0</v>
      </c>
      <c r="H272" s="651">
        <f>IF(('INDCONSby Product'!G73+'INDCONSby Product'!G74)&gt;0,MIN(H202,'INDCONSby Product'!G73+'INDCONSby Product'!G74),0)</f>
        <v>0</v>
      </c>
      <c r="I272" s="651">
        <f>IF(('INDCONSby Product'!H73+'INDCONSby Product'!H74)&gt;0,MIN(I202,'INDCONSby Product'!H73+'INDCONSby Product'!H74),0)</f>
        <v>2.3E-2</v>
      </c>
      <c r="J272" s="651">
        <f>IF(('INDCONSby Product'!I73+'INDCONSby Product'!I74)&gt;0,MIN(J202,'INDCONSby Product'!I73+'INDCONSby Product'!I74),0)</f>
        <v>0</v>
      </c>
      <c r="K272" s="651">
        <f>IF(('INDCONSby Product'!J73+'INDCONSby Product'!J74)&gt;0,MIN(K202,'INDCONSby Product'!J73+'INDCONSby Product'!J74),0)</f>
        <v>4.956517688881662E-2</v>
      </c>
      <c r="L272" s="651">
        <f>IF(('INDCONSby Product'!K73+'INDCONSby Product'!K74)&gt;0,MIN(L202,'INDCONSby Product'!K73+'INDCONSby Product'!K74),0)</f>
        <v>0</v>
      </c>
      <c r="M272" s="651">
        <f>IF(('INDCONSby Product'!L73+'INDCONSby Product'!L74)&gt;0,MIN(M202,'INDCONSby Product'!L73+'INDCONSby Product'!L74),0)</f>
        <v>0</v>
      </c>
      <c r="N272" s="651">
        <f>IF(('INDCONSby Product'!M73+'INDCONSby Product'!M74)&gt;0,MIN(N202,'INDCONSby Product'!M73+'INDCONSby Product'!M74),0)</f>
        <v>0.55800000000000005</v>
      </c>
      <c r="O272" s="651">
        <f>IF(('INDCONSby Product'!N73+'INDCONSby Product'!N74)&gt;0,MIN(O202,'INDCONSby Product'!N73+'INDCONSby Product'!N74),0)</f>
        <v>0</v>
      </c>
      <c r="P272" s="651">
        <f>IF(('INDCONSby Product'!O73+'INDCONSby Product'!O74)&gt;0,MIN(P202,'INDCONSby Product'!O73+'INDCONSby Product'!O74),0)</f>
        <v>0</v>
      </c>
      <c r="Q272" s="651">
        <f>IF(('INDCONSby Product'!P73+'INDCONSby Product'!P74)&gt;0,MIN(Q202,'INDCONSby Product'!P73+'INDCONSby Product'!P74),0)</f>
        <v>0.41042372232035829</v>
      </c>
      <c r="R272" s="651">
        <f>IF(('INDCONSby Product'!Q73+'INDCONSby Product'!Q74)&gt;0,MIN(R202,'INDCONSby Product'!Q73+'INDCONSby Product'!Q74),0)</f>
        <v>0</v>
      </c>
      <c r="S272" s="651">
        <f>IF(('INDCONSby Product'!R73+'INDCONSby Product'!R74)&gt;0,MIN(S202,'INDCONSby Product'!R73+'INDCONSby Product'!R74),0)</f>
        <v>4.0267535569516455E-2</v>
      </c>
      <c r="T272" s="651">
        <f>IF(('INDCONSby Product'!S73+'INDCONSby Product'!S74)&gt;0,MIN(T202,'INDCONSby Product'!S73+'INDCONSby Product'!S74),0)</f>
        <v>0</v>
      </c>
      <c r="U272" s="651">
        <f>IF(('INDCONSby Product'!T73+'INDCONSby Product'!T74)&gt;0,MIN(U202,'INDCONSby Product'!T73+'INDCONSby Product'!T74),0)</f>
        <v>0</v>
      </c>
      <c r="V272" s="651">
        <f>IF(('INDCONSby Product'!U73+'INDCONSby Product'!U74)&gt;0,MIN(V202,'INDCONSby Product'!U73+'INDCONSby Product'!U74),0)</f>
        <v>0</v>
      </c>
      <c r="W272" s="651">
        <f>IF(('INDCONSby Product'!V73+'INDCONSby Product'!V74)&gt;0,MIN(W202,'INDCONSby Product'!V73+'INDCONSby Product'!V74),0)</f>
        <v>0</v>
      </c>
      <c r="X272" s="651">
        <f>IF(('INDCONSby Product'!W73+'INDCONSby Product'!W74)&gt;0,MIN(X202,'INDCONSby Product'!W73+'INDCONSby Product'!W74),0)</f>
        <v>0</v>
      </c>
      <c r="Y272" s="651">
        <f>IF(('INDCONSby Product'!X73+'INDCONSby Product'!X74)&gt;0,MIN(Y202,'INDCONSby Product'!X73+'INDCONSby Product'!X74),0)</f>
        <v>1.708</v>
      </c>
      <c r="Z272" s="651">
        <f>IF(('INDCONSby Product'!Y73+'INDCONSby Product'!Y74)&gt;0,MIN(Z202,'INDCONSby Product'!Y73+'INDCONSby Product'!Y74),0)</f>
        <v>0</v>
      </c>
      <c r="AA272" s="651">
        <f>IF(('INDCONSby Product'!Z73+'INDCONSby Product'!Z74)&gt;0,MIN(AA202,'INDCONSby Product'!Z73+'INDCONSby Product'!Z74),0)</f>
        <v>0</v>
      </c>
      <c r="AB272" s="651">
        <f>IF(('INDCONSby Product'!AA73+'INDCONSby Product'!AA74)&gt;0,MIN(AB202,'INDCONSby Product'!AA73+'INDCONSby Product'!AA74),0)</f>
        <v>0</v>
      </c>
      <c r="AC272" s="651">
        <f>IF(('INDCONSby Product'!AB73+'INDCONSby Product'!AB74)&gt;0,MIN(AC202,'INDCONSby Product'!AB73+'INDCONSby Product'!AB74),0)</f>
        <v>0</v>
      </c>
      <c r="AD272" s="651">
        <f>IF(('INDCONSby Product'!AC73+'INDCONSby Product'!AC74)&gt;0,MIN(AD202,'INDCONSby Product'!AC73+'INDCONSby Product'!AC74),0)</f>
        <v>5.5E-2</v>
      </c>
      <c r="AE272" s="651">
        <f>IF(('INDCONSby Product'!AD73+'INDCONSby Product'!AD74)&gt;0,MIN(AE202,'INDCONSby Product'!AD73+'INDCONSby Product'!AD74),0)</f>
        <v>1.3866944026235943</v>
      </c>
      <c r="AF272" s="651">
        <f>IF(('INDCONSby Product'!AE73+'INDCONSby Product'!AE74)&gt;0,MIN(AF202,'INDCONSby Product'!AE73+'INDCONSby Product'!AE74),0)</f>
        <v>0.33400000000000002</v>
      </c>
      <c r="AG272" s="651">
        <f>IF(('INDCONSby Product'!AF73+'INDCONSby Product'!AF74)&gt;0,MIN(AG202,'INDCONSby Product'!AF73+'INDCONSby Product'!AF74),0)</f>
        <v>0</v>
      </c>
      <c r="AH272" s="651">
        <f>IF(('INDCONSby Product'!AG73+'INDCONSby Product'!AG74)&gt;0,MIN(AH202,'INDCONSby Product'!AG73+'INDCONSby Product'!AG74),0)</f>
        <v>0</v>
      </c>
      <c r="AI272" s="164"/>
      <c r="AJ272" s="164"/>
      <c r="AK272" s="164"/>
      <c r="AL272" s="164"/>
      <c r="AM272" s="164"/>
      <c r="AN272" s="164"/>
      <c r="AO272" s="164"/>
      <c r="AP272" s="164"/>
      <c r="AQ272" s="164"/>
      <c r="AR272" s="164"/>
      <c r="AS272" s="164"/>
      <c r="AT272" s="164"/>
      <c r="AU272" s="164"/>
      <c r="AV272" s="164"/>
      <c r="AW272" s="164"/>
      <c r="AX272" s="164"/>
      <c r="AY272" s="164"/>
      <c r="AZ272" s="164"/>
      <c r="BA272" s="164"/>
      <c r="BB272" s="164"/>
      <c r="BC272" s="164"/>
      <c r="BD272" s="164"/>
      <c r="BE272" s="164"/>
      <c r="BF272" s="164"/>
      <c r="BG272" s="164"/>
      <c r="BH272" s="164"/>
      <c r="BI272" s="164"/>
      <c r="BJ272" s="164"/>
      <c r="BK272" s="164"/>
      <c r="BL272" s="164"/>
      <c r="BM272" s="164"/>
      <c r="BN272" s="164"/>
      <c r="BO272" s="164"/>
    </row>
    <row r="273" spans="1:67" s="181" customFormat="1">
      <c r="A273" s="599" t="s">
        <v>461</v>
      </c>
      <c r="B273" s="599"/>
      <c r="C273" s="649" t="s">
        <v>350</v>
      </c>
      <c r="D273" s="651">
        <f t="shared" si="216"/>
        <v>4.2633046123175182</v>
      </c>
      <c r="E273" s="651">
        <f>IF(('INDCONSby Product'!D61+'INDCONSby Product'!D62)&gt;0,MIN(E202-E272,'INDCONSby Product'!D61+'INDCONSby Product'!D62),0)</f>
        <v>5.8688291042501728E-2</v>
      </c>
      <c r="F273" s="651">
        <f>IF(('INDCONSby Product'!E61+'INDCONSby Product'!E62)&gt;0,MIN(F202-F272,'INDCONSby Product'!E61+'INDCONSby Product'!E62),0)</f>
        <v>0</v>
      </c>
      <c r="G273" s="651">
        <f>IF(('INDCONSby Product'!F61+'INDCONSby Product'!F62)&gt;0,MIN(G202-G272,'INDCONSby Product'!F61+'INDCONSby Product'!F62),0)</f>
        <v>0</v>
      </c>
      <c r="H273" s="651">
        <f>IF(('INDCONSby Product'!G61+'INDCONSby Product'!G62)&gt;0,MIN(H202-H272,'INDCONSby Product'!G61+'INDCONSby Product'!G62),0)</f>
        <v>0</v>
      </c>
      <c r="I273" s="651">
        <f>IF(('INDCONSby Product'!H61+'INDCONSby Product'!H62)&gt;0,MIN(I202-I272,'INDCONSby Product'!H61+'INDCONSby Product'!H62),0)</f>
        <v>0</v>
      </c>
      <c r="J273" s="651">
        <f>IF(('INDCONSby Product'!I61+'INDCONSby Product'!I62)&gt;0,MIN(J202-J272,'INDCONSby Product'!I61+'INDCONSby Product'!I62),0)</f>
        <v>0</v>
      </c>
      <c r="K273" s="651">
        <f>IF(('INDCONSby Product'!J61+'INDCONSby Product'!J62)&gt;0,MIN(K202-K272,'INDCONSby Product'!J61+'INDCONSby Product'!J62),0)</f>
        <v>0</v>
      </c>
      <c r="L273" s="651">
        <f>IF(('INDCONSby Product'!K61+'INDCONSby Product'!K62)&gt;0,MIN(L202-L272,'INDCONSby Product'!K61+'INDCONSby Product'!K62),0)</f>
        <v>0</v>
      </c>
      <c r="M273" s="651">
        <f>IF(('INDCONSby Product'!L61+'INDCONSby Product'!L62)&gt;0,MIN(M202-M272,'INDCONSby Product'!L61+'INDCONSby Product'!L62),0)</f>
        <v>0</v>
      </c>
      <c r="N273" s="651">
        <f>IF(('INDCONSby Product'!M61+'INDCONSby Product'!M62)&gt;0,MIN(N202-N272,'INDCONSby Product'!M61+'INDCONSby Product'!M62),0)</f>
        <v>0.60457232127501626</v>
      </c>
      <c r="O273" s="651">
        <f>IF(('INDCONSby Product'!N61+'INDCONSby Product'!N62)&gt;0,MIN(O202-O272,'INDCONSby Product'!N61+'INDCONSby Product'!N62),0)</f>
        <v>0</v>
      </c>
      <c r="P273" s="651">
        <f>IF(('INDCONSby Product'!O61+'INDCONSby Product'!O62)&gt;0,MIN(P202-P272,'INDCONSby Product'!O61+'INDCONSby Product'!O62),0)</f>
        <v>0</v>
      </c>
      <c r="Q273" s="651">
        <f>IF(('INDCONSby Product'!P61+'INDCONSby Product'!P62)&gt;0,MIN(Q202-Q272,'INDCONSby Product'!P61+'INDCONSby Product'!P62),0)</f>
        <v>0</v>
      </c>
      <c r="R273" s="651">
        <f>IF(('INDCONSby Product'!Q61+'INDCONSby Product'!Q62)&gt;0,MIN(R202-R272,'INDCONSby Product'!Q61+'INDCONSby Product'!Q62),0)</f>
        <v>0</v>
      </c>
      <c r="S273" s="651">
        <f>IF(('INDCONSby Product'!R61+'INDCONSby Product'!R62)&gt;0,MIN(S202-S272,'INDCONSby Product'!R61+'INDCONSby Product'!R62),0)</f>
        <v>0</v>
      </c>
      <c r="T273" s="651">
        <f>IF(('INDCONSby Product'!S61+'INDCONSby Product'!S62)&gt;0,MIN(T202-T272,'INDCONSby Product'!S61+'INDCONSby Product'!S62),0)</f>
        <v>0</v>
      </c>
      <c r="U273" s="651">
        <f>IF(('INDCONSby Product'!T61+'INDCONSby Product'!T62)&gt;0,MIN(U202-U272,'INDCONSby Product'!T61+'INDCONSby Product'!T62),0)</f>
        <v>0</v>
      </c>
      <c r="V273" s="651">
        <f>IF(('INDCONSby Product'!U61+'INDCONSby Product'!U62)&gt;0,MIN(V202-V272,'INDCONSby Product'!U61+'INDCONSby Product'!U62),0)</f>
        <v>0</v>
      </c>
      <c r="W273" s="651">
        <f>IF(('INDCONSby Product'!V61+'INDCONSby Product'!V62)&gt;0,MIN(W202-W272,'INDCONSby Product'!V61+'INDCONSby Product'!V62),0)</f>
        <v>0</v>
      </c>
      <c r="X273" s="651">
        <f>IF(('INDCONSby Product'!W61+'INDCONSby Product'!W62)&gt;0,MIN(X202-X272,'INDCONSby Product'!W61+'INDCONSby Product'!W62),0)</f>
        <v>0</v>
      </c>
      <c r="Y273" s="651">
        <f>IF(('INDCONSby Product'!X61+'INDCONSby Product'!X62)&gt;0,MIN(Y202-Y272,'INDCONSby Product'!X61+'INDCONSby Product'!X62),0)</f>
        <v>0.125</v>
      </c>
      <c r="Z273" s="651">
        <f>IF(('INDCONSby Product'!Y61+'INDCONSby Product'!Y62)&gt;0,MIN(Z202-Z272,'INDCONSby Product'!Y61+'INDCONSby Product'!Y62),0)</f>
        <v>0</v>
      </c>
      <c r="AA273" s="651">
        <f>IF(('INDCONSby Product'!Z61+'INDCONSby Product'!Z62)&gt;0,MIN(AA202-AA272,'INDCONSby Product'!Z61+'INDCONSby Product'!Z62),0)</f>
        <v>0</v>
      </c>
      <c r="AB273" s="651">
        <f>IF(('INDCONSby Product'!AA61+'INDCONSby Product'!AA62)&gt;0,MIN(AB202-AB272,'INDCONSby Product'!AA61+'INDCONSby Product'!AA62),0)</f>
        <v>0</v>
      </c>
      <c r="AC273" s="651">
        <f>IF(('INDCONSby Product'!AB61+'INDCONSby Product'!AB62)&gt;0,MIN(AC202-AC272,'INDCONSby Product'!AB61+'INDCONSby Product'!AB62),0)</f>
        <v>0</v>
      </c>
      <c r="AD273" s="651">
        <f>IF(('INDCONSby Product'!AC61+'INDCONSby Product'!AC62)&gt;0,MIN(AD202-AD272,'INDCONSby Product'!AC61+'INDCONSby Product'!AC62),0)</f>
        <v>0</v>
      </c>
      <c r="AE273" s="651">
        <f>IF(('INDCONSby Product'!AD61+'INDCONSby Product'!AD62)&gt;0,MIN(AE202-AE272,'INDCONSby Product'!AD61+'INDCONSby Product'!AD62),0)</f>
        <v>0</v>
      </c>
      <c r="AF273" s="651">
        <f>IF(('INDCONSby Product'!AE61+'INDCONSby Product'!AE62)&gt;0,MIN(AF202-AF272,'INDCONSby Product'!AE61+'INDCONSby Product'!AE62),0)</f>
        <v>3.475044</v>
      </c>
      <c r="AG273" s="651">
        <f>IF(('INDCONSby Product'!AF61+'INDCONSby Product'!AF62)&gt;0,MIN(AG202-AG272,'INDCONSby Product'!AF61+'INDCONSby Product'!AF62),0)</f>
        <v>0</v>
      </c>
      <c r="AH273" s="651">
        <f>IF(('INDCONSby Product'!AG61+'INDCONSby Product'!AG62)&gt;0,MIN(AH202-AH272,'INDCONSby Product'!AG61+'INDCONSby Product'!AG62),0)</f>
        <v>0</v>
      </c>
      <c r="AI273" s="164"/>
      <c r="AJ273" s="164"/>
      <c r="AK273" s="164"/>
      <c r="AL273" s="164"/>
      <c r="AM273" s="164"/>
      <c r="AN273" s="164"/>
      <c r="AO273" s="164"/>
      <c r="AP273" s="164"/>
      <c r="AQ273" s="164"/>
      <c r="AR273" s="164"/>
      <c r="AS273" s="164"/>
      <c r="AT273" s="164"/>
      <c r="AU273" s="164"/>
      <c r="AV273" s="164"/>
      <c r="AW273" s="164"/>
      <c r="AX273" s="164"/>
      <c r="AY273" s="164"/>
      <c r="AZ273" s="164"/>
      <c r="BA273" s="164"/>
      <c r="BB273" s="164"/>
      <c r="BC273" s="164"/>
      <c r="BD273" s="164"/>
      <c r="BE273" s="164"/>
      <c r="BF273" s="164"/>
      <c r="BG273" s="164"/>
      <c r="BH273" s="164"/>
      <c r="BI273" s="164"/>
      <c r="BJ273" s="164"/>
      <c r="BK273" s="164"/>
      <c r="BL273" s="164"/>
      <c r="BM273" s="164"/>
      <c r="BN273" s="164"/>
      <c r="BO273" s="164"/>
    </row>
    <row r="274" spans="1:67" s="181" customFormat="1">
      <c r="A274" s="599" t="s">
        <v>461</v>
      </c>
      <c r="B274" s="599"/>
      <c r="C274" s="649" t="s">
        <v>410</v>
      </c>
      <c r="D274" s="651">
        <f t="shared" si="216"/>
        <v>4.6744660015854986</v>
      </c>
      <c r="E274" s="651">
        <f>IF(('INDCONSby Product'!D49+'INDCONSby Product'!D50)&gt;0,MIN(E202-E272-E273,'INDCONSby Product'!D49+'INDCONSby Product'!D50),0)</f>
        <v>0</v>
      </c>
      <c r="F274" s="651">
        <f>IF(('INDCONSby Product'!E49+'INDCONSby Product'!E50)&gt;0,MIN(F202-F272-F273,'INDCONSby Product'!E49+'INDCONSby Product'!E50),0)</f>
        <v>0.39505223929500577</v>
      </c>
      <c r="G274" s="651">
        <f>IF(('INDCONSby Product'!F49+'INDCONSby Product'!F50)&gt;0,MIN(G202-G272-G273,'INDCONSby Product'!F49+'INDCONSby Product'!F50),0)</f>
        <v>0</v>
      </c>
      <c r="H274" s="651">
        <f>IF(('INDCONSby Product'!G49+'INDCONSby Product'!G50)&gt;0,MIN(H202-H272-H273,'INDCONSby Product'!G49+'INDCONSby Product'!G50),0)</f>
        <v>0</v>
      </c>
      <c r="I274" s="651">
        <f>IF(('INDCONSby Product'!H49+'INDCONSby Product'!H50)&gt;0,MIN(I202-I272-I273,'INDCONSby Product'!H49+'INDCONSby Product'!H50),0)</f>
        <v>0.15564691403861283</v>
      </c>
      <c r="J274" s="651">
        <f>IF(('INDCONSby Product'!I49+'INDCONSby Product'!I50)&gt;0,MIN(J202-J272-J273,'INDCONSby Product'!I49+'INDCONSby Product'!I50),0)</f>
        <v>0</v>
      </c>
      <c r="K274" s="651">
        <f>IF(('INDCONSby Product'!J49+'INDCONSby Product'!J50)&gt;0,MIN(K202-K272-K273,'INDCONSby Product'!J49+'INDCONSby Product'!J50),0)</f>
        <v>0</v>
      </c>
      <c r="L274" s="651">
        <f>IF(('INDCONSby Product'!K49+'INDCONSby Product'!K50)&gt;0,MIN(L202-L272-L273,'INDCONSby Product'!K49+'INDCONSby Product'!K50),0)</f>
        <v>0</v>
      </c>
      <c r="M274" s="651">
        <f>IF(('INDCONSby Product'!L49+'INDCONSby Product'!L50)&gt;0,MIN(M202-M272-M273,'INDCONSby Product'!L49+'INDCONSby Product'!L50),0)</f>
        <v>0</v>
      </c>
      <c r="N274" s="651">
        <f>IF(('INDCONSby Product'!M49+'INDCONSby Product'!M50)&gt;0,MIN(N202-N272-N273,'INDCONSby Product'!M49+'INDCONSby Product'!M50),0)</f>
        <v>0</v>
      </c>
      <c r="O274" s="651">
        <f>IF(('INDCONSby Product'!N49+'INDCONSby Product'!N50)&gt;0,MIN(O202-O272-O273,'INDCONSby Product'!N49+'INDCONSby Product'!N50),0)</f>
        <v>0</v>
      </c>
      <c r="P274" s="651">
        <f>IF(('INDCONSby Product'!O49+'INDCONSby Product'!O50)&gt;0,MIN(P202-P272-P273,'INDCONSby Product'!O49+'INDCONSby Product'!O50),0)</f>
        <v>0</v>
      </c>
      <c r="Q274" s="651">
        <f>IF(('INDCONSby Product'!P49+'INDCONSby Product'!P50)&gt;0,MIN(Q202-Q272-Q273,'INDCONSby Product'!P49+'INDCONSby Product'!P50),0)</f>
        <v>0</v>
      </c>
      <c r="R274" s="651">
        <f>IF(('INDCONSby Product'!Q49+'INDCONSby Product'!Q50)&gt;0,MIN(R202-R272-R273,'INDCONSby Product'!Q49+'INDCONSby Product'!Q50),0)</f>
        <v>0</v>
      </c>
      <c r="S274" s="651">
        <f>IF(('INDCONSby Product'!R49+'INDCONSby Product'!R50)&gt;0,MIN(S202-S272-S273,'INDCONSby Product'!R49+'INDCONSby Product'!R50),0)</f>
        <v>0</v>
      </c>
      <c r="T274" s="651">
        <f>IF(('INDCONSby Product'!S49+'INDCONSby Product'!S50)&gt;0,MIN(T202-T272-T273,'INDCONSby Product'!S49+'INDCONSby Product'!S50),0)</f>
        <v>0</v>
      </c>
      <c r="U274" s="651">
        <f>IF(('INDCONSby Product'!T49+'INDCONSby Product'!T50)&gt;0,MIN(U202-U272-U273,'INDCONSby Product'!T49+'INDCONSby Product'!T50),0)</f>
        <v>0</v>
      </c>
      <c r="V274" s="651">
        <f>IF(('INDCONSby Product'!U49+'INDCONSby Product'!U50)&gt;0,MIN(V202-V272-V273,'INDCONSby Product'!U49+'INDCONSby Product'!U50),0)</f>
        <v>0</v>
      </c>
      <c r="W274" s="651">
        <f>IF(('INDCONSby Product'!V49+'INDCONSby Product'!V50)&gt;0,MIN(W202-W272-W273,'INDCONSby Product'!V49+'INDCONSby Product'!V50),0)</f>
        <v>0</v>
      </c>
      <c r="X274" s="651">
        <f>IF(('INDCONSby Product'!W49+'INDCONSby Product'!W50)&gt;0,MIN(X202-X272-X273,'INDCONSby Product'!W49+'INDCONSby Product'!W50),0)</f>
        <v>0</v>
      </c>
      <c r="Y274" s="651">
        <f>IF(('INDCONSby Product'!X49+'INDCONSby Product'!X50)&gt;0,MIN(Y202-Y272-Y273,'INDCONSby Product'!X49+'INDCONSby Product'!X50),0)</f>
        <v>1.7287668482518799</v>
      </c>
      <c r="Z274" s="651">
        <f>IF(('INDCONSby Product'!Y49+'INDCONSby Product'!Y50)&gt;0,MIN(Z202-Z272-Z273,'INDCONSby Product'!Y49+'INDCONSby Product'!Y50),0)</f>
        <v>0</v>
      </c>
      <c r="AA274" s="651">
        <f>IF(('INDCONSby Product'!Z49+'INDCONSby Product'!Z50)&gt;0,MIN(AA202-AA272-AA273,'INDCONSby Product'!Z49+'INDCONSby Product'!Z50),0)</f>
        <v>0</v>
      </c>
      <c r="AB274" s="651">
        <f>IF(('INDCONSby Product'!AA49+'INDCONSby Product'!AA50)&gt;0,MIN(AB202-AB272-AB273,'INDCONSby Product'!AA49+'INDCONSby Product'!AA50),0)</f>
        <v>0</v>
      </c>
      <c r="AC274" s="651">
        <f>IF(('INDCONSby Product'!AB49+'INDCONSby Product'!AB50)&gt;0,MIN(AC202-AC272-AC273,'INDCONSby Product'!AB49+'INDCONSby Product'!AB50),0)</f>
        <v>9.1999999999999998E-2</v>
      </c>
      <c r="AD274" s="651">
        <f>IF(('INDCONSby Product'!AC49+'INDCONSby Product'!AC50)&gt;0,MIN(AD202-AD272-AD273,'INDCONSby Product'!AC49+'INDCONSby Product'!AC50),0)</f>
        <v>0.60499999999999998</v>
      </c>
      <c r="AE274" s="651">
        <f>IF(('INDCONSby Product'!AD49+'INDCONSby Product'!AD50)&gt;0,MIN(AE202-AE272-AE273,'INDCONSby Product'!AD49+'INDCONSby Product'!AD50),0)</f>
        <v>0</v>
      </c>
      <c r="AF274" s="651">
        <f>IF(('INDCONSby Product'!AE49+'INDCONSby Product'!AE50)&gt;0,MIN(AF202-AF272-AF273,'INDCONSby Product'!AE49+'INDCONSby Product'!AE50),0)</f>
        <v>1.698</v>
      </c>
      <c r="AG274" s="651">
        <f>IF(('INDCONSby Product'!AF49+'INDCONSby Product'!AF50)&gt;0,MIN(AG202-AG272-AG273,'INDCONSby Product'!AF49+'INDCONSby Product'!AF50),0)</f>
        <v>0</v>
      </c>
      <c r="AH274" s="651">
        <f>IF(('INDCONSby Product'!AG49+'INDCONSby Product'!AG50)&gt;0,MIN(AH202-AH272-AH273,'INDCONSby Product'!AG49+'INDCONSby Product'!AG50),0)</f>
        <v>0</v>
      </c>
      <c r="AI274" s="164"/>
      <c r="AJ274" s="164"/>
      <c r="AK274" s="164"/>
      <c r="AL274" s="164"/>
      <c r="AM274" s="164"/>
      <c r="AN274" s="164"/>
      <c r="AO274" s="164"/>
      <c r="AP274" s="164"/>
      <c r="AQ274" s="164"/>
      <c r="AR274" s="164"/>
      <c r="AS274" s="164"/>
      <c r="AT274" s="164"/>
      <c r="AU274" s="164"/>
      <c r="AV274" s="164"/>
      <c r="AW274" s="164"/>
      <c r="AX274" s="164"/>
      <c r="AY274" s="164"/>
      <c r="AZ274" s="164"/>
      <c r="BA274" s="164"/>
      <c r="BB274" s="164"/>
      <c r="BC274" s="164"/>
      <c r="BD274" s="164"/>
      <c r="BE274" s="164"/>
      <c r="BF274" s="164"/>
      <c r="BG274" s="164"/>
      <c r="BH274" s="164"/>
      <c r="BI274" s="164"/>
      <c r="BJ274" s="164"/>
      <c r="BK274" s="164"/>
      <c r="BL274" s="164"/>
      <c r="BM274" s="164"/>
      <c r="BN274" s="164"/>
      <c r="BO274" s="164"/>
    </row>
    <row r="275" spans="1:67" s="181" customFormat="1">
      <c r="A275" s="599" t="s">
        <v>461</v>
      </c>
      <c r="B275" s="599"/>
      <c r="C275" s="650" t="s">
        <v>346</v>
      </c>
      <c r="D275" s="651"/>
      <c r="E275" s="651">
        <f t="shared" ref="E275:AH275" si="222">E202-E272-E273-E274</f>
        <v>0</v>
      </c>
      <c r="F275" s="651">
        <f t="shared" si="222"/>
        <v>0</v>
      </c>
      <c r="G275" s="651">
        <f t="shared" si="222"/>
        <v>0</v>
      </c>
      <c r="H275" s="651">
        <f t="shared" si="222"/>
        <v>0</v>
      </c>
      <c r="I275" s="651">
        <f t="shared" si="222"/>
        <v>0</v>
      </c>
      <c r="J275" s="651">
        <f t="shared" si="222"/>
        <v>0</v>
      </c>
      <c r="K275" s="651">
        <f t="shared" si="222"/>
        <v>0</v>
      </c>
      <c r="L275" s="651">
        <f t="shared" si="222"/>
        <v>0</v>
      </c>
      <c r="M275" s="651">
        <f t="shared" si="222"/>
        <v>0</v>
      </c>
      <c r="N275" s="651">
        <f t="shared" si="222"/>
        <v>0</v>
      </c>
      <c r="O275" s="651">
        <f t="shared" si="222"/>
        <v>0</v>
      </c>
      <c r="P275" s="651">
        <f t="shared" si="222"/>
        <v>0</v>
      </c>
      <c r="Q275" s="651">
        <f t="shared" si="222"/>
        <v>0</v>
      </c>
      <c r="R275" s="651">
        <f t="shared" si="222"/>
        <v>0</v>
      </c>
      <c r="S275" s="651">
        <f t="shared" si="222"/>
        <v>0</v>
      </c>
      <c r="T275" s="651">
        <f t="shared" si="222"/>
        <v>0</v>
      </c>
      <c r="U275" s="651">
        <f t="shared" si="222"/>
        <v>0</v>
      </c>
      <c r="V275" s="651">
        <f t="shared" si="222"/>
        <v>0</v>
      </c>
      <c r="W275" s="651">
        <f t="shared" si="222"/>
        <v>0</v>
      </c>
      <c r="X275" s="651">
        <f t="shared" si="222"/>
        <v>0</v>
      </c>
      <c r="Y275" s="651">
        <f t="shared" si="222"/>
        <v>0</v>
      </c>
      <c r="Z275" s="651">
        <f t="shared" si="222"/>
        <v>0</v>
      </c>
      <c r="AA275" s="651">
        <f t="shared" si="222"/>
        <v>0</v>
      </c>
      <c r="AB275" s="651">
        <f t="shared" si="222"/>
        <v>0</v>
      </c>
      <c r="AC275" s="651">
        <f t="shared" si="222"/>
        <v>0.30886567372195761</v>
      </c>
      <c r="AD275" s="651">
        <f t="shared" si="222"/>
        <v>8.867138885211201E-2</v>
      </c>
      <c r="AE275" s="651">
        <f t="shared" si="222"/>
        <v>0</v>
      </c>
      <c r="AF275" s="651">
        <f t="shared" si="222"/>
        <v>0.53459216399675924</v>
      </c>
      <c r="AG275" s="651">
        <f t="shared" si="222"/>
        <v>0</v>
      </c>
      <c r="AH275" s="651">
        <f t="shared" si="222"/>
        <v>0</v>
      </c>
      <c r="AI275" s="164"/>
      <c r="AJ275" s="164"/>
      <c r="AK275" s="164"/>
      <c r="AL275" s="164"/>
      <c r="AM275" s="164"/>
      <c r="AN275" s="164"/>
      <c r="AO275" s="164"/>
      <c r="AP275" s="164"/>
      <c r="AQ275" s="164"/>
      <c r="AR275" s="164"/>
      <c r="AS275" s="164"/>
      <c r="AT275" s="164"/>
      <c r="AU275" s="164"/>
      <c r="AV275" s="164"/>
      <c r="AW275" s="164"/>
      <c r="AX275" s="164"/>
      <c r="AY275" s="164"/>
      <c r="AZ275" s="164"/>
      <c r="BA275" s="164"/>
      <c r="BB275" s="164"/>
      <c r="BC275" s="164"/>
      <c r="BD275" s="164"/>
      <c r="BE275" s="164"/>
      <c r="BF275" s="164"/>
      <c r="BG275" s="164"/>
      <c r="BH275" s="164"/>
      <c r="BI275" s="164"/>
      <c r="BJ275" s="164"/>
      <c r="BK275" s="164"/>
      <c r="BL275" s="164"/>
      <c r="BM275" s="164"/>
      <c r="BN275" s="164"/>
      <c r="BO275" s="164"/>
    </row>
    <row r="276" spans="1:67" s="181" customFormat="1">
      <c r="A276" s="599" t="s">
        <v>461</v>
      </c>
      <c r="B276" s="599"/>
      <c r="C276" s="649" t="s">
        <v>354</v>
      </c>
      <c r="D276" s="651">
        <f>SUM(E276:AI276)</f>
        <v>88.596359720760319</v>
      </c>
      <c r="E276" s="651">
        <f>IF(('INDCONSby Product'!D22+'INDCONSby Product'!D23)&gt;0,MIN(E198,'INDCONSby Product'!D22+'INDCONSby Product'!D23),0)</f>
        <v>1.04</v>
      </c>
      <c r="F276" s="651">
        <f>IF(('INDCONSby Product'!E22+'INDCONSby Product'!E23)&gt;0,MIN(F198,'INDCONSby Product'!E22+'INDCONSby Product'!E23),0)</f>
        <v>3.7941915602878624</v>
      </c>
      <c r="G276" s="651">
        <f>IF(('INDCONSby Product'!F22+'INDCONSby Product'!F23)&gt;0,MIN(G198,'INDCONSby Product'!F22+'INDCONSby Product'!F23),0)</f>
        <v>0</v>
      </c>
      <c r="H276" s="651">
        <f>IF(('INDCONSby Product'!G22+'INDCONSby Product'!G23)&gt;0,MIN(H198,'INDCONSby Product'!G22+'INDCONSby Product'!G23),0)</f>
        <v>0</v>
      </c>
      <c r="I276" s="651">
        <f>IF(('INDCONSby Product'!H22+'INDCONSby Product'!H23)&gt;0,MIN(I198,'INDCONSby Product'!H22+'INDCONSby Product'!H23),0)</f>
        <v>0.96775039530007878</v>
      </c>
      <c r="J276" s="651">
        <f>IF(('INDCONSby Product'!I22+'INDCONSby Product'!I23)&gt;0,MIN(J198,'INDCONSby Product'!I22+'INDCONSby Product'!I23),0)</f>
        <v>12.811401751263766</v>
      </c>
      <c r="K276" s="651">
        <f>IF(('INDCONSby Product'!J22+'INDCONSby Product'!J23)&gt;0,MIN(K198,'INDCONSby Product'!J22+'INDCONSby Product'!J23),0)</f>
        <v>0.18360500558982196</v>
      </c>
      <c r="L276" s="651">
        <f>IF(('INDCONSby Product'!K22+'INDCONSby Product'!K23)&gt;0,MIN(L198,'INDCONSby Product'!K22+'INDCONSby Product'!K23),0)</f>
        <v>0</v>
      </c>
      <c r="M276" s="651">
        <f>IF(('INDCONSby Product'!L22+'INDCONSby Product'!L23)&gt;0,MIN(M198,'INDCONSby Product'!L22+'INDCONSby Product'!L23),0)</f>
        <v>1.5814091185773478</v>
      </c>
      <c r="N276" s="651">
        <f>IF(('INDCONSby Product'!M22+'INDCONSby Product'!M23)&gt;0,MIN(N198,'INDCONSby Product'!M22+'INDCONSby Product'!M23),0)</f>
        <v>4.5599999999999996</v>
      </c>
      <c r="O276" s="651">
        <f>IF(('INDCONSby Product'!N22+'INDCONSby Product'!N23)&gt;0,MIN(O198,'INDCONSby Product'!N22+'INDCONSby Product'!N23),0)</f>
        <v>6.1684508339254229</v>
      </c>
      <c r="P276" s="651">
        <f>IF(('INDCONSby Product'!O22+'INDCONSby Product'!O23)&gt;0,MIN(P198,'INDCONSby Product'!O22+'INDCONSby Product'!O23),0)</f>
        <v>4.305142839664474</v>
      </c>
      <c r="Q276" s="651">
        <f>IF(('INDCONSby Product'!P22+'INDCONSby Product'!P23)&gt;0,MIN(Q198,'INDCONSby Product'!P22+'INDCONSby Product'!P23),0)</f>
        <v>0.67282577429566937</v>
      </c>
      <c r="R276" s="651">
        <f>IF(('INDCONSby Product'!Q22+'INDCONSby Product'!Q23)&gt;0,MIN(R198,'INDCONSby Product'!Q22+'INDCONSby Product'!Q23),0)</f>
        <v>0</v>
      </c>
      <c r="S276" s="651">
        <f>IF(('INDCONSby Product'!R22+'INDCONSby Product'!R23)&gt;0,MIN(S198,'INDCONSby Product'!R22+'INDCONSby Product'!R23),0)</f>
        <v>3.7040411653327681</v>
      </c>
      <c r="T276" s="651">
        <f>IF(('INDCONSby Product'!S22+'INDCONSby Product'!S23)&gt;0,MIN(T198,'INDCONSby Product'!S22+'INDCONSby Product'!S23),0)</f>
        <v>0</v>
      </c>
      <c r="U276" s="651">
        <f>IF(('INDCONSby Product'!T22+'INDCONSby Product'!T23)&gt;0,MIN(U198,'INDCONSby Product'!T22+'INDCONSby Product'!T23),0)</f>
        <v>0</v>
      </c>
      <c r="V276" s="651">
        <f>IF(('INDCONSby Product'!U22+'INDCONSby Product'!U23)&gt;0,MIN(V198,'INDCONSby Product'!U22+'INDCONSby Product'!U23),0)</f>
        <v>0</v>
      </c>
      <c r="W276" s="651">
        <f>IF(('INDCONSby Product'!V22+'INDCONSby Product'!V23)&gt;0,MIN(W198,'INDCONSby Product'!V22+'INDCONSby Product'!V23),0)</f>
        <v>0</v>
      </c>
      <c r="X276" s="651">
        <f>IF(('INDCONSby Product'!W22+'INDCONSby Product'!W23)&gt;0,MIN(X198,'INDCONSby Product'!W22+'INDCONSby Product'!W23),0)</f>
        <v>7.56</v>
      </c>
      <c r="Y276" s="651">
        <f>IF(('INDCONSby Product'!X22+'INDCONSby Product'!X23)&gt;0,MIN(Y198,'INDCONSby Product'!X22+'INDCONSby Product'!X23),0)</f>
        <v>27.139437261463868</v>
      </c>
      <c r="Z276" s="651">
        <f>IF(('INDCONSby Product'!Y22+'INDCONSby Product'!Y23)&gt;0,MIN(Z198,'INDCONSby Product'!Y22+'INDCONSby Product'!Y23),0)</f>
        <v>0</v>
      </c>
      <c r="AA276" s="651">
        <f>IF(('INDCONSby Product'!Z22+'INDCONSby Product'!Z23)&gt;0,MIN(AA198,'INDCONSby Product'!Z22+'INDCONSby Product'!Z23),0)</f>
        <v>0.43464949698189104</v>
      </c>
      <c r="AB276" s="651">
        <f>IF(('INDCONSby Product'!AA22+'INDCONSby Product'!AA23)&gt;0,MIN(AB198,'INDCONSby Product'!AA22+'INDCONSby Product'!AA23),0)</f>
        <v>2.3849999999999998</v>
      </c>
      <c r="AC276" s="651">
        <f>IF(('INDCONSby Product'!AB22+'INDCONSby Product'!AB23)&gt;0,MIN(AC198,'INDCONSby Product'!AB22+'INDCONSby Product'!AB23),0)</f>
        <v>0</v>
      </c>
      <c r="AD276" s="651">
        <f>IF(('INDCONSby Product'!AC22+'INDCONSby Product'!AC23)&gt;0,MIN(AD198,'INDCONSby Product'!AC22+'INDCONSby Product'!AC23),0)</f>
        <v>3.84</v>
      </c>
      <c r="AE276" s="651">
        <f>IF(('INDCONSby Product'!AD22+'INDCONSby Product'!AD23)&gt;0,MIN(AE198,'INDCONSby Product'!AD22+'INDCONSby Product'!AD23),0)</f>
        <v>6.5684545180773419</v>
      </c>
      <c r="AF276" s="651">
        <f>IF(('INDCONSby Product'!AE22+'INDCONSby Product'!AE23)&gt;0,MIN(AF198,'INDCONSby Product'!AE22+'INDCONSby Product'!AE23),0)</f>
        <v>0.88</v>
      </c>
      <c r="AG276" s="651">
        <f>IF(('INDCONSby Product'!AF22+'INDCONSby Product'!AF23)&gt;0,MIN(AG198,'INDCONSby Product'!AF22+'INDCONSby Product'!AF23),0)</f>
        <v>0</v>
      </c>
      <c r="AH276" s="651">
        <f>IF(('INDCONSby Product'!AG22+'INDCONSby Product'!AG23)&gt;0,MIN(AH198,'INDCONSby Product'!AG22+'INDCONSby Product'!AG23),0)</f>
        <v>0</v>
      </c>
      <c r="AI276" s="164"/>
      <c r="AJ276" s="164"/>
      <c r="AK276" s="164"/>
      <c r="AL276" s="164"/>
      <c r="AM276" s="164"/>
      <c r="AN276" s="164"/>
      <c r="AO276" s="164"/>
      <c r="AP276" s="164"/>
      <c r="AQ276" s="164"/>
      <c r="AR276" s="164"/>
      <c r="AS276" s="164"/>
      <c r="AT276" s="164"/>
      <c r="AU276" s="164"/>
      <c r="AV276" s="164"/>
      <c r="AW276" s="164"/>
      <c r="AX276" s="164"/>
      <c r="AY276" s="164"/>
      <c r="AZ276" s="164"/>
      <c r="BA276" s="164"/>
      <c r="BB276" s="164"/>
      <c r="BC276" s="164"/>
      <c r="BD276" s="164"/>
      <c r="BE276" s="164"/>
      <c r="BF276" s="164"/>
      <c r="BG276" s="164"/>
      <c r="BH276" s="164"/>
      <c r="BI276" s="164"/>
      <c r="BJ276" s="164"/>
      <c r="BK276" s="164"/>
      <c r="BL276" s="164"/>
      <c r="BM276" s="164"/>
      <c r="BN276" s="164"/>
      <c r="BO276" s="164"/>
    </row>
    <row r="277" spans="1:67" s="181" customFormat="1">
      <c r="A277" s="599" t="s">
        <v>461</v>
      </c>
      <c r="B277" s="599"/>
      <c r="C277" s="649" t="s">
        <v>338</v>
      </c>
      <c r="D277" s="651">
        <f t="shared" si="216"/>
        <v>22.543302382291316</v>
      </c>
      <c r="E277" s="651">
        <f>IF(('INDCONSby Product'!D70+'INDCONSby Product'!D71)&gt;0,MIN(E198-E276,'INDCONSby Product'!D70+'INDCONSby Product'!D71),0)</f>
        <v>7.3300759400801496E-2</v>
      </c>
      <c r="F277" s="651">
        <f>IF(('INDCONSby Product'!E70+'INDCONSby Product'!E71)&gt;0,MIN(F198-F276,'INDCONSby Product'!E70+'INDCONSby Product'!E71),0)</f>
        <v>0</v>
      </c>
      <c r="G277" s="651">
        <f>IF(('INDCONSby Product'!F70+'INDCONSby Product'!F71)&gt;0,MIN(G198-G276,'INDCONSby Product'!F70+'INDCONSby Product'!F71),0)</f>
        <v>4.141394318873683</v>
      </c>
      <c r="H277" s="651">
        <f>IF(('INDCONSby Product'!G70+'INDCONSby Product'!G71)&gt;0,MIN(H198-H276,'INDCONSby Product'!G70+'INDCONSby Product'!G71),0)</f>
        <v>0</v>
      </c>
      <c r="I277" s="651">
        <f>IF(('INDCONSby Product'!H70+'INDCONSby Product'!H71)&gt;0,MIN(I198-I276,'INDCONSby Product'!H70+'INDCONSby Product'!H71),0)</f>
        <v>0</v>
      </c>
      <c r="J277" s="651">
        <f>IF(('INDCONSby Product'!I70+'INDCONSby Product'!I71)&gt;0,MIN(J198-J276,'INDCONSby Product'!I70+'INDCONSby Product'!I71),0)</f>
        <v>0</v>
      </c>
      <c r="K277" s="651">
        <f>IF(('INDCONSby Product'!J70+'INDCONSby Product'!J71)&gt;0,MIN(K198-K276,'INDCONSby Product'!J70+'INDCONSby Product'!J71),0)</f>
        <v>0</v>
      </c>
      <c r="L277" s="651">
        <f>IF(('INDCONSby Product'!K70+'INDCONSby Product'!K71)&gt;0,MIN(L198-L276,'INDCONSby Product'!K70+'INDCONSby Product'!K71),0)</f>
        <v>0</v>
      </c>
      <c r="M277" s="651">
        <f>IF(('INDCONSby Product'!L70+'INDCONSby Product'!L71)&gt;0,MIN(M198-M276,'INDCONSby Product'!L70+'INDCONSby Product'!L71),0)</f>
        <v>0</v>
      </c>
      <c r="N277" s="651">
        <f>IF(('INDCONSby Product'!M70+'INDCONSby Product'!M71)&gt;0,MIN(N198-N276,'INDCONSby Product'!M70+'INDCONSby Product'!M71),0)</f>
        <v>2.4659805503142289</v>
      </c>
      <c r="O277" s="651">
        <f>IF(('INDCONSby Product'!N70+'INDCONSby Product'!N71)&gt;0,MIN(O198-O276,'INDCONSby Product'!N70+'INDCONSby Product'!N71),0)</f>
        <v>0</v>
      </c>
      <c r="P277" s="651">
        <f>IF(('INDCONSby Product'!O70+'INDCONSby Product'!O71)&gt;0,MIN(P198-P276,'INDCONSby Product'!O70+'INDCONSby Product'!O71),0)</f>
        <v>0</v>
      </c>
      <c r="Q277" s="651">
        <f>IF(('INDCONSby Product'!P70+'INDCONSby Product'!P71)&gt;0,MIN(Q198-Q276,'INDCONSby Product'!P70+'INDCONSby Product'!P71),0)</f>
        <v>0</v>
      </c>
      <c r="R277" s="651">
        <f>IF(('INDCONSby Product'!Q70+'INDCONSby Product'!Q71)&gt;0,MIN(R198-R276,'INDCONSby Product'!Q70+'INDCONSby Product'!Q71),0)</f>
        <v>0</v>
      </c>
      <c r="S277" s="651">
        <f>IF(('INDCONSby Product'!R70+'INDCONSby Product'!R71)&gt;0,MIN(S198-S276,'INDCONSby Product'!R70+'INDCONSby Product'!R71),0)</f>
        <v>0</v>
      </c>
      <c r="T277" s="651">
        <f>IF(('INDCONSby Product'!S70+'INDCONSby Product'!S71)&gt;0,MIN(T198-T276,'INDCONSby Product'!S70+'INDCONSby Product'!S71),0)</f>
        <v>0</v>
      </c>
      <c r="U277" s="651">
        <f>IF(('INDCONSby Product'!T70+'INDCONSby Product'!T71)&gt;0,MIN(U198-U276,'INDCONSby Product'!T70+'INDCONSby Product'!T71),0)</f>
        <v>0</v>
      </c>
      <c r="V277" s="651">
        <f>IF(('INDCONSby Product'!U70+'INDCONSby Product'!U71)&gt;0,MIN(V198-V276,'INDCONSby Product'!U70+'INDCONSby Product'!U71),0)</f>
        <v>0</v>
      </c>
      <c r="W277" s="651">
        <f>IF(('INDCONSby Product'!V70+'INDCONSby Product'!V71)&gt;0,MIN(W198-W276,'INDCONSby Product'!V70+'INDCONSby Product'!V71),0)</f>
        <v>0</v>
      </c>
      <c r="X277" s="651">
        <f>IF(('INDCONSby Product'!W70+'INDCONSby Product'!W71)&gt;0,MIN(X198-X276,'INDCONSby Product'!W70+'INDCONSby Product'!W71),0)</f>
        <v>3.6245298782470767</v>
      </c>
      <c r="Y277" s="651">
        <f>IF(('INDCONSby Product'!X70+'INDCONSby Product'!X71)&gt;0,MIN(Y198-Y276,'INDCONSby Product'!X70+'INDCONSby Product'!X71),0)</f>
        <v>0</v>
      </c>
      <c r="Z277" s="651">
        <f>IF(('INDCONSby Product'!Y70+'INDCONSby Product'!Y71)&gt;0,MIN(Z198-Z276,'INDCONSby Product'!Y70+'INDCONSby Product'!Y71),0)</f>
        <v>7.8289447675600812</v>
      </c>
      <c r="AA277" s="651">
        <f>IF(('INDCONSby Product'!Z70+'INDCONSby Product'!Z71)&gt;0,MIN(AA198-AA276,'INDCONSby Product'!Z70+'INDCONSby Product'!Z71),0)</f>
        <v>0</v>
      </c>
      <c r="AB277" s="651">
        <f>IF(('INDCONSby Product'!AA70+'INDCONSby Product'!AA71)&gt;0,MIN(AB198-AB276,'INDCONSby Product'!AA70+'INDCONSby Product'!AA71),0)</f>
        <v>0.62408972251219463</v>
      </c>
      <c r="AC277" s="651">
        <f>IF(('INDCONSby Product'!AB70+'INDCONSby Product'!AB71)&gt;0,MIN(AC198-AC276,'INDCONSby Product'!AB70+'INDCONSby Product'!AB71),0)</f>
        <v>0.69715769342949152</v>
      </c>
      <c r="AD277" s="651">
        <f>IF(('INDCONSby Product'!AC70+'INDCONSby Product'!AC71)&gt;0,MIN(AD198-AD276,'INDCONSby Product'!AC70+'INDCONSby Product'!AC71),0)</f>
        <v>0.37978419171190314</v>
      </c>
      <c r="AE277" s="651">
        <f>IF(('INDCONSby Product'!AD70+'INDCONSby Product'!AD71)&gt;0,MIN(AE198-AE276,'INDCONSby Product'!AD70+'INDCONSby Product'!AD71),0)</f>
        <v>0</v>
      </c>
      <c r="AF277" s="651">
        <f>IF(('INDCONSby Product'!AE70+'INDCONSby Product'!AE71)&gt;0,MIN(AF198-AF276,'INDCONSby Product'!AE70+'INDCONSby Product'!AE71),0)</f>
        <v>2.7081205002418529</v>
      </c>
      <c r="AG277" s="651">
        <f>IF(('INDCONSby Product'!AF70+'INDCONSby Product'!AF71)&gt;0,MIN(AG198-AG276,'INDCONSby Product'!AF70+'INDCONSby Product'!AF71),0)</f>
        <v>0</v>
      </c>
      <c r="AH277" s="651">
        <f>IF(('INDCONSby Product'!AG70+'INDCONSby Product'!AG71)&gt;0,MIN(AH198-AH276,'INDCONSby Product'!AG70+'INDCONSby Product'!AG71),0)</f>
        <v>0</v>
      </c>
      <c r="AI277" s="164"/>
      <c r="AJ277" s="164"/>
      <c r="AK277" s="164"/>
      <c r="AL277" s="164"/>
      <c r="AM277" s="164"/>
      <c r="AN277" s="164"/>
      <c r="AO277" s="164"/>
      <c r="AP277" s="164"/>
      <c r="AQ277" s="164"/>
      <c r="AR277" s="164"/>
      <c r="AS277" s="164"/>
      <c r="AT277" s="164"/>
      <c r="AU277" s="164"/>
      <c r="AV277" s="164"/>
      <c r="AW277" s="164"/>
      <c r="AX277" s="164"/>
      <c r="AY277" s="164"/>
      <c r="AZ277" s="164"/>
      <c r="BA277" s="164"/>
      <c r="BB277" s="164"/>
      <c r="BC277" s="164"/>
      <c r="BD277" s="164"/>
      <c r="BE277" s="164"/>
      <c r="BF277" s="164"/>
      <c r="BG277" s="164"/>
      <c r="BH277" s="164"/>
      <c r="BI277" s="164"/>
      <c r="BJ277" s="164"/>
      <c r="BK277" s="164"/>
      <c r="BL277" s="164"/>
      <c r="BM277" s="164"/>
      <c r="BN277" s="164"/>
      <c r="BO277" s="164"/>
    </row>
    <row r="278" spans="1:67" s="181" customFormat="1">
      <c r="A278" s="599" t="s">
        <v>461</v>
      </c>
      <c r="B278" s="599"/>
      <c r="C278" s="649" t="s">
        <v>351</v>
      </c>
      <c r="D278" s="651">
        <f t="shared" si="216"/>
        <v>0</v>
      </c>
      <c r="E278" s="651">
        <f>IF(('INDCONSby Product'!D46+'INDCONSby Product'!D47)&gt;0,MIN(E198-E276-E277,'INDCONSby Product'!D46+'INDCONSby Product'!D47),0)</f>
        <v>0</v>
      </c>
      <c r="F278" s="651">
        <f>IF(('INDCONSby Product'!E46+'INDCONSby Product'!E47)&gt;0,MIN(F198-F276-F277,'INDCONSby Product'!E46+'INDCONSby Product'!E47),0)</f>
        <v>0</v>
      </c>
      <c r="G278" s="651">
        <f>IF(('INDCONSby Product'!F46+'INDCONSby Product'!F47)&gt;0,MIN(G198-G276-G277,'INDCONSby Product'!F46+'INDCONSby Product'!F47),0)</f>
        <v>0</v>
      </c>
      <c r="H278" s="651">
        <f>IF(('INDCONSby Product'!G46+'INDCONSby Product'!G47)&gt;0,MIN(H198-H276-H277,'INDCONSby Product'!G46+'INDCONSby Product'!G47),0)</f>
        <v>0</v>
      </c>
      <c r="I278" s="651">
        <f>IF(('INDCONSby Product'!H46+'INDCONSby Product'!H47)&gt;0,MIN(I198-I276-I277,'INDCONSby Product'!H46+'INDCONSby Product'!H47),0)</f>
        <v>0</v>
      </c>
      <c r="J278" s="651">
        <f>IF(('INDCONSby Product'!I46+'INDCONSby Product'!I47)&gt;0,MIN(J198-J276-J277,'INDCONSby Product'!I46+'INDCONSby Product'!I47),0)</f>
        <v>0</v>
      </c>
      <c r="K278" s="651">
        <f>IF(('INDCONSby Product'!J46+'INDCONSby Product'!J47)&gt;0,MIN(K198-K276-K277,'INDCONSby Product'!J46+'INDCONSby Product'!J47),0)</f>
        <v>0</v>
      </c>
      <c r="L278" s="651">
        <f>IF(('INDCONSby Product'!K46+'INDCONSby Product'!K47)&gt;0,MIN(L198-L276-L277,'INDCONSby Product'!K46+'INDCONSby Product'!K47),0)</f>
        <v>0</v>
      </c>
      <c r="M278" s="651">
        <f>IF(('INDCONSby Product'!L46+'INDCONSby Product'!L47)&gt;0,MIN(M198-M276-M277,'INDCONSby Product'!L46+'INDCONSby Product'!L47),0)</f>
        <v>0</v>
      </c>
      <c r="N278" s="651">
        <f>IF(('INDCONSby Product'!M46+'INDCONSby Product'!M47)&gt;0,MIN(N198-N276-N277,'INDCONSby Product'!M46+'INDCONSby Product'!M47),0)</f>
        <v>0</v>
      </c>
      <c r="O278" s="651">
        <f>IF(('INDCONSby Product'!N46+'INDCONSby Product'!N47)&gt;0,MIN(O198-O276-O277,'INDCONSby Product'!N46+'INDCONSby Product'!N47),0)</f>
        <v>0</v>
      </c>
      <c r="P278" s="651">
        <f>IF(('INDCONSby Product'!O46+'INDCONSby Product'!O47)&gt;0,MIN(P198-P276-P277,'INDCONSby Product'!O46+'INDCONSby Product'!O47),0)</f>
        <v>0</v>
      </c>
      <c r="Q278" s="651">
        <f>IF(('INDCONSby Product'!P46+'INDCONSby Product'!P47)&gt;0,MIN(Q198-Q276-Q277,'INDCONSby Product'!P46+'INDCONSby Product'!P47),0)</f>
        <v>0</v>
      </c>
      <c r="R278" s="651">
        <f>IF(('INDCONSby Product'!Q46+'INDCONSby Product'!Q47)&gt;0,MIN(R198-R276-R277,'INDCONSby Product'!Q46+'INDCONSby Product'!Q47),0)</f>
        <v>0</v>
      </c>
      <c r="S278" s="651">
        <f>IF(('INDCONSby Product'!R46+'INDCONSby Product'!R47)&gt;0,MIN(S198-S276-S277,'INDCONSby Product'!R46+'INDCONSby Product'!R47),0)</f>
        <v>0</v>
      </c>
      <c r="T278" s="651">
        <f>IF(('INDCONSby Product'!S46+'INDCONSby Product'!S47)&gt;0,MIN(T198-T276-T277,'INDCONSby Product'!S46+'INDCONSby Product'!S47),0)</f>
        <v>0</v>
      </c>
      <c r="U278" s="651">
        <f>IF(('INDCONSby Product'!T46+'INDCONSby Product'!T47)&gt;0,MIN(U198-U276-U277,'INDCONSby Product'!T46+'INDCONSby Product'!T47),0)</f>
        <v>0</v>
      </c>
      <c r="V278" s="651">
        <f>IF(('INDCONSby Product'!U46+'INDCONSby Product'!U47)&gt;0,MIN(V198-V276-V277,'INDCONSby Product'!U46+'INDCONSby Product'!U47),0)</f>
        <v>0</v>
      </c>
      <c r="W278" s="651">
        <f>IF(('INDCONSby Product'!V46+'INDCONSby Product'!V47)&gt;0,MIN(W198-W276-W277,'INDCONSby Product'!V46+'INDCONSby Product'!V47),0)</f>
        <v>0</v>
      </c>
      <c r="X278" s="651">
        <f>IF(('INDCONSby Product'!W46+'INDCONSby Product'!W47)&gt;0,MIN(X198-X276-X277,'INDCONSby Product'!W46+'INDCONSby Product'!W47),0)</f>
        <v>0</v>
      </c>
      <c r="Y278" s="651">
        <f>IF(('INDCONSby Product'!X46+'INDCONSby Product'!X47)&gt;0,MIN(Y198-Y276-Y277,'INDCONSby Product'!X46+'INDCONSby Product'!X47),0)</f>
        <v>0</v>
      </c>
      <c r="Z278" s="651">
        <f>IF(('INDCONSby Product'!Y46+'INDCONSby Product'!Y47)&gt;0,MIN(Z198-Z276-Z277,'INDCONSby Product'!Y46+'INDCONSby Product'!Y47),0)</f>
        <v>0</v>
      </c>
      <c r="AA278" s="651">
        <f>IF(('INDCONSby Product'!Z46+'INDCONSby Product'!Z47)&gt;0,MIN(AA198-AA276-AA277,'INDCONSby Product'!Z46+'INDCONSby Product'!Z47),0)</f>
        <v>0</v>
      </c>
      <c r="AB278" s="651">
        <f>IF(('INDCONSby Product'!AA46+'INDCONSby Product'!AA47)&gt;0,MIN(AB198-AB276-AB277,'INDCONSby Product'!AA46+'INDCONSby Product'!AA47),0)</f>
        <v>0</v>
      </c>
      <c r="AC278" s="651">
        <f>IF(('INDCONSby Product'!AB46+'INDCONSby Product'!AB47)&gt;0,MIN(AC198-AC276-AC277,'INDCONSby Product'!AB46+'INDCONSby Product'!AB47),0)</f>
        <v>0</v>
      </c>
      <c r="AD278" s="651">
        <f>IF(('INDCONSby Product'!AC46+'INDCONSby Product'!AC47)&gt;0,MIN(AD198-AD276-AD277,'INDCONSby Product'!AC46+'INDCONSby Product'!AC47),0)</f>
        <v>0</v>
      </c>
      <c r="AE278" s="651">
        <f>IF(('INDCONSby Product'!AD46+'INDCONSby Product'!AD47)&gt;0,MIN(AE198-AE276-AE277,'INDCONSby Product'!AD46+'INDCONSby Product'!AD47),0)</f>
        <v>0</v>
      </c>
      <c r="AF278" s="651">
        <f>IF(('INDCONSby Product'!AE46+'INDCONSby Product'!AE47)&gt;0,MIN(AF198-AF276-AF277,'INDCONSby Product'!AE46+'INDCONSby Product'!AE47),0)</f>
        <v>0</v>
      </c>
      <c r="AG278" s="651">
        <f>IF(('INDCONSby Product'!AF46+'INDCONSby Product'!AF47)&gt;0,MIN(AG198-AG276-AG277,'INDCONSby Product'!AF46+'INDCONSby Product'!AF47),0)</f>
        <v>0</v>
      </c>
      <c r="AH278" s="651">
        <f>IF(('INDCONSby Product'!AG46+'INDCONSby Product'!AG47)&gt;0,MIN(AH198-AH276-AH277,'INDCONSby Product'!AG46+'INDCONSby Product'!AG47),0)</f>
        <v>0</v>
      </c>
      <c r="AI278" s="164"/>
      <c r="AJ278" s="164"/>
      <c r="AK278" s="164"/>
      <c r="AL278" s="164"/>
      <c r="AM278" s="164"/>
      <c r="AN278" s="164"/>
      <c r="AO278" s="164"/>
      <c r="AP278" s="164"/>
      <c r="AQ278" s="164"/>
      <c r="AR278" s="164"/>
      <c r="AS278" s="164"/>
      <c r="AT278" s="164"/>
      <c r="AU278" s="164"/>
      <c r="AV278" s="164"/>
      <c r="AW278" s="164"/>
      <c r="AX278" s="164"/>
      <c r="AY278" s="164"/>
      <c r="AZ278" s="164"/>
      <c r="BA278" s="164"/>
      <c r="BB278" s="164"/>
      <c r="BC278" s="164"/>
      <c r="BD278" s="164"/>
      <c r="BE278" s="164"/>
      <c r="BF278" s="164"/>
      <c r="BG278" s="164"/>
      <c r="BH278" s="164"/>
      <c r="BI278" s="164"/>
      <c r="BJ278" s="164"/>
      <c r="BK278" s="164"/>
      <c r="BL278" s="164"/>
      <c r="BM278" s="164"/>
      <c r="BN278" s="164"/>
      <c r="BO278" s="164"/>
    </row>
    <row r="279" spans="1:67" s="181" customFormat="1">
      <c r="A279" s="599" t="s">
        <v>461</v>
      </c>
      <c r="B279" s="599"/>
      <c r="C279" s="650" t="s">
        <v>348</v>
      </c>
      <c r="D279" s="651"/>
      <c r="E279" s="651">
        <f t="shared" ref="E279:AH279" si="223">E198-E277-E278-E276</f>
        <v>0</v>
      </c>
      <c r="F279" s="651">
        <f t="shared" si="223"/>
        <v>0</v>
      </c>
      <c r="G279" s="651">
        <f t="shared" si="223"/>
        <v>0</v>
      </c>
      <c r="H279" s="651">
        <f t="shared" si="223"/>
        <v>0</v>
      </c>
      <c r="I279" s="651">
        <f t="shared" si="223"/>
        <v>0</v>
      </c>
      <c r="J279" s="651">
        <f t="shared" si="223"/>
        <v>0</v>
      </c>
      <c r="K279" s="651">
        <f t="shared" si="223"/>
        <v>0</v>
      </c>
      <c r="L279" s="651">
        <f t="shared" si="223"/>
        <v>0</v>
      </c>
      <c r="M279" s="651">
        <f t="shared" si="223"/>
        <v>0</v>
      </c>
      <c r="N279" s="651">
        <f t="shared" si="223"/>
        <v>0</v>
      </c>
      <c r="O279" s="651">
        <f t="shared" si="223"/>
        <v>0</v>
      </c>
      <c r="P279" s="651">
        <f t="shared" si="223"/>
        <v>0</v>
      </c>
      <c r="Q279" s="651">
        <f t="shared" si="223"/>
        <v>0</v>
      </c>
      <c r="R279" s="651">
        <f t="shared" si="223"/>
        <v>0</v>
      </c>
      <c r="S279" s="651">
        <f t="shared" si="223"/>
        <v>0</v>
      </c>
      <c r="T279" s="651">
        <f t="shared" si="223"/>
        <v>0</v>
      </c>
      <c r="U279" s="651">
        <f t="shared" si="223"/>
        <v>0</v>
      </c>
      <c r="V279" s="651">
        <f t="shared" si="223"/>
        <v>0</v>
      </c>
      <c r="W279" s="651">
        <f t="shared" si="223"/>
        <v>0</v>
      </c>
      <c r="X279" s="651">
        <f t="shared" si="223"/>
        <v>0</v>
      </c>
      <c r="Y279" s="651">
        <f t="shared" si="223"/>
        <v>0</v>
      </c>
      <c r="Z279" s="651">
        <f t="shared" si="223"/>
        <v>0</v>
      </c>
      <c r="AA279" s="651">
        <f t="shared" si="223"/>
        <v>0</v>
      </c>
      <c r="AB279" s="651">
        <f t="shared" si="223"/>
        <v>0</v>
      </c>
      <c r="AC279" s="651">
        <f t="shared" si="223"/>
        <v>0</v>
      </c>
      <c r="AD279" s="651">
        <f t="shared" si="223"/>
        <v>0</v>
      </c>
      <c r="AE279" s="651">
        <f t="shared" si="223"/>
        <v>0</v>
      </c>
      <c r="AF279" s="651">
        <f t="shared" si="223"/>
        <v>0</v>
      </c>
      <c r="AG279" s="651">
        <f t="shared" si="223"/>
        <v>0</v>
      </c>
      <c r="AH279" s="651">
        <f t="shared" si="223"/>
        <v>0</v>
      </c>
      <c r="AI279" s="164"/>
      <c r="AJ279" s="739" t="s">
        <v>1344</v>
      </c>
      <c r="AK279" s="164"/>
      <c r="AL279" s="164"/>
      <c r="AM279" s="164"/>
      <c r="AN279" s="164"/>
      <c r="AO279" s="164"/>
      <c r="AP279" s="164"/>
      <c r="AQ279" s="164"/>
      <c r="AR279" s="164"/>
      <c r="AS279" s="164"/>
      <c r="AT279" s="164"/>
      <c r="AU279" s="164"/>
      <c r="AV279" s="164"/>
      <c r="AW279" s="164"/>
      <c r="AX279" s="164"/>
      <c r="AY279" s="164"/>
      <c r="AZ279" s="164"/>
      <c r="BA279" s="164"/>
      <c r="BB279" s="164"/>
      <c r="BC279" s="164"/>
      <c r="BD279" s="164"/>
      <c r="BE279" s="164"/>
      <c r="BF279" s="164"/>
      <c r="BG279" s="164"/>
      <c r="BH279" s="164"/>
      <c r="BI279" s="164"/>
      <c r="BJ279" s="164"/>
      <c r="BK279" s="164"/>
      <c r="BL279" s="164"/>
      <c r="BM279" s="164"/>
      <c r="BN279" s="164"/>
      <c r="BO279" s="164"/>
    </row>
    <row r="280" spans="1:67" s="181" customFormat="1">
      <c r="A280" s="599" t="s">
        <v>461</v>
      </c>
      <c r="B280" s="599"/>
      <c r="C280" s="650" t="s">
        <v>415</v>
      </c>
      <c r="D280" s="651"/>
      <c r="E280" s="674">
        <v>0.2</v>
      </c>
      <c r="F280" s="674">
        <f>$AJ280</f>
        <v>0.29645906342523204</v>
      </c>
      <c r="G280" s="674">
        <f t="shared" ref="G280:M282" si="224">$AJ280</f>
        <v>0.29645906342523204</v>
      </c>
      <c r="H280" s="674">
        <f t="shared" si="224"/>
        <v>0.29645906342523204</v>
      </c>
      <c r="I280" s="674">
        <f t="shared" si="224"/>
        <v>0.29645906342523204</v>
      </c>
      <c r="J280" s="674">
        <f t="shared" si="224"/>
        <v>0.29645906342523204</v>
      </c>
      <c r="K280" s="674">
        <f t="shared" si="224"/>
        <v>0.29645906342523204</v>
      </c>
      <c r="L280" s="674">
        <f t="shared" si="224"/>
        <v>0.29645906342523204</v>
      </c>
      <c r="M280" s="674">
        <f t="shared" si="224"/>
        <v>0.29645906342523204</v>
      </c>
      <c r="N280" s="735">
        <v>1</v>
      </c>
      <c r="O280" s="674">
        <f t="shared" ref="O280:AH282" si="225">$AJ280</f>
        <v>0.29645906342523204</v>
      </c>
      <c r="P280" s="674">
        <f t="shared" si="225"/>
        <v>0.29645906342523204</v>
      </c>
      <c r="Q280" s="674">
        <f t="shared" si="225"/>
        <v>0.29645906342523204</v>
      </c>
      <c r="R280" s="674">
        <f t="shared" si="225"/>
        <v>0.29645906342523204</v>
      </c>
      <c r="S280" s="674">
        <f t="shared" si="225"/>
        <v>0.29645906342523204</v>
      </c>
      <c r="T280" s="674">
        <f t="shared" si="225"/>
        <v>0.29645906342523204</v>
      </c>
      <c r="U280" s="674">
        <f t="shared" si="225"/>
        <v>0.29645906342523204</v>
      </c>
      <c r="V280" s="674">
        <f t="shared" si="225"/>
        <v>0.29645906342523204</v>
      </c>
      <c r="W280" s="674">
        <f t="shared" si="225"/>
        <v>0.29645906342523204</v>
      </c>
      <c r="X280" s="674">
        <f t="shared" si="225"/>
        <v>0.29645906342523204</v>
      </c>
      <c r="Y280" s="674">
        <f t="shared" si="225"/>
        <v>0.29645906342523204</v>
      </c>
      <c r="Z280" s="674">
        <f t="shared" si="225"/>
        <v>0.29645906342523204</v>
      </c>
      <c r="AA280" s="674">
        <f t="shared" si="225"/>
        <v>0.29645906342523204</v>
      </c>
      <c r="AB280" s="674">
        <f t="shared" si="225"/>
        <v>0.29645906342523204</v>
      </c>
      <c r="AC280" s="674">
        <f t="shared" si="225"/>
        <v>0.29645906342523204</v>
      </c>
      <c r="AD280" s="674">
        <f t="shared" si="225"/>
        <v>0.29645906342523204</v>
      </c>
      <c r="AE280" s="674">
        <f t="shared" si="225"/>
        <v>0.29645906342523204</v>
      </c>
      <c r="AF280" s="674">
        <f t="shared" si="225"/>
        <v>0.29645906342523204</v>
      </c>
      <c r="AG280" s="674">
        <f t="shared" si="225"/>
        <v>0.29645906342523204</v>
      </c>
      <c r="AH280" s="674">
        <f t="shared" si="225"/>
        <v>0.29645906342523204</v>
      </c>
      <c r="AI280" s="164"/>
      <c r="AJ280" s="674">
        <v>0.29645906342523204</v>
      </c>
      <c r="AK280" s="164"/>
      <c r="AL280" s="164"/>
      <c r="AM280" s="164"/>
      <c r="AN280" s="164"/>
      <c r="AO280" s="164"/>
      <c r="AP280" s="164"/>
      <c r="AQ280" s="164"/>
      <c r="AR280" s="164"/>
      <c r="AS280" s="164"/>
      <c r="AT280" s="164"/>
      <c r="AU280" s="164"/>
      <c r="AV280" s="164"/>
      <c r="AW280" s="164"/>
      <c r="AX280" s="164"/>
      <c r="AY280" s="164"/>
      <c r="AZ280" s="164"/>
      <c r="BA280" s="164"/>
      <c r="BB280" s="164"/>
      <c r="BC280" s="164"/>
      <c r="BD280" s="164"/>
      <c r="BE280" s="164"/>
      <c r="BF280" s="164"/>
      <c r="BG280" s="164"/>
      <c r="BH280" s="164"/>
      <c r="BI280" s="164"/>
      <c r="BJ280" s="164"/>
      <c r="BK280" s="164"/>
      <c r="BL280" s="164"/>
      <c r="BM280" s="164"/>
      <c r="BN280" s="164"/>
      <c r="BO280" s="164"/>
    </row>
    <row r="281" spans="1:67" s="181" customFormat="1">
      <c r="A281" s="599"/>
      <c r="B281" s="599"/>
      <c r="C281" s="650" t="s">
        <v>1329</v>
      </c>
      <c r="D281" s="651"/>
      <c r="E281" s="674">
        <v>0.63077897979903796</v>
      </c>
      <c r="F281" s="674">
        <f>$AJ281</f>
        <v>0.63077897979903796</v>
      </c>
      <c r="G281" s="674">
        <f t="shared" si="224"/>
        <v>0.63077897979903796</v>
      </c>
      <c r="H281" s="674">
        <f t="shared" si="224"/>
        <v>0.63077897979903796</v>
      </c>
      <c r="I281" s="674">
        <f t="shared" si="224"/>
        <v>0.63077897979903796</v>
      </c>
      <c r="J281" s="674">
        <f t="shared" si="224"/>
        <v>0.63077897979903796</v>
      </c>
      <c r="K281" s="674">
        <f t="shared" si="224"/>
        <v>0.63077897979903796</v>
      </c>
      <c r="L281" s="674">
        <f t="shared" si="224"/>
        <v>0.63077897979903796</v>
      </c>
      <c r="M281" s="674">
        <f t="shared" si="224"/>
        <v>0.63077897979903796</v>
      </c>
      <c r="N281" s="735">
        <v>1</v>
      </c>
      <c r="O281" s="674">
        <f t="shared" si="225"/>
        <v>0.63077897979903796</v>
      </c>
      <c r="P281" s="674">
        <f t="shared" si="225"/>
        <v>0.63077897979903796</v>
      </c>
      <c r="Q281" s="674">
        <f t="shared" si="225"/>
        <v>0.63077897979903796</v>
      </c>
      <c r="R281" s="674">
        <f t="shared" si="225"/>
        <v>0.63077897979903796</v>
      </c>
      <c r="S281" s="674">
        <f t="shared" si="225"/>
        <v>0.63077897979903796</v>
      </c>
      <c r="T281" s="674">
        <f t="shared" si="225"/>
        <v>0.63077897979903796</v>
      </c>
      <c r="U281" s="674">
        <f t="shared" si="225"/>
        <v>0.63077897979903796</v>
      </c>
      <c r="V281" s="674">
        <f t="shared" si="225"/>
        <v>0.63077897979903796</v>
      </c>
      <c r="W281" s="674">
        <f t="shared" si="225"/>
        <v>0.63077897979903796</v>
      </c>
      <c r="X281" s="674">
        <f t="shared" si="225"/>
        <v>0.63077897979903796</v>
      </c>
      <c r="Y281" s="674">
        <f t="shared" si="225"/>
        <v>0.63077897979903796</v>
      </c>
      <c r="Z281" s="674">
        <f t="shared" si="225"/>
        <v>0.63077897979903796</v>
      </c>
      <c r="AA281" s="674">
        <f t="shared" si="225"/>
        <v>0.63077897979903796</v>
      </c>
      <c r="AB281" s="674">
        <f t="shared" si="225"/>
        <v>0.63077897979903796</v>
      </c>
      <c r="AC281" s="674">
        <f t="shared" si="225"/>
        <v>0.63077897979903796</v>
      </c>
      <c r="AD281" s="674">
        <f t="shared" si="225"/>
        <v>0.63077897979903796</v>
      </c>
      <c r="AE281" s="674">
        <f t="shared" si="225"/>
        <v>0.63077897979903796</v>
      </c>
      <c r="AF281" s="674">
        <f t="shared" si="225"/>
        <v>0.63077897979903796</v>
      </c>
      <c r="AG281" s="674">
        <f t="shared" si="225"/>
        <v>0.63077897979903796</v>
      </c>
      <c r="AH281" s="674">
        <f t="shared" si="225"/>
        <v>0.63077897979903796</v>
      </c>
      <c r="AI281" s="164"/>
      <c r="AJ281" s="674">
        <v>0.63077897979903796</v>
      </c>
      <c r="AK281" s="164"/>
      <c r="AL281" s="164"/>
      <c r="AM281" s="164"/>
      <c r="AN281" s="164"/>
      <c r="AO281" s="164"/>
      <c r="AP281" s="164"/>
      <c r="AQ281" s="164"/>
      <c r="AR281" s="164"/>
      <c r="AS281" s="164"/>
      <c r="AT281" s="164"/>
      <c r="AU281" s="164"/>
      <c r="AV281" s="164"/>
      <c r="AW281" s="164"/>
      <c r="AX281" s="164"/>
      <c r="AY281" s="164"/>
      <c r="AZ281" s="164"/>
      <c r="BA281" s="164"/>
      <c r="BB281" s="164"/>
      <c r="BC281" s="164"/>
      <c r="BD281" s="164"/>
      <c r="BE281" s="164"/>
      <c r="BF281" s="164"/>
      <c r="BG281" s="164"/>
      <c r="BH281" s="164"/>
      <c r="BI281" s="164"/>
      <c r="BJ281" s="164"/>
      <c r="BK281" s="164"/>
      <c r="BL281" s="164"/>
      <c r="BM281" s="164"/>
      <c r="BN281" s="164"/>
      <c r="BO281" s="164"/>
    </row>
    <row r="282" spans="1:67" s="181" customFormat="1">
      <c r="A282" s="599" t="s">
        <v>461</v>
      </c>
      <c r="B282" s="599"/>
      <c r="C282" s="650" t="s">
        <v>416</v>
      </c>
      <c r="D282" s="651"/>
      <c r="E282" s="674">
        <v>0.50488402914638109</v>
      </c>
      <c r="F282" s="674">
        <f>$AJ282</f>
        <v>0.50488402914638109</v>
      </c>
      <c r="G282" s="674">
        <f t="shared" si="224"/>
        <v>0.50488402914638109</v>
      </c>
      <c r="H282" s="674">
        <f t="shared" si="224"/>
        <v>0.50488402914638109</v>
      </c>
      <c r="I282" s="674">
        <f t="shared" si="224"/>
        <v>0.50488402914638109</v>
      </c>
      <c r="J282" s="674">
        <f t="shared" si="224"/>
        <v>0.50488402914638109</v>
      </c>
      <c r="K282" s="674">
        <f t="shared" si="224"/>
        <v>0.50488402914638109</v>
      </c>
      <c r="L282" s="674">
        <f t="shared" si="224"/>
        <v>0.50488402914638109</v>
      </c>
      <c r="M282" s="674">
        <f t="shared" si="224"/>
        <v>0.50488402914638109</v>
      </c>
      <c r="N282" s="735">
        <v>1</v>
      </c>
      <c r="O282" s="674">
        <f t="shared" si="225"/>
        <v>0.50488402914638109</v>
      </c>
      <c r="P282" s="674">
        <f t="shared" si="225"/>
        <v>0.50488402914638109</v>
      </c>
      <c r="Q282" s="674">
        <f t="shared" si="225"/>
        <v>0.50488402914638109</v>
      </c>
      <c r="R282" s="674">
        <f t="shared" si="225"/>
        <v>0.50488402914638109</v>
      </c>
      <c r="S282" s="674">
        <f t="shared" si="225"/>
        <v>0.50488402914638109</v>
      </c>
      <c r="T282" s="674">
        <f t="shared" si="225"/>
        <v>0.50488402914638109</v>
      </c>
      <c r="U282" s="674">
        <f t="shared" si="225"/>
        <v>0.50488402914638109</v>
      </c>
      <c r="V282" s="674">
        <f t="shared" si="225"/>
        <v>0.50488402914638109</v>
      </c>
      <c r="W282" s="674">
        <f t="shared" si="225"/>
        <v>0.50488402914638109</v>
      </c>
      <c r="X282" s="674">
        <f t="shared" si="225"/>
        <v>0.50488402914638109</v>
      </c>
      <c r="Y282" s="674">
        <f t="shared" si="225"/>
        <v>0.50488402914638109</v>
      </c>
      <c r="Z282" s="674">
        <f t="shared" si="225"/>
        <v>0.50488402914638109</v>
      </c>
      <c r="AA282" s="674">
        <f t="shared" si="225"/>
        <v>0.50488402914638109</v>
      </c>
      <c r="AB282" s="674">
        <f t="shared" si="225"/>
        <v>0.50488402914638109</v>
      </c>
      <c r="AC282" s="674">
        <f t="shared" si="225"/>
        <v>0.50488402914638109</v>
      </c>
      <c r="AD282" s="674">
        <f t="shared" si="225"/>
        <v>0.50488402914638109</v>
      </c>
      <c r="AE282" s="674">
        <f t="shared" si="225"/>
        <v>0.50488402914638109</v>
      </c>
      <c r="AF282" s="674">
        <f t="shared" si="225"/>
        <v>0.50488402914638109</v>
      </c>
      <c r="AG282" s="674">
        <f t="shared" si="225"/>
        <v>0.50488402914638109</v>
      </c>
      <c r="AH282" s="674">
        <f t="shared" si="225"/>
        <v>0.50488402914638109</v>
      </c>
      <c r="AI282" s="164"/>
      <c r="AJ282" s="674">
        <v>0.50488402914638109</v>
      </c>
      <c r="AK282" s="164"/>
      <c r="AL282" s="164"/>
      <c r="AM282" s="164"/>
      <c r="AN282" s="164"/>
      <c r="AO282" s="164"/>
      <c r="AP282" s="164"/>
      <c r="AQ282" s="164"/>
      <c r="AR282" s="164"/>
      <c r="AS282" s="164"/>
      <c r="AT282" s="164"/>
      <c r="AU282" s="164"/>
      <c r="AV282" s="164"/>
      <c r="AW282" s="164"/>
      <c r="AX282" s="164"/>
      <c r="AY282" s="164"/>
      <c r="AZ282" s="164"/>
      <c r="BA282" s="164"/>
      <c r="BB282" s="164"/>
      <c r="BC282" s="164"/>
      <c r="BD282" s="164"/>
      <c r="BE282" s="164"/>
      <c r="BF282" s="164"/>
      <c r="BG282" s="164"/>
      <c r="BH282" s="164"/>
      <c r="BI282" s="164"/>
      <c r="BJ282" s="164"/>
      <c r="BK282" s="164"/>
      <c r="BL282" s="164"/>
      <c r="BM282" s="164"/>
      <c r="BN282" s="164"/>
      <c r="BO282" s="164"/>
    </row>
    <row r="283" spans="1:67" s="181" customFormat="1">
      <c r="A283" s="599" t="s">
        <v>461</v>
      </c>
      <c r="B283" s="599"/>
      <c r="C283" s="649" t="s">
        <v>337</v>
      </c>
      <c r="D283" s="651">
        <f t="shared" si="216"/>
        <v>229.33292340465476</v>
      </c>
      <c r="E283" s="651">
        <f>IF('INDCONSby Product'!D51&gt;0,MIN(E$280*E199,'INDCONSby Product'!D51),0)</f>
        <v>7.136876368181027</v>
      </c>
      <c r="F283" s="651">
        <f>IF('INDCONSby Product'!E51&gt;0,MIN(F$280*F199,'INDCONSby Product'!E51),0)</f>
        <v>1.8807582943685057</v>
      </c>
      <c r="G283" s="651">
        <f>IF('INDCONSby Product'!F51&gt;0,MIN(G$280*G199,'INDCONSby Product'!F51),0)</f>
        <v>2.2515694075033585</v>
      </c>
      <c r="H283" s="651">
        <f>IF('INDCONSby Product'!G51&gt;0,MIN(H$280*H199,'INDCONSby Product'!G51),0)</f>
        <v>0</v>
      </c>
      <c r="I283" s="651">
        <f>IF('INDCONSby Product'!H51&gt;0,MIN(I$280*I199,'INDCONSby Product'!H51),0)</f>
        <v>0.27686603225613809</v>
      </c>
      <c r="J283" s="651">
        <f>IF('INDCONSby Product'!I51&gt;0,MIN(J$280*J199,'INDCONSby Product'!I51),0)</f>
        <v>35.518833373537653</v>
      </c>
      <c r="K283" s="651">
        <f>IF('INDCONSby Product'!J51&gt;0,MIN(K$280*K199,'INDCONSby Product'!J51),0)</f>
        <v>2.1955406171508747</v>
      </c>
      <c r="L283" s="651">
        <f>IF('INDCONSby Product'!K51&gt;0,MIN(L$280*L199,'INDCONSby Product'!K51),0)</f>
        <v>0.113</v>
      </c>
      <c r="M283" s="651">
        <f>IF('INDCONSby Product'!L51&gt;0,MIN(M$280*M199,'INDCONSby Product'!L51),0)</f>
        <v>48.485041925898486</v>
      </c>
      <c r="N283" s="651">
        <f>IF('INDCONSby Product'!M51&gt;0,MIN(N$280*N199,'INDCONSby Product'!M51),0)</f>
        <v>0.75362400000000007</v>
      </c>
      <c r="O283" s="651">
        <f>IF('INDCONSby Product'!N51&gt;0,MIN(O$280*O199,'INDCONSby Product'!N51),0)</f>
        <v>30.724641797653451</v>
      </c>
      <c r="P283" s="651">
        <f>IF('INDCONSby Product'!O51&gt;0,MIN(P$280*P199,'INDCONSby Product'!O51),0)</f>
        <v>2.2160000000000002</v>
      </c>
      <c r="Q283" s="651">
        <f>IF('INDCONSby Product'!P51&gt;0,MIN(Q$280*Q199,'INDCONSby Product'!P51),0)</f>
        <v>2.7426478598206971</v>
      </c>
      <c r="R283" s="651">
        <f>IF('INDCONSby Product'!Q51&gt;0,MIN(R$280*R199,'INDCONSby Product'!Q51),0)</f>
        <v>1.3568681126157911</v>
      </c>
      <c r="S283" s="651">
        <f>IF('INDCONSby Product'!R51&gt;0,MIN(S$280*S199,'INDCONSby Product'!R51),0)</f>
        <v>1.8540319608210907</v>
      </c>
      <c r="T283" s="651">
        <f>IF('INDCONSby Product'!S51&gt;0,MIN(T$280*T199,'INDCONSby Product'!S51),0)</f>
        <v>2.0096639999999999</v>
      </c>
      <c r="U283" s="651">
        <f>IF('INDCONSby Product'!T51&gt;0,MIN(U$280*U199,'INDCONSby Product'!T51),0)</f>
        <v>0</v>
      </c>
      <c r="V283" s="651">
        <f>IF('INDCONSby Product'!U51&gt;0,MIN(V$280*V199,'INDCONSby Product'!U51),0)</f>
        <v>0.31799538628896534</v>
      </c>
      <c r="W283" s="651">
        <f>IF('INDCONSby Product'!V51&gt;0,MIN(W$280*W199,'INDCONSby Product'!V51),0)</f>
        <v>0</v>
      </c>
      <c r="X283" s="651">
        <f>IF('INDCONSby Product'!W51&gt;0,MIN(X$280*X199,'INDCONSby Product'!W51),0)</f>
        <v>35.009104580644838</v>
      </c>
      <c r="Y283" s="651">
        <f>IF('INDCONSby Product'!X51&gt;0,MIN(Y$280*Y199,'INDCONSby Product'!X51),0)</f>
        <v>8.1039999999999992</v>
      </c>
      <c r="Z283" s="651">
        <f>IF('INDCONSby Product'!Y51&gt;0,MIN(Z$280*Z199,'INDCONSby Product'!Y51),0)</f>
        <v>2.6795520000000002</v>
      </c>
      <c r="AA283" s="651">
        <f>IF('INDCONSby Product'!Z51&gt;0,MIN(AA$280*AA199,'INDCONSby Product'!Z51),0)</f>
        <v>0.42940318968752722</v>
      </c>
      <c r="AB283" s="651">
        <f>IF('INDCONSby Product'!AA51&gt;0,MIN(AB$280*AB199,'INDCONSby Product'!AA51),0)</f>
        <v>0.11856652113207332</v>
      </c>
      <c r="AC283" s="651">
        <f>IF('INDCONSby Product'!AB51&gt;0,MIN(AC$280*AC199,'INDCONSby Product'!AB51),0)</f>
        <v>1.0992724252661601</v>
      </c>
      <c r="AD283" s="651">
        <f>IF('INDCONSby Product'!AC51&gt;0,MIN(AD$280*AD199,'INDCONSby Product'!AC51),0)</f>
        <v>1.5708036454428724</v>
      </c>
      <c r="AE283" s="651">
        <f>IF('INDCONSby Product'!AD51&gt;0,MIN(AE$280*AE199,'INDCONSby Product'!AD51),0)</f>
        <v>32.596065329595838</v>
      </c>
      <c r="AF283" s="651">
        <f>IF('INDCONSby Product'!AE51&gt;0,MIN(AF$280*AF199,'INDCONSby Product'!AE51),0)</f>
        <v>7.8921965767894253</v>
      </c>
      <c r="AG283" s="651">
        <f>IF('INDCONSby Product'!AF51&gt;0,MIN(AG$280*AG199,'INDCONSby Product'!AF51),0)</f>
        <v>0</v>
      </c>
      <c r="AH283" s="651">
        <f>IF('INDCONSby Product'!AG51&gt;0,MIN(AH$280*AH199,'INDCONSby Product'!AG51),0)</f>
        <v>0</v>
      </c>
      <c r="AI283" s="164"/>
      <c r="AJ283" s="164"/>
      <c r="AK283" s="164"/>
      <c r="AL283" s="164"/>
      <c r="AM283" s="164"/>
      <c r="AN283" s="164"/>
      <c r="AO283" s="164"/>
      <c r="AP283" s="164"/>
      <c r="AQ283" s="164"/>
      <c r="AR283" s="164"/>
      <c r="AS283" s="164"/>
      <c r="AT283" s="164"/>
      <c r="AU283" s="164"/>
      <c r="AV283" s="164"/>
      <c r="AW283" s="164"/>
      <c r="AX283" s="164"/>
      <c r="AY283" s="164"/>
      <c r="AZ283" s="164"/>
      <c r="BA283" s="164"/>
      <c r="BB283" s="164"/>
      <c r="BC283" s="164"/>
      <c r="BD283" s="164"/>
      <c r="BE283" s="164"/>
      <c r="BF283" s="164"/>
      <c r="BG283" s="164"/>
      <c r="BH283" s="164"/>
      <c r="BI283" s="164"/>
      <c r="BJ283" s="164"/>
      <c r="BK283" s="164"/>
      <c r="BL283" s="164"/>
      <c r="BM283" s="164"/>
      <c r="BN283" s="164"/>
      <c r="BO283" s="164"/>
    </row>
    <row r="284" spans="1:67" s="181" customFormat="1">
      <c r="A284" s="599" t="s">
        <v>461</v>
      </c>
      <c r="B284" s="599"/>
      <c r="C284" s="649" t="s">
        <v>1328</v>
      </c>
      <c r="D284" s="651">
        <f t="shared" si="216"/>
        <v>99.162869940279762</v>
      </c>
      <c r="E284" s="651">
        <f>IF('INDCONSby Product'!D27&gt;0,MIN(E$281*(E199-E283),'INDCONSby Product'!D27),0)</f>
        <v>6.782616</v>
      </c>
      <c r="F284" s="651">
        <f>IF('INDCONSby Product'!E27&gt;0,MIN(F$281*(F199-F283),'INDCONSby Product'!E27),0)</f>
        <v>2.58</v>
      </c>
      <c r="G284" s="651">
        <f>IF('INDCONSby Product'!F27&gt;0,MIN(G$281*(G199-G283),'INDCONSby Product'!F27),0)</f>
        <v>2.6179999999999999</v>
      </c>
      <c r="H284" s="651">
        <f>IF('INDCONSby Product'!G27&gt;0,MIN(H$281*(H199-H283),'INDCONSby Product'!G27),0)</f>
        <v>0</v>
      </c>
      <c r="I284" s="651">
        <f>IF('INDCONSby Product'!H27&gt;0,MIN(I$281*(I199-I283),'INDCONSby Product'!H27),0)</f>
        <v>0.41444941372349958</v>
      </c>
      <c r="J284" s="651">
        <f>IF('INDCONSby Product'!I27&gt;0,MIN(J$281*(J199-J283),'INDCONSby Product'!I27),0)</f>
        <v>7.218</v>
      </c>
      <c r="K284" s="651">
        <f>IF('INDCONSby Product'!J27&gt;0,MIN(K$281*(K199-K283),'INDCONSby Product'!J27),0)</f>
        <v>0</v>
      </c>
      <c r="L284" s="651">
        <f>IF('INDCONSby Product'!K27&gt;0,MIN(L$281*(L199-L283),'INDCONSby Product'!K27),0)</f>
        <v>0</v>
      </c>
      <c r="M284" s="651">
        <f>IF('INDCONSby Product'!L27&gt;0,MIN(M$281*(M199-M283),'INDCONSby Product'!L27),0)</f>
        <v>0</v>
      </c>
      <c r="N284" s="651">
        <f>IF('INDCONSby Product'!M27&gt;0,MIN(N$281*(N199-N283),'INDCONSby Product'!M27),0)</f>
        <v>10.574</v>
      </c>
      <c r="O284" s="651">
        <f>IF('INDCONSby Product'!N27&gt;0,MIN(O$281*(O199-O283),'INDCONSby Product'!N27),0)</f>
        <v>0</v>
      </c>
      <c r="P284" s="651">
        <f>IF('INDCONSby Product'!O27&gt;0,MIN(P$281*(P199-P283),'INDCONSby Product'!O27),0)</f>
        <v>0</v>
      </c>
      <c r="Q284" s="651">
        <f>IF('INDCONSby Product'!P27&gt;0,MIN(Q$281*(Q199-Q283),'INDCONSby Product'!P27),0)</f>
        <v>4.1055552690591872</v>
      </c>
      <c r="R284" s="651">
        <f>IF('INDCONSby Product'!Q27&gt;0,MIN(R$281*(R199-R283),'INDCONSby Product'!Q27),0)</f>
        <v>0</v>
      </c>
      <c r="S284" s="651">
        <f>IF('INDCONSby Product'!R27&gt;0,MIN(S$281*(S199-S283),'INDCONSby Product'!R27),0)</f>
        <v>0</v>
      </c>
      <c r="T284" s="651">
        <f>IF('INDCONSby Product'!S27&gt;0,MIN(T$281*(T199-T283),'INDCONSby Product'!S27),0)</f>
        <v>2.8000000000000001E-2</v>
      </c>
      <c r="U284" s="651">
        <f>IF('INDCONSby Product'!T27&gt;0,MIN(U$281*(U199-U283),'INDCONSby Product'!T27),0)</f>
        <v>0</v>
      </c>
      <c r="V284" s="651">
        <f>IF('INDCONSby Product'!U27&gt;0,MIN(V$281*(V199-V283),'INDCONSby Product'!U27),0)</f>
        <v>0</v>
      </c>
      <c r="W284" s="651">
        <f>IF('INDCONSby Product'!V27&gt;0,MIN(W$281*(W199-W283),'INDCONSby Product'!V27),0)</f>
        <v>0</v>
      </c>
      <c r="X284" s="651">
        <f>IF('INDCONSby Product'!W27&gt;0,MIN(X$281*(X199-X283),'INDCONSby Product'!W27),0)</f>
        <v>31.56</v>
      </c>
      <c r="Y284" s="651">
        <f>IF('INDCONSby Product'!X27&gt;0,MIN(Y$281*(Y199-Y283),'INDCONSby Product'!X27),0)</f>
        <v>13.114077154150689</v>
      </c>
      <c r="Z284" s="651">
        <f>IF('INDCONSby Product'!Y27&gt;0,MIN(Z$281*(Z199-Z283),'INDCONSby Product'!Y27),0)</f>
        <v>3.3260000000000001</v>
      </c>
      <c r="AA284" s="651">
        <f>IF('INDCONSby Product'!Z27&gt;0,MIN(AA$281*(AA199-AA283),'INDCONSby Product'!Z27),0)</f>
        <v>0.64278705035348671</v>
      </c>
      <c r="AB284" s="651">
        <f>IF('INDCONSby Product'!AA27&gt;0,MIN(AB$281*(AB199-AB283),'INDCONSby Product'!AA27),0)</f>
        <v>0</v>
      </c>
      <c r="AC284" s="651">
        <f>IF('INDCONSby Product'!AB27&gt;0,MIN(AC$281*(AC199-AC283),'INDCONSby Product'!AB27),0)</f>
        <v>0</v>
      </c>
      <c r="AD284" s="651">
        <f>IF('INDCONSby Product'!AC27&gt;0,MIN(AD$281*(AD199-AD283),'INDCONSby Product'!AC27),0)</f>
        <v>2.3513850529929043</v>
      </c>
      <c r="AE284" s="651">
        <f>IF('INDCONSby Product'!AD27&gt;0,MIN(AE$281*(AE199-AE283),'INDCONSby Product'!AD27),0)</f>
        <v>13.848000000000001</v>
      </c>
      <c r="AF284" s="651">
        <f>IF('INDCONSby Product'!AE27&gt;0,MIN(AF$281*(AF199-AF283),'INDCONSby Product'!AE27),0)</f>
        <v>0</v>
      </c>
      <c r="AG284" s="651">
        <f>IF('INDCONSby Product'!AF27&gt;0,MIN(AG$281*(AG199-AG283),'INDCONSby Product'!AF27),0)</f>
        <v>0</v>
      </c>
      <c r="AH284" s="651">
        <f>IF('INDCONSby Product'!AG27&gt;0,MIN(AH$281*(AH199-AH283),'INDCONSby Product'!AG27),0)</f>
        <v>0</v>
      </c>
      <c r="AI284" s="164"/>
      <c r="AJ284" s="164"/>
      <c r="AK284" s="164"/>
      <c r="AL284" s="164"/>
      <c r="AM284" s="164"/>
      <c r="AN284" s="164"/>
      <c r="AO284" s="164"/>
      <c r="AP284" s="164"/>
      <c r="AQ284" s="164"/>
      <c r="AR284" s="164"/>
      <c r="AS284" s="164"/>
      <c r="AT284" s="164"/>
      <c r="AU284" s="164"/>
      <c r="AV284" s="164"/>
      <c r="AW284" s="164"/>
      <c r="AX284" s="164"/>
      <c r="AY284" s="164"/>
      <c r="AZ284" s="164"/>
      <c r="BA284" s="164"/>
      <c r="BB284" s="164"/>
      <c r="BC284" s="164"/>
      <c r="BD284" s="164"/>
      <c r="BE284" s="164"/>
      <c r="BF284" s="164"/>
      <c r="BG284" s="164"/>
      <c r="BH284" s="164"/>
      <c r="BI284" s="164"/>
      <c r="BJ284" s="164"/>
      <c r="BK284" s="164"/>
      <c r="BL284" s="164"/>
      <c r="BM284" s="164"/>
      <c r="BN284" s="164"/>
      <c r="BO284" s="164"/>
    </row>
    <row r="285" spans="1:67" s="181" customFormat="1">
      <c r="A285" s="599" t="s">
        <v>461</v>
      </c>
      <c r="B285" s="599"/>
      <c r="C285" s="649" t="s">
        <v>352</v>
      </c>
      <c r="D285" s="651">
        <f t="shared" si="216"/>
        <v>185.32673252206271</v>
      </c>
      <c r="E285" s="651">
        <f>IF('INDCONSby Product'!D63&gt;0,MIN(E$282*(E199-E283-E284),'INDCONSby Product'!D63-E286),0)</f>
        <v>10.9887450909146</v>
      </c>
      <c r="F285" s="651">
        <f>IF('INDCONSby Product'!E63&gt;0,MIN(F$282*(F199-F283-F284),'INDCONSby Product'!E63-F286),0)</f>
        <v>0.95085612043859935</v>
      </c>
      <c r="G285" s="651">
        <f>IF('INDCONSby Product'!F63&gt;0,MIN(G$282*(G199-G283-G284),'INDCONSby Product'!F63-G286),0)</f>
        <v>1.375963060715335</v>
      </c>
      <c r="H285" s="651">
        <f>IF('INDCONSby Product'!G63&gt;0,MIN(H$282*(H199-H283-H284),'INDCONSby Product'!G63-H286),0)</f>
        <v>0</v>
      </c>
      <c r="I285" s="651">
        <f>IF('INDCONSby Product'!H63&gt;0,MIN(I$282*(I199-I283-I284),'INDCONSby Product'!H63-I286),0)</f>
        <v>0.12248202789084091</v>
      </c>
      <c r="J285" s="651">
        <f>IF('INDCONSby Product'!I63&gt;0,MIN(J$282*(J199-J283-J284),'INDCONSby Product'!I63-J286),0)</f>
        <v>38.913135201652139</v>
      </c>
      <c r="K285" s="651">
        <f>IF('INDCONSby Product'!J63&gt;0,MIN(K$282*(K199-K283-K284),'INDCONSby Product'!J63-K286),0)</f>
        <v>1.5090595800000002</v>
      </c>
      <c r="L285" s="651">
        <f>IF('INDCONSby Product'!K63&gt;0,MIN(L$282*(L199-L283-L284),'INDCONSby Product'!K63-L286),0)</f>
        <v>0.13002199999999992</v>
      </c>
      <c r="M285" s="673">
        <v>36</v>
      </c>
      <c r="N285" s="651">
        <f>IF('INDCONSby Product'!M63&gt;0,MIN(N$282*(N199-N283-N284),'INDCONSby Product'!M63-N286),0)</f>
        <v>21.981000000000002</v>
      </c>
      <c r="O285" s="651">
        <f>IF('INDCONSby Product'!N63&gt;0,MIN(O$282*(O199-O283-O284),'INDCONSby Product'!N63-O286),0)</f>
        <v>36.813160280447654</v>
      </c>
      <c r="P285" s="651">
        <f>IF('INDCONSby Product'!O63&gt;0,MIN(P$282*(P199-P283-P284),'INDCONSby Product'!O63-P286),0)</f>
        <v>9.9669999999999925E-2</v>
      </c>
      <c r="Q285" s="651">
        <f>IF('INDCONSby Product'!P63&gt;0,MIN(Q$282*(Q199-Q283-Q284),'INDCONSby Product'!P63-Q286),0)</f>
        <v>1.2133126946773236</v>
      </c>
      <c r="R285" s="651">
        <f>IF('INDCONSby Product'!Q63&gt;0,MIN(R$282*(R199-R283-R284),'INDCONSby Product'!Q63-R286),0)</f>
        <v>0.46054800000000001</v>
      </c>
      <c r="S285" s="651">
        <f>IF('INDCONSby Product'!R63&gt;0,MIN(S$282*(S199-S283-S284),'INDCONSby Product'!R63-S286),0)</f>
        <v>2.2214343844357578</v>
      </c>
      <c r="T285" s="651">
        <f>IF('INDCONSby Product'!S63&gt;0,MIN(T$282*(T199-T283-T284),'INDCONSby Product'!S63-T286),0)</f>
        <v>0</v>
      </c>
      <c r="U285" s="651">
        <f>IF('INDCONSby Product'!T63&gt;0,MIN(U$282*(U199-U283-U284),'INDCONSby Product'!T63-U286),0)</f>
        <v>0</v>
      </c>
      <c r="V285" s="651">
        <f>IF('INDCONSby Product'!U63&gt;0,MIN(V$282*(V199-V283-V284),'INDCONSby Product'!U63-V286),0)</f>
        <v>3.4876448842105251E-2</v>
      </c>
      <c r="W285" s="651">
        <f>IF('INDCONSby Product'!V63&gt;0,MIN(W$282*(W199-W283-W284),'INDCONSby Product'!V63-W286),0)</f>
        <v>0</v>
      </c>
      <c r="X285" s="651">
        <f>IF('INDCONSby Product'!W63&gt;0,MIN(X$282*(X199-X283-X284),'INDCONSby Product'!W63-X286),0)</f>
        <v>0.26841146189473619</v>
      </c>
      <c r="Y285" s="651">
        <f>IF('INDCONSby Product'!X63&gt;0,MIN(Y$282*(Y199-Y283-Y284),'INDCONSby Product'!X63-Y286),0)</f>
        <v>2.2879999999999998</v>
      </c>
      <c r="Z285" s="651">
        <f>IF('INDCONSby Product'!Y63&gt;0,MIN(Z$282*(Z199-Z283-Z284),'INDCONSby Product'!Y63-Z286),0)</f>
        <v>1.2954025084998655E-2</v>
      </c>
      <c r="AA285" s="651">
        <f>IF('INDCONSby Product'!Z63&gt;0,MIN(AA$282*(AA199-AA283-AA284),'INDCONSby Product'!Z63-AA286),0)</f>
        <v>0.18996253540798069</v>
      </c>
      <c r="AB285" s="651">
        <f>IF('INDCONSby Product'!AA63&gt;0,MIN(AB$282*(AB199-AB283-AB284),'INDCONSby Product'!AA63-AB286),0)</f>
        <v>0.14206213940835768</v>
      </c>
      <c r="AC285" s="651">
        <f>IF('INDCONSby Product'!AB63&gt;0,MIN(AC$282*(AC199-AC283-AC284),'INDCONSby Product'!AB63-AC286),0)</f>
        <v>1.3171086663828973</v>
      </c>
      <c r="AD285" s="651">
        <f>IF('INDCONSby Product'!AC63&gt;0,MIN(AD$282*(AD199-AD283-AD284),'INDCONSby Product'!AC63-AD286),0)</f>
        <v>0.69490364832540086</v>
      </c>
      <c r="AE285" s="651">
        <f>IF('INDCONSby Product'!AD63&gt;0,MIN(AE$282*(AE199-AE283-AE284),'INDCONSby Product'!AD63-AE286),0)</f>
        <v>25.450501155544003</v>
      </c>
      <c r="AF285" s="651">
        <f>IF('INDCONSby Product'!AE63&gt;0,MIN(AF$282*(AF199-AF283-AF284),'INDCONSby Product'!AE63-AF286),0)</f>
        <v>2.1485639999999999</v>
      </c>
      <c r="AG285" s="651">
        <f>IF('INDCONSby Product'!AF63&gt;0,MIN(AG$282*(AG199-AG283-AG284),'INDCONSby Product'!AF63-AG286),0)</f>
        <v>0</v>
      </c>
      <c r="AH285" s="651">
        <f>IF('INDCONSby Product'!AG63&gt;0,MIN(AH$282*(AH199-AH283-AH284),'INDCONSby Product'!AG63-AH286),0)</f>
        <v>0</v>
      </c>
      <c r="AI285" s="164"/>
      <c r="AJ285" s="164"/>
      <c r="AK285" s="164"/>
      <c r="AL285" s="164"/>
      <c r="AM285" s="164"/>
      <c r="AN285" s="164"/>
      <c r="AO285" s="164"/>
      <c r="AP285" s="164"/>
      <c r="AQ285" s="164"/>
      <c r="AR285" s="164"/>
      <c r="AS285" s="164"/>
      <c r="AT285" s="164"/>
      <c r="AU285" s="164"/>
      <c r="AV285" s="164"/>
      <c r="AW285" s="164"/>
      <c r="AX285" s="164"/>
      <c r="AY285" s="164"/>
      <c r="AZ285" s="164"/>
      <c r="BA285" s="164"/>
      <c r="BB285" s="164"/>
      <c r="BC285" s="164"/>
      <c r="BD285" s="164"/>
      <c r="BE285" s="164"/>
      <c r="BF285" s="164"/>
      <c r="BG285" s="164"/>
      <c r="BH285" s="164"/>
      <c r="BI285" s="164"/>
      <c r="BJ285" s="164"/>
      <c r="BK285" s="164"/>
      <c r="BL285" s="164"/>
      <c r="BM285" s="164"/>
      <c r="BN285" s="164"/>
      <c r="BO285" s="164"/>
    </row>
    <row r="286" spans="1:67" s="503" customFormat="1">
      <c r="A286" s="599"/>
      <c r="B286" s="599"/>
      <c r="C286" s="722" t="s">
        <v>1311</v>
      </c>
      <c r="D286" s="721"/>
      <c r="E286" s="721">
        <v>0</v>
      </c>
      <c r="F286" s="721"/>
      <c r="G286" s="721"/>
      <c r="H286" s="721"/>
      <c r="I286" s="721">
        <v>2.8314000000000008</v>
      </c>
      <c r="J286" s="721">
        <v>41.653315901310002</v>
      </c>
      <c r="K286" s="721">
        <v>1.0867564199999999</v>
      </c>
      <c r="L286" s="721">
        <v>0.45397800000000005</v>
      </c>
      <c r="M286" s="721">
        <v>0</v>
      </c>
      <c r="N286" s="721"/>
      <c r="O286" s="721">
        <v>0</v>
      </c>
      <c r="P286" s="721">
        <v>1.0213300000000001</v>
      </c>
      <c r="Q286" s="721"/>
      <c r="R286" s="721"/>
      <c r="S286" s="721">
        <v>20.901043205550398</v>
      </c>
      <c r="T286" s="721">
        <v>6.4000000000000001E-2</v>
      </c>
      <c r="U286" s="721"/>
      <c r="V286" s="721">
        <v>0.16712355115789476</v>
      </c>
      <c r="W286" s="721"/>
      <c r="X286" s="721">
        <v>19.392588538105265</v>
      </c>
      <c r="Y286" s="721"/>
      <c r="Z286" s="721">
        <v>1.5780299749150015</v>
      </c>
      <c r="AA286" s="721"/>
      <c r="AB286" s="721"/>
      <c r="AC286" s="721"/>
      <c r="AD286" s="721"/>
      <c r="AE286" s="721">
        <v>18.887710844456002</v>
      </c>
      <c r="AF286" s="721">
        <v>3.5873520000000005</v>
      </c>
      <c r="AG286" s="721"/>
      <c r="AH286" s="721"/>
    </row>
    <row r="287" spans="1:67" s="181" customFormat="1">
      <c r="A287" s="599" t="s">
        <v>461</v>
      </c>
      <c r="B287" s="599"/>
      <c r="C287" s="649" t="s">
        <v>347</v>
      </c>
      <c r="D287" s="651">
        <f t="shared" si="216"/>
        <v>308.73567814736867</v>
      </c>
      <c r="E287" s="651">
        <f>IF('INDCONSby Product'!D75&gt;0,MIN(E199-E283-E284-E285,'INDCONSby Product'!D75),0)</f>
        <v>10.776144381809504</v>
      </c>
      <c r="F287" s="651">
        <f>IF('INDCONSby Product'!E75&gt;0,MIN(F199-F283-F284-F285,'INDCONSby Product'!E75),0)</f>
        <v>0.93245978093034154</v>
      </c>
      <c r="G287" s="651">
        <f>IF('INDCONSby Product'!F75&gt;0,MIN(G199-G283-G284-G285,'INDCONSby Product'!F75),0)</f>
        <v>1.3493421208363712</v>
      </c>
      <c r="H287" s="651">
        <f>IF('INDCONSby Product'!G75&gt;0,MIN(H199-H283-H284-H285,'INDCONSby Product'!G75),0)</f>
        <v>0</v>
      </c>
      <c r="I287" s="651">
        <f>IF('INDCONSby Product'!H75&gt;0,MIN(I199-I283-I284-I285,'INDCONSby Product'!H75),0)</f>
        <v>0.1201123518480549</v>
      </c>
      <c r="J287" s="651">
        <f>IF('INDCONSby Product'!I75&gt;0,MIN(J199-J283-J284-J285,'INDCONSby Product'!I75),0)</f>
        <v>38.160277612461755</v>
      </c>
      <c r="K287" s="651">
        <f>IF('INDCONSby Product'!J75&gt;0,MIN(K199-K283-K284-K285,'INDCONSby Product'!J75),0)</f>
        <v>3.7012810458916312</v>
      </c>
      <c r="L287" s="651">
        <f>IF('INDCONSby Product'!K75&gt;0,MIN(L199-L283-L284-L285,'INDCONSby Product'!K75),0)</f>
        <v>1.1168350630391619</v>
      </c>
      <c r="M287" s="651">
        <f>IF('INDCONSby Product'!L75&gt;0,MIN(M199-M283-M284-M285,'INDCONSby Product'!L75),0)</f>
        <v>79.062131723344919</v>
      </c>
      <c r="N287" s="651">
        <f>IF('INDCONSby Product'!M75&gt;0,MIN(N199-N283-N284-N285,'INDCONSby Product'!M75),0)</f>
        <v>2.0920000000000001</v>
      </c>
      <c r="O287" s="651">
        <f>IF('INDCONSby Product'!N75&gt;0,MIN(O199-O283-O284-O285,'INDCONSby Product'!N75),0)</f>
        <v>36.100931184652758</v>
      </c>
      <c r="P287" s="651">
        <f>IF('INDCONSby Product'!O75&gt;0,MIN(P199-P283-P284-P285,'INDCONSby Product'!O75),0)</f>
        <v>5.9405823271335274</v>
      </c>
      <c r="Q287" s="651">
        <f>IF('INDCONSby Product'!P75&gt;0,MIN(Q199-Q283-Q284-Q285,'INDCONSby Product'!P75),0)</f>
        <v>1.1898385730082455</v>
      </c>
      <c r="R287" s="651">
        <f>IF('INDCONSby Product'!Q75&gt;0,MIN(R199-R283-R284-R285,'INDCONSby Product'!Q75),0)</f>
        <v>2.759499488947518</v>
      </c>
      <c r="S287" s="651">
        <f>IF('INDCONSby Product'!R75&gt;0,MIN(S199-S283-S284-S285,'INDCONSby Product'!R75),0)</f>
        <v>2.1784559986916059</v>
      </c>
      <c r="T287" s="651">
        <f>IF('INDCONSby Product'!S75&gt;0,MIN(T199-T283-T284-T285,'INDCONSby Product'!S75),0)</f>
        <v>6.5689452769218217</v>
      </c>
      <c r="U287" s="651">
        <f>IF('INDCONSby Product'!T75&gt;0,MIN(U199-U283-U284-U285,'INDCONSby Product'!T75),0)</f>
        <v>0</v>
      </c>
      <c r="V287" s="651">
        <f>IF('INDCONSby Product'!U75&gt;0,MIN(V199-V283-V284-V285,'INDCONSby Product'!U75),0)</f>
        <v>0.71977334769756929</v>
      </c>
      <c r="W287" s="651">
        <f>IF('INDCONSby Product'!V75&gt;0,MIN(W199-W283-W284-W285,'INDCONSby Product'!V75),0)</f>
        <v>0</v>
      </c>
      <c r="X287" s="651">
        <f>IF('INDCONSby Product'!W75&gt;0,MIN(X199-X283-X284-X285,'INDCONSby Product'!W75),0)</f>
        <v>51.253339997266586</v>
      </c>
      <c r="Y287" s="651">
        <f>IF('INDCONSby Product'!X75&gt;0,MIN(Y199-Y283-Y284-Y285,'INDCONSby Product'!X75),0)</f>
        <v>5.3882116381751857</v>
      </c>
      <c r="Z287" s="651">
        <f>IF('INDCONSby Product'!Y75&gt;0,MIN(Z199-Z283-Z284-Z285,'INDCONSby Product'!Y75),0)</f>
        <v>7.1730761923062252</v>
      </c>
      <c r="AA287" s="651">
        <f>IF('INDCONSby Product'!Z75&gt;0,MIN(AA199-AA283-AA284-AA285,'INDCONSby Product'!Z75),0)</f>
        <v>0.1862873050339019</v>
      </c>
      <c r="AB287" s="651">
        <f>IF('INDCONSby Product'!AA75&gt;0,MIN(AB199-AB283-AB284-AB285,'INDCONSby Product'!AA75),0)</f>
        <v>0.13931364435043023</v>
      </c>
      <c r="AC287" s="651">
        <f>IF('INDCONSby Product'!AB75&gt;0,MIN(AC199-AC283-AC284-AC285,'INDCONSby Product'!AB75),0)</f>
        <v>1.291626390279051</v>
      </c>
      <c r="AD287" s="651">
        <f>IF('INDCONSby Product'!AC75&gt;0,MIN(AD199-AD283-AD284-AD285,'INDCONSby Product'!AC75),0)</f>
        <v>0.68145925525126849</v>
      </c>
      <c r="AE287" s="651">
        <f>IF('INDCONSby Product'!AD75&gt;0,MIN(AE199-AE283-AE284-AE285,'INDCONSby Product'!AD75),0)</f>
        <v>38.056753447491175</v>
      </c>
      <c r="AF287" s="651">
        <f>IF('INDCONSby Product'!AE75&gt;0,MIN(AF199-AF283-AF284-AF285,'INDCONSby Product'!AE75),0)</f>
        <v>11.796999999999999</v>
      </c>
      <c r="AG287" s="651">
        <f>IF('INDCONSby Product'!AF75&gt;0,MIN(AG199-AG283-AG284-AG285,'INDCONSby Product'!AF75),0)</f>
        <v>0</v>
      </c>
      <c r="AH287" s="651">
        <f>IF('INDCONSby Product'!AG75&gt;0,MIN(AH199-AH283-AH284-AH285,'INDCONSby Product'!AG75),0)</f>
        <v>0</v>
      </c>
      <c r="AI287" s="164"/>
      <c r="AJ287" s="164"/>
      <c r="AK287" s="164"/>
      <c r="AL287" s="164"/>
      <c r="AM287" s="164"/>
      <c r="AN287" s="164"/>
      <c r="AO287" s="164"/>
      <c r="AP287" s="164"/>
      <c r="AQ287" s="164"/>
      <c r="AR287" s="164"/>
      <c r="AS287" s="164"/>
      <c r="AT287" s="164"/>
      <c r="AU287" s="164"/>
      <c r="AV287" s="164"/>
      <c r="AW287" s="164"/>
      <c r="AX287" s="164"/>
      <c r="AY287" s="164"/>
      <c r="AZ287" s="164"/>
      <c r="BA287" s="164"/>
      <c r="BB287" s="164"/>
      <c r="BC287" s="164"/>
      <c r="BD287" s="164"/>
      <c r="BE287" s="164"/>
      <c r="BF287" s="164"/>
      <c r="BG287" s="164"/>
      <c r="BH287" s="164"/>
      <c r="BI287" s="164"/>
      <c r="BJ287" s="164"/>
      <c r="BK287" s="164"/>
      <c r="BL287" s="164"/>
      <c r="BM287" s="164"/>
      <c r="BN287" s="164"/>
      <c r="BO287" s="164"/>
    </row>
    <row r="288" spans="1:67" s="181" customFormat="1">
      <c r="A288" s="599" t="s">
        <v>461</v>
      </c>
      <c r="B288" s="599"/>
      <c r="C288" s="650" t="s">
        <v>349</v>
      </c>
      <c r="D288" s="651"/>
      <c r="E288" s="651">
        <f t="shared" ref="E288:AH288" si="226">E199-E283-E284-E287-E285</f>
        <v>0</v>
      </c>
      <c r="F288" s="651">
        <f t="shared" si="226"/>
        <v>0</v>
      </c>
      <c r="G288" s="651">
        <f t="shared" si="226"/>
        <v>0</v>
      </c>
      <c r="H288" s="651">
        <f t="shared" si="226"/>
        <v>0</v>
      </c>
      <c r="I288" s="651">
        <f t="shared" si="226"/>
        <v>0</v>
      </c>
      <c r="J288" s="651">
        <f t="shared" si="226"/>
        <v>0</v>
      </c>
      <c r="K288" s="651">
        <f t="shared" si="226"/>
        <v>0</v>
      </c>
      <c r="L288" s="651">
        <f t="shared" si="226"/>
        <v>0</v>
      </c>
      <c r="M288" s="651">
        <f t="shared" si="226"/>
        <v>0</v>
      </c>
      <c r="N288" s="651">
        <f t="shared" si="226"/>
        <v>1.7600636503712366</v>
      </c>
      <c r="O288" s="651">
        <f t="shared" si="226"/>
        <v>0</v>
      </c>
      <c r="P288" s="651">
        <f t="shared" si="226"/>
        <v>-2.2204460492503131E-16</v>
      </c>
      <c r="Q288" s="651">
        <f t="shared" si="226"/>
        <v>0</v>
      </c>
      <c r="R288" s="651">
        <f t="shared" si="226"/>
        <v>0</v>
      </c>
      <c r="S288" s="651">
        <f t="shared" si="226"/>
        <v>0</v>
      </c>
      <c r="T288" s="651">
        <f t="shared" si="226"/>
        <v>0</v>
      </c>
      <c r="U288" s="651">
        <f t="shared" si="226"/>
        <v>0</v>
      </c>
      <c r="V288" s="651">
        <f t="shared" si="226"/>
        <v>0</v>
      </c>
      <c r="W288" s="651">
        <f t="shared" si="226"/>
        <v>0</v>
      </c>
      <c r="X288" s="651">
        <f t="shared" si="226"/>
        <v>0</v>
      </c>
      <c r="Y288" s="651">
        <f t="shared" si="226"/>
        <v>0</v>
      </c>
      <c r="Z288" s="651">
        <f t="shared" si="226"/>
        <v>0</v>
      </c>
      <c r="AA288" s="651">
        <f t="shared" si="226"/>
        <v>0</v>
      </c>
      <c r="AB288" s="651">
        <f t="shared" si="226"/>
        <v>0</v>
      </c>
      <c r="AC288" s="651">
        <f t="shared" si="226"/>
        <v>0</v>
      </c>
      <c r="AD288" s="651">
        <f t="shared" si="226"/>
        <v>0</v>
      </c>
      <c r="AE288" s="651">
        <f t="shared" si="226"/>
        <v>0</v>
      </c>
      <c r="AF288" s="651">
        <f t="shared" si="226"/>
        <v>4.7837786185533542</v>
      </c>
      <c r="AG288" s="651">
        <f t="shared" si="226"/>
        <v>0</v>
      </c>
      <c r="AH288" s="651">
        <f t="shared" si="226"/>
        <v>0</v>
      </c>
      <c r="AI288" s="164"/>
      <c r="AJ288" s="164"/>
      <c r="AK288" s="164"/>
      <c r="AL288" s="164"/>
      <c r="AM288" s="164"/>
      <c r="AN288" s="164"/>
      <c r="AO288" s="164"/>
      <c r="AP288" s="164"/>
      <c r="AQ288" s="164"/>
      <c r="AR288" s="164"/>
      <c r="AS288" s="164"/>
      <c r="AT288" s="164"/>
      <c r="AU288" s="164"/>
      <c r="AV288" s="164"/>
      <c r="AW288" s="164"/>
      <c r="AX288" s="164"/>
      <c r="AY288" s="164"/>
      <c r="AZ288" s="164"/>
      <c r="BA288" s="164"/>
      <c r="BB288" s="164"/>
      <c r="BC288" s="164"/>
      <c r="BD288" s="164"/>
      <c r="BE288" s="164"/>
      <c r="BF288" s="164"/>
      <c r="BG288" s="164"/>
      <c r="BH288" s="164"/>
      <c r="BI288" s="164"/>
      <c r="BJ288" s="164"/>
      <c r="BK288" s="164"/>
      <c r="BL288" s="164"/>
      <c r="BM288" s="164"/>
      <c r="BN288" s="164"/>
      <c r="BO288" s="164"/>
    </row>
    <row r="289" spans="1:67" s="181" customFormat="1">
      <c r="A289" s="599" t="s">
        <v>461</v>
      </c>
      <c r="B289" s="599"/>
      <c r="C289" s="649"/>
      <c r="D289" s="651"/>
      <c r="E289" s="651"/>
      <c r="F289" s="651"/>
      <c r="G289" s="651"/>
      <c r="H289" s="651"/>
      <c r="I289" s="651"/>
      <c r="J289" s="651"/>
      <c r="K289" s="651"/>
      <c r="L289" s="651"/>
      <c r="M289" s="651"/>
      <c r="N289" s="651"/>
      <c r="O289" s="651"/>
      <c r="P289" s="651"/>
      <c r="Q289" s="651"/>
      <c r="R289" s="651"/>
      <c r="S289" s="651"/>
      <c r="T289" s="651"/>
      <c r="U289" s="651"/>
      <c r="V289" s="651"/>
      <c r="W289" s="651"/>
      <c r="X289" s="651"/>
      <c r="Y289" s="651"/>
      <c r="Z289" s="651"/>
      <c r="AA289" s="651"/>
      <c r="AB289" s="651"/>
      <c r="AC289" s="651"/>
      <c r="AD289" s="651"/>
      <c r="AE289" s="651"/>
      <c r="AF289" s="651"/>
      <c r="AG289" s="651"/>
      <c r="AH289" s="651"/>
      <c r="AI289" s="164"/>
      <c r="AJ289" s="164"/>
      <c r="AK289" s="164"/>
      <c r="AL289" s="164"/>
      <c r="AM289" s="164"/>
      <c r="AN289" s="164"/>
      <c r="AO289" s="164"/>
      <c r="AP289" s="164"/>
      <c r="AQ289" s="164"/>
      <c r="AR289" s="164"/>
      <c r="AS289" s="164"/>
      <c r="AT289" s="164"/>
      <c r="AU289" s="164"/>
      <c r="AV289" s="164"/>
      <c r="AW289" s="164"/>
      <c r="AX289" s="164"/>
      <c r="AY289" s="164"/>
      <c r="AZ289" s="164"/>
      <c r="BA289" s="164"/>
      <c r="BB289" s="164"/>
      <c r="BC289" s="164"/>
      <c r="BD289" s="164"/>
      <c r="BE289" s="164"/>
      <c r="BF289" s="164"/>
      <c r="BG289" s="164"/>
      <c r="BH289" s="164"/>
      <c r="BI289" s="164"/>
      <c r="BJ289" s="164"/>
      <c r="BK289" s="164"/>
      <c r="BL289" s="164"/>
      <c r="BM289" s="164"/>
      <c r="BN289" s="164"/>
      <c r="BO289" s="164"/>
    </row>
    <row r="290" spans="1:67" s="181" customFormat="1">
      <c r="A290" s="599" t="s">
        <v>461</v>
      </c>
      <c r="B290" s="599"/>
      <c r="C290" s="652" t="s">
        <v>1063</v>
      </c>
      <c r="D290" s="651">
        <f t="shared" si="216"/>
        <v>-9.3021101966272646</v>
      </c>
      <c r="E290" s="651">
        <f t="shared" ref="E290:AH290" si="227">SUM(E261:E261,E263:E266,E268:E270,E272:E274,E276:E278,E283:E285,E287)-E196</f>
        <v>-1.177161613696299</v>
      </c>
      <c r="F290" s="651">
        <f t="shared" si="227"/>
        <v>0</v>
      </c>
      <c r="G290" s="651">
        <f t="shared" si="227"/>
        <v>0</v>
      </c>
      <c r="H290" s="651">
        <f t="shared" si="227"/>
        <v>0</v>
      </c>
      <c r="I290" s="651">
        <f t="shared" si="227"/>
        <v>0</v>
      </c>
      <c r="J290" s="651">
        <f t="shared" si="227"/>
        <v>0</v>
      </c>
      <c r="K290" s="651">
        <f t="shared" si="227"/>
        <v>0</v>
      </c>
      <c r="L290" s="651">
        <f t="shared" si="227"/>
        <v>-0.48385968060252638</v>
      </c>
      <c r="M290" s="651">
        <f t="shared" si="227"/>
        <v>0</v>
      </c>
      <c r="N290" s="651">
        <f t="shared" si="227"/>
        <v>-1.7600636503711939</v>
      </c>
      <c r="O290" s="651">
        <f t="shared" si="227"/>
        <v>0</v>
      </c>
      <c r="P290" s="651">
        <f t="shared" si="227"/>
        <v>0</v>
      </c>
      <c r="Q290" s="651">
        <f t="shared" si="227"/>
        <v>0</v>
      </c>
      <c r="R290" s="651">
        <f t="shared" si="227"/>
        <v>-0.13087899954007742</v>
      </c>
      <c r="S290" s="651">
        <f t="shared" si="227"/>
        <v>-3.4238407292987105E-2</v>
      </c>
      <c r="T290" s="651">
        <f t="shared" si="227"/>
        <v>0</v>
      </c>
      <c r="U290" s="651">
        <f t="shared" si="227"/>
        <v>0</v>
      </c>
      <c r="V290" s="651">
        <f t="shared" si="227"/>
        <v>0</v>
      </c>
      <c r="W290" s="651">
        <f t="shared" si="227"/>
        <v>0</v>
      </c>
      <c r="X290" s="651">
        <f t="shared" si="227"/>
        <v>0</v>
      </c>
      <c r="Y290" s="651">
        <f t="shared" si="227"/>
        <v>0</v>
      </c>
      <c r="Z290" s="651">
        <f t="shared" si="227"/>
        <v>0</v>
      </c>
      <c r="AA290" s="651">
        <f t="shared" si="227"/>
        <v>0</v>
      </c>
      <c r="AB290" s="651">
        <f t="shared" si="227"/>
        <v>0</v>
      </c>
      <c r="AC290" s="651">
        <f t="shared" si="227"/>
        <v>-0.30886567372195906</v>
      </c>
      <c r="AD290" s="651">
        <f t="shared" si="227"/>
        <v>-8.8671388852109345E-2</v>
      </c>
      <c r="AE290" s="651">
        <f t="shared" si="227"/>
        <v>0</v>
      </c>
      <c r="AF290" s="651">
        <f t="shared" si="227"/>
        <v>-5.3183707825501116</v>
      </c>
      <c r="AG290" s="651">
        <f t="shared" si="227"/>
        <v>0</v>
      </c>
      <c r="AH290" s="651">
        <f t="shared" si="227"/>
        <v>0</v>
      </c>
      <c r="AI290" s="164"/>
      <c r="AJ290" s="164"/>
      <c r="AK290" s="164"/>
      <c r="AL290" s="164"/>
      <c r="AM290" s="164"/>
      <c r="AN290" s="164"/>
      <c r="AO290" s="164"/>
      <c r="AP290" s="164"/>
      <c r="AQ290" s="164"/>
      <c r="AR290" s="164"/>
      <c r="AS290" s="164"/>
      <c r="AT290" s="164"/>
      <c r="AU290" s="164"/>
      <c r="AV290" s="164"/>
      <c r="AW290" s="164"/>
      <c r="AX290" s="164"/>
      <c r="AY290" s="164"/>
      <c r="AZ290" s="164"/>
      <c r="BA290" s="164"/>
      <c r="BB290" s="164"/>
      <c r="BC290" s="164"/>
      <c r="BD290" s="164"/>
      <c r="BE290" s="164"/>
      <c r="BF290" s="164"/>
      <c r="BG290" s="164"/>
      <c r="BH290" s="164"/>
      <c r="BI290" s="164"/>
      <c r="BJ290" s="164"/>
      <c r="BK290" s="164"/>
      <c r="BL290" s="164"/>
      <c r="BM290" s="164"/>
      <c r="BN290" s="164"/>
      <c r="BO290" s="164"/>
    </row>
    <row r="291" spans="1:67" s="180" customFormat="1">
      <c r="A291" s="598"/>
      <c r="B291" s="598"/>
      <c r="C291" s="623"/>
      <c r="D291" s="622"/>
      <c r="E291" s="607"/>
      <c r="F291" s="607"/>
      <c r="G291" s="607"/>
      <c r="H291" s="607"/>
      <c r="I291" s="607"/>
      <c r="J291" s="607"/>
      <c r="K291" s="607"/>
      <c r="L291" s="607"/>
      <c r="M291" s="607"/>
      <c r="N291" s="607"/>
      <c r="O291" s="607"/>
      <c r="P291" s="607"/>
      <c r="Q291" s="607"/>
      <c r="R291" s="607"/>
      <c r="S291" s="607"/>
      <c r="T291" s="607"/>
      <c r="U291" s="607"/>
      <c r="V291" s="607"/>
      <c r="W291" s="607"/>
      <c r="X291" s="607"/>
      <c r="Y291" s="607"/>
      <c r="Z291" s="607"/>
      <c r="AA291" s="607"/>
      <c r="AB291" s="607"/>
      <c r="AC291" s="607"/>
      <c r="AD291" s="607"/>
      <c r="AE291" s="607"/>
      <c r="AF291" s="607"/>
      <c r="AG291" s="607"/>
      <c r="AH291" s="607"/>
      <c r="AI291" s="164"/>
      <c r="AJ291" s="164"/>
      <c r="AK291" s="164"/>
      <c r="AL291" s="164"/>
      <c r="AM291" s="164"/>
      <c r="AN291" s="164"/>
      <c r="AO291" s="164"/>
      <c r="AP291" s="164"/>
      <c r="AQ291" s="164"/>
      <c r="AR291" s="164"/>
      <c r="AS291" s="164"/>
      <c r="AT291" s="164"/>
      <c r="AU291" s="164"/>
      <c r="AV291" s="164"/>
      <c r="AW291" s="164"/>
      <c r="AX291" s="164"/>
      <c r="AY291" s="164"/>
      <c r="AZ291" s="164"/>
      <c r="BA291" s="164"/>
      <c r="BB291" s="164"/>
      <c r="BC291" s="164"/>
      <c r="BD291" s="164"/>
      <c r="BE291" s="164"/>
      <c r="BF291" s="164"/>
      <c r="BG291" s="164"/>
      <c r="BH291" s="164"/>
      <c r="BI291" s="164"/>
      <c r="BJ291" s="164"/>
      <c r="BK291" s="164"/>
      <c r="BL291" s="164"/>
      <c r="BM291" s="164"/>
      <c r="BN291" s="164"/>
      <c r="BO291" s="164"/>
    </row>
    <row r="292" spans="1:67" s="180" customFormat="1">
      <c r="A292" s="598"/>
      <c r="B292" s="598"/>
      <c r="C292" s="653" t="s">
        <v>1324</v>
      </c>
      <c r="D292" s="622"/>
      <c r="E292" s="607"/>
      <c r="F292" s="607"/>
      <c r="G292" s="607"/>
      <c r="H292" s="607"/>
      <c r="I292" s="607"/>
      <c r="J292" s="607"/>
      <c r="K292" s="607"/>
      <c r="L292" s="607"/>
      <c r="M292" s="607"/>
      <c r="N292" s="607"/>
      <c r="O292" s="607"/>
      <c r="P292" s="607"/>
      <c r="Q292" s="607"/>
      <c r="R292" s="607"/>
      <c r="S292" s="607"/>
      <c r="T292" s="607"/>
      <c r="U292" s="607"/>
      <c r="V292" s="607"/>
      <c r="W292" s="607"/>
      <c r="X292" s="607"/>
      <c r="Y292" s="607"/>
      <c r="Z292" s="607"/>
      <c r="AA292" s="607"/>
      <c r="AB292" s="607"/>
      <c r="AC292" s="607"/>
      <c r="AD292" s="607"/>
      <c r="AE292" s="607"/>
      <c r="AF292" s="607"/>
      <c r="AG292" s="607"/>
      <c r="AH292" s="607"/>
      <c r="AI292" s="164"/>
      <c r="AJ292" s="164"/>
      <c r="AK292" s="164"/>
      <c r="AL292" s="164"/>
      <c r="AM292" s="164"/>
      <c r="AN292" s="164"/>
      <c r="AO292" s="164"/>
      <c r="AP292" s="164"/>
      <c r="AQ292" s="164"/>
      <c r="AR292" s="164"/>
      <c r="AS292" s="164"/>
      <c r="AT292" s="164"/>
      <c r="AU292" s="164"/>
      <c r="AV292" s="164"/>
      <c r="AW292" s="164"/>
      <c r="AX292" s="164"/>
      <c r="AY292" s="164"/>
      <c r="AZ292" s="164"/>
      <c r="BA292" s="164"/>
      <c r="BB292" s="164"/>
      <c r="BC292" s="164"/>
      <c r="BD292" s="164"/>
      <c r="BE292" s="164"/>
      <c r="BF292" s="164"/>
      <c r="BG292" s="164"/>
      <c r="BH292" s="164"/>
      <c r="BI292" s="164"/>
      <c r="BJ292" s="164"/>
      <c r="BK292" s="164"/>
      <c r="BL292" s="164"/>
      <c r="BM292" s="164"/>
      <c r="BN292" s="164"/>
      <c r="BO292" s="164"/>
    </row>
    <row r="293" spans="1:67" s="180" customFormat="1">
      <c r="A293" s="598"/>
      <c r="B293" s="598"/>
      <c r="C293" s="623" t="s">
        <v>400</v>
      </c>
      <c r="D293" s="622">
        <f>SUM(E293:AH293)</f>
        <v>154.47828423963978</v>
      </c>
      <c r="E293" s="607">
        <f t="shared" ref="E293:AH293" si="228">(1-E$109)*E211</f>
        <v>2.452506905010599</v>
      </c>
      <c r="F293" s="607">
        <f t="shared" si="228"/>
        <v>1.4809125368204732</v>
      </c>
      <c r="G293" s="607">
        <f t="shared" si="228"/>
        <v>4.1490645978514786</v>
      </c>
      <c r="H293" s="607">
        <f t="shared" si="228"/>
        <v>0</v>
      </c>
      <c r="I293" s="607">
        <f t="shared" si="228"/>
        <v>22.097524229651011</v>
      </c>
      <c r="J293" s="607">
        <f t="shared" si="228"/>
        <v>7.1330930159361969</v>
      </c>
      <c r="K293" s="607">
        <f t="shared" si="228"/>
        <v>2.3152776033905316E-2</v>
      </c>
      <c r="L293" s="607">
        <f t="shared" si="228"/>
        <v>0.40070155056287876</v>
      </c>
      <c r="M293" s="607">
        <f t="shared" si="228"/>
        <v>1.6316787734000817</v>
      </c>
      <c r="N293" s="607">
        <f t="shared" si="228"/>
        <v>7.5045263749750815</v>
      </c>
      <c r="O293" s="607">
        <f t="shared" si="228"/>
        <v>9.4379488256550772</v>
      </c>
      <c r="P293" s="607">
        <f t="shared" si="228"/>
        <v>0</v>
      </c>
      <c r="Q293" s="607">
        <f t="shared" si="228"/>
        <v>0</v>
      </c>
      <c r="R293" s="607">
        <f t="shared" si="228"/>
        <v>0.75746161190461292</v>
      </c>
      <c r="S293" s="607">
        <f t="shared" si="228"/>
        <v>8.8683010709192073E-2</v>
      </c>
      <c r="T293" s="607">
        <f t="shared" si="228"/>
        <v>0</v>
      </c>
      <c r="U293" s="607">
        <f t="shared" si="228"/>
        <v>0</v>
      </c>
      <c r="V293" s="607">
        <f t="shared" si="228"/>
        <v>0</v>
      </c>
      <c r="W293" s="607">
        <f t="shared" si="228"/>
        <v>0</v>
      </c>
      <c r="X293" s="607">
        <f t="shared" si="228"/>
        <v>0</v>
      </c>
      <c r="Y293" s="607">
        <f t="shared" si="228"/>
        <v>88.065249232111398</v>
      </c>
      <c r="Z293" s="607">
        <f t="shared" si="228"/>
        <v>0</v>
      </c>
      <c r="AA293" s="607">
        <f t="shared" si="228"/>
        <v>4.8875554043492082</v>
      </c>
      <c r="AB293" s="607">
        <f t="shared" si="228"/>
        <v>0.11988441782114768</v>
      </c>
      <c r="AC293" s="607">
        <f t="shared" si="228"/>
        <v>1.2737014266738826</v>
      </c>
      <c r="AD293" s="607">
        <f t="shared" si="228"/>
        <v>0.13812048192771079</v>
      </c>
      <c r="AE293" s="607">
        <f t="shared" si="228"/>
        <v>2.8365190682458814</v>
      </c>
      <c r="AF293" s="607">
        <f t="shared" si="228"/>
        <v>0</v>
      </c>
      <c r="AG293" s="607">
        <f t="shared" si="228"/>
        <v>0</v>
      </c>
      <c r="AH293" s="607">
        <f t="shared" si="228"/>
        <v>0</v>
      </c>
      <c r="AI293" s="164"/>
      <c r="AJ293" s="164"/>
      <c r="AK293" s="164"/>
      <c r="AL293" s="164"/>
      <c r="AM293" s="164"/>
      <c r="AN293" s="164"/>
      <c r="AO293" s="164"/>
      <c r="AP293" s="164"/>
      <c r="AQ293" s="164"/>
      <c r="AR293" s="164"/>
      <c r="AS293" s="164"/>
      <c r="AT293" s="164"/>
      <c r="AU293" s="164"/>
      <c r="AV293" s="164"/>
      <c r="AW293" s="164"/>
      <c r="AX293" s="164"/>
      <c r="AY293" s="164"/>
      <c r="AZ293" s="164"/>
      <c r="BA293" s="164"/>
      <c r="BB293" s="164"/>
      <c r="BC293" s="164"/>
      <c r="BD293" s="164"/>
      <c r="BE293" s="164"/>
      <c r="BF293" s="164"/>
      <c r="BG293" s="164"/>
      <c r="BH293" s="164"/>
      <c r="BI293" s="164"/>
      <c r="BJ293" s="164"/>
      <c r="BK293" s="164"/>
      <c r="BL293" s="164"/>
      <c r="BM293" s="164"/>
      <c r="BN293" s="164"/>
      <c r="BO293" s="164"/>
    </row>
    <row r="294" spans="1:67" s="180" customFormat="1">
      <c r="A294" s="598"/>
      <c r="B294" s="598"/>
      <c r="C294" s="623" t="s">
        <v>403</v>
      </c>
      <c r="D294" s="622">
        <f>SUM(E294:AH294)</f>
        <v>96.954791138155869</v>
      </c>
      <c r="E294" s="607">
        <f t="shared" ref="E294:AH294" si="229">(1-E$109)*E229</f>
        <v>0.69519880771953979</v>
      </c>
      <c r="F294" s="607">
        <f t="shared" si="229"/>
        <v>2.9275937436759163</v>
      </c>
      <c r="G294" s="607">
        <f t="shared" si="229"/>
        <v>2.6907300114779389</v>
      </c>
      <c r="H294" s="607">
        <f t="shared" si="229"/>
        <v>0</v>
      </c>
      <c r="I294" s="607">
        <f t="shared" si="229"/>
        <v>0.5737042402131447</v>
      </c>
      <c r="J294" s="607">
        <f t="shared" si="229"/>
        <v>10.294522462930269</v>
      </c>
      <c r="K294" s="607">
        <f t="shared" si="229"/>
        <v>3.6302545197674694</v>
      </c>
      <c r="L294" s="607">
        <f t="shared" si="229"/>
        <v>0</v>
      </c>
      <c r="M294" s="607">
        <f t="shared" si="229"/>
        <v>15.286705387965206</v>
      </c>
      <c r="N294" s="607">
        <f t="shared" si="229"/>
        <v>5.6313737135808557</v>
      </c>
      <c r="O294" s="607">
        <f t="shared" si="229"/>
        <v>8.0821458233623851</v>
      </c>
      <c r="P294" s="607">
        <f t="shared" si="229"/>
        <v>2.319739204137961</v>
      </c>
      <c r="Q294" s="607">
        <f t="shared" si="229"/>
        <v>0.5165982433311741</v>
      </c>
      <c r="R294" s="607">
        <f t="shared" si="229"/>
        <v>0</v>
      </c>
      <c r="S294" s="607">
        <f t="shared" si="229"/>
        <v>2.6995236753564442</v>
      </c>
      <c r="T294" s="607">
        <f t="shared" si="229"/>
        <v>0</v>
      </c>
      <c r="U294" s="607">
        <f t="shared" si="229"/>
        <v>0</v>
      </c>
      <c r="V294" s="607">
        <f t="shared" si="229"/>
        <v>0</v>
      </c>
      <c r="W294" s="607">
        <f t="shared" si="229"/>
        <v>0</v>
      </c>
      <c r="X294" s="607">
        <f t="shared" si="229"/>
        <v>9.3013045881060119</v>
      </c>
      <c r="Y294" s="607">
        <f t="shared" si="229"/>
        <v>14.649663485569771</v>
      </c>
      <c r="Z294" s="607">
        <f t="shared" si="229"/>
        <v>7.1344149547267826</v>
      </c>
      <c r="AA294" s="607">
        <f t="shared" si="229"/>
        <v>0.40037538044151377</v>
      </c>
      <c r="AB294" s="607">
        <f t="shared" si="229"/>
        <v>2.3530109336324636</v>
      </c>
      <c r="AC294" s="607">
        <f t="shared" si="229"/>
        <v>0.62512953456386877</v>
      </c>
      <c r="AD294" s="607">
        <f t="shared" si="229"/>
        <v>8.9638554216867408E-2</v>
      </c>
      <c r="AE294" s="607">
        <f t="shared" si="229"/>
        <v>4.8682000064665543</v>
      </c>
      <c r="AF294" s="607">
        <f t="shared" si="229"/>
        <v>2.1849638669137539</v>
      </c>
      <c r="AG294" s="607">
        <f t="shared" si="229"/>
        <v>0</v>
      </c>
      <c r="AH294" s="607">
        <f t="shared" si="229"/>
        <v>0</v>
      </c>
      <c r="AI294" s="164"/>
      <c r="AJ294" s="164"/>
      <c r="AK294" s="164"/>
      <c r="AL294" s="164"/>
      <c r="AM294" s="164"/>
      <c r="AN294" s="164"/>
      <c r="AO294" s="164"/>
      <c r="AP294" s="164"/>
      <c r="AQ294" s="164"/>
      <c r="AR294" s="164"/>
      <c r="AS294" s="164"/>
      <c r="AT294" s="164"/>
      <c r="AU294" s="164"/>
      <c r="AV294" s="164"/>
      <c r="AW294" s="164"/>
      <c r="AX294" s="164"/>
      <c r="AY294" s="164"/>
      <c r="AZ294" s="164"/>
      <c r="BA294" s="164"/>
      <c r="BB294" s="164"/>
      <c r="BC294" s="164"/>
      <c r="BD294" s="164"/>
      <c r="BE294" s="164"/>
      <c r="BF294" s="164"/>
      <c r="BG294" s="164"/>
      <c r="BH294" s="164"/>
      <c r="BI294" s="164"/>
      <c r="BJ294" s="164"/>
      <c r="BK294" s="164"/>
      <c r="BL294" s="164"/>
      <c r="BM294" s="164"/>
      <c r="BN294" s="164"/>
      <c r="BO294" s="164"/>
    </row>
    <row r="295" spans="1:67" s="180" customFormat="1">
      <c r="A295" s="598"/>
      <c r="B295" s="598"/>
      <c r="C295" s="623" t="s">
        <v>401</v>
      </c>
      <c r="D295" s="622">
        <f>SUM(E295:AH295)</f>
        <v>642.45968261554015</v>
      </c>
      <c r="E295" s="607">
        <f t="shared" ref="E295:AH295" si="230">(1-E$109)*E238</f>
        <v>22.283052895210471</v>
      </c>
      <c r="F295" s="607">
        <f t="shared" si="230"/>
        <v>4.8950801849993191</v>
      </c>
      <c r="G295" s="607">
        <f t="shared" si="230"/>
        <v>4.9345112821180157</v>
      </c>
      <c r="H295" s="607">
        <f t="shared" si="230"/>
        <v>0</v>
      </c>
      <c r="I295" s="607">
        <f t="shared" si="230"/>
        <v>7.5268445698291577</v>
      </c>
      <c r="J295" s="607">
        <f t="shared" si="230"/>
        <v>96.272780653867045</v>
      </c>
      <c r="K295" s="607">
        <f t="shared" si="230"/>
        <v>2.7404145910355306</v>
      </c>
      <c r="L295" s="607">
        <f t="shared" si="230"/>
        <v>0.9495297406703288</v>
      </c>
      <c r="M295" s="607">
        <f t="shared" si="230"/>
        <v>116.77566323414342</v>
      </c>
      <c r="N295" s="607">
        <f t="shared" si="230"/>
        <v>29.78455720369595</v>
      </c>
      <c r="O295" s="607">
        <f t="shared" si="230"/>
        <v>91.135099459923538</v>
      </c>
      <c r="P295" s="607">
        <f t="shared" si="230"/>
        <v>4.5909755117630722</v>
      </c>
      <c r="Q295" s="607">
        <f t="shared" si="230"/>
        <v>7.1032258458036424</v>
      </c>
      <c r="R295" s="607">
        <f t="shared" si="230"/>
        <v>3.481785527917209</v>
      </c>
      <c r="S295" s="607">
        <f t="shared" si="230"/>
        <v>4.5578897959717422</v>
      </c>
      <c r="T295" s="607">
        <f t="shared" si="230"/>
        <v>6.7954793247347949</v>
      </c>
      <c r="U295" s="607">
        <f t="shared" si="230"/>
        <v>2.1227448418156802</v>
      </c>
      <c r="V295" s="607">
        <f t="shared" si="230"/>
        <v>0.92395137286891249</v>
      </c>
      <c r="W295" s="607">
        <f t="shared" si="230"/>
        <v>0</v>
      </c>
      <c r="X295" s="607">
        <f t="shared" si="230"/>
        <v>98.206990642736329</v>
      </c>
      <c r="Y295" s="607">
        <f t="shared" si="230"/>
        <v>22.57208721638138</v>
      </c>
      <c r="Z295" s="607">
        <f t="shared" si="230"/>
        <v>12.021316313053369</v>
      </c>
      <c r="AA295" s="607">
        <f t="shared" si="230"/>
        <v>1.3342239029307743</v>
      </c>
      <c r="AB295" s="607">
        <f t="shared" si="230"/>
        <v>0.3127419595334287</v>
      </c>
      <c r="AC295" s="607">
        <f t="shared" si="230"/>
        <v>3.3249077119615769</v>
      </c>
      <c r="AD295" s="607">
        <f t="shared" si="230"/>
        <v>0.1125542168674698</v>
      </c>
      <c r="AE295" s="607">
        <f t="shared" si="230"/>
        <v>81.490252377315414</v>
      </c>
      <c r="AF295" s="607">
        <f t="shared" si="230"/>
        <v>16.211022238392367</v>
      </c>
      <c r="AG295" s="607">
        <f t="shared" si="230"/>
        <v>0</v>
      </c>
      <c r="AH295" s="607">
        <f t="shared" si="230"/>
        <v>0</v>
      </c>
      <c r="AI295" s="164"/>
      <c r="AJ295" s="164"/>
      <c r="AK295" s="164"/>
      <c r="AL295" s="164"/>
      <c r="AM295" s="164"/>
      <c r="AN295" s="164"/>
      <c r="AO295" s="164"/>
      <c r="AP295" s="164"/>
      <c r="AQ295" s="164"/>
      <c r="AR295" s="164"/>
      <c r="AS295" s="164"/>
      <c r="AT295" s="164"/>
      <c r="AU295" s="164"/>
      <c r="AV295" s="164"/>
      <c r="AW295" s="164"/>
      <c r="AX295" s="164"/>
      <c r="AY295" s="164"/>
      <c r="AZ295" s="164"/>
      <c r="BA295" s="164"/>
      <c r="BB295" s="164"/>
      <c r="BC295" s="164"/>
      <c r="BD295" s="164"/>
      <c r="BE295" s="164"/>
      <c r="BF295" s="164"/>
      <c r="BG295" s="164"/>
      <c r="BH295" s="164"/>
      <c r="BI295" s="164"/>
      <c r="BJ295" s="164"/>
      <c r="BK295" s="164"/>
      <c r="BL295" s="164"/>
      <c r="BM295" s="164"/>
      <c r="BN295" s="164"/>
      <c r="BO295" s="164"/>
    </row>
    <row r="296" spans="1:67" s="180" customFormat="1">
      <c r="A296" s="598"/>
      <c r="B296" s="598"/>
      <c r="C296" s="623" t="s">
        <v>399</v>
      </c>
      <c r="D296" s="622">
        <f>SUM(E296:AH296)</f>
        <v>26.124045652486167</v>
      </c>
      <c r="E296" s="607">
        <f t="shared" ref="E296:AH296" si="231">(1-E$109)*E220</f>
        <v>0</v>
      </c>
      <c r="F296" s="607">
        <f t="shared" si="231"/>
        <v>0</v>
      </c>
      <c r="G296" s="607">
        <f t="shared" si="231"/>
        <v>0.26044623317206306</v>
      </c>
      <c r="H296" s="607">
        <f t="shared" si="231"/>
        <v>0</v>
      </c>
      <c r="I296" s="607">
        <f t="shared" si="231"/>
        <v>0</v>
      </c>
      <c r="J296" s="607">
        <f t="shared" si="231"/>
        <v>0.58851603394911667</v>
      </c>
      <c r="K296" s="607">
        <f t="shared" si="231"/>
        <v>0.27156639558565637</v>
      </c>
      <c r="L296" s="607">
        <f t="shared" si="231"/>
        <v>0</v>
      </c>
      <c r="M296" s="607">
        <f t="shared" si="231"/>
        <v>0</v>
      </c>
      <c r="N296" s="607">
        <f t="shared" si="231"/>
        <v>0</v>
      </c>
      <c r="O296" s="607">
        <f t="shared" si="231"/>
        <v>0.38009866649937624</v>
      </c>
      <c r="P296" s="607">
        <f t="shared" si="231"/>
        <v>0</v>
      </c>
      <c r="Q296" s="607">
        <f t="shared" si="231"/>
        <v>0</v>
      </c>
      <c r="R296" s="607">
        <f t="shared" si="231"/>
        <v>0</v>
      </c>
      <c r="S296" s="607">
        <f t="shared" si="231"/>
        <v>0.92717847145798338</v>
      </c>
      <c r="T296" s="607">
        <f t="shared" si="231"/>
        <v>0</v>
      </c>
      <c r="U296" s="607">
        <f t="shared" si="231"/>
        <v>0</v>
      </c>
      <c r="V296" s="607">
        <f t="shared" si="231"/>
        <v>0</v>
      </c>
      <c r="W296" s="607">
        <f t="shared" si="231"/>
        <v>0</v>
      </c>
      <c r="X296" s="607">
        <f t="shared" si="231"/>
        <v>22.146045175488638</v>
      </c>
      <c r="Y296" s="607">
        <f t="shared" si="231"/>
        <v>0</v>
      </c>
      <c r="Z296" s="607">
        <f t="shared" si="231"/>
        <v>0</v>
      </c>
      <c r="AA296" s="607">
        <f t="shared" si="231"/>
        <v>9.1166556222155526E-2</v>
      </c>
      <c r="AB296" s="607">
        <f t="shared" si="231"/>
        <v>0</v>
      </c>
      <c r="AC296" s="607">
        <f t="shared" si="231"/>
        <v>0</v>
      </c>
      <c r="AD296" s="607">
        <f t="shared" si="231"/>
        <v>2.3855421686746975E-3</v>
      </c>
      <c r="AE296" s="607">
        <f t="shared" si="231"/>
        <v>0</v>
      </c>
      <c r="AF296" s="607">
        <f t="shared" si="231"/>
        <v>1.4566425779425025</v>
      </c>
      <c r="AG296" s="607">
        <f t="shared" si="231"/>
        <v>0</v>
      </c>
      <c r="AH296" s="607">
        <f t="shared" si="231"/>
        <v>0</v>
      </c>
      <c r="AI296" s="164"/>
      <c r="AJ296" s="164"/>
      <c r="AK296" s="164"/>
      <c r="AL296" s="164"/>
      <c r="AM296" s="164"/>
      <c r="AN296" s="164"/>
      <c r="AO296" s="164"/>
      <c r="AP296" s="164"/>
      <c r="AQ296" s="164"/>
      <c r="AR296" s="164"/>
      <c r="AS296" s="164"/>
      <c r="AT296" s="164"/>
      <c r="AU296" s="164"/>
      <c r="AV296" s="164"/>
      <c r="AW296" s="164"/>
      <c r="AX296" s="164"/>
      <c r="AY296" s="164"/>
      <c r="AZ296" s="164"/>
      <c r="BA296" s="164"/>
      <c r="BB296" s="164"/>
      <c r="BC296" s="164"/>
      <c r="BD296" s="164"/>
      <c r="BE296" s="164"/>
      <c r="BF296" s="164"/>
      <c r="BG296" s="164"/>
      <c r="BH296" s="164"/>
      <c r="BI296" s="164"/>
      <c r="BJ296" s="164"/>
      <c r="BK296" s="164"/>
      <c r="BL296" s="164"/>
      <c r="BM296" s="164"/>
      <c r="BN296" s="164"/>
      <c r="BO296" s="164"/>
    </row>
    <row r="297" spans="1:67" s="180" customFormat="1">
      <c r="A297" s="598"/>
      <c r="B297" s="598"/>
      <c r="C297" s="623" t="s">
        <v>402</v>
      </c>
      <c r="D297" s="622">
        <f t="shared" ref="D297:D306" si="232">SUM(E297:AH297)</f>
        <v>216.26730371624052</v>
      </c>
      <c r="E297" s="607">
        <f t="shared" ref="E297:AH297" si="233">(1-E$109)*E247</f>
        <v>17.497767768740975</v>
      </c>
      <c r="F297" s="607">
        <f t="shared" si="233"/>
        <v>1.3888139585812251</v>
      </c>
      <c r="G297" s="607">
        <f t="shared" si="233"/>
        <v>0</v>
      </c>
      <c r="H297" s="607">
        <f t="shared" si="233"/>
        <v>0</v>
      </c>
      <c r="I297" s="607">
        <f t="shared" si="233"/>
        <v>5.2626501024467176</v>
      </c>
      <c r="J297" s="607">
        <f t="shared" si="233"/>
        <v>14.798555341134163</v>
      </c>
      <c r="K297" s="607">
        <f t="shared" si="233"/>
        <v>2.8201125695433552E-2</v>
      </c>
      <c r="L297" s="607">
        <f t="shared" si="233"/>
        <v>0.19370406709674709</v>
      </c>
      <c r="M297" s="607">
        <f t="shared" si="233"/>
        <v>10.735216462679732</v>
      </c>
      <c r="N297" s="607">
        <f t="shared" si="233"/>
        <v>82.802403587967348</v>
      </c>
      <c r="O297" s="607">
        <f t="shared" si="233"/>
        <v>22.893034066345386</v>
      </c>
      <c r="P297" s="607">
        <f t="shared" si="233"/>
        <v>2.5518881209784006</v>
      </c>
      <c r="Q297" s="607">
        <f t="shared" si="233"/>
        <v>0.13948152569941696</v>
      </c>
      <c r="R297" s="607">
        <f t="shared" si="233"/>
        <v>9.9563253111173325E-2</v>
      </c>
      <c r="S297" s="607">
        <f t="shared" si="233"/>
        <v>2.4953122000633429E-2</v>
      </c>
      <c r="T297" s="607">
        <f t="shared" si="233"/>
        <v>1.1074543950719677</v>
      </c>
      <c r="U297" s="607">
        <f t="shared" si="233"/>
        <v>0</v>
      </c>
      <c r="V297" s="607">
        <f t="shared" si="233"/>
        <v>9.5870440764608301E-3</v>
      </c>
      <c r="W297" s="607">
        <f t="shared" si="233"/>
        <v>0</v>
      </c>
      <c r="X297" s="607">
        <f t="shared" si="233"/>
        <v>0</v>
      </c>
      <c r="Y297" s="607">
        <f t="shared" si="233"/>
        <v>9.5853221046391237</v>
      </c>
      <c r="Z297" s="607">
        <f t="shared" si="233"/>
        <v>5.1404669948435302</v>
      </c>
      <c r="AA297" s="607">
        <f t="shared" si="233"/>
        <v>9.1978127939266689E-3</v>
      </c>
      <c r="AB297" s="607">
        <f t="shared" si="233"/>
        <v>38.514172316541746</v>
      </c>
      <c r="AC297" s="607">
        <f t="shared" si="233"/>
        <v>3.2741159372782622</v>
      </c>
      <c r="AD297" s="607">
        <f t="shared" si="233"/>
        <v>5.3975903614457811E-3</v>
      </c>
      <c r="AE297" s="607">
        <f t="shared" si="233"/>
        <v>0</v>
      </c>
      <c r="AF297" s="607">
        <f t="shared" si="233"/>
        <v>0.2053570181567686</v>
      </c>
      <c r="AG297" s="607">
        <f t="shared" si="233"/>
        <v>0</v>
      </c>
      <c r="AH297" s="607">
        <f t="shared" si="233"/>
        <v>0</v>
      </c>
      <c r="AI297" s="164"/>
      <c r="AJ297" s="164"/>
      <c r="AK297" s="164"/>
      <c r="AL297" s="164"/>
      <c r="AM297" s="164"/>
      <c r="AN297" s="164"/>
      <c r="AO297" s="164"/>
      <c r="AP297" s="164"/>
      <c r="AQ297" s="164"/>
      <c r="AR297" s="164"/>
      <c r="AS297" s="164"/>
      <c r="AT297" s="164"/>
      <c r="AU297" s="164"/>
      <c r="AV297" s="164"/>
      <c r="AW297" s="164"/>
      <c r="AX297" s="164"/>
      <c r="AY297" s="164"/>
      <c r="AZ297" s="164"/>
      <c r="BA297" s="164"/>
      <c r="BB297" s="164"/>
      <c r="BC297" s="164"/>
      <c r="BD297" s="164"/>
      <c r="BE297" s="164"/>
      <c r="BF297" s="164"/>
      <c r="BG297" s="164"/>
      <c r="BH297" s="164"/>
      <c r="BI297" s="164"/>
      <c r="BJ297" s="164"/>
      <c r="BK297" s="164"/>
      <c r="BL297" s="164"/>
      <c r="BM297" s="164"/>
      <c r="BN297" s="164"/>
      <c r="BO297" s="164"/>
    </row>
    <row r="298" spans="1:67" s="180" customFormat="1">
      <c r="A298" s="598"/>
      <c r="B298" s="598"/>
      <c r="C298" s="623" t="s">
        <v>404</v>
      </c>
      <c r="D298" s="622">
        <f t="shared" si="232"/>
        <v>10.317333426989897</v>
      </c>
      <c r="E298" s="607">
        <f t="shared" ref="E298:AH298" si="234">(1-E$109)*E256</f>
        <v>0.72416542470785394</v>
      </c>
      <c r="F298" s="607">
        <f t="shared" si="234"/>
        <v>0.3048218430219356</v>
      </c>
      <c r="G298" s="607">
        <f t="shared" si="234"/>
        <v>0</v>
      </c>
      <c r="H298" s="607">
        <f t="shared" si="234"/>
        <v>0</v>
      </c>
      <c r="I298" s="607">
        <f t="shared" si="234"/>
        <v>0.10590591601170592</v>
      </c>
      <c r="J298" s="607">
        <f t="shared" si="234"/>
        <v>0</v>
      </c>
      <c r="K298" s="607">
        <f t="shared" si="234"/>
        <v>4.1605364451905179E-2</v>
      </c>
      <c r="L298" s="607">
        <f t="shared" si="234"/>
        <v>0</v>
      </c>
      <c r="M298" s="607">
        <f t="shared" si="234"/>
        <v>0</v>
      </c>
      <c r="N298" s="607">
        <f t="shared" si="234"/>
        <v>0.93181003893783954</v>
      </c>
      <c r="O298" s="607">
        <f t="shared" si="234"/>
        <v>0</v>
      </c>
      <c r="P298" s="607">
        <f t="shared" si="234"/>
        <v>0</v>
      </c>
      <c r="Q298" s="607">
        <f t="shared" si="234"/>
        <v>0.31512492843201612</v>
      </c>
      <c r="R298" s="607">
        <f t="shared" si="234"/>
        <v>0</v>
      </c>
      <c r="S298" s="607">
        <f t="shared" si="234"/>
        <v>2.9347180759099725E-2</v>
      </c>
      <c r="T298" s="607">
        <f t="shared" si="234"/>
        <v>0</v>
      </c>
      <c r="U298" s="607">
        <f t="shared" si="234"/>
        <v>0</v>
      </c>
      <c r="V298" s="607">
        <f t="shared" si="234"/>
        <v>0</v>
      </c>
      <c r="W298" s="607">
        <f t="shared" si="234"/>
        <v>0</v>
      </c>
      <c r="X298" s="607">
        <f t="shared" si="234"/>
        <v>0</v>
      </c>
      <c r="Y298" s="607">
        <f t="shared" si="234"/>
        <v>2.7824360904328613</v>
      </c>
      <c r="Z298" s="607">
        <f t="shared" si="234"/>
        <v>0</v>
      </c>
      <c r="AA298" s="607">
        <f t="shared" si="234"/>
        <v>0</v>
      </c>
      <c r="AB298" s="607">
        <f t="shared" si="234"/>
        <v>0</v>
      </c>
      <c r="AC298" s="607">
        <f t="shared" si="234"/>
        <v>0.35944948237422447</v>
      </c>
      <c r="AD298" s="607">
        <f t="shared" si="234"/>
        <v>1.5903614457831318E-2</v>
      </c>
      <c r="AE298" s="607">
        <f t="shared" si="234"/>
        <v>1.0277464327781203</v>
      </c>
      <c r="AF298" s="607">
        <f t="shared" si="234"/>
        <v>3.6790171106245051</v>
      </c>
      <c r="AG298" s="607">
        <f t="shared" si="234"/>
        <v>0</v>
      </c>
      <c r="AH298" s="607">
        <f t="shared" si="234"/>
        <v>0</v>
      </c>
      <c r="AI298" s="164"/>
      <c r="AJ298" s="164"/>
      <c r="AK298" s="164"/>
      <c r="AL298" s="164"/>
      <c r="AM298" s="164"/>
      <c r="AN298" s="164"/>
      <c r="AO298" s="164"/>
      <c r="AP298" s="164"/>
      <c r="AQ298" s="164"/>
      <c r="AR298" s="164"/>
      <c r="AS298" s="164"/>
      <c r="AT298" s="164"/>
      <c r="AU298" s="164"/>
      <c r="AV298" s="164"/>
      <c r="AW298" s="164"/>
      <c r="AX298" s="164"/>
      <c r="AY298" s="164"/>
      <c r="AZ298" s="164"/>
      <c r="BA298" s="164"/>
      <c r="BB298" s="164"/>
      <c r="BC298" s="164"/>
      <c r="BD298" s="164"/>
      <c r="BE298" s="164"/>
      <c r="BF298" s="164"/>
      <c r="BG298" s="164"/>
      <c r="BH298" s="164"/>
      <c r="BI298" s="164"/>
      <c r="BJ298" s="164"/>
      <c r="BK298" s="164"/>
      <c r="BL298" s="164"/>
      <c r="BM298" s="164"/>
      <c r="BN298" s="164"/>
      <c r="BO298" s="164"/>
    </row>
    <row r="299" spans="1:67" s="180" customFormat="1">
      <c r="A299" s="598"/>
      <c r="B299" s="598"/>
      <c r="C299" s="623" t="s">
        <v>104</v>
      </c>
      <c r="D299" s="622">
        <f>SUM(E299:AH299)</f>
        <v>1146.6014407890523</v>
      </c>
      <c r="E299" s="607">
        <f>SUM(E293:E298)</f>
        <v>43.652691801389444</v>
      </c>
      <c r="F299" s="607">
        <f t="shared" ref="F299:AH299" si="235">SUM(F293:F298)</f>
        <v>10.99722226709887</v>
      </c>
      <c r="G299" s="607">
        <f t="shared" si="235"/>
        <v>12.034752124619496</v>
      </c>
      <c r="H299" s="607">
        <f t="shared" si="235"/>
        <v>0</v>
      </c>
      <c r="I299" s="607">
        <f t="shared" si="235"/>
        <v>35.56662905815174</v>
      </c>
      <c r="J299" s="607">
        <f t="shared" si="235"/>
        <v>129.0874675078168</v>
      </c>
      <c r="K299" s="607">
        <f t="shared" si="235"/>
        <v>6.7351947725699004</v>
      </c>
      <c r="L299" s="607">
        <f t="shared" si="235"/>
        <v>1.5439353583299547</v>
      </c>
      <c r="M299" s="607">
        <f t="shared" si="235"/>
        <v>144.42926385818845</v>
      </c>
      <c r="N299" s="607">
        <f t="shared" si="235"/>
        <v>126.65467091915707</v>
      </c>
      <c r="O299" s="607">
        <f t="shared" si="235"/>
        <v>131.92832684178578</v>
      </c>
      <c r="P299" s="607">
        <f t="shared" si="235"/>
        <v>9.4626028368794337</v>
      </c>
      <c r="Q299" s="607">
        <f t="shared" si="235"/>
        <v>8.0744305432662493</v>
      </c>
      <c r="R299" s="607">
        <f t="shared" si="235"/>
        <v>4.338810392932996</v>
      </c>
      <c r="S299" s="607">
        <f t="shared" si="235"/>
        <v>8.3275752562550949</v>
      </c>
      <c r="T299" s="607">
        <f t="shared" si="235"/>
        <v>7.9029337198067626</v>
      </c>
      <c r="U299" s="607">
        <f t="shared" si="235"/>
        <v>2.1227448418156802</v>
      </c>
      <c r="V299" s="607">
        <f t="shared" si="235"/>
        <v>0.93353841694537332</v>
      </c>
      <c r="W299" s="607">
        <f t="shared" si="235"/>
        <v>0</v>
      </c>
      <c r="X299" s="607">
        <f t="shared" si="235"/>
        <v>129.65434040633096</v>
      </c>
      <c r="Y299" s="607">
        <f t="shared" si="235"/>
        <v>137.65475812913454</v>
      </c>
      <c r="Z299" s="607">
        <f t="shared" si="235"/>
        <v>24.296198262623683</v>
      </c>
      <c r="AA299" s="607">
        <f t="shared" si="235"/>
        <v>6.7225190567375792</v>
      </c>
      <c r="AB299" s="607">
        <f t="shared" si="235"/>
        <v>41.299809627528788</v>
      </c>
      <c r="AC299" s="607">
        <f t="shared" si="235"/>
        <v>8.8573040928518143</v>
      </c>
      <c r="AD299" s="607">
        <f t="shared" si="235"/>
        <v>0.36399999999999982</v>
      </c>
      <c r="AE299" s="607">
        <f t="shared" si="235"/>
        <v>90.222717884805974</v>
      </c>
      <c r="AF299" s="607">
        <f t="shared" si="235"/>
        <v>23.7370028120299</v>
      </c>
      <c r="AG299" s="607">
        <f t="shared" si="235"/>
        <v>0</v>
      </c>
      <c r="AH299" s="607">
        <f t="shared" si="235"/>
        <v>0</v>
      </c>
      <c r="AI299" s="164"/>
      <c r="AJ299" s="164"/>
      <c r="AK299" s="164"/>
      <c r="AL299" s="164"/>
      <c r="AM299" s="164"/>
      <c r="AN299" s="164"/>
      <c r="AO299" s="164"/>
      <c r="AP299" s="164"/>
      <c r="AQ299" s="164"/>
      <c r="AR299" s="164"/>
      <c r="AS299" s="164"/>
      <c r="AT299" s="164"/>
      <c r="AU299" s="164"/>
      <c r="AV299" s="164"/>
      <c r="AW299" s="164"/>
      <c r="AX299" s="164"/>
      <c r="AY299" s="164"/>
      <c r="AZ299" s="164"/>
      <c r="BA299" s="164"/>
      <c r="BB299" s="164"/>
      <c r="BC299" s="164"/>
      <c r="BD299" s="164"/>
      <c r="BE299" s="164"/>
      <c r="BF299" s="164"/>
      <c r="BG299" s="164"/>
      <c r="BH299" s="164"/>
      <c r="BI299" s="164"/>
      <c r="BJ299" s="164"/>
      <c r="BK299" s="164"/>
      <c r="BL299" s="164"/>
      <c r="BM299" s="164"/>
      <c r="BN299" s="164"/>
      <c r="BO299" s="164"/>
    </row>
    <row r="300" spans="1:67" s="180" customFormat="1">
      <c r="A300" s="598"/>
      <c r="B300" s="598"/>
      <c r="C300" s="623"/>
      <c r="D300" s="622"/>
      <c r="E300" s="607"/>
      <c r="F300" s="607"/>
      <c r="G300" s="607"/>
      <c r="H300" s="607"/>
      <c r="I300" s="607"/>
      <c r="J300" s="607"/>
      <c r="K300" s="607"/>
      <c r="L300" s="607"/>
      <c r="M300" s="607"/>
      <c r="N300" s="607"/>
      <c r="O300" s="607"/>
      <c r="P300" s="607"/>
      <c r="Q300" s="607"/>
      <c r="R300" s="607"/>
      <c r="S300" s="607"/>
      <c r="T300" s="607"/>
      <c r="U300" s="607"/>
      <c r="V300" s="607"/>
      <c r="W300" s="607"/>
      <c r="X300" s="607"/>
      <c r="Y300" s="607"/>
      <c r="Z300" s="607"/>
      <c r="AA300" s="607"/>
      <c r="AB300" s="607"/>
      <c r="AC300" s="607"/>
      <c r="AD300" s="607"/>
      <c r="AE300" s="607"/>
      <c r="AF300" s="607"/>
      <c r="AG300" s="607"/>
      <c r="AH300" s="607"/>
      <c r="AI300" s="164"/>
      <c r="AJ300" s="164"/>
      <c r="AK300" s="164"/>
      <c r="AL300" s="164"/>
      <c r="AM300" s="164"/>
      <c r="AN300" s="164"/>
      <c r="AO300" s="164"/>
      <c r="AP300" s="164"/>
      <c r="AQ300" s="164"/>
      <c r="AR300" s="164"/>
      <c r="AS300" s="164"/>
      <c r="AT300" s="164"/>
      <c r="AU300" s="164"/>
      <c r="AV300" s="164"/>
      <c r="AW300" s="164"/>
      <c r="AX300" s="164"/>
      <c r="AY300" s="164"/>
      <c r="AZ300" s="164"/>
      <c r="BA300" s="164"/>
      <c r="BB300" s="164"/>
      <c r="BC300" s="164"/>
      <c r="BD300" s="164"/>
      <c r="BE300" s="164"/>
      <c r="BF300" s="164"/>
      <c r="BG300" s="164"/>
      <c r="BH300" s="164"/>
      <c r="BI300" s="164"/>
      <c r="BJ300" s="164"/>
      <c r="BK300" s="164"/>
      <c r="BL300" s="164"/>
      <c r="BM300" s="164"/>
      <c r="BN300" s="164"/>
      <c r="BO300" s="164"/>
    </row>
    <row r="301" spans="1:67" s="180" customFormat="1">
      <c r="A301" s="598"/>
      <c r="B301" s="598"/>
      <c r="C301" s="653" t="s">
        <v>1325</v>
      </c>
      <c r="D301" s="622"/>
      <c r="E301" s="607"/>
      <c r="F301" s="607"/>
      <c r="G301" s="607"/>
      <c r="H301" s="607"/>
      <c r="I301" s="607"/>
      <c r="J301" s="607"/>
      <c r="K301" s="607"/>
      <c r="L301" s="607"/>
      <c r="M301" s="607"/>
      <c r="N301" s="607"/>
      <c r="O301" s="607"/>
      <c r="P301" s="607"/>
      <c r="Q301" s="607"/>
      <c r="R301" s="607"/>
      <c r="S301" s="607"/>
      <c r="T301" s="607"/>
      <c r="U301" s="607"/>
      <c r="V301" s="607"/>
      <c r="W301" s="607"/>
      <c r="X301" s="607"/>
      <c r="Y301" s="607"/>
      <c r="Z301" s="607"/>
      <c r="AA301" s="607"/>
      <c r="AB301" s="607"/>
      <c r="AC301" s="607"/>
      <c r="AD301" s="607"/>
      <c r="AE301" s="607"/>
      <c r="AF301" s="607"/>
      <c r="AG301" s="607"/>
      <c r="AH301" s="607"/>
      <c r="AI301" s="164"/>
      <c r="AJ301" s="164"/>
      <c r="AK301" s="164"/>
      <c r="AL301" s="164"/>
      <c r="AM301" s="164"/>
      <c r="AN301" s="164"/>
      <c r="AO301" s="164"/>
      <c r="AP301" s="164"/>
      <c r="AQ301" s="164"/>
      <c r="AR301" s="164"/>
      <c r="AS301" s="164"/>
      <c r="AT301" s="164"/>
      <c r="AU301" s="164"/>
      <c r="AV301" s="164"/>
      <c r="AW301" s="164"/>
      <c r="AX301" s="164"/>
      <c r="AY301" s="164"/>
      <c r="AZ301" s="164"/>
      <c r="BA301" s="164"/>
      <c r="BB301" s="164"/>
      <c r="BC301" s="164"/>
      <c r="BD301" s="164"/>
      <c r="BE301" s="164"/>
      <c r="BF301" s="164"/>
      <c r="BG301" s="164"/>
      <c r="BH301" s="164"/>
      <c r="BI301" s="164"/>
      <c r="BJ301" s="164"/>
      <c r="BK301" s="164"/>
      <c r="BL301" s="164"/>
      <c r="BM301" s="164"/>
      <c r="BN301" s="164"/>
      <c r="BO301" s="164"/>
    </row>
    <row r="302" spans="1:67" s="180" customFormat="1" ht="16.5" customHeight="1">
      <c r="A302" s="598"/>
      <c r="B302" s="598"/>
      <c r="C302" s="623" t="s">
        <v>155</v>
      </c>
      <c r="D302" s="622">
        <f t="shared" si="232"/>
        <v>168.06286689115231</v>
      </c>
      <c r="E302" s="607">
        <f>IF(E$167&gt;0,(E261+E276+E284)/E$167*E$299,0)</f>
        <v>4.9684848856314883</v>
      </c>
      <c r="F302" s="607">
        <f t="shared" ref="F302:AH302" si="236">IF(F$167&gt;0,(F261+F276+F284)/F$167*F$299,0)</f>
        <v>4.9183187080503572</v>
      </c>
      <c r="G302" s="607">
        <f t="shared" si="236"/>
        <v>1.9614026327947531</v>
      </c>
      <c r="H302" s="607">
        <f t="shared" si="236"/>
        <v>0</v>
      </c>
      <c r="I302" s="607">
        <f t="shared" si="236"/>
        <v>0.90845515890586259</v>
      </c>
      <c r="J302" s="607">
        <f t="shared" si="236"/>
        <v>16.68301765451535</v>
      </c>
      <c r="K302" s="607">
        <f t="shared" si="236"/>
        <v>0.42568575220359295</v>
      </c>
      <c r="L302" s="607">
        <f t="shared" si="236"/>
        <v>0</v>
      </c>
      <c r="M302" s="607">
        <f t="shared" si="236"/>
        <v>1.2647394561217296</v>
      </c>
      <c r="N302" s="607">
        <f t="shared" si="236"/>
        <v>12.266637474040186</v>
      </c>
      <c r="O302" s="607">
        <f t="shared" si="236"/>
        <v>5.3397274907145498</v>
      </c>
      <c r="P302" s="607">
        <f t="shared" si="236"/>
        <v>2.319739204137961</v>
      </c>
      <c r="Q302" s="607">
        <f t="shared" si="236"/>
        <v>3.6688595283796785</v>
      </c>
      <c r="R302" s="607">
        <f t="shared" si="236"/>
        <v>0</v>
      </c>
      <c r="S302" s="607">
        <f t="shared" si="236"/>
        <v>3.6376020215366602</v>
      </c>
      <c r="T302" s="607">
        <f t="shared" si="236"/>
        <v>2.2107826086956522E-2</v>
      </c>
      <c r="U302" s="607">
        <f t="shared" si="236"/>
        <v>0</v>
      </c>
      <c r="V302" s="607">
        <f t="shared" si="236"/>
        <v>0</v>
      </c>
      <c r="W302" s="607">
        <f t="shared" si="236"/>
        <v>0</v>
      </c>
      <c r="X302" s="607">
        <f t="shared" si="236"/>
        <v>54.679109993384678</v>
      </c>
      <c r="Y302" s="607">
        <f t="shared" si="236"/>
        <v>31.44586269922091</v>
      </c>
      <c r="Z302" s="607">
        <f t="shared" si="236"/>
        <v>3.0309402919464614</v>
      </c>
      <c r="AA302" s="607">
        <f t="shared" si="236"/>
        <v>1.0836422648940691</v>
      </c>
      <c r="AB302" s="607">
        <f t="shared" si="236"/>
        <v>1.8649929361455531</v>
      </c>
      <c r="AC302" s="607">
        <f t="shared" si="236"/>
        <v>0</v>
      </c>
      <c r="AD302" s="607">
        <f t="shared" si="236"/>
        <v>0.13460225766687242</v>
      </c>
      <c r="AE302" s="607">
        <f t="shared" si="236"/>
        <v>15.131623998215813</v>
      </c>
      <c r="AF302" s="607">
        <f t="shared" si="236"/>
        <v>2.307314656558825</v>
      </c>
      <c r="AG302" s="607">
        <f t="shared" si="236"/>
        <v>0</v>
      </c>
      <c r="AH302" s="607">
        <f t="shared" si="236"/>
        <v>0</v>
      </c>
      <c r="AI302" s="164"/>
      <c r="AJ302" s="164"/>
      <c r="AK302" s="164"/>
      <c r="AL302" s="164"/>
      <c r="AM302" s="164"/>
      <c r="AN302" s="164"/>
      <c r="AO302" s="164"/>
      <c r="AP302" s="164"/>
      <c r="AQ302" s="164"/>
      <c r="AR302" s="164"/>
      <c r="AS302" s="164"/>
      <c r="AT302" s="164"/>
      <c r="AU302" s="164"/>
      <c r="AV302" s="164"/>
      <c r="AW302" s="164"/>
      <c r="AX302" s="164"/>
      <c r="AY302" s="164"/>
      <c r="AZ302" s="164"/>
      <c r="BA302" s="164"/>
      <c r="BB302" s="164"/>
      <c r="BC302" s="164"/>
      <c r="BD302" s="164"/>
      <c r="BE302" s="164"/>
      <c r="BF302" s="164"/>
      <c r="BG302" s="164"/>
      <c r="BH302" s="164"/>
      <c r="BI302" s="164"/>
      <c r="BJ302" s="164"/>
      <c r="BK302" s="164"/>
      <c r="BL302" s="164"/>
      <c r="BM302" s="164"/>
      <c r="BN302" s="164"/>
      <c r="BO302" s="164"/>
    </row>
    <row r="303" spans="1:67" s="180" customFormat="1">
      <c r="A303" s="598"/>
      <c r="B303" s="598"/>
      <c r="C303" s="623" t="s">
        <v>242</v>
      </c>
      <c r="D303" s="622">
        <f t="shared" si="232"/>
        <v>7.9982442700096144</v>
      </c>
      <c r="E303" s="607">
        <f t="shared" ref="E303:AH303" si="237">IF(E$167&gt;0,E264/E$167*E$299,0)</f>
        <v>0</v>
      </c>
      <c r="F303" s="607">
        <f t="shared" si="237"/>
        <v>1.2547754400534175</v>
      </c>
      <c r="G303" s="607">
        <f t="shared" si="237"/>
        <v>0.65036568220867563</v>
      </c>
      <c r="H303" s="607">
        <f t="shared" si="237"/>
        <v>0</v>
      </c>
      <c r="I303" s="607">
        <f t="shared" si="237"/>
        <v>0.64118494849057295</v>
      </c>
      <c r="J303" s="607">
        <f t="shared" si="237"/>
        <v>0</v>
      </c>
      <c r="K303" s="607">
        <f t="shared" si="237"/>
        <v>0</v>
      </c>
      <c r="L303" s="607">
        <f t="shared" si="237"/>
        <v>0</v>
      </c>
      <c r="M303" s="607">
        <f t="shared" si="237"/>
        <v>0</v>
      </c>
      <c r="N303" s="607">
        <f t="shared" si="237"/>
        <v>0</v>
      </c>
      <c r="O303" s="607">
        <f t="shared" si="237"/>
        <v>0</v>
      </c>
      <c r="P303" s="607">
        <f t="shared" si="237"/>
        <v>0</v>
      </c>
      <c r="Q303" s="607">
        <f t="shared" si="237"/>
        <v>0</v>
      </c>
      <c r="R303" s="607">
        <f t="shared" si="237"/>
        <v>0</v>
      </c>
      <c r="S303" s="607">
        <f t="shared" si="237"/>
        <v>3.0469913127438679E-2</v>
      </c>
      <c r="T303" s="607">
        <f t="shared" si="237"/>
        <v>0</v>
      </c>
      <c r="U303" s="607">
        <f t="shared" si="237"/>
        <v>0</v>
      </c>
      <c r="V303" s="607">
        <f t="shared" si="237"/>
        <v>0</v>
      </c>
      <c r="W303" s="607">
        <f t="shared" si="237"/>
        <v>0</v>
      </c>
      <c r="X303" s="607">
        <f t="shared" si="237"/>
        <v>0</v>
      </c>
      <c r="Y303" s="607">
        <f t="shared" si="237"/>
        <v>4.9387176963450097</v>
      </c>
      <c r="Z303" s="607">
        <f t="shared" si="237"/>
        <v>0</v>
      </c>
      <c r="AA303" s="607">
        <f t="shared" si="237"/>
        <v>3.1276907895309583E-2</v>
      </c>
      <c r="AB303" s="607">
        <f t="shared" si="237"/>
        <v>0</v>
      </c>
      <c r="AC303" s="607">
        <f t="shared" si="237"/>
        <v>0</v>
      </c>
      <c r="AD303" s="607">
        <f t="shared" si="237"/>
        <v>0.12839734404562084</v>
      </c>
      <c r="AE303" s="607">
        <f t="shared" si="237"/>
        <v>0.32305633784357024</v>
      </c>
      <c r="AF303" s="607">
        <f t="shared" si="237"/>
        <v>0</v>
      </c>
      <c r="AG303" s="607">
        <f t="shared" si="237"/>
        <v>0</v>
      </c>
      <c r="AH303" s="607">
        <f t="shared" si="237"/>
        <v>0</v>
      </c>
      <c r="AI303" s="164"/>
      <c r="AJ303" s="164"/>
      <c r="AK303" s="164"/>
      <c r="AL303" s="164"/>
      <c r="AM303" s="164"/>
      <c r="AN303" s="164"/>
      <c r="AO303" s="164"/>
      <c r="AP303" s="164"/>
      <c r="AQ303" s="164"/>
      <c r="AR303" s="164"/>
      <c r="AS303" s="164"/>
      <c r="AT303" s="164"/>
      <c r="AU303" s="164"/>
      <c r="AV303" s="164"/>
      <c r="AW303" s="164"/>
      <c r="AX303" s="164"/>
      <c r="AY303" s="164"/>
      <c r="AZ303" s="164"/>
      <c r="BA303" s="164"/>
      <c r="BB303" s="164"/>
      <c r="BC303" s="164"/>
      <c r="BD303" s="164"/>
      <c r="BE303" s="164"/>
      <c r="BF303" s="164"/>
      <c r="BG303" s="164"/>
      <c r="BH303" s="164"/>
      <c r="BI303" s="164"/>
      <c r="BJ303" s="164"/>
      <c r="BK303" s="164"/>
      <c r="BL303" s="164"/>
      <c r="BM303" s="164"/>
      <c r="BN303" s="164"/>
      <c r="BO303" s="164"/>
    </row>
    <row r="304" spans="1:67" s="180" customFormat="1">
      <c r="A304" s="598"/>
      <c r="B304" s="598"/>
      <c r="C304" s="623" t="s">
        <v>314</v>
      </c>
      <c r="D304" s="622">
        <f t="shared" si="232"/>
        <v>255.94722502790606</v>
      </c>
      <c r="E304" s="607">
        <f t="shared" ref="E304:AH304" si="238">IF(E$167&gt;0,(E263+E270+E274+E278+E283)/E$167*E$299,0)</f>
        <v>6.0305037369578471</v>
      </c>
      <c r="F304" s="607">
        <f t="shared" si="238"/>
        <v>1.9821498268253015</v>
      </c>
      <c r="G304" s="607">
        <f t="shared" si="238"/>
        <v>3.267141831413185</v>
      </c>
      <c r="H304" s="607">
        <f t="shared" si="238"/>
        <v>0</v>
      </c>
      <c r="I304" s="607">
        <f t="shared" si="238"/>
        <v>24.142267502641555</v>
      </c>
      <c r="J304" s="607">
        <f t="shared" si="238"/>
        <v>35.674031401924417</v>
      </c>
      <c r="K304" s="607">
        <f t="shared" si="238"/>
        <v>1.8661052938959657</v>
      </c>
      <c r="L304" s="607">
        <f t="shared" si="238"/>
        <v>0.10100615839468022</v>
      </c>
      <c r="M304" s="607">
        <f t="shared" si="238"/>
        <v>40.407821414189378</v>
      </c>
      <c r="N304" s="607">
        <f t="shared" si="238"/>
        <v>3.732209152389641</v>
      </c>
      <c r="O304" s="607">
        <f t="shared" si="238"/>
        <v>28.286809520566983</v>
      </c>
      <c r="P304" s="607">
        <f t="shared" si="238"/>
        <v>1.194046810481753</v>
      </c>
      <c r="Q304" s="607">
        <f t="shared" si="238"/>
        <v>2.1058156815448492</v>
      </c>
      <c r="R304" s="607">
        <f t="shared" si="238"/>
        <v>1.0564493591357176</v>
      </c>
      <c r="S304" s="607">
        <f t="shared" si="238"/>
        <v>1.4137684185508606</v>
      </c>
      <c r="T304" s="607">
        <f t="shared" si="238"/>
        <v>1.5867607930434782</v>
      </c>
      <c r="U304" s="607">
        <f t="shared" si="238"/>
        <v>0</v>
      </c>
      <c r="V304" s="607">
        <f t="shared" si="238"/>
        <v>0.27391375865117518</v>
      </c>
      <c r="W304" s="607">
        <f t="shared" si="238"/>
        <v>0</v>
      </c>
      <c r="X304" s="607">
        <f t="shared" si="238"/>
        <v>29.114352467756131</v>
      </c>
      <c r="Y304" s="607">
        <f t="shared" si="238"/>
        <v>31.211701260535296</v>
      </c>
      <c r="Z304" s="607">
        <f t="shared" si="238"/>
        <v>2.4418406858586064</v>
      </c>
      <c r="AA304" s="607">
        <f t="shared" si="238"/>
        <v>5.2518212651163134</v>
      </c>
      <c r="AB304" s="607">
        <f t="shared" si="238"/>
        <v>0.21259960623819976</v>
      </c>
      <c r="AC304" s="607">
        <f t="shared" si="238"/>
        <v>1.1026728004116519</v>
      </c>
      <c r="AD304" s="607">
        <f t="shared" si="238"/>
        <v>5.6901406652664681E-2</v>
      </c>
      <c r="AE304" s="607">
        <f t="shared" si="238"/>
        <v>26.671986628467028</v>
      </c>
      <c r="AF304" s="607">
        <f t="shared" si="238"/>
        <v>6.7625482462633553</v>
      </c>
      <c r="AG304" s="607">
        <f t="shared" si="238"/>
        <v>0</v>
      </c>
      <c r="AH304" s="607">
        <f t="shared" si="238"/>
        <v>0</v>
      </c>
      <c r="AI304" s="164"/>
      <c r="AJ304" s="164"/>
      <c r="AK304" s="164"/>
      <c r="AL304" s="164"/>
      <c r="AM304" s="164"/>
      <c r="AN304" s="164"/>
      <c r="AO304" s="164"/>
      <c r="AP304" s="164"/>
      <c r="AQ304" s="164"/>
      <c r="AR304" s="164"/>
      <c r="AS304" s="164"/>
      <c r="AT304" s="164"/>
      <c r="AU304" s="164"/>
      <c r="AV304" s="164"/>
      <c r="AW304" s="164"/>
      <c r="AX304" s="164"/>
      <c r="AY304" s="164"/>
      <c r="AZ304" s="164"/>
      <c r="BA304" s="164"/>
      <c r="BB304" s="164"/>
      <c r="BC304" s="164"/>
      <c r="BD304" s="164"/>
      <c r="BE304" s="164"/>
      <c r="BF304" s="164"/>
      <c r="BG304" s="164"/>
      <c r="BH304" s="164"/>
      <c r="BI304" s="164"/>
      <c r="BJ304" s="164"/>
      <c r="BK304" s="164"/>
      <c r="BL304" s="164"/>
      <c r="BM304" s="164"/>
      <c r="BN304" s="164"/>
      <c r="BO304" s="164"/>
    </row>
    <row r="305" spans="1:67" s="180" customFormat="1">
      <c r="A305" s="598"/>
      <c r="B305" s="598"/>
      <c r="C305" s="623" t="s">
        <v>405</v>
      </c>
      <c r="D305" s="622">
        <f t="shared" si="232"/>
        <v>351.38631434104548</v>
      </c>
      <c r="E305" s="607">
        <f t="shared" ref="E305:AH305" si="239">IF(E$167&gt;0,(E266+E268+E273+E285)/E$167*E299,0)</f>
        <v>19.312863207212718</v>
      </c>
      <c r="F305" s="607">
        <f t="shared" si="239"/>
        <v>2.122493422335237</v>
      </c>
      <c r="G305" s="607">
        <f t="shared" si="239"/>
        <v>0.89398516950655993</v>
      </c>
      <c r="H305" s="607">
        <f t="shared" si="239"/>
        <v>0</v>
      </c>
      <c r="I305" s="607">
        <f t="shared" si="239"/>
        <v>6.490691531246279</v>
      </c>
      <c r="J305" s="607">
        <f t="shared" si="239"/>
        <v>31.268408579641545</v>
      </c>
      <c r="K305" s="607">
        <f t="shared" si="239"/>
        <v>1.2667154188993757</v>
      </c>
      <c r="L305" s="607">
        <f t="shared" si="239"/>
        <v>0.19106968501000038</v>
      </c>
      <c r="M305" s="607">
        <f t="shared" si="239"/>
        <v>39.526387504707166</v>
      </c>
      <c r="N305" s="607">
        <f t="shared" si="239"/>
        <v>106.16223373016383</v>
      </c>
      <c r="O305" s="607">
        <f t="shared" si="239"/>
        <v>48.278200750773578</v>
      </c>
      <c r="P305" s="607">
        <f t="shared" si="239"/>
        <v>5.3705164982272673E-2</v>
      </c>
      <c r="Q305" s="607">
        <f t="shared" si="239"/>
        <v>1.0710677262100368</v>
      </c>
      <c r="R305" s="607">
        <f t="shared" si="239"/>
        <v>0.35857990539203277</v>
      </c>
      <c r="S305" s="607">
        <f t="shared" si="239"/>
        <v>1.6238582609901184</v>
      </c>
      <c r="T305" s="607">
        <f t="shared" si="239"/>
        <v>0</v>
      </c>
      <c r="U305" s="607">
        <f t="shared" si="239"/>
        <v>0</v>
      </c>
      <c r="V305" s="607">
        <f t="shared" si="239"/>
        <v>3.9628798147903391E-2</v>
      </c>
      <c r="W305" s="607">
        <f t="shared" si="239"/>
        <v>0</v>
      </c>
      <c r="X305" s="607">
        <f t="shared" si="239"/>
        <v>0.2232169603192149</v>
      </c>
      <c r="Y305" s="607">
        <f t="shared" si="239"/>
        <v>21.151569386528998</v>
      </c>
      <c r="Z305" s="607">
        <f t="shared" si="239"/>
        <v>5.1522718284493658</v>
      </c>
      <c r="AA305" s="607">
        <f t="shared" si="239"/>
        <v>0.1841809265711723</v>
      </c>
      <c r="AB305" s="607">
        <f t="shared" si="239"/>
        <v>38.625260319263056</v>
      </c>
      <c r="AC305" s="607">
        <f t="shared" si="239"/>
        <v>4.3037608111458363</v>
      </c>
      <c r="AD305" s="607">
        <f t="shared" si="239"/>
        <v>2.0263906296511959E-2</v>
      </c>
      <c r="AE305" s="607">
        <f t="shared" si="239"/>
        <v>18.862599953917719</v>
      </c>
      <c r="AF305" s="607">
        <f t="shared" si="239"/>
        <v>4.2033013933348746</v>
      </c>
      <c r="AG305" s="607">
        <f t="shared" si="239"/>
        <v>0</v>
      </c>
      <c r="AH305" s="607">
        <f t="shared" si="239"/>
        <v>0</v>
      </c>
      <c r="AI305" s="164"/>
      <c r="AJ305" s="164"/>
      <c r="AK305" s="164"/>
      <c r="AL305" s="164"/>
      <c r="AM305" s="164"/>
      <c r="AN305" s="164"/>
      <c r="AO305" s="164"/>
      <c r="AP305" s="164"/>
      <c r="AQ305" s="164"/>
      <c r="AR305" s="164"/>
      <c r="AS305" s="164"/>
      <c r="AT305" s="164"/>
      <c r="AU305" s="164"/>
      <c r="AV305" s="164"/>
      <c r="AW305" s="164"/>
      <c r="AX305" s="164"/>
      <c r="AY305" s="164"/>
      <c r="AZ305" s="164"/>
      <c r="BA305" s="164"/>
      <c r="BB305" s="164"/>
      <c r="BC305" s="164"/>
      <c r="BD305" s="164"/>
      <c r="BE305" s="164"/>
      <c r="BF305" s="164"/>
      <c r="BG305" s="164"/>
      <c r="BH305" s="164"/>
      <c r="BI305" s="164"/>
      <c r="BJ305" s="164"/>
      <c r="BK305" s="164"/>
      <c r="BL305" s="164"/>
      <c r="BM305" s="164"/>
      <c r="BN305" s="164"/>
      <c r="BO305" s="164"/>
    </row>
    <row r="306" spans="1:67" s="180" customFormat="1">
      <c r="A306" s="598"/>
      <c r="B306" s="598"/>
      <c r="C306" s="623" t="s">
        <v>260</v>
      </c>
      <c r="D306" s="622">
        <f t="shared" si="232"/>
        <v>363.2067902589389</v>
      </c>
      <c r="E306" s="607">
        <f t="shared" ref="E306:AH306" si="240">IF(E$167&gt;0,(E265+E269+E272+E277+E287)/E$167*E$299,0)</f>
        <v>13.340839971587403</v>
      </c>
      <c r="F306" s="607">
        <f t="shared" si="240"/>
        <v>0.71948486983455595</v>
      </c>
      <c r="G306" s="607">
        <f t="shared" si="240"/>
        <v>5.2618568086963213</v>
      </c>
      <c r="H306" s="607">
        <f t="shared" si="240"/>
        <v>0</v>
      </c>
      <c r="I306" s="607">
        <f t="shared" si="240"/>
        <v>3.3840299168674739</v>
      </c>
      <c r="J306" s="607">
        <f t="shared" si="240"/>
        <v>45.462009871735489</v>
      </c>
      <c r="K306" s="607">
        <f t="shared" si="240"/>
        <v>3.1766883075709664</v>
      </c>
      <c r="L306" s="607">
        <f t="shared" si="240"/>
        <v>1.251859514925274</v>
      </c>
      <c r="M306" s="607">
        <f t="shared" si="240"/>
        <v>63.230315483170187</v>
      </c>
      <c r="N306" s="607">
        <f t="shared" si="240"/>
        <v>4.4935905625633978</v>
      </c>
      <c r="O306" s="607">
        <f t="shared" si="240"/>
        <v>50.023589079730655</v>
      </c>
      <c r="P306" s="607">
        <f t="shared" si="240"/>
        <v>5.8951116572774476</v>
      </c>
      <c r="Q306" s="607">
        <f t="shared" si="240"/>
        <v>1.2286876071316846</v>
      </c>
      <c r="R306" s="607">
        <f t="shared" si="240"/>
        <v>2.9237811284052455</v>
      </c>
      <c r="S306" s="607">
        <f t="shared" si="240"/>
        <v>1.6218766420500179</v>
      </c>
      <c r="T306" s="607">
        <f t="shared" si="240"/>
        <v>6.2940651006763284</v>
      </c>
      <c r="U306" s="673">
        <f>U299</f>
        <v>2.1227448418156802</v>
      </c>
      <c r="V306" s="607">
        <f t="shared" si="240"/>
        <v>0.61999586014629493</v>
      </c>
      <c r="W306" s="607">
        <f t="shared" si="240"/>
        <v>0</v>
      </c>
      <c r="X306" s="607">
        <f t="shared" si="240"/>
        <v>45.637660984870926</v>
      </c>
      <c r="Y306" s="607">
        <f t="shared" si="240"/>
        <v>48.906907086504326</v>
      </c>
      <c r="Z306" s="607">
        <f t="shared" si="240"/>
        <v>13.671145456369247</v>
      </c>
      <c r="AA306" s="607">
        <f t="shared" si="240"/>
        <v>0.17159769226071431</v>
      </c>
      <c r="AB306" s="607">
        <f t="shared" si="240"/>
        <v>0.59695676588198221</v>
      </c>
      <c r="AC306" s="607">
        <f t="shared" si="240"/>
        <v>3.4508704812943258</v>
      </c>
      <c r="AD306" s="607">
        <f t="shared" si="240"/>
        <v>2.3835085338329932E-2</v>
      </c>
      <c r="AE306" s="607">
        <f t="shared" si="240"/>
        <v>29.233450966361833</v>
      </c>
      <c r="AF306" s="607">
        <f t="shared" si="240"/>
        <v>10.463838515872848</v>
      </c>
      <c r="AG306" s="607">
        <f t="shared" si="240"/>
        <v>0</v>
      </c>
      <c r="AH306" s="607">
        <f t="shared" si="240"/>
        <v>0</v>
      </c>
      <c r="AI306" s="164"/>
      <c r="AJ306" s="164"/>
      <c r="AK306" s="164"/>
      <c r="AL306" s="164"/>
      <c r="AM306" s="164"/>
      <c r="AN306" s="164"/>
      <c r="AO306" s="164"/>
      <c r="AP306" s="164"/>
      <c r="AQ306" s="164"/>
      <c r="AR306" s="164"/>
      <c r="AS306" s="164"/>
      <c r="AT306" s="164"/>
      <c r="AU306" s="164"/>
      <c r="AV306" s="164"/>
      <c r="AW306" s="164"/>
      <c r="AX306" s="164"/>
      <c r="AY306" s="164"/>
      <c r="AZ306" s="164"/>
      <c r="BA306" s="164"/>
      <c r="BB306" s="164"/>
      <c r="BC306" s="164"/>
      <c r="BD306" s="164"/>
      <c r="BE306" s="164"/>
      <c r="BF306" s="164"/>
      <c r="BG306" s="164"/>
      <c r="BH306" s="164"/>
      <c r="BI306" s="164"/>
      <c r="BJ306" s="164"/>
      <c r="BK306" s="164"/>
      <c r="BL306" s="164"/>
      <c r="BM306" s="164"/>
      <c r="BN306" s="164"/>
      <c r="BO306" s="164"/>
    </row>
    <row r="307" spans="1:67" s="180" customFormat="1">
      <c r="A307" s="598"/>
      <c r="B307" s="598"/>
      <c r="C307" s="623" t="s">
        <v>104</v>
      </c>
      <c r="D307" s="622">
        <f>SUM(D302:D306)</f>
        <v>1146.6014407890525</v>
      </c>
      <c r="E307" s="607">
        <f t="shared" ref="E307:AH307" si="241">SUM(E302:E306)</f>
        <v>43.652691801389452</v>
      </c>
      <c r="F307" s="607">
        <f t="shared" si="241"/>
        <v>10.99722226709887</v>
      </c>
      <c r="G307" s="607">
        <f t="shared" si="241"/>
        <v>12.034752124619494</v>
      </c>
      <c r="H307" s="607">
        <f t="shared" si="241"/>
        <v>0</v>
      </c>
      <c r="I307" s="607">
        <f t="shared" si="241"/>
        <v>35.566629058151747</v>
      </c>
      <c r="J307" s="607">
        <f t="shared" si="241"/>
        <v>129.0874675078168</v>
      </c>
      <c r="K307" s="607">
        <f t="shared" si="241"/>
        <v>6.7351947725699013</v>
      </c>
      <c r="L307" s="607">
        <f t="shared" si="241"/>
        <v>1.5439353583299547</v>
      </c>
      <c r="M307" s="607">
        <f t="shared" si="241"/>
        <v>144.42926385818845</v>
      </c>
      <c r="N307" s="607">
        <f t="shared" si="241"/>
        <v>126.65467091915706</v>
      </c>
      <c r="O307" s="607">
        <f t="shared" si="241"/>
        <v>131.92832684178575</v>
      </c>
      <c r="P307" s="607">
        <f t="shared" si="241"/>
        <v>9.4626028368794337</v>
      </c>
      <c r="Q307" s="607">
        <f t="shared" si="241"/>
        <v>8.0744305432662493</v>
      </c>
      <c r="R307" s="607">
        <f t="shared" si="241"/>
        <v>4.338810392932996</v>
      </c>
      <c r="S307" s="607">
        <f t="shared" si="241"/>
        <v>8.3275752562550949</v>
      </c>
      <c r="T307" s="607">
        <f t="shared" si="241"/>
        <v>7.9029337198067626</v>
      </c>
      <c r="U307" s="607">
        <f t="shared" si="241"/>
        <v>2.1227448418156802</v>
      </c>
      <c r="V307" s="607">
        <f t="shared" si="241"/>
        <v>0.93353841694537354</v>
      </c>
      <c r="W307" s="607">
        <f t="shared" si="241"/>
        <v>0</v>
      </c>
      <c r="X307" s="607">
        <f t="shared" si="241"/>
        <v>129.65434040633096</v>
      </c>
      <c r="Y307" s="607">
        <f t="shared" si="241"/>
        <v>137.65475812913454</v>
      </c>
      <c r="Z307" s="607">
        <f t="shared" si="241"/>
        <v>24.296198262623683</v>
      </c>
      <c r="AA307" s="607">
        <f t="shared" si="241"/>
        <v>6.7225190567375783</v>
      </c>
      <c r="AB307" s="607">
        <f t="shared" si="241"/>
        <v>41.299809627528795</v>
      </c>
      <c r="AC307" s="607">
        <f t="shared" si="241"/>
        <v>8.8573040928518143</v>
      </c>
      <c r="AD307" s="607">
        <f t="shared" si="241"/>
        <v>0.36399999999999988</v>
      </c>
      <c r="AE307" s="607">
        <f t="shared" si="241"/>
        <v>90.222717884805959</v>
      </c>
      <c r="AF307" s="607">
        <f t="shared" si="241"/>
        <v>23.737002812029903</v>
      </c>
      <c r="AG307" s="607">
        <f t="shared" si="241"/>
        <v>0</v>
      </c>
      <c r="AH307" s="607">
        <f t="shared" si="241"/>
        <v>0</v>
      </c>
      <c r="AI307" s="669"/>
      <c r="AJ307" s="164"/>
      <c r="AK307" s="164"/>
      <c r="AL307" s="164"/>
      <c r="AM307" s="164"/>
      <c r="AN307" s="164"/>
      <c r="AO307" s="164"/>
      <c r="AP307" s="164"/>
      <c r="AQ307" s="164"/>
      <c r="AR307" s="164"/>
      <c r="AS307" s="164"/>
      <c r="AT307" s="164"/>
      <c r="AU307" s="164"/>
      <c r="AV307" s="164"/>
      <c r="AW307" s="164"/>
      <c r="AX307" s="164"/>
      <c r="AY307" s="164"/>
      <c r="AZ307" s="164"/>
      <c r="BA307" s="164"/>
      <c r="BB307" s="164"/>
      <c r="BC307" s="164"/>
      <c r="BD307" s="164"/>
      <c r="BE307" s="164"/>
      <c r="BF307" s="164"/>
      <c r="BG307" s="164"/>
      <c r="BH307" s="164"/>
      <c r="BI307" s="164"/>
      <c r="BJ307" s="164"/>
      <c r="BK307" s="164"/>
      <c r="BL307" s="164"/>
      <c r="BM307" s="164"/>
      <c r="BN307" s="164"/>
      <c r="BO307" s="164"/>
    </row>
    <row r="308" spans="1:67" s="180" customFormat="1">
      <c r="A308" s="598"/>
      <c r="B308" s="598"/>
      <c r="C308" s="623"/>
      <c r="D308" s="622"/>
      <c r="E308" s="607"/>
      <c r="F308" s="607"/>
      <c r="G308" s="607"/>
      <c r="H308" s="607"/>
      <c r="I308" s="607"/>
      <c r="J308" s="607"/>
      <c r="K308" s="607"/>
      <c r="L308" s="607"/>
      <c r="M308" s="607"/>
      <c r="N308" s="607"/>
      <c r="O308" s="607"/>
      <c r="P308" s="607"/>
      <c r="Q308" s="607"/>
      <c r="R308" s="607"/>
      <c r="S308" s="607"/>
      <c r="T308" s="607"/>
      <c r="U308" s="607"/>
      <c r="V308" s="607"/>
      <c r="W308" s="607"/>
      <c r="X308" s="607"/>
      <c r="Y308" s="607"/>
      <c r="Z308" s="607"/>
      <c r="AA308" s="607"/>
      <c r="AB308" s="607"/>
      <c r="AC308" s="607"/>
      <c r="AD308" s="607"/>
      <c r="AE308" s="607"/>
      <c r="AF308" s="607"/>
      <c r="AG308" s="607"/>
      <c r="AH308" s="607"/>
      <c r="AI308" s="669"/>
      <c r="AJ308" s="164"/>
      <c r="AK308" s="164"/>
      <c r="AL308" s="164"/>
      <c r="AM308" s="164"/>
      <c r="AN308" s="164"/>
      <c r="AO308" s="164"/>
      <c r="AP308" s="164"/>
      <c r="AQ308" s="164"/>
      <c r="AR308" s="164"/>
      <c r="AS308" s="164"/>
      <c r="AT308" s="164"/>
      <c r="AU308" s="164"/>
      <c r="AV308" s="164"/>
      <c r="AW308" s="164"/>
      <c r="AX308" s="164"/>
      <c r="AY308" s="164"/>
      <c r="AZ308" s="164"/>
      <c r="BA308" s="164"/>
      <c r="BB308" s="164"/>
      <c r="BC308" s="164"/>
      <c r="BD308" s="164"/>
      <c r="BE308" s="164"/>
      <c r="BF308" s="164"/>
      <c r="BG308" s="164"/>
      <c r="BH308" s="164"/>
      <c r="BI308" s="164"/>
      <c r="BJ308" s="164"/>
      <c r="BK308" s="164"/>
      <c r="BL308" s="164"/>
      <c r="BM308" s="164"/>
      <c r="BN308" s="164"/>
      <c r="BO308" s="164"/>
    </row>
    <row r="309" spans="1:67" s="164" customFormat="1">
      <c r="A309" s="593"/>
      <c r="B309" s="593"/>
      <c r="C309" s="631"/>
      <c r="D309" s="609"/>
      <c r="E309" s="629"/>
      <c r="F309" s="629"/>
      <c r="G309" s="629"/>
      <c r="H309" s="629"/>
      <c r="I309" s="629"/>
      <c r="J309" s="629"/>
      <c r="K309" s="629"/>
      <c r="L309" s="629"/>
      <c r="M309" s="629"/>
      <c r="N309" s="629"/>
      <c r="O309" s="629"/>
      <c r="P309" s="629"/>
      <c r="Q309" s="629"/>
      <c r="R309" s="629"/>
      <c r="S309" s="629"/>
      <c r="T309" s="629"/>
      <c r="U309" s="629"/>
      <c r="V309" s="629"/>
      <c r="W309" s="629"/>
      <c r="X309" s="629"/>
      <c r="Y309" s="629"/>
      <c r="Z309" s="629"/>
      <c r="AA309" s="629"/>
      <c r="AB309" s="629"/>
      <c r="AC309" s="629"/>
      <c r="AD309" s="629"/>
      <c r="AE309" s="629"/>
      <c r="AF309" s="629"/>
      <c r="AG309" s="629"/>
      <c r="AH309" s="629"/>
      <c r="AI309" s="509"/>
      <c r="AJ309" s="165"/>
      <c r="AK309" s="165"/>
      <c r="AL309" s="165"/>
      <c r="AM309" s="165"/>
      <c r="AN309" s="165"/>
      <c r="AO309" s="165"/>
      <c r="AP309" s="165"/>
      <c r="AQ309" s="165"/>
      <c r="AR309" s="165"/>
      <c r="AS309" s="165"/>
      <c r="AT309" s="165"/>
      <c r="AU309" s="165"/>
      <c r="AV309" s="165"/>
      <c r="AW309" s="165"/>
      <c r="AX309" s="165"/>
      <c r="AY309" s="165"/>
    </row>
    <row r="310" spans="1:67" s="164" customFormat="1">
      <c r="A310" s="593"/>
      <c r="B310" s="593"/>
      <c r="C310" s="756" t="s">
        <v>1005</v>
      </c>
      <c r="D310" s="756"/>
      <c r="E310" s="629"/>
      <c r="F310" s="629"/>
      <c r="G310" s="629"/>
      <c r="H310" s="629"/>
      <c r="I310" s="629"/>
      <c r="J310" s="629"/>
      <c r="K310" s="629"/>
      <c r="L310" s="629"/>
      <c r="M310" s="629"/>
      <c r="N310" s="629"/>
      <c r="O310" s="629"/>
      <c r="P310" s="629"/>
      <c r="Q310" s="629"/>
      <c r="R310" s="629"/>
      <c r="S310" s="629"/>
      <c r="T310" s="629"/>
      <c r="U310" s="629"/>
      <c r="V310" s="629"/>
      <c r="W310" s="629"/>
      <c r="X310" s="629"/>
      <c r="Y310" s="629"/>
      <c r="Z310" s="629"/>
      <c r="AA310" s="629"/>
      <c r="AB310" s="629"/>
      <c r="AC310" s="629"/>
      <c r="AD310" s="629"/>
      <c r="AE310" s="629"/>
      <c r="AF310" s="629"/>
      <c r="AG310" s="629"/>
      <c r="AH310" s="629"/>
      <c r="AI310" s="509"/>
      <c r="AJ310" s="165"/>
      <c r="AK310" s="165"/>
      <c r="AL310" s="165"/>
      <c r="AM310" s="165"/>
      <c r="AN310" s="165"/>
      <c r="AO310" s="165"/>
      <c r="AP310" s="165"/>
      <c r="AQ310" s="165"/>
      <c r="AR310" s="165"/>
      <c r="AS310" s="165"/>
      <c r="AT310" s="165"/>
      <c r="AU310" s="165"/>
      <c r="AV310" s="165"/>
      <c r="AW310" s="165"/>
      <c r="AX310" s="165"/>
      <c r="AY310" s="165"/>
    </row>
    <row r="311" spans="1:67" s="164" customFormat="1" ht="12" customHeight="1">
      <c r="A311" s="593"/>
      <c r="B311" s="593"/>
      <c r="C311" s="756"/>
      <c r="D311" s="756"/>
      <c r="E311" s="643"/>
      <c r="F311" s="643"/>
      <c r="G311" s="643"/>
      <c r="H311" s="643"/>
      <c r="I311" s="643"/>
      <c r="J311" s="643"/>
      <c r="K311" s="643"/>
      <c r="L311" s="643"/>
      <c r="M311" s="643"/>
      <c r="N311" s="643"/>
      <c r="O311" s="643"/>
      <c r="P311" s="643"/>
      <c r="Q311" s="643"/>
      <c r="R311" s="643"/>
      <c r="S311" s="643"/>
      <c r="T311" s="643"/>
      <c r="U311" s="643"/>
      <c r="V311" s="643"/>
      <c r="W311" s="643"/>
      <c r="X311" s="643"/>
      <c r="Y311" s="643"/>
      <c r="Z311" s="643"/>
      <c r="AA311" s="643"/>
      <c r="AB311" s="643"/>
      <c r="AC311" s="643"/>
      <c r="AD311" s="643"/>
      <c r="AE311" s="643"/>
      <c r="AF311" s="643"/>
      <c r="AG311" s="643"/>
      <c r="AH311" s="643"/>
      <c r="AI311" s="509"/>
      <c r="AJ311" s="165"/>
      <c r="AK311" s="165"/>
      <c r="AL311" s="165"/>
      <c r="AM311" s="165"/>
      <c r="AN311" s="165"/>
      <c r="AO311" s="165"/>
      <c r="AP311" s="165"/>
      <c r="AQ311" s="165"/>
      <c r="AR311" s="165"/>
      <c r="AS311" s="165"/>
      <c r="AT311" s="165"/>
      <c r="AU311" s="165"/>
      <c r="AV311" s="165"/>
      <c r="AW311" s="165"/>
      <c r="AX311" s="165"/>
      <c r="AY311" s="165"/>
    </row>
    <row r="312" spans="1:67" s="164" customFormat="1" ht="12" customHeight="1">
      <c r="A312" s="593"/>
      <c r="B312" s="593"/>
      <c r="C312" s="619"/>
      <c r="D312" s="624"/>
      <c r="E312" s="643"/>
      <c r="F312" s="643"/>
      <c r="G312" s="643"/>
      <c r="H312" s="643"/>
      <c r="I312" s="643"/>
      <c r="J312" s="643"/>
      <c r="K312" s="643"/>
      <c r="L312" s="643"/>
      <c r="M312" s="643"/>
      <c r="N312" s="643"/>
      <c r="O312" s="643"/>
      <c r="P312" s="643"/>
      <c r="Q312" s="643"/>
      <c r="R312" s="643"/>
      <c r="S312" s="643"/>
      <c r="T312" s="643"/>
      <c r="U312" s="643"/>
      <c r="V312" s="643"/>
      <c r="W312" s="643"/>
      <c r="X312" s="643"/>
      <c r="Y312" s="643"/>
      <c r="Z312" s="643"/>
      <c r="AA312" s="643"/>
      <c r="AB312" s="643"/>
      <c r="AC312" s="643"/>
      <c r="AD312" s="643"/>
      <c r="AE312" s="643"/>
      <c r="AF312" s="643"/>
      <c r="AG312" s="643"/>
      <c r="AH312" s="643"/>
      <c r="AI312" s="509"/>
      <c r="AJ312" s="165"/>
      <c r="AK312" s="165"/>
      <c r="AL312" s="165"/>
      <c r="AM312" s="165"/>
      <c r="AN312" s="165"/>
      <c r="AO312" s="165"/>
      <c r="AP312" s="165"/>
      <c r="AQ312" s="165"/>
      <c r="AR312" s="165"/>
      <c r="AS312" s="165"/>
      <c r="AT312" s="165"/>
      <c r="AU312" s="165"/>
      <c r="AV312" s="165"/>
      <c r="AW312" s="165"/>
      <c r="AX312" s="165"/>
      <c r="AY312" s="165"/>
    </row>
    <row r="313" spans="1:67" s="164" customFormat="1" ht="12" customHeight="1">
      <c r="A313" s="593"/>
      <c r="B313" s="593"/>
      <c r="C313" s="619"/>
      <c r="D313" s="624"/>
      <c r="E313" s="643" t="s">
        <v>56</v>
      </c>
      <c r="F313" s="643" t="s">
        <v>39</v>
      </c>
      <c r="G313" s="643" t="s">
        <v>40</v>
      </c>
      <c r="H313" s="643" t="s">
        <v>49</v>
      </c>
      <c r="I313" s="643" t="s">
        <v>41</v>
      </c>
      <c r="J313" s="643" t="s">
        <v>43</v>
      </c>
      <c r="K313" s="643" t="s">
        <v>42</v>
      </c>
      <c r="L313" s="643" t="s">
        <v>44</v>
      </c>
      <c r="M313" s="643" t="s">
        <v>45</v>
      </c>
      <c r="N313" s="643" t="s">
        <v>62</v>
      </c>
      <c r="O313" s="643" t="s">
        <v>46</v>
      </c>
      <c r="P313" s="643" t="s">
        <v>82</v>
      </c>
      <c r="Q313" s="643" t="s">
        <v>53</v>
      </c>
      <c r="R313" s="643" t="s">
        <v>47</v>
      </c>
      <c r="S313" s="643" t="s">
        <v>48</v>
      </c>
      <c r="T313" s="643" t="s">
        <v>51</v>
      </c>
      <c r="U313" s="643" t="s">
        <v>52</v>
      </c>
      <c r="V313" s="643" t="s">
        <v>50</v>
      </c>
      <c r="W313" s="643" t="s">
        <v>54</v>
      </c>
      <c r="X313" s="643" t="s">
        <v>55</v>
      </c>
      <c r="Y313" s="643" t="s">
        <v>57</v>
      </c>
      <c r="Z313" s="643" t="s">
        <v>58</v>
      </c>
      <c r="AA313" s="643" t="s">
        <v>59</v>
      </c>
      <c r="AB313" s="643" t="s">
        <v>63</v>
      </c>
      <c r="AC313" s="643" t="s">
        <v>60</v>
      </c>
      <c r="AD313" s="643" t="s">
        <v>61</v>
      </c>
      <c r="AE313" s="643" t="s">
        <v>64</v>
      </c>
      <c r="AF313" s="643" t="s">
        <v>81</v>
      </c>
      <c r="AG313" s="643" t="s">
        <v>83</v>
      </c>
      <c r="AH313" s="643" t="s">
        <v>84</v>
      </c>
      <c r="AI313" s="509"/>
      <c r="AJ313" s="165"/>
      <c r="AK313" s="165"/>
      <c r="AL313" s="165"/>
      <c r="AM313" s="165"/>
      <c r="AN313" s="165"/>
      <c r="AO313" s="165"/>
      <c r="AP313" s="165"/>
      <c r="AQ313" s="165"/>
      <c r="AR313" s="165"/>
      <c r="AS313" s="165"/>
      <c r="AT313" s="165"/>
      <c r="AU313" s="165"/>
      <c r="AV313" s="165"/>
      <c r="AW313" s="165"/>
      <c r="AX313" s="165"/>
      <c r="AY313" s="165"/>
    </row>
    <row r="314" spans="1:67" s="164" customFormat="1">
      <c r="A314" s="593"/>
      <c r="B314" s="593"/>
      <c r="C314" s="619"/>
      <c r="D314" s="609"/>
      <c r="E314" s="629"/>
      <c r="F314" s="629"/>
      <c r="G314" s="629"/>
      <c r="H314" s="629"/>
      <c r="I314" s="629"/>
      <c r="J314" s="629"/>
      <c r="K314" s="629"/>
      <c r="L314" s="629"/>
      <c r="M314" s="629"/>
      <c r="N314" s="629"/>
      <c r="O314" s="629"/>
      <c r="P314" s="629"/>
      <c r="Q314" s="629"/>
      <c r="R314" s="629"/>
      <c r="S314" s="629"/>
      <c r="T314" s="629"/>
      <c r="U314" s="629"/>
      <c r="V314" s="629"/>
      <c r="W314" s="629"/>
      <c r="X314" s="629"/>
      <c r="Y314" s="629"/>
      <c r="Z314" s="629"/>
      <c r="AA314" s="629"/>
      <c r="AB314" s="629"/>
      <c r="AC314" s="629"/>
      <c r="AD314" s="629"/>
      <c r="AE314" s="629"/>
      <c r="AF314" s="629"/>
      <c r="AG314" s="629"/>
      <c r="AH314" s="629"/>
      <c r="AI314" s="509"/>
      <c r="AJ314" s="165"/>
      <c r="AK314" s="165"/>
      <c r="AL314" s="165"/>
      <c r="AM314" s="165"/>
      <c r="AN314" s="165"/>
      <c r="AO314" s="165"/>
      <c r="AP314" s="165"/>
      <c r="AQ314" s="165"/>
      <c r="AR314" s="165"/>
      <c r="AS314" s="165"/>
      <c r="AT314" s="165"/>
      <c r="AU314" s="165"/>
      <c r="AV314" s="165"/>
      <c r="AW314" s="165"/>
      <c r="AX314" s="165"/>
      <c r="AY314" s="165"/>
    </row>
    <row r="315" spans="1:67" s="164" customFormat="1" ht="13.5" thickBot="1">
      <c r="A315" s="593"/>
      <c r="B315" s="593"/>
      <c r="C315" s="620" t="s">
        <v>1056</v>
      </c>
      <c r="D315" s="621">
        <f t="shared" ref="D315:D321" si="242">SUM(E315:AH315)</f>
        <v>635.21300000000019</v>
      </c>
      <c r="E315" s="620">
        <f>'Eurostat Resume'!F28</f>
        <v>28.302</v>
      </c>
      <c r="F315" s="620">
        <f>'Eurostat Resume'!G28</f>
        <v>2.8000000000000001E-2</v>
      </c>
      <c r="G315" s="620">
        <f>'Eurostat Resume'!H28</f>
        <v>1.538</v>
      </c>
      <c r="H315" s="620">
        <f>'Eurostat Resume'!I28</f>
        <v>0</v>
      </c>
      <c r="I315" s="620">
        <f>'Eurostat Resume'!J28</f>
        <v>8.92</v>
      </c>
      <c r="J315" s="620">
        <f>'Eurostat Resume'!K28</f>
        <v>207.05</v>
      </c>
      <c r="K315" s="620">
        <f>'Eurostat Resume'!L28</f>
        <v>0.02</v>
      </c>
      <c r="L315" s="620">
        <f>'Eurostat Resume'!M28</f>
        <v>0.20300000000000001</v>
      </c>
      <c r="M315" s="620">
        <f>'Eurostat Resume'!N28</f>
        <v>18.091000000000001</v>
      </c>
      <c r="N315" s="620">
        <f>'Eurostat Resume'!O28</f>
        <v>11.458</v>
      </c>
      <c r="O315" s="620">
        <f>'Eurostat Resume'!P28</f>
        <v>96.430999999999997</v>
      </c>
      <c r="P315" s="620">
        <f>'Eurostat Resume'!Q28</f>
        <v>0.21299999999999999</v>
      </c>
      <c r="Q315" s="620">
        <f>'Eurostat Resume'!R28</f>
        <v>1.6E-2</v>
      </c>
      <c r="R315" s="620">
        <f>'Eurostat Resume'!S28</f>
        <v>0</v>
      </c>
      <c r="S315" s="620">
        <f>'Eurostat Resume'!T28</f>
        <v>30.016999999999999</v>
      </c>
      <c r="T315" s="620">
        <f>'Eurostat Resume'!U28</f>
        <v>0</v>
      </c>
      <c r="U315" s="620">
        <f>'Eurostat Resume'!V28</f>
        <v>0</v>
      </c>
      <c r="V315" s="620">
        <f>'Eurostat Resume'!W28</f>
        <v>1.9E-2</v>
      </c>
      <c r="W315" s="620">
        <f>'Eurostat Resume'!X28</f>
        <v>0</v>
      </c>
      <c r="X315" s="620">
        <f>'Eurostat Resume'!Y28</f>
        <v>33.037999999999997</v>
      </c>
      <c r="Y315" s="620">
        <f>'Eurostat Resume'!Z28</f>
        <v>0</v>
      </c>
      <c r="Z315" s="620">
        <f>'Eurostat Resume'!AA28</f>
        <v>9.6329999999999991</v>
      </c>
      <c r="AA315" s="620">
        <f>'Eurostat Resume'!AB28</f>
        <v>0.94399999999999995</v>
      </c>
      <c r="AB315" s="620">
        <f>'Eurostat Resume'!AC28</f>
        <v>3.101</v>
      </c>
      <c r="AC315" s="620">
        <f>'Eurostat Resume'!AD28</f>
        <v>0.10100000000000001</v>
      </c>
      <c r="AD315" s="620">
        <f>'Eurostat Resume'!AE28</f>
        <v>6.0000000000000001E-3</v>
      </c>
      <c r="AE315" s="620">
        <f>'Eurostat Resume'!AF28</f>
        <v>178.905</v>
      </c>
      <c r="AF315" s="620">
        <f>'Eurostat Resume'!AG28</f>
        <v>3.488</v>
      </c>
      <c r="AG315" s="620">
        <f>'Eurostat Resume'!AH28</f>
        <v>0</v>
      </c>
      <c r="AH315" s="620">
        <f>'Eurostat Resume'!AI28</f>
        <v>3.6909999999999998</v>
      </c>
      <c r="AI315" s="509"/>
      <c r="AJ315" s="165"/>
      <c r="AK315" s="165"/>
      <c r="AL315" s="165"/>
      <c r="AM315" s="165"/>
      <c r="AN315" s="165"/>
      <c r="AO315" s="165"/>
      <c r="AP315" s="165"/>
      <c r="AQ315" s="165"/>
      <c r="AR315" s="165"/>
      <c r="AS315" s="165"/>
      <c r="AT315" s="165"/>
      <c r="AU315" s="165"/>
      <c r="AV315" s="165"/>
      <c r="AW315" s="165"/>
      <c r="AX315" s="165"/>
      <c r="AY315" s="165"/>
    </row>
    <row r="316" spans="1:67" s="164" customFormat="1">
      <c r="A316" s="593" t="s">
        <v>1008</v>
      </c>
      <c r="B316" s="593"/>
      <c r="C316" s="623" t="s">
        <v>546</v>
      </c>
      <c r="D316" s="622">
        <f t="shared" si="242"/>
        <v>158.12199999999999</v>
      </c>
      <c r="E316" s="607">
        <f>'Eurostat Resume'!F29</f>
        <v>0.20699999999999999</v>
      </c>
      <c r="F316" s="607">
        <f>'Eurostat Resume'!G29</f>
        <v>0</v>
      </c>
      <c r="G316" s="607">
        <f>'Eurostat Resume'!H29</f>
        <v>0</v>
      </c>
      <c r="H316" s="607">
        <f>'Eurostat Resume'!I29</f>
        <v>0</v>
      </c>
      <c r="I316" s="607">
        <f>'Eurostat Resume'!J29</f>
        <v>6.7229999999999999</v>
      </c>
      <c r="J316" s="607">
        <f>'Eurostat Resume'!K29</f>
        <v>110.99</v>
      </c>
      <c r="K316" s="607">
        <f>'Eurostat Resume'!L29</f>
        <v>0</v>
      </c>
      <c r="L316" s="607">
        <f>'Eurostat Resume'!M29</f>
        <v>0</v>
      </c>
      <c r="M316" s="607">
        <f>'Eurostat Resume'!N29</f>
        <v>0</v>
      </c>
      <c r="N316" s="607">
        <f>'Eurostat Resume'!O29</f>
        <v>4.8000000000000001E-2</v>
      </c>
      <c r="O316" s="607">
        <f>'Eurostat Resume'!P29</f>
        <v>6.8120000000000003</v>
      </c>
      <c r="P316" s="607">
        <f>'Eurostat Resume'!Q29</f>
        <v>0</v>
      </c>
      <c r="Q316" s="607">
        <f>'Eurostat Resume'!R29</f>
        <v>0</v>
      </c>
      <c r="R316" s="607">
        <f>'Eurostat Resume'!S29</f>
        <v>0</v>
      </c>
      <c r="S316" s="607">
        <f>'Eurostat Resume'!T29</f>
        <v>1.4890000000000001</v>
      </c>
      <c r="T316" s="607">
        <f>'Eurostat Resume'!U29</f>
        <v>0</v>
      </c>
      <c r="U316" s="607">
        <f>'Eurostat Resume'!V29</f>
        <v>0</v>
      </c>
      <c r="V316" s="607">
        <f>'Eurostat Resume'!W29</f>
        <v>0</v>
      </c>
      <c r="W316" s="607">
        <f>'Eurostat Resume'!X29</f>
        <v>0</v>
      </c>
      <c r="X316" s="607">
        <f>'Eurostat Resume'!Y29</f>
        <v>0</v>
      </c>
      <c r="Y316" s="607">
        <f>'Eurostat Resume'!Z29</f>
        <v>0</v>
      </c>
      <c r="Z316" s="607">
        <f>'Eurostat Resume'!AA29</f>
        <v>0</v>
      </c>
      <c r="AA316" s="607">
        <f>'Eurostat Resume'!AB29</f>
        <v>0</v>
      </c>
      <c r="AB316" s="607">
        <f>'Eurostat Resume'!AC29</f>
        <v>0</v>
      </c>
      <c r="AC316" s="607">
        <f>'Eurostat Resume'!AD29</f>
        <v>0</v>
      </c>
      <c r="AD316" s="607">
        <f>'Eurostat Resume'!AE29</f>
        <v>0</v>
      </c>
      <c r="AE316" s="607">
        <f>'Eurostat Resume'!AF29</f>
        <v>31.853000000000002</v>
      </c>
      <c r="AF316" s="607">
        <f>'Eurostat Resume'!AG29</f>
        <v>0</v>
      </c>
      <c r="AG316" s="607">
        <f>'Eurostat Resume'!AH29</f>
        <v>0</v>
      </c>
      <c r="AH316" s="607">
        <f>'Eurostat Resume'!AI29</f>
        <v>0</v>
      </c>
      <c r="AI316" s="509"/>
      <c r="AJ316" s="165"/>
      <c r="AK316" s="165"/>
      <c r="AL316" s="165"/>
      <c r="AM316" s="165"/>
      <c r="AN316" s="165"/>
      <c r="AO316" s="165"/>
      <c r="AP316" s="165"/>
      <c r="AQ316" s="165"/>
      <c r="AR316" s="165"/>
      <c r="AS316" s="165"/>
      <c r="AT316" s="165"/>
      <c r="AU316" s="165"/>
      <c r="AV316" s="165"/>
      <c r="AW316" s="165"/>
      <c r="AX316" s="165"/>
      <c r="AY316" s="165"/>
    </row>
    <row r="317" spans="1:67" s="164" customFormat="1">
      <c r="A317" s="593" t="s">
        <v>1008</v>
      </c>
      <c r="B317" s="593"/>
      <c r="C317" s="623" t="s">
        <v>307</v>
      </c>
      <c r="D317" s="622">
        <f t="shared" si="242"/>
        <v>54.317999999999998</v>
      </c>
      <c r="E317" s="607">
        <f>'Eurostat Resume'!F31</f>
        <v>0.12</v>
      </c>
      <c r="F317" s="607">
        <f>'Eurostat Resume'!G31</f>
        <v>0</v>
      </c>
      <c r="G317" s="607">
        <f>'Eurostat Resume'!H31</f>
        <v>0.77800000000000002</v>
      </c>
      <c r="H317" s="607">
        <f>'Eurostat Resume'!I31</f>
        <v>0</v>
      </c>
      <c r="I317" s="607">
        <f>'Eurostat Resume'!J31</f>
        <v>1.292</v>
      </c>
      <c r="J317" s="607">
        <f>'Eurostat Resume'!K31</f>
        <v>19.78</v>
      </c>
      <c r="K317" s="607">
        <f>'Eurostat Resume'!L31</f>
        <v>0</v>
      </c>
      <c r="L317" s="607">
        <f>'Eurostat Resume'!M31</f>
        <v>0</v>
      </c>
      <c r="M317" s="607">
        <f>'Eurostat Resume'!N31</f>
        <v>0</v>
      </c>
      <c r="N317" s="607">
        <f>'Eurostat Resume'!O31</f>
        <v>0.36</v>
      </c>
      <c r="O317" s="607">
        <f>'Eurostat Resume'!P31</f>
        <v>9.6449999999999996</v>
      </c>
      <c r="P317" s="607">
        <f>'Eurostat Resume'!Q31</f>
        <v>0</v>
      </c>
      <c r="Q317" s="607">
        <f>'Eurostat Resume'!R31</f>
        <v>0</v>
      </c>
      <c r="R317" s="607">
        <f>'Eurostat Resume'!S31</f>
        <v>0</v>
      </c>
      <c r="S317" s="607">
        <f>'Eurostat Resume'!T31</f>
        <v>19.855</v>
      </c>
      <c r="T317" s="607">
        <f>'Eurostat Resume'!U31</f>
        <v>0</v>
      </c>
      <c r="U317" s="607">
        <f>'Eurostat Resume'!V31</f>
        <v>0</v>
      </c>
      <c r="V317" s="607">
        <f>'Eurostat Resume'!W31</f>
        <v>0</v>
      </c>
      <c r="W317" s="607">
        <f>'Eurostat Resume'!X31</f>
        <v>0</v>
      </c>
      <c r="X317" s="607">
        <f>'Eurostat Resume'!Y31</f>
        <v>0</v>
      </c>
      <c r="Y317" s="607">
        <f>'Eurostat Resume'!Z31</f>
        <v>0</v>
      </c>
      <c r="Z317" s="607">
        <f>'Eurostat Resume'!AA31</f>
        <v>0.16300000000000001</v>
      </c>
      <c r="AA317" s="607">
        <f>'Eurostat Resume'!AB31</f>
        <v>0.68300000000000005</v>
      </c>
      <c r="AB317" s="607">
        <f>'Eurostat Resume'!AC31</f>
        <v>0.04</v>
      </c>
      <c r="AC317" s="607">
        <f>'Eurostat Resume'!AD31</f>
        <v>0</v>
      </c>
      <c r="AD317" s="607">
        <f>'Eurostat Resume'!AE31</f>
        <v>0</v>
      </c>
      <c r="AE317" s="607">
        <f>'Eurostat Resume'!AF31</f>
        <v>0.68</v>
      </c>
      <c r="AF317" s="607">
        <f>'Eurostat Resume'!AG31</f>
        <v>0.83699999999999997</v>
      </c>
      <c r="AG317" s="607">
        <f>'Eurostat Resume'!AH31</f>
        <v>0</v>
      </c>
      <c r="AH317" s="607">
        <f>'Eurostat Resume'!AI31</f>
        <v>8.5000000000000006E-2</v>
      </c>
      <c r="AI317" s="509"/>
      <c r="AJ317" s="165"/>
      <c r="AK317" s="165"/>
      <c r="AL317" s="165"/>
      <c r="AM317" s="165"/>
      <c r="AN317" s="165"/>
      <c r="AO317" s="165"/>
      <c r="AP317" s="165"/>
      <c r="AQ317" s="165"/>
      <c r="AR317" s="165"/>
      <c r="AS317" s="165"/>
      <c r="AT317" s="165"/>
      <c r="AU317" s="165"/>
      <c r="AV317" s="165"/>
      <c r="AW317" s="165"/>
      <c r="AX317" s="165"/>
      <c r="AY317" s="165"/>
    </row>
    <row r="318" spans="1:67" s="164" customFormat="1">
      <c r="A318" s="593" t="s">
        <v>1008</v>
      </c>
      <c r="B318" s="593"/>
      <c r="C318" s="623" t="s">
        <v>308</v>
      </c>
      <c r="D318" s="622">
        <f t="shared" si="242"/>
        <v>218.84800000000001</v>
      </c>
      <c r="E318" s="607">
        <f>'Eurostat Resume'!F36</f>
        <v>22.137</v>
      </c>
      <c r="F318" s="607">
        <f>'Eurostat Resume'!G36</f>
        <v>0</v>
      </c>
      <c r="G318" s="607">
        <f>'Eurostat Resume'!H36</f>
        <v>0</v>
      </c>
      <c r="H318" s="607">
        <f>'Eurostat Resume'!I36</f>
        <v>0</v>
      </c>
      <c r="I318" s="607">
        <f>'Eurostat Resume'!J36</f>
        <v>0.45900000000000002</v>
      </c>
      <c r="J318" s="607">
        <f>'Eurostat Resume'!K36</f>
        <v>76.082999999999998</v>
      </c>
      <c r="K318" s="607">
        <f>'Eurostat Resume'!L36</f>
        <v>0</v>
      </c>
      <c r="L318" s="607">
        <f>'Eurostat Resume'!M36</f>
        <v>0.17100000000000001</v>
      </c>
      <c r="M318" s="607">
        <f>'Eurostat Resume'!N36</f>
        <v>1.9630000000000001</v>
      </c>
      <c r="N318" s="607">
        <f>'Eurostat Resume'!O36</f>
        <v>7.9240000000000004</v>
      </c>
      <c r="O318" s="607">
        <f>'Eurostat Resume'!P36</f>
        <v>33.42</v>
      </c>
      <c r="P318" s="607">
        <f>'Eurostat Resume'!Q36</f>
        <v>0.21299999999999999</v>
      </c>
      <c r="Q318" s="607">
        <f>'Eurostat Resume'!R36</f>
        <v>1.6E-2</v>
      </c>
      <c r="R318" s="607">
        <f>'Eurostat Resume'!S36</f>
        <v>0</v>
      </c>
      <c r="S318" s="607">
        <f>'Eurostat Resume'!T36</f>
        <v>7.1349999999999998</v>
      </c>
      <c r="T318" s="607">
        <f>'Eurostat Resume'!U36</f>
        <v>0</v>
      </c>
      <c r="U318" s="607">
        <f>'Eurostat Resume'!V36</f>
        <v>0</v>
      </c>
      <c r="V318" s="607">
        <f>'Eurostat Resume'!W36</f>
        <v>0</v>
      </c>
      <c r="W318" s="607">
        <f>'Eurostat Resume'!X36</f>
        <v>0</v>
      </c>
      <c r="X318" s="607">
        <f>'Eurostat Resume'!Y36</f>
        <v>1.252</v>
      </c>
      <c r="Y318" s="607">
        <f>'Eurostat Resume'!Z36</f>
        <v>0</v>
      </c>
      <c r="Z318" s="607">
        <f>'Eurostat Resume'!AA36</f>
        <v>7.2999999999999995E-2</v>
      </c>
      <c r="AA318" s="607">
        <f>'Eurostat Resume'!AB36</f>
        <v>0.22600000000000001</v>
      </c>
      <c r="AB318" s="607">
        <f>'Eurostat Resume'!AC36</f>
        <v>3.0609999999999999</v>
      </c>
      <c r="AC318" s="607">
        <f>'Eurostat Resume'!AD36</f>
        <v>0</v>
      </c>
      <c r="AD318" s="607">
        <f>'Eurostat Resume'!AE36</f>
        <v>0</v>
      </c>
      <c r="AE318" s="607">
        <f>'Eurostat Resume'!AF36</f>
        <v>58.959000000000003</v>
      </c>
      <c r="AF318" s="607">
        <f>'Eurostat Resume'!AG36</f>
        <v>3.726</v>
      </c>
      <c r="AG318" s="607">
        <f>'Eurostat Resume'!AH36</f>
        <v>0</v>
      </c>
      <c r="AH318" s="607">
        <f>'Eurostat Resume'!AI36</f>
        <v>2.0299999999999998</v>
      </c>
      <c r="AI318" s="509"/>
      <c r="AJ318" s="165"/>
      <c r="AK318" s="165"/>
      <c r="AL318" s="165"/>
      <c r="AM318" s="165"/>
      <c r="AN318" s="165"/>
      <c r="AO318" s="165"/>
      <c r="AP318" s="165"/>
      <c r="AQ318" s="165"/>
      <c r="AR318" s="165"/>
      <c r="AS318" s="165"/>
      <c r="AT318" s="165"/>
      <c r="AU318" s="165"/>
      <c r="AV318" s="165"/>
      <c r="AW318" s="165"/>
      <c r="AX318" s="165"/>
      <c r="AY318" s="165"/>
    </row>
    <row r="319" spans="1:67" s="164" customFormat="1">
      <c r="A319" s="593" t="s">
        <v>1008</v>
      </c>
      <c r="B319" s="593"/>
      <c r="C319" s="623" t="s">
        <v>559</v>
      </c>
      <c r="D319" s="622">
        <f t="shared" si="242"/>
        <v>1.9E-2</v>
      </c>
      <c r="E319" s="607">
        <f>'Eurostat Resume'!F40</f>
        <v>1.9E-2</v>
      </c>
      <c r="F319" s="607">
        <f>'Eurostat Resume'!G40</f>
        <v>0</v>
      </c>
      <c r="G319" s="607">
        <f>'Eurostat Resume'!H40</f>
        <v>0</v>
      </c>
      <c r="H319" s="607">
        <f>'Eurostat Resume'!I40</f>
        <v>0</v>
      </c>
      <c r="I319" s="607">
        <f>'Eurostat Resume'!J40</f>
        <v>0</v>
      </c>
      <c r="J319" s="607">
        <f>'Eurostat Resume'!K40</f>
        <v>0</v>
      </c>
      <c r="K319" s="607">
        <f>'Eurostat Resume'!L40</f>
        <v>0</v>
      </c>
      <c r="L319" s="607">
        <f>'Eurostat Resume'!M40</f>
        <v>0</v>
      </c>
      <c r="M319" s="607">
        <f>'Eurostat Resume'!N40</f>
        <v>0</v>
      </c>
      <c r="N319" s="607">
        <f>'Eurostat Resume'!O40</f>
        <v>0</v>
      </c>
      <c r="O319" s="607">
        <f>'Eurostat Resume'!P40</f>
        <v>0</v>
      </c>
      <c r="P319" s="607">
        <f>'Eurostat Resume'!Q40</f>
        <v>0</v>
      </c>
      <c r="Q319" s="607">
        <f>'Eurostat Resume'!R40</f>
        <v>0</v>
      </c>
      <c r="R319" s="607">
        <f>'Eurostat Resume'!S40</f>
        <v>0</v>
      </c>
      <c r="S319" s="607">
        <f>'Eurostat Resume'!T40</f>
        <v>0</v>
      </c>
      <c r="T319" s="607">
        <f>'Eurostat Resume'!U40</f>
        <v>0</v>
      </c>
      <c r="U319" s="607">
        <f>'Eurostat Resume'!V40</f>
        <v>0</v>
      </c>
      <c r="V319" s="607">
        <f>'Eurostat Resume'!W40</f>
        <v>0</v>
      </c>
      <c r="W319" s="607">
        <f>'Eurostat Resume'!X40</f>
        <v>0</v>
      </c>
      <c r="X319" s="607">
        <f>'Eurostat Resume'!Y40</f>
        <v>0</v>
      </c>
      <c r="Y319" s="607">
        <f>'Eurostat Resume'!Z40</f>
        <v>0</v>
      </c>
      <c r="Z319" s="607">
        <f>'Eurostat Resume'!AA40</f>
        <v>0</v>
      </c>
      <c r="AA319" s="607">
        <f>'Eurostat Resume'!AB40</f>
        <v>0</v>
      </c>
      <c r="AB319" s="607">
        <f>'Eurostat Resume'!AC40</f>
        <v>0</v>
      </c>
      <c r="AC319" s="607">
        <f>'Eurostat Resume'!AD40</f>
        <v>0</v>
      </c>
      <c r="AD319" s="607">
        <f>'Eurostat Resume'!AE40</f>
        <v>0</v>
      </c>
      <c r="AE319" s="607">
        <f>'Eurostat Resume'!AF40</f>
        <v>0</v>
      </c>
      <c r="AF319" s="607">
        <f>'Eurostat Resume'!AG40</f>
        <v>0</v>
      </c>
      <c r="AG319" s="607">
        <f>'Eurostat Resume'!AH40</f>
        <v>0</v>
      </c>
      <c r="AH319" s="607">
        <f>'Eurostat Resume'!AI40</f>
        <v>0</v>
      </c>
      <c r="AI319" s="509"/>
      <c r="AJ319" s="165"/>
      <c r="AK319" s="165"/>
      <c r="AL319" s="165"/>
      <c r="AM319" s="165"/>
      <c r="AN319" s="165"/>
      <c r="AO319" s="165"/>
      <c r="AP319" s="165"/>
      <c r="AQ319" s="165"/>
      <c r="AR319" s="165"/>
      <c r="AS319" s="165"/>
      <c r="AT319" s="165"/>
      <c r="AU319" s="165"/>
      <c r="AV319" s="165"/>
      <c r="AW319" s="165"/>
      <c r="AX319" s="165"/>
      <c r="AY319" s="165"/>
    </row>
    <row r="320" spans="1:67" s="164" customFormat="1">
      <c r="A320" s="593" t="s">
        <v>1008</v>
      </c>
      <c r="B320" s="593"/>
      <c r="C320" s="623" t="s">
        <v>566</v>
      </c>
      <c r="D320" s="622">
        <f t="shared" si="242"/>
        <v>119.30899999999998</v>
      </c>
      <c r="E320" s="607">
        <f>'Eurostat Resume'!F41</f>
        <v>0.98199999999999998</v>
      </c>
      <c r="F320" s="607">
        <f>'Eurostat Resume'!G41</f>
        <v>1.9E-2</v>
      </c>
      <c r="G320" s="607">
        <f>'Eurostat Resume'!H41</f>
        <v>0</v>
      </c>
      <c r="H320" s="607">
        <f>'Eurostat Resume'!I41</f>
        <v>0</v>
      </c>
      <c r="I320" s="607">
        <f>'Eurostat Resume'!J41</f>
        <v>0.44600000000000001</v>
      </c>
      <c r="J320" s="607">
        <f>'Eurostat Resume'!K41</f>
        <v>0</v>
      </c>
      <c r="K320" s="607">
        <f>'Eurostat Resume'!L41</f>
        <v>0.02</v>
      </c>
      <c r="L320" s="607">
        <f>'Eurostat Resume'!M41</f>
        <v>1.6E-2</v>
      </c>
      <c r="M320" s="607">
        <f>'Eurostat Resume'!N41</f>
        <v>11.215</v>
      </c>
      <c r="N320" s="607">
        <f>'Eurostat Resume'!O41</f>
        <v>0</v>
      </c>
      <c r="O320" s="607">
        <f>'Eurostat Resume'!P41</f>
        <v>18.812000000000001</v>
      </c>
      <c r="P320" s="607">
        <f>'Eurostat Resume'!Q41</f>
        <v>0</v>
      </c>
      <c r="Q320" s="607">
        <f>'Eurostat Resume'!R41</f>
        <v>0</v>
      </c>
      <c r="R320" s="607">
        <f>'Eurostat Resume'!S41</f>
        <v>0</v>
      </c>
      <c r="S320" s="607">
        <f>'Eurostat Resume'!T41</f>
        <v>0.6</v>
      </c>
      <c r="T320" s="607">
        <f>'Eurostat Resume'!U41</f>
        <v>0</v>
      </c>
      <c r="U320" s="607">
        <f>'Eurostat Resume'!V41</f>
        <v>0</v>
      </c>
      <c r="V320" s="607">
        <f>'Eurostat Resume'!W41</f>
        <v>1.9E-2</v>
      </c>
      <c r="W320" s="607">
        <f>'Eurostat Resume'!X41</f>
        <v>0</v>
      </c>
      <c r="X320" s="607">
        <f>'Eurostat Resume'!Y41</f>
        <v>15.29</v>
      </c>
      <c r="Y320" s="607">
        <f>'Eurostat Resume'!Z41</f>
        <v>0</v>
      </c>
      <c r="Z320" s="607">
        <f>'Eurostat Resume'!AA41</f>
        <v>4.6680000000000001</v>
      </c>
      <c r="AA320" s="607">
        <f>'Eurostat Resume'!AB41</f>
        <v>0</v>
      </c>
      <c r="AB320" s="607">
        <f>'Eurostat Resume'!AC41</f>
        <v>0</v>
      </c>
      <c r="AC320" s="607">
        <f>'Eurostat Resume'!AD41</f>
        <v>0.10100000000000001</v>
      </c>
      <c r="AD320" s="607">
        <f>'Eurostat Resume'!AE41</f>
        <v>6.0000000000000001E-3</v>
      </c>
      <c r="AE320" s="607">
        <f>'Eurostat Resume'!AF41</f>
        <v>65.518000000000001</v>
      </c>
      <c r="AF320" s="607">
        <f>'Eurostat Resume'!AG41</f>
        <v>1.597</v>
      </c>
      <c r="AG320" s="607">
        <f>'Eurostat Resume'!AH41</f>
        <v>0</v>
      </c>
      <c r="AH320" s="607">
        <f>'Eurostat Resume'!AI41</f>
        <v>0</v>
      </c>
      <c r="AI320" s="509"/>
      <c r="AJ320" s="165"/>
      <c r="AK320" s="165"/>
      <c r="AL320" s="165"/>
      <c r="AM320" s="165"/>
      <c r="AN320" s="165"/>
      <c r="AO320" s="165"/>
      <c r="AP320" s="165"/>
      <c r="AQ320" s="165"/>
      <c r="AR320" s="165"/>
      <c r="AS320" s="165"/>
      <c r="AT320" s="165"/>
      <c r="AU320" s="165"/>
      <c r="AV320" s="165"/>
      <c r="AW320" s="165"/>
      <c r="AX320" s="165"/>
      <c r="AY320" s="165"/>
    </row>
    <row r="321" spans="1:51" s="164" customFormat="1">
      <c r="A321" s="593" t="s">
        <v>1008</v>
      </c>
      <c r="B321" s="593"/>
      <c r="C321" s="623" t="s">
        <v>567</v>
      </c>
      <c r="D321" s="622">
        <f t="shared" si="242"/>
        <v>62.725999999999992</v>
      </c>
      <c r="E321" s="607">
        <f>'Eurostat Resume'!F42</f>
        <v>0</v>
      </c>
      <c r="F321" s="607">
        <f>'Eurostat Resume'!G42</f>
        <v>35.658000000000001</v>
      </c>
      <c r="G321" s="607">
        <f>'Eurostat Resume'!H42</f>
        <v>8.9999999999999993E-3</v>
      </c>
      <c r="H321" s="607">
        <f>'Eurostat Resume'!I42</f>
        <v>0.224</v>
      </c>
      <c r="I321" s="607">
        <f>'Eurostat Resume'!J42</f>
        <v>0</v>
      </c>
      <c r="J321" s="607">
        <f>'Eurostat Resume'!K42</f>
        <v>0</v>
      </c>
      <c r="K321" s="607">
        <f>'Eurostat Resume'!L42</f>
        <v>0</v>
      </c>
      <c r="L321" s="607">
        <f>'Eurostat Resume'!M42</f>
        <v>0</v>
      </c>
      <c r="M321" s="607">
        <f>'Eurostat Resume'!N42</f>
        <v>0</v>
      </c>
      <c r="N321" s="607">
        <f>'Eurostat Resume'!O42</f>
        <v>0</v>
      </c>
      <c r="O321" s="607">
        <f>'Eurostat Resume'!P42</f>
        <v>4.9130000000000003</v>
      </c>
      <c r="P321" s="607">
        <f>'Eurostat Resume'!Q42</f>
        <v>0</v>
      </c>
      <c r="Q321" s="607">
        <f>'Eurostat Resume'!R42</f>
        <v>0</v>
      </c>
      <c r="R321" s="607">
        <f>'Eurostat Resume'!S42</f>
        <v>1.6E-2</v>
      </c>
      <c r="S321" s="607">
        <f>'Eurostat Resume'!T42</f>
        <v>13.222</v>
      </c>
      <c r="T321" s="607">
        <f>'Eurostat Resume'!U42</f>
        <v>0</v>
      </c>
      <c r="U321" s="607">
        <f>'Eurostat Resume'!V42</f>
        <v>0</v>
      </c>
      <c r="V321" s="607">
        <f>'Eurostat Resume'!W42</f>
        <v>0</v>
      </c>
      <c r="W321" s="607">
        <f>'Eurostat Resume'!X42</f>
        <v>0</v>
      </c>
      <c r="X321" s="607">
        <f>'Eurostat Resume'!Y42</f>
        <v>0</v>
      </c>
      <c r="Y321" s="607">
        <f>'Eurostat Resume'!Z42</f>
        <v>3.7370000000000001</v>
      </c>
      <c r="Z321" s="607">
        <f>'Eurostat Resume'!AA42</f>
        <v>0</v>
      </c>
      <c r="AA321" s="607">
        <f>'Eurostat Resume'!AB42</f>
        <v>0.28499999999999998</v>
      </c>
      <c r="AB321" s="607">
        <f>'Eurostat Resume'!AC42</f>
        <v>3.1139999999999999</v>
      </c>
      <c r="AC321" s="607">
        <f>'Eurostat Resume'!AD42</f>
        <v>3.5000000000000003E-2</v>
      </c>
      <c r="AD321" s="607">
        <f>'Eurostat Resume'!AE42</f>
        <v>0</v>
      </c>
      <c r="AE321" s="607">
        <f>'Eurostat Resume'!AF42</f>
        <v>0</v>
      </c>
      <c r="AF321" s="607">
        <f>'Eurostat Resume'!AG42</f>
        <v>0</v>
      </c>
      <c r="AG321" s="607">
        <f>'Eurostat Resume'!AH42</f>
        <v>0</v>
      </c>
      <c r="AH321" s="607">
        <f>'Eurostat Resume'!AI42</f>
        <v>1.5129999999999999</v>
      </c>
      <c r="AI321" s="509"/>
      <c r="AJ321" s="165"/>
      <c r="AK321" s="165"/>
      <c r="AL321" s="165"/>
      <c r="AM321" s="165"/>
      <c r="AN321" s="165"/>
      <c r="AO321" s="165"/>
      <c r="AP321" s="165"/>
      <c r="AQ321" s="165"/>
      <c r="AR321" s="165"/>
      <c r="AS321" s="165"/>
      <c r="AT321" s="165"/>
      <c r="AU321" s="165"/>
      <c r="AV321" s="165"/>
      <c r="AW321" s="165"/>
      <c r="AX321" s="165"/>
      <c r="AY321" s="165"/>
    </row>
    <row r="322" spans="1:51" s="164" customFormat="1">
      <c r="A322" s="593"/>
      <c r="B322" s="593"/>
      <c r="C322" s="654"/>
      <c r="D322" s="624"/>
      <c r="E322" s="624"/>
      <c r="F322" s="624"/>
      <c r="G322" s="624"/>
      <c r="H322" s="624"/>
      <c r="I322" s="624"/>
      <c r="J322" s="624"/>
      <c r="K322" s="624"/>
      <c r="L322" s="624"/>
      <c r="M322" s="624"/>
      <c r="N322" s="624"/>
      <c r="O322" s="624"/>
      <c r="P322" s="624"/>
      <c r="Q322" s="624"/>
      <c r="R322" s="624"/>
      <c r="S322" s="624"/>
      <c r="T322" s="624"/>
      <c r="U322" s="624"/>
      <c r="V322" s="624"/>
      <c r="W322" s="624"/>
      <c r="X322" s="624"/>
      <c r="Y322" s="624"/>
      <c r="Z322" s="624"/>
      <c r="AA322" s="624"/>
      <c r="AB322" s="624"/>
      <c r="AC322" s="624"/>
      <c r="AD322" s="624"/>
      <c r="AE322" s="624"/>
      <c r="AF322" s="624"/>
      <c r="AG322" s="624"/>
      <c r="AH322" s="624"/>
      <c r="AI322" s="509"/>
      <c r="AJ322" s="165"/>
      <c r="AK322" s="165"/>
      <c r="AL322" s="165"/>
      <c r="AM322" s="165"/>
      <c r="AN322" s="165"/>
      <c r="AO322" s="165"/>
      <c r="AP322" s="165"/>
      <c r="AQ322" s="165"/>
      <c r="AR322" s="165"/>
      <c r="AS322" s="165"/>
      <c r="AT322" s="165"/>
      <c r="AU322" s="165"/>
      <c r="AV322" s="165"/>
      <c r="AW322" s="165"/>
      <c r="AX322" s="165"/>
      <c r="AY322" s="165"/>
    </row>
    <row r="323" spans="1:51" s="164" customFormat="1" ht="14.25" customHeight="1" thickBot="1">
      <c r="A323" s="593"/>
      <c r="B323" s="593"/>
      <c r="C323" s="655" t="s">
        <v>988</v>
      </c>
      <c r="D323" s="627">
        <f>SUM(E323:AH323)</f>
        <v>19.829648207142171</v>
      </c>
      <c r="E323" s="627">
        <f t="shared" ref="E323:AH323" si="243">E6-E124</f>
        <v>0.67251591999999993</v>
      </c>
      <c r="F323" s="627">
        <f t="shared" si="243"/>
        <v>4.0000000000000036E-3</v>
      </c>
      <c r="G323" s="627">
        <f t="shared" si="243"/>
        <v>0</v>
      </c>
      <c r="H323" s="627">
        <f t="shared" si="243"/>
        <v>6.0000000000000001E-3</v>
      </c>
      <c r="I323" s="627">
        <f t="shared" si="243"/>
        <v>0.98480000000000012</v>
      </c>
      <c r="J323" s="627">
        <f t="shared" si="243"/>
        <v>6.4000000000000057E-2</v>
      </c>
      <c r="K323" s="627">
        <f t="shared" si="243"/>
        <v>6.000215199999992E-2</v>
      </c>
      <c r="L323" s="627">
        <f t="shared" si="243"/>
        <v>1.361600000000001E-3</v>
      </c>
      <c r="M323" s="627">
        <f t="shared" si="243"/>
        <v>2.2048256334355285</v>
      </c>
      <c r="N323" s="627">
        <f t="shared" si="243"/>
        <v>0.55039119999999975</v>
      </c>
      <c r="O323" s="627">
        <f t="shared" si="243"/>
        <v>3.3598878847999996</v>
      </c>
      <c r="P323" s="627">
        <f t="shared" si="243"/>
        <v>1.3431999999999999E-2</v>
      </c>
      <c r="Q323" s="627">
        <f t="shared" si="243"/>
        <v>0</v>
      </c>
      <c r="R323" s="627">
        <f t="shared" si="243"/>
        <v>1.7509519999999973E-2</v>
      </c>
      <c r="S323" s="627">
        <f t="shared" si="243"/>
        <v>2.0538400000000001</v>
      </c>
      <c r="T323" s="627">
        <f t="shared" si="243"/>
        <v>4.0045600310110299E-2</v>
      </c>
      <c r="U323" s="627">
        <f t="shared" si="243"/>
        <v>4.0480000000000002E-2</v>
      </c>
      <c r="V323" s="627">
        <f t="shared" si="243"/>
        <v>1.3240000000000002E-2</v>
      </c>
      <c r="W323" s="627">
        <f t="shared" si="243"/>
        <v>0</v>
      </c>
      <c r="X323" s="627">
        <f t="shared" si="243"/>
        <v>1.3461582711111106</v>
      </c>
      <c r="Y323" s="627">
        <f t="shared" si="243"/>
        <v>9.9999999999988987E-4</v>
      </c>
      <c r="Z323" s="627">
        <f t="shared" si="243"/>
        <v>0.69403474644958951</v>
      </c>
      <c r="AA323" s="627">
        <f t="shared" si="243"/>
        <v>0.34980367903583887</v>
      </c>
      <c r="AB323" s="627">
        <f t="shared" si="243"/>
        <v>4.0599999999999969E-2</v>
      </c>
      <c r="AC323" s="627">
        <f t="shared" si="243"/>
        <v>0.104</v>
      </c>
      <c r="AD323" s="627">
        <f t="shared" si="243"/>
        <v>8.7679999999999925E-2</v>
      </c>
      <c r="AE323" s="627">
        <f t="shared" si="243"/>
        <v>4.6120400000000004</v>
      </c>
      <c r="AF323" s="627">
        <f t="shared" si="243"/>
        <v>1.429</v>
      </c>
      <c r="AG323" s="627">
        <f t="shared" si="243"/>
        <v>3.1E-2</v>
      </c>
      <c r="AH323" s="627">
        <f t="shared" si="243"/>
        <v>1.048</v>
      </c>
      <c r="AI323" s="509"/>
      <c r="AJ323" s="165"/>
      <c r="AK323" s="165"/>
      <c r="AL323" s="165"/>
      <c r="AM323" s="165"/>
      <c r="AN323" s="165"/>
      <c r="AO323" s="165"/>
      <c r="AP323" s="165"/>
      <c r="AQ323" s="165"/>
      <c r="AR323" s="165"/>
      <c r="AS323" s="165"/>
      <c r="AT323" s="165"/>
      <c r="AU323" s="165"/>
      <c r="AV323" s="165"/>
      <c r="AW323" s="165"/>
      <c r="AX323" s="165"/>
      <c r="AY323" s="165"/>
    </row>
    <row r="324" spans="1:51" s="164" customFormat="1" ht="14.25" customHeight="1">
      <c r="A324" s="593"/>
      <c r="B324" s="593"/>
      <c r="C324" s="629" t="s">
        <v>975</v>
      </c>
      <c r="D324" s="609">
        <f>SUM(E324:AH324)</f>
        <v>14.824648207142179</v>
      </c>
      <c r="E324" s="629">
        <f>E323-SUM(E325:E327)</f>
        <v>0.1325159199999999</v>
      </c>
      <c r="F324" s="629">
        <f>F323-SUM(F325:F327)</f>
        <v>0</v>
      </c>
      <c r="G324" s="629">
        <f>G323-SUM(G325:G327)</f>
        <v>0</v>
      </c>
      <c r="H324" s="629">
        <f t="shared" ref="H324:AH324" si="244">H323-SUM(H325:H327)</f>
        <v>6.0000000000000001E-3</v>
      </c>
      <c r="I324" s="629">
        <f t="shared" si="244"/>
        <v>0.82980000000000009</v>
      </c>
      <c r="J324" s="629">
        <f t="shared" si="244"/>
        <v>0</v>
      </c>
      <c r="K324" s="629">
        <f t="shared" si="244"/>
        <v>5.7002151999999917E-2</v>
      </c>
      <c r="L324" s="629">
        <f t="shared" si="244"/>
        <v>3.6160000000000098E-4</v>
      </c>
      <c r="M324" s="629">
        <f t="shared" si="244"/>
        <v>2.2048256334355285</v>
      </c>
      <c r="N324" s="629">
        <f t="shared" si="244"/>
        <v>0.35539119999999974</v>
      </c>
      <c r="O324" s="629">
        <f t="shared" si="244"/>
        <v>3.0378878847999995</v>
      </c>
      <c r="P324" s="629">
        <f t="shared" si="244"/>
        <v>1.3431999999999999E-2</v>
      </c>
      <c r="Q324" s="629">
        <f t="shared" si="244"/>
        <v>0</v>
      </c>
      <c r="R324" s="629">
        <f t="shared" si="244"/>
        <v>1.7509519999999973E-2</v>
      </c>
      <c r="S324" s="629">
        <f t="shared" si="244"/>
        <v>1.8538400000000002</v>
      </c>
      <c r="T324" s="629">
        <f t="shared" si="244"/>
        <v>4.0045600310110299E-2</v>
      </c>
      <c r="U324" s="629">
        <f t="shared" si="244"/>
        <v>1.448E-2</v>
      </c>
      <c r="V324" s="629">
        <f t="shared" si="244"/>
        <v>7.2400000000000016E-3</v>
      </c>
      <c r="W324" s="629">
        <f t="shared" si="244"/>
        <v>0</v>
      </c>
      <c r="X324" s="629">
        <f t="shared" si="244"/>
        <v>1.1301582711111107</v>
      </c>
      <c r="Y324" s="629">
        <f t="shared" si="244"/>
        <v>-1.1015494072452725E-16</v>
      </c>
      <c r="Z324" s="629">
        <f t="shared" si="244"/>
        <v>0.68803474644958951</v>
      </c>
      <c r="AA324" s="629">
        <f t="shared" si="244"/>
        <v>0.32680367903583885</v>
      </c>
      <c r="AB324" s="629">
        <f t="shared" si="244"/>
        <v>3.7599999999999967E-2</v>
      </c>
      <c r="AC324" s="629">
        <f t="shared" si="244"/>
        <v>0</v>
      </c>
      <c r="AD324" s="629">
        <f t="shared" si="244"/>
        <v>5.8679999999999927E-2</v>
      </c>
      <c r="AE324" s="629">
        <f t="shared" si="244"/>
        <v>2.8780400000000004</v>
      </c>
      <c r="AF324" s="629">
        <f t="shared" si="244"/>
        <v>0.88100000000000001</v>
      </c>
      <c r="AG324" s="629">
        <f t="shared" si="244"/>
        <v>2.7E-2</v>
      </c>
      <c r="AH324" s="629">
        <f t="shared" si="244"/>
        <v>0.22700000000000009</v>
      </c>
      <c r="AI324" s="509"/>
      <c r="AJ324" s="165"/>
      <c r="AK324" s="165"/>
      <c r="AL324" s="165"/>
      <c r="AM324" s="165"/>
      <c r="AN324" s="165"/>
      <c r="AO324" s="165"/>
      <c r="AP324" s="165"/>
      <c r="AQ324" s="165"/>
      <c r="AR324" s="165"/>
      <c r="AS324" s="165"/>
      <c r="AT324" s="165"/>
      <c r="AU324" s="165"/>
      <c r="AV324" s="165"/>
      <c r="AW324" s="165"/>
      <c r="AX324" s="165"/>
      <c r="AY324" s="165"/>
    </row>
    <row r="325" spans="1:51" s="164" customFormat="1">
      <c r="A325" s="593"/>
      <c r="B325" s="593"/>
      <c r="C325" s="629" t="str">
        <f>'Eurostat Resume'!C63</f>
        <v xml:space="preserve">Solar </v>
      </c>
      <c r="D325" s="609">
        <f>SUM(E325:AH325)</f>
        <v>0.121</v>
      </c>
      <c r="E325" s="629">
        <f>'Eurostat Resume'!F88</f>
        <v>0</v>
      </c>
      <c r="F325" s="629">
        <f>'Eurostat Resume'!G88</f>
        <v>2E-3</v>
      </c>
      <c r="G325" s="629">
        <f>'Eurostat Resume'!H88</f>
        <v>0</v>
      </c>
      <c r="H325" s="629">
        <f>'Eurostat Resume'!I88</f>
        <v>0</v>
      </c>
      <c r="I325" s="629">
        <f>'Eurostat Resume'!J88</f>
        <v>0</v>
      </c>
      <c r="J325" s="629">
        <f>'Eurostat Resume'!K88</f>
        <v>0</v>
      </c>
      <c r="K325" s="629">
        <f>'Eurostat Resume'!L88</f>
        <v>3.0000000000000001E-3</v>
      </c>
      <c r="L325" s="629">
        <f>'Eurostat Resume'!M88</f>
        <v>0</v>
      </c>
      <c r="M325" s="629">
        <f>'Eurostat Resume'!N88</f>
        <v>0</v>
      </c>
      <c r="N325" s="629">
        <f>'Eurostat Resume'!O88</f>
        <v>0</v>
      </c>
      <c r="O325" s="629">
        <f>'Eurostat Resume'!P88</f>
        <v>0</v>
      </c>
      <c r="P325" s="629">
        <f>'Eurostat Resume'!Q88</f>
        <v>0</v>
      </c>
      <c r="Q325" s="629">
        <f>'Eurostat Resume'!R88</f>
        <v>0</v>
      </c>
      <c r="R325" s="629">
        <f>'Eurostat Resume'!S88</f>
        <v>0</v>
      </c>
      <c r="S325" s="629">
        <f>'Eurostat Resume'!T88</f>
        <v>0</v>
      </c>
      <c r="T325" s="629">
        <f>'Eurostat Resume'!U88</f>
        <v>0</v>
      </c>
      <c r="U325" s="629">
        <f>'Eurostat Resume'!V88</f>
        <v>2.4E-2</v>
      </c>
      <c r="V325" s="629">
        <f>'Eurostat Resume'!W88</f>
        <v>0</v>
      </c>
      <c r="W325" s="629">
        <f>'Eurostat Resume'!X88</f>
        <v>0</v>
      </c>
      <c r="X325" s="629">
        <f>'Eurostat Resume'!Y88</f>
        <v>4.8000000000000001E-2</v>
      </c>
      <c r="Y325" s="629">
        <f>'Eurostat Resume'!Z88</f>
        <v>0</v>
      </c>
      <c r="Z325" s="629">
        <f>'Eurostat Resume'!AA88</f>
        <v>0</v>
      </c>
      <c r="AA325" s="629">
        <f>'Eurostat Resume'!AB88</f>
        <v>0</v>
      </c>
      <c r="AB325" s="629">
        <f>'Eurostat Resume'!AC88</f>
        <v>0</v>
      </c>
      <c r="AC325" s="629">
        <f>'Eurostat Resume'!AD88</f>
        <v>0</v>
      </c>
      <c r="AD325" s="629">
        <f>'Eurostat Resume'!AE88</f>
        <v>0</v>
      </c>
      <c r="AE325" s="629">
        <f>'Eurostat Resume'!AF88</f>
        <v>1.0999999999999999E-2</v>
      </c>
      <c r="AF325" s="629">
        <f>'Eurostat Resume'!AG88</f>
        <v>2.5999999999999999E-2</v>
      </c>
      <c r="AG325" s="629">
        <f>'Eurostat Resume'!AH88</f>
        <v>0</v>
      </c>
      <c r="AH325" s="629">
        <f>'Eurostat Resume'!AI88</f>
        <v>7.0000000000000001E-3</v>
      </c>
      <c r="AI325" s="509"/>
      <c r="AJ325" s="165"/>
      <c r="AK325" s="165"/>
      <c r="AL325" s="165"/>
      <c r="AM325" s="165"/>
      <c r="AN325" s="165"/>
      <c r="AO325" s="165"/>
      <c r="AP325" s="165"/>
      <c r="AQ325" s="165"/>
      <c r="AR325" s="165"/>
      <c r="AS325" s="165"/>
      <c r="AT325" s="165"/>
      <c r="AU325" s="165"/>
      <c r="AV325" s="165"/>
      <c r="AW325" s="165"/>
      <c r="AX325" s="165"/>
      <c r="AY325" s="165"/>
    </row>
    <row r="326" spans="1:51" s="164" customFormat="1">
      <c r="A326" s="593"/>
      <c r="B326" s="593"/>
      <c r="C326" s="629" t="str">
        <f>'Eurostat Resume'!C64</f>
        <v>Wind</v>
      </c>
      <c r="D326" s="609">
        <f>SUM(E326:AH326)</f>
        <v>1.796</v>
      </c>
      <c r="E326" s="629">
        <f>'Eurostat Resume'!F89</f>
        <v>0</v>
      </c>
      <c r="F326" s="629">
        <f>'Eurostat Resume'!G89</f>
        <v>2E-3</v>
      </c>
      <c r="G326" s="629">
        <f>'Eurostat Resume'!H89</f>
        <v>0</v>
      </c>
      <c r="H326" s="629">
        <f>'Eurostat Resume'!I89</f>
        <v>0</v>
      </c>
      <c r="I326" s="629">
        <f>'Eurostat Resume'!J89</f>
        <v>0</v>
      </c>
      <c r="J326" s="629">
        <f>'Eurostat Resume'!K89</f>
        <v>0</v>
      </c>
      <c r="K326" s="629">
        <f>'Eurostat Resume'!L89</f>
        <v>0</v>
      </c>
      <c r="L326" s="629">
        <f>'Eurostat Resume'!M89</f>
        <v>1E-3</v>
      </c>
      <c r="M326" s="629">
        <f>'Eurostat Resume'!N89</f>
        <v>0</v>
      </c>
      <c r="N326" s="629">
        <f>'Eurostat Resume'!O89</f>
        <v>0</v>
      </c>
      <c r="O326" s="629">
        <f>'Eurostat Resume'!P89</f>
        <v>5.3999999999999999E-2</v>
      </c>
      <c r="P326" s="629">
        <f>'Eurostat Resume'!Q89</f>
        <v>0</v>
      </c>
      <c r="Q326" s="629">
        <f>'Eurostat Resume'!R89</f>
        <v>0</v>
      </c>
      <c r="R326" s="629">
        <f>'Eurostat Resume'!S89</f>
        <v>0</v>
      </c>
      <c r="S326" s="629">
        <f>'Eurostat Resume'!T89</f>
        <v>1E-3</v>
      </c>
      <c r="T326" s="629">
        <f>'Eurostat Resume'!U89</f>
        <v>0</v>
      </c>
      <c r="U326" s="629">
        <f>'Eurostat Resume'!V89</f>
        <v>0</v>
      </c>
      <c r="V326" s="629">
        <f>'Eurostat Resume'!W89</f>
        <v>0</v>
      </c>
      <c r="W326" s="629">
        <f>'Eurostat Resume'!X89</f>
        <v>0</v>
      </c>
      <c r="X326" s="629">
        <f>'Eurostat Resume'!Y89</f>
        <v>0.16800000000000001</v>
      </c>
      <c r="Y326" s="629">
        <f>'Eurostat Resume'!Z89</f>
        <v>0</v>
      </c>
      <c r="Z326" s="629">
        <f>'Eurostat Resume'!AA89</f>
        <v>0</v>
      </c>
      <c r="AA326" s="629">
        <f>'Eurostat Resume'!AB89</f>
        <v>0</v>
      </c>
      <c r="AB326" s="629">
        <f>'Eurostat Resume'!AC89</f>
        <v>0</v>
      </c>
      <c r="AC326" s="629">
        <f>'Eurostat Resume'!AD89</f>
        <v>0</v>
      </c>
      <c r="AD326" s="629">
        <f>'Eurostat Resume'!AE89</f>
        <v>5.0000000000000001E-3</v>
      </c>
      <c r="AE326" s="629">
        <f>'Eurostat Resume'!AF89</f>
        <v>1.5649999999999999</v>
      </c>
      <c r="AF326" s="629">
        <f>'Eurostat Resume'!AG89</f>
        <v>0</v>
      </c>
      <c r="AG326" s="629">
        <f>'Eurostat Resume'!AH89</f>
        <v>0</v>
      </c>
      <c r="AH326" s="629">
        <f>'Eurostat Resume'!AI89</f>
        <v>0</v>
      </c>
      <c r="AI326" s="509"/>
      <c r="AJ326" s="165"/>
      <c r="AK326" s="165"/>
      <c r="AL326" s="165"/>
      <c r="AM326" s="165"/>
      <c r="AN326" s="165"/>
      <c r="AO326" s="165"/>
      <c r="AP326" s="165"/>
      <c r="AQ326" s="165"/>
      <c r="AR326" s="165"/>
      <c r="AS326" s="165"/>
      <c r="AT326" s="165"/>
      <c r="AU326" s="165"/>
      <c r="AV326" s="165"/>
      <c r="AW326" s="165"/>
      <c r="AX326" s="165"/>
      <c r="AY326" s="165"/>
    </row>
    <row r="327" spans="1:51" s="164" customFormat="1">
      <c r="A327" s="593"/>
      <c r="B327" s="593"/>
      <c r="C327" s="629" t="str">
        <f>'Eurostat Resume'!C65</f>
        <v>Hydro</v>
      </c>
      <c r="D327" s="609">
        <f>SUM(E327:AH327)</f>
        <v>3.0880000000000001</v>
      </c>
      <c r="E327" s="629">
        <f>'Eurostat Resume'!F90</f>
        <v>0.54</v>
      </c>
      <c r="F327" s="629">
        <f>'Eurostat Resume'!G90</f>
        <v>0</v>
      </c>
      <c r="G327" s="629">
        <f>'Eurostat Resume'!H90</f>
        <v>0</v>
      </c>
      <c r="H327" s="629">
        <f>'Eurostat Resume'!I90</f>
        <v>0</v>
      </c>
      <c r="I327" s="629">
        <f>'Eurostat Resume'!J90</f>
        <v>0.155</v>
      </c>
      <c r="J327" s="629">
        <f>'Eurostat Resume'!K90</f>
        <v>6.4000000000000001E-2</v>
      </c>
      <c r="K327" s="629">
        <f>'Eurostat Resume'!L90</f>
        <v>0</v>
      </c>
      <c r="L327" s="629">
        <f>'Eurostat Resume'!M90</f>
        <v>0</v>
      </c>
      <c r="M327" s="629">
        <f>'Eurostat Resume'!N90</f>
        <v>0</v>
      </c>
      <c r="N327" s="629">
        <f>'Eurostat Resume'!O90</f>
        <v>0.19500000000000001</v>
      </c>
      <c r="O327" s="629">
        <f>'Eurostat Resume'!P90</f>
        <v>0.26800000000000002</v>
      </c>
      <c r="P327" s="629">
        <f>'Eurostat Resume'!Q90</f>
        <v>0</v>
      </c>
      <c r="Q327" s="629">
        <f>'Eurostat Resume'!R90</f>
        <v>0</v>
      </c>
      <c r="R327" s="629">
        <f>'Eurostat Resume'!S90</f>
        <v>0</v>
      </c>
      <c r="S327" s="629">
        <f>'Eurostat Resume'!T90</f>
        <v>0.19900000000000001</v>
      </c>
      <c r="T327" s="629">
        <f>'Eurostat Resume'!U90</f>
        <v>0</v>
      </c>
      <c r="U327" s="629">
        <f>'Eurostat Resume'!V90</f>
        <v>2E-3</v>
      </c>
      <c r="V327" s="629">
        <f>'Eurostat Resume'!W90</f>
        <v>6.0000000000000001E-3</v>
      </c>
      <c r="W327" s="629">
        <f>'Eurostat Resume'!X90</f>
        <v>0</v>
      </c>
      <c r="X327" s="629">
        <f>'Eurostat Resume'!Y90</f>
        <v>0</v>
      </c>
      <c r="Y327" s="629">
        <f>'Eurostat Resume'!Z90</f>
        <v>1E-3</v>
      </c>
      <c r="Z327" s="629">
        <f>'Eurostat Resume'!AA90</f>
        <v>6.0000000000000001E-3</v>
      </c>
      <c r="AA327" s="629">
        <f>'Eurostat Resume'!AB90</f>
        <v>2.3E-2</v>
      </c>
      <c r="AB327" s="629">
        <f>'Eurostat Resume'!AC90</f>
        <v>3.0000000000000001E-3</v>
      </c>
      <c r="AC327" s="629">
        <f>'Eurostat Resume'!AD90</f>
        <v>0.104</v>
      </c>
      <c r="AD327" s="629">
        <f>'Eurostat Resume'!AE90</f>
        <v>2.4E-2</v>
      </c>
      <c r="AE327" s="629">
        <f>'Eurostat Resume'!AF90</f>
        <v>0.158</v>
      </c>
      <c r="AF327" s="629">
        <f>'Eurostat Resume'!AG90</f>
        <v>0.52200000000000002</v>
      </c>
      <c r="AG327" s="629">
        <f>'Eurostat Resume'!AH90</f>
        <v>4.0000000000000001E-3</v>
      </c>
      <c r="AH327" s="629">
        <f>'Eurostat Resume'!AI90</f>
        <v>0.81399999999999995</v>
      </c>
      <c r="AI327" s="509"/>
      <c r="AJ327" s="165"/>
      <c r="AK327" s="165"/>
      <c r="AL327" s="165"/>
      <c r="AM327" s="165"/>
      <c r="AN327" s="165"/>
      <c r="AO327" s="165"/>
      <c r="AP327" s="165"/>
      <c r="AQ327" s="165"/>
      <c r="AR327" s="165"/>
      <c r="AS327" s="165"/>
      <c r="AT327" s="165"/>
      <c r="AU327" s="165"/>
      <c r="AV327" s="165"/>
      <c r="AW327" s="165"/>
      <c r="AX327" s="165"/>
      <c r="AY327" s="165"/>
    </row>
    <row r="328" spans="1:51" s="164" customFormat="1">
      <c r="A328" s="593"/>
      <c r="B328" s="593"/>
      <c r="C328" s="629"/>
      <c r="D328" s="629"/>
      <c r="E328" s="629"/>
      <c r="F328" s="629"/>
      <c r="G328" s="629"/>
      <c r="H328" s="629"/>
      <c r="I328" s="629"/>
      <c r="J328" s="629"/>
      <c r="K328" s="629"/>
      <c r="L328" s="629"/>
      <c r="M328" s="629"/>
      <c r="N328" s="629"/>
      <c r="O328" s="629"/>
      <c r="P328" s="629"/>
      <c r="Q328" s="629"/>
      <c r="R328" s="629"/>
      <c r="S328" s="629"/>
      <c r="T328" s="629"/>
      <c r="U328" s="629"/>
      <c r="V328" s="629"/>
      <c r="W328" s="629"/>
      <c r="X328" s="629"/>
      <c r="Y328" s="629"/>
      <c r="Z328" s="629"/>
      <c r="AA328" s="629"/>
      <c r="AB328" s="629"/>
      <c r="AC328" s="629"/>
      <c r="AD328" s="629"/>
      <c r="AE328" s="629"/>
      <c r="AF328" s="629"/>
      <c r="AG328" s="629"/>
      <c r="AH328" s="629"/>
      <c r="AI328" s="509"/>
      <c r="AJ328" s="165"/>
      <c r="AK328" s="165"/>
      <c r="AL328" s="165"/>
      <c r="AM328" s="165"/>
      <c r="AN328" s="165"/>
      <c r="AO328" s="165"/>
      <c r="AP328" s="165"/>
      <c r="AQ328" s="165"/>
      <c r="AR328" s="165"/>
      <c r="AS328" s="165"/>
      <c r="AT328" s="165"/>
      <c r="AU328" s="165"/>
      <c r="AV328" s="165"/>
      <c r="AW328" s="165"/>
      <c r="AX328" s="165"/>
      <c r="AY328" s="165"/>
    </row>
    <row r="329" spans="1:51" s="164" customFormat="1" ht="13.5" thickBot="1">
      <c r="A329" s="593"/>
      <c r="B329" s="593"/>
      <c r="C329" s="626" t="s">
        <v>1015</v>
      </c>
      <c r="D329" s="627">
        <f>SUM(E329:AH329)</f>
        <v>257.32700000000006</v>
      </c>
      <c r="E329" s="627">
        <f>'Eurostat Resume'!F66</f>
        <v>16.121000000000002</v>
      </c>
      <c r="F329" s="627">
        <f>'Eurostat Resume'!G66</f>
        <v>2.8999999999999998E-2</v>
      </c>
      <c r="G329" s="627">
        <f>'Eurostat Resume'!H66</f>
        <v>0.61899999999999999</v>
      </c>
      <c r="H329" s="627">
        <f>'Eurostat Resume'!I66</f>
        <v>4.0000000000000001E-3</v>
      </c>
      <c r="I329" s="627">
        <f>'Eurostat Resume'!J66</f>
        <v>4.4320000000000004</v>
      </c>
      <c r="J329" s="627">
        <f>'Eurostat Resume'!K66</f>
        <v>74.884</v>
      </c>
      <c r="K329" s="627">
        <f>'Eurostat Resume'!L66</f>
        <v>1.4E-2</v>
      </c>
      <c r="L329" s="627">
        <f>'Eurostat Resume'!M66</f>
        <v>0.123</v>
      </c>
      <c r="M329" s="627">
        <f>'Eurostat Resume'!N66</f>
        <v>5.4039999999999999</v>
      </c>
      <c r="N329" s="627">
        <f>'Eurostat Resume'!O66</f>
        <v>7.2720000000000002</v>
      </c>
      <c r="O329" s="627">
        <f>'Eurostat Resume'!P66</f>
        <v>30.215000000000003</v>
      </c>
      <c r="P329" s="627">
        <f>'Eurostat Resume'!Q66</f>
        <v>8.5999999999999993E-2</v>
      </c>
      <c r="Q329" s="627">
        <f>'Eurostat Resume'!R66</f>
        <v>7.0000000000000001E-3</v>
      </c>
      <c r="R329" s="627">
        <f>'Eurostat Resume'!S66</f>
        <v>0</v>
      </c>
      <c r="S329" s="627">
        <f>'Eurostat Resume'!T66</f>
        <v>6.476</v>
      </c>
      <c r="T329" s="627">
        <f>'Eurostat Resume'!U66</f>
        <v>0</v>
      </c>
      <c r="U329" s="627">
        <f>'Eurostat Resume'!V66</f>
        <v>8.3000000000000004E-2</v>
      </c>
      <c r="V329" s="627">
        <f>'Eurostat Resume'!W66</f>
        <v>3.9999999999999994E-2</v>
      </c>
      <c r="W329" s="627">
        <f>'Eurostat Resume'!X66</f>
        <v>0</v>
      </c>
      <c r="X329" s="627">
        <f>'Eurostat Resume'!Y66</f>
        <v>8.8420000000000005</v>
      </c>
      <c r="Y329" s="627">
        <f>'Eurostat Resume'!Z66</f>
        <v>7.0000000000000001E-3</v>
      </c>
      <c r="Z329" s="627">
        <f>'Eurostat Resume'!AA66</f>
        <v>2.3759999999999999</v>
      </c>
      <c r="AA329" s="627">
        <f>'Eurostat Resume'!AB66</f>
        <v>0.746</v>
      </c>
      <c r="AB329" s="627">
        <f>'Eurostat Resume'!AC66</f>
        <v>0.92900000000000005</v>
      </c>
      <c r="AC329" s="627">
        <f>'Eurostat Resume'!AD66</f>
        <v>0.84200000000000008</v>
      </c>
      <c r="AD329" s="627">
        <f>'Eurostat Resume'!AE66</f>
        <v>0.32100000000000001</v>
      </c>
      <c r="AE329" s="627">
        <f>'Eurostat Resume'!AF66</f>
        <v>65.47</v>
      </c>
      <c r="AF329" s="627">
        <f>'Eurostat Resume'!AG66</f>
        <v>9.2840000000000007</v>
      </c>
      <c r="AG329" s="627">
        <f>'Eurostat Resume'!AH66</f>
        <v>1.8000000000000002E-2</v>
      </c>
      <c r="AH329" s="627">
        <f>'Eurostat Resume'!AI66</f>
        <v>22.683</v>
      </c>
      <c r="AI329" s="509"/>
      <c r="AJ329" s="165"/>
      <c r="AK329" s="165"/>
      <c r="AL329" s="165"/>
      <c r="AM329" s="165"/>
      <c r="AN329" s="165"/>
      <c r="AO329" s="165"/>
      <c r="AP329" s="165"/>
      <c r="AQ329" s="165"/>
      <c r="AR329" s="165"/>
      <c r="AS329" s="165"/>
      <c r="AT329" s="165"/>
      <c r="AU329" s="165"/>
      <c r="AV329" s="165"/>
      <c r="AW329" s="165"/>
      <c r="AX329" s="165"/>
      <c r="AY329" s="165"/>
    </row>
    <row r="330" spans="1:51" s="164" customFormat="1">
      <c r="A330" s="593"/>
      <c r="B330" s="593"/>
      <c r="C330" s="629" t="str">
        <f>C324</f>
        <v>Thermal</v>
      </c>
      <c r="D330" s="609">
        <f>SUM(E330:AH330)</f>
        <v>192.61900000000003</v>
      </c>
      <c r="E330" s="629">
        <f>'Eurostat Resume'!F62</f>
        <v>11.682</v>
      </c>
      <c r="F330" s="629">
        <f>'Eurostat Resume'!G62</f>
        <v>1.7999999999999999E-2</v>
      </c>
      <c r="G330" s="629">
        <f>'Eurostat Resume'!H62</f>
        <v>0.61899999999999999</v>
      </c>
      <c r="H330" s="629">
        <f>'Eurostat Resume'!I62</f>
        <v>0</v>
      </c>
      <c r="I330" s="629">
        <f>'Eurostat Resume'!J62</f>
        <v>2.452</v>
      </c>
      <c r="J330" s="629">
        <f>'Eurostat Resume'!K62</f>
        <v>73.584000000000003</v>
      </c>
      <c r="K330" s="629">
        <f>'Eurostat Resume'!L62</f>
        <v>7.0000000000000001E-3</v>
      </c>
      <c r="L330" s="629">
        <f>'Eurostat Resume'!M62</f>
        <v>0.11899999999999999</v>
      </c>
      <c r="M330" s="629">
        <f>'Eurostat Resume'!N62</f>
        <v>4.0540000000000003</v>
      </c>
      <c r="N330" s="629">
        <f>'Eurostat Resume'!O62</f>
        <v>3.7080000000000002</v>
      </c>
      <c r="O330" s="629">
        <f>'Eurostat Resume'!P62</f>
        <v>26.899000000000001</v>
      </c>
      <c r="P330" s="629">
        <f>'Eurostat Resume'!Q62</f>
        <v>8.5999999999999993E-2</v>
      </c>
      <c r="Q330" s="629">
        <f>'Eurostat Resume'!R62</f>
        <v>7.0000000000000001E-3</v>
      </c>
      <c r="R330" s="629">
        <f>'Eurostat Resume'!S62</f>
        <v>0</v>
      </c>
      <c r="S330" s="629">
        <f>'Eurostat Resume'!T62</f>
        <v>3.589</v>
      </c>
      <c r="T330" s="629">
        <f>'Eurostat Resume'!U62</f>
        <v>0</v>
      </c>
      <c r="U330" s="629">
        <f>'Eurostat Resume'!V62</f>
        <v>0</v>
      </c>
      <c r="V330" s="629">
        <f>'Eurostat Resume'!W62</f>
        <v>4.0000000000000001E-3</v>
      </c>
      <c r="W330" s="629">
        <f>'Eurostat Resume'!X62</f>
        <v>0</v>
      </c>
      <c r="X330" s="629">
        <f>'Eurostat Resume'!Y62</f>
        <v>7.7080000000000002</v>
      </c>
      <c r="Y330" s="629">
        <f>'Eurostat Resume'!Z62</f>
        <v>0</v>
      </c>
      <c r="Z330" s="629">
        <f>'Eurostat Resume'!AA62</f>
        <v>2.347</v>
      </c>
      <c r="AA330" s="629">
        <f>'Eurostat Resume'!AB62</f>
        <v>0.47199999999999998</v>
      </c>
      <c r="AB330" s="629">
        <f>'Eurostat Resume'!AC62</f>
        <v>0.88900000000000001</v>
      </c>
      <c r="AC330" s="629">
        <f>'Eurostat Resume'!AD62</f>
        <v>3.2000000000000001E-2</v>
      </c>
      <c r="AD330" s="629">
        <f>'Eurostat Resume'!AE62</f>
        <v>4.0000000000000001E-3</v>
      </c>
      <c r="AE330" s="629">
        <f>'Eurostat Resume'!AF62</f>
        <v>51.040999999999997</v>
      </c>
      <c r="AF330" s="629">
        <f>'Eurostat Resume'!AG62</f>
        <v>0.79600000000000004</v>
      </c>
      <c r="AG330" s="629">
        <f>'Eurostat Resume'!AH62</f>
        <v>4.0000000000000001E-3</v>
      </c>
      <c r="AH330" s="629">
        <f>'Eurostat Resume'!AI62</f>
        <v>2.4980000000000002</v>
      </c>
      <c r="AI330" s="509"/>
      <c r="AJ330" s="165"/>
      <c r="AK330" s="165"/>
      <c r="AL330" s="165"/>
      <c r="AM330" s="165"/>
      <c r="AN330" s="165"/>
      <c r="AO330" s="165"/>
      <c r="AP330" s="165"/>
      <c r="AQ330" s="165"/>
      <c r="AR330" s="165"/>
      <c r="AS330" s="165"/>
      <c r="AT330" s="165"/>
      <c r="AU330" s="165"/>
      <c r="AV330" s="165"/>
      <c r="AW330" s="165"/>
      <c r="AX330" s="165"/>
      <c r="AY330" s="165"/>
    </row>
    <row r="331" spans="1:51" s="164" customFormat="1">
      <c r="A331" s="593"/>
      <c r="B331" s="593"/>
      <c r="C331" s="629" t="str">
        <f>C325</f>
        <v xml:space="preserve">Solar </v>
      </c>
      <c r="D331" s="609">
        <f>SUM(E331:AH331)</f>
        <v>0.35700000000000004</v>
      </c>
      <c r="E331" s="629">
        <f>'Eurostat Resume'!F63</f>
        <v>0</v>
      </c>
      <c r="F331" s="629">
        <f>'Eurostat Resume'!G63</f>
        <v>4.0000000000000001E-3</v>
      </c>
      <c r="G331" s="629">
        <f>'Eurostat Resume'!H63</f>
        <v>0</v>
      </c>
      <c r="H331" s="629">
        <f>'Eurostat Resume'!I63</f>
        <v>4.0000000000000001E-3</v>
      </c>
      <c r="I331" s="629">
        <f>'Eurostat Resume'!J63</f>
        <v>0</v>
      </c>
      <c r="J331" s="629">
        <f>'Eurostat Resume'!K63</f>
        <v>0</v>
      </c>
      <c r="K331" s="629">
        <f>'Eurostat Resume'!L63</f>
        <v>7.0000000000000001E-3</v>
      </c>
      <c r="L331" s="629">
        <f>'Eurostat Resume'!M63</f>
        <v>0</v>
      </c>
      <c r="M331" s="629">
        <f>'Eurostat Resume'!N63</f>
        <v>3.5999999999999997E-2</v>
      </c>
      <c r="N331" s="629">
        <f>'Eurostat Resume'!O63</f>
        <v>0</v>
      </c>
      <c r="O331" s="629">
        <f>'Eurostat Resume'!P63</f>
        <v>2.9000000000000001E-2</v>
      </c>
      <c r="P331" s="629">
        <f>'Eurostat Resume'!Q63</f>
        <v>0</v>
      </c>
      <c r="Q331" s="629">
        <f>'Eurostat Resume'!R63</f>
        <v>0</v>
      </c>
      <c r="R331" s="629">
        <f>'Eurostat Resume'!S63</f>
        <v>0</v>
      </c>
      <c r="S331" s="629">
        <f>'Eurostat Resume'!T63</f>
        <v>0</v>
      </c>
      <c r="T331" s="629">
        <f>'Eurostat Resume'!U63</f>
        <v>0</v>
      </c>
      <c r="U331" s="629">
        <f>'Eurostat Resume'!V63</f>
        <v>6.5000000000000002E-2</v>
      </c>
      <c r="V331" s="629">
        <f>'Eurostat Resume'!W63</f>
        <v>0</v>
      </c>
      <c r="W331" s="629">
        <f>'Eurostat Resume'!X63</f>
        <v>0</v>
      </c>
      <c r="X331" s="629">
        <f>'Eurostat Resume'!Y63</f>
        <v>0.115</v>
      </c>
      <c r="Y331" s="629">
        <f>'Eurostat Resume'!Z63</f>
        <v>0</v>
      </c>
      <c r="Z331" s="629">
        <f>'Eurostat Resume'!AA63</f>
        <v>0</v>
      </c>
      <c r="AA331" s="629">
        <f>'Eurostat Resume'!AB63</f>
        <v>0</v>
      </c>
      <c r="AB331" s="629">
        <f>'Eurostat Resume'!AC63</f>
        <v>0</v>
      </c>
      <c r="AC331" s="629">
        <f>'Eurostat Resume'!AD63</f>
        <v>0</v>
      </c>
      <c r="AD331" s="629">
        <f>'Eurostat Resume'!AE63</f>
        <v>0</v>
      </c>
      <c r="AE331" s="629">
        <f>'Eurostat Resume'!AF63</f>
        <v>2.9000000000000001E-2</v>
      </c>
      <c r="AF331" s="629">
        <f>'Eurostat Resume'!AG63</f>
        <v>6.8000000000000005E-2</v>
      </c>
      <c r="AG331" s="629">
        <f>'Eurostat Resume'!AH63</f>
        <v>0</v>
      </c>
      <c r="AH331" s="629">
        <f>'Eurostat Resume'!AI63</f>
        <v>0</v>
      </c>
      <c r="AI331" s="509"/>
      <c r="AJ331" s="165"/>
      <c r="AK331" s="165"/>
      <c r="AL331" s="165"/>
      <c r="AM331" s="165"/>
      <c r="AN331" s="165"/>
      <c r="AO331" s="165"/>
      <c r="AP331" s="165"/>
      <c r="AQ331" s="165"/>
      <c r="AR331" s="165"/>
      <c r="AS331" s="165"/>
      <c r="AT331" s="165"/>
      <c r="AU331" s="165"/>
      <c r="AV331" s="165"/>
      <c r="AW331" s="165"/>
      <c r="AX331" s="165"/>
      <c r="AY331" s="165"/>
    </row>
    <row r="332" spans="1:51" s="164" customFormat="1">
      <c r="A332" s="593"/>
      <c r="B332" s="593"/>
      <c r="C332" s="629" t="str">
        <f>C326</f>
        <v>Wind</v>
      </c>
      <c r="D332" s="609">
        <f>SUM(E332:AH332)</f>
        <v>11.953000000000001</v>
      </c>
      <c r="E332" s="629">
        <f>'Eurostat Resume'!F64</f>
        <v>0</v>
      </c>
      <c r="F332" s="629">
        <f>'Eurostat Resume'!G64</f>
        <v>7.0000000000000001E-3</v>
      </c>
      <c r="G332" s="629">
        <f>'Eurostat Resume'!H64</f>
        <v>0</v>
      </c>
      <c r="H332" s="629">
        <f>'Eurostat Resume'!I64</f>
        <v>0</v>
      </c>
      <c r="I332" s="629">
        <f>'Eurostat Resume'!J64</f>
        <v>0</v>
      </c>
      <c r="J332" s="629">
        <f>'Eurostat Resume'!K64</f>
        <v>0</v>
      </c>
      <c r="K332" s="629">
        <f>'Eurostat Resume'!L64</f>
        <v>0</v>
      </c>
      <c r="L332" s="629">
        <f>'Eurostat Resume'!M64</f>
        <v>4.0000000000000001E-3</v>
      </c>
      <c r="M332" s="629">
        <f>'Eurostat Resume'!N64</f>
        <v>5.3999999999999999E-2</v>
      </c>
      <c r="N332" s="629">
        <f>'Eurostat Resume'!O64</f>
        <v>0</v>
      </c>
      <c r="O332" s="629">
        <f>'Eurostat Resume'!P64</f>
        <v>0.38200000000000001</v>
      </c>
      <c r="P332" s="629">
        <f>'Eurostat Resume'!Q64</f>
        <v>0</v>
      </c>
      <c r="Q332" s="629">
        <f>'Eurostat Resume'!R64</f>
        <v>0</v>
      </c>
      <c r="R332" s="629">
        <f>'Eurostat Resume'!S64</f>
        <v>0</v>
      </c>
      <c r="S332" s="629">
        <f>'Eurostat Resume'!T64</f>
        <v>1.0999999999999999E-2</v>
      </c>
      <c r="T332" s="629">
        <f>'Eurostat Resume'!U64</f>
        <v>0</v>
      </c>
      <c r="U332" s="629">
        <f>'Eurostat Resume'!V64</f>
        <v>0</v>
      </c>
      <c r="V332" s="629">
        <f>'Eurostat Resume'!W64</f>
        <v>0</v>
      </c>
      <c r="W332" s="629">
        <f>'Eurostat Resume'!X64</f>
        <v>0</v>
      </c>
      <c r="X332" s="629">
        <f>'Eurostat Resume'!Y64</f>
        <v>1.0189999999999999</v>
      </c>
      <c r="Y332" s="629">
        <f>'Eurostat Resume'!Z64</f>
        <v>0</v>
      </c>
      <c r="Z332" s="629">
        <f>'Eurostat Resume'!AA64</f>
        <v>0</v>
      </c>
      <c r="AA332" s="629">
        <f>'Eurostat Resume'!AB64</f>
        <v>0</v>
      </c>
      <c r="AB332" s="629">
        <f>'Eurostat Resume'!AC64</f>
        <v>0</v>
      </c>
      <c r="AC332" s="629">
        <f>'Eurostat Resume'!AD64</f>
        <v>0</v>
      </c>
      <c r="AD332" s="629">
        <f>'Eurostat Resume'!AE64</f>
        <v>2.1999999999999999E-2</v>
      </c>
      <c r="AE332" s="629">
        <f>'Eurostat Resume'!AF64</f>
        <v>10.454000000000001</v>
      </c>
      <c r="AF332" s="629">
        <f>'Eurostat Resume'!AG64</f>
        <v>0</v>
      </c>
      <c r="AG332" s="629">
        <f>'Eurostat Resume'!AH64</f>
        <v>0</v>
      </c>
      <c r="AH332" s="629">
        <f>'Eurostat Resume'!AI64</f>
        <v>0</v>
      </c>
      <c r="AI332" s="509"/>
      <c r="AJ332" s="165"/>
      <c r="AK332" s="165"/>
      <c r="AL332" s="165"/>
      <c r="AM332" s="165"/>
      <c r="AN332" s="165"/>
      <c r="AO332" s="165"/>
      <c r="AP332" s="165"/>
      <c r="AQ332" s="165"/>
      <c r="AR332" s="165"/>
      <c r="AS332" s="165"/>
      <c r="AT332" s="165"/>
      <c r="AU332" s="165"/>
      <c r="AV332" s="165"/>
      <c r="AW332" s="165"/>
      <c r="AX332" s="165"/>
      <c r="AY332" s="165"/>
    </row>
    <row r="333" spans="1:51" s="164" customFormat="1">
      <c r="A333" s="593"/>
      <c r="B333" s="593"/>
      <c r="C333" s="629" t="str">
        <f>C327</f>
        <v>Hydro</v>
      </c>
      <c r="D333" s="609">
        <f>SUM(E333:AH333)</f>
        <v>52.39800000000001</v>
      </c>
      <c r="E333" s="629">
        <f>'Eurostat Resume'!F65</f>
        <v>4.4390000000000001</v>
      </c>
      <c r="F333" s="629">
        <f>'Eurostat Resume'!G65</f>
        <v>0</v>
      </c>
      <c r="G333" s="629">
        <f>'Eurostat Resume'!H65</f>
        <v>0</v>
      </c>
      <c r="H333" s="629">
        <f>'Eurostat Resume'!I65</f>
        <v>0</v>
      </c>
      <c r="I333" s="629">
        <f>'Eurostat Resume'!J65</f>
        <v>1.98</v>
      </c>
      <c r="J333" s="629">
        <f>'Eurostat Resume'!K65</f>
        <v>1.3</v>
      </c>
      <c r="K333" s="629">
        <f>'Eurostat Resume'!L65</f>
        <v>0</v>
      </c>
      <c r="L333" s="629">
        <f>'Eurostat Resume'!M65</f>
        <v>0</v>
      </c>
      <c r="M333" s="629">
        <f>'Eurostat Resume'!N65</f>
        <v>1.26</v>
      </c>
      <c r="N333" s="629">
        <f>'Eurostat Resume'!O65</f>
        <v>3.5640000000000001</v>
      </c>
      <c r="O333" s="629">
        <f>'Eurostat Resume'!P65</f>
        <v>2.9049999999999998</v>
      </c>
      <c r="P333" s="629">
        <f>'Eurostat Resume'!Q65</f>
        <v>0</v>
      </c>
      <c r="Q333" s="629">
        <f>'Eurostat Resume'!R65</f>
        <v>0</v>
      </c>
      <c r="R333" s="629">
        <f>'Eurostat Resume'!S65</f>
        <v>0</v>
      </c>
      <c r="S333" s="629">
        <f>'Eurostat Resume'!T65</f>
        <v>2.8759999999999999</v>
      </c>
      <c r="T333" s="629">
        <f>'Eurostat Resume'!U65</f>
        <v>0</v>
      </c>
      <c r="U333" s="629">
        <f>'Eurostat Resume'!V65</f>
        <v>1.7999999999999999E-2</v>
      </c>
      <c r="V333" s="629">
        <f>'Eurostat Resume'!W65</f>
        <v>3.5999999999999997E-2</v>
      </c>
      <c r="W333" s="629">
        <f>'Eurostat Resume'!X65</f>
        <v>0</v>
      </c>
      <c r="X333" s="629">
        <f>'Eurostat Resume'!Y65</f>
        <v>0</v>
      </c>
      <c r="Y333" s="629">
        <f>'Eurostat Resume'!Z65</f>
        <v>7.0000000000000001E-3</v>
      </c>
      <c r="Z333" s="629">
        <f>'Eurostat Resume'!AA65</f>
        <v>2.9000000000000001E-2</v>
      </c>
      <c r="AA333" s="629">
        <f>'Eurostat Resume'!AB65</f>
        <v>0.27400000000000002</v>
      </c>
      <c r="AB333" s="629">
        <f>'Eurostat Resume'!AC65</f>
        <v>0.04</v>
      </c>
      <c r="AC333" s="629">
        <f>'Eurostat Resume'!AD65</f>
        <v>0.81</v>
      </c>
      <c r="AD333" s="629">
        <f>'Eurostat Resume'!AE65</f>
        <v>0.29499999999999998</v>
      </c>
      <c r="AE333" s="629">
        <f>'Eurostat Resume'!AF65</f>
        <v>3.9460000000000002</v>
      </c>
      <c r="AF333" s="629">
        <f>'Eurostat Resume'!AG65</f>
        <v>8.42</v>
      </c>
      <c r="AG333" s="629">
        <f>'Eurostat Resume'!AH65</f>
        <v>1.4E-2</v>
      </c>
      <c r="AH333" s="629">
        <f>'Eurostat Resume'!AI65</f>
        <v>20.184999999999999</v>
      </c>
      <c r="AI333" s="509"/>
      <c r="AJ333" s="165"/>
      <c r="AK333" s="165"/>
      <c r="AL333" s="165"/>
      <c r="AM333" s="165"/>
      <c r="AN333" s="165"/>
      <c r="AO333" s="165"/>
      <c r="AP333" s="165"/>
      <c r="AQ333" s="165"/>
      <c r="AR333" s="165"/>
      <c r="AS333" s="165"/>
      <c r="AT333" s="165"/>
      <c r="AU333" s="165"/>
      <c r="AV333" s="165"/>
      <c r="AW333" s="165"/>
      <c r="AX333" s="165"/>
      <c r="AY333" s="165"/>
    </row>
    <row r="334" spans="1:51" s="164" customFormat="1">
      <c r="A334" s="593"/>
      <c r="B334" s="593"/>
      <c r="C334" s="629"/>
      <c r="D334" s="609"/>
      <c r="E334" s="629"/>
      <c r="F334" s="629"/>
      <c r="G334" s="629"/>
      <c r="H334" s="629"/>
      <c r="I334" s="629"/>
      <c r="J334" s="629"/>
      <c r="K334" s="629"/>
      <c r="L334" s="629"/>
      <c r="M334" s="629"/>
      <c r="N334" s="629"/>
      <c r="O334" s="629"/>
      <c r="P334" s="629"/>
      <c r="Q334" s="629"/>
      <c r="R334" s="629"/>
      <c r="S334" s="629"/>
      <c r="T334" s="629"/>
      <c r="U334" s="629"/>
      <c r="V334" s="629"/>
      <c r="W334" s="629"/>
      <c r="X334" s="629"/>
      <c r="Y334" s="629"/>
      <c r="Z334" s="629"/>
      <c r="AA334" s="629"/>
      <c r="AB334" s="629"/>
      <c r="AC334" s="629"/>
      <c r="AD334" s="629"/>
      <c r="AE334" s="629"/>
      <c r="AF334" s="629"/>
      <c r="AG334" s="629"/>
      <c r="AH334" s="629"/>
      <c r="AI334" s="509"/>
      <c r="AJ334" s="165"/>
      <c r="AK334" s="165"/>
      <c r="AL334" s="165"/>
      <c r="AM334" s="165"/>
      <c r="AN334" s="165"/>
      <c r="AO334" s="165"/>
      <c r="AP334" s="165"/>
      <c r="AQ334" s="165"/>
      <c r="AR334" s="165"/>
      <c r="AS334" s="165"/>
      <c r="AT334" s="165"/>
      <c r="AU334" s="165"/>
      <c r="AV334" s="165"/>
      <c r="AW334" s="165"/>
      <c r="AX334" s="165"/>
      <c r="AY334" s="165"/>
    </row>
    <row r="335" spans="1:51" s="164" customFormat="1" ht="13.5" thickBot="1">
      <c r="A335" s="593"/>
      <c r="B335" s="593"/>
      <c r="C335" s="626" t="s">
        <v>976</v>
      </c>
      <c r="D335" s="627"/>
      <c r="E335" s="627">
        <f>IF(E330=0,0,E330/E315)</f>
        <v>0.41276234895060421</v>
      </c>
      <c r="F335" s="627">
        <f>IF(F330=0,0,F330/F315)</f>
        <v>0.64285714285714279</v>
      </c>
      <c r="G335" s="627">
        <f t="shared" ref="G335:AH335" si="245">IF(G330=0,0,G330/G315)</f>
        <v>0.4024707412223667</v>
      </c>
      <c r="H335" s="627">
        <f t="shared" si="245"/>
        <v>0</v>
      </c>
      <c r="I335" s="627">
        <f t="shared" si="245"/>
        <v>0.2748878923766816</v>
      </c>
      <c r="J335" s="627">
        <f t="shared" si="245"/>
        <v>0.35539241729050952</v>
      </c>
      <c r="K335" s="627">
        <f t="shared" si="245"/>
        <v>0.35</v>
      </c>
      <c r="L335" s="627">
        <f t="shared" si="245"/>
        <v>0.58620689655172409</v>
      </c>
      <c r="M335" s="627">
        <f t="shared" si="245"/>
        <v>0.22408932618429053</v>
      </c>
      <c r="N335" s="627">
        <f t="shared" si="245"/>
        <v>0.32361668703089547</v>
      </c>
      <c r="O335" s="627">
        <f t="shared" si="245"/>
        <v>0.27894556729682363</v>
      </c>
      <c r="P335" s="627">
        <f t="shared" si="245"/>
        <v>0.40375586854460094</v>
      </c>
      <c r="Q335" s="627">
        <f t="shared" si="245"/>
        <v>0.4375</v>
      </c>
      <c r="R335" s="627">
        <f t="shared" si="245"/>
        <v>0</v>
      </c>
      <c r="S335" s="627">
        <f t="shared" si="245"/>
        <v>0.1195655795049472</v>
      </c>
      <c r="T335" s="627">
        <f t="shared" si="245"/>
        <v>0</v>
      </c>
      <c r="U335" s="627">
        <f t="shared" si="245"/>
        <v>0</v>
      </c>
      <c r="V335" s="627">
        <f t="shared" si="245"/>
        <v>0.2105263157894737</v>
      </c>
      <c r="W335" s="627">
        <f t="shared" si="245"/>
        <v>0</v>
      </c>
      <c r="X335" s="627">
        <f t="shared" si="245"/>
        <v>0.23330710091409895</v>
      </c>
      <c r="Y335" s="627">
        <f t="shared" si="245"/>
        <v>0</v>
      </c>
      <c r="Z335" s="627">
        <f t="shared" si="245"/>
        <v>0.24364164849994813</v>
      </c>
      <c r="AA335" s="627">
        <f t="shared" si="245"/>
        <v>0.5</v>
      </c>
      <c r="AB335" s="627">
        <f t="shared" si="245"/>
        <v>0.28668171557562078</v>
      </c>
      <c r="AC335" s="627">
        <f t="shared" si="245"/>
        <v>0.31683168316831684</v>
      </c>
      <c r="AD335" s="627">
        <f t="shared" si="245"/>
        <v>0.66666666666666663</v>
      </c>
      <c r="AE335" s="627">
        <f>IF(AE330=0,0,AE330/AE315)</f>
        <v>0.28529666582823282</v>
      </c>
      <c r="AF335" s="627">
        <f t="shared" si="245"/>
        <v>0.22821100917431195</v>
      </c>
      <c r="AG335" s="627" t="e">
        <f t="shared" si="245"/>
        <v>#DIV/0!</v>
      </c>
      <c r="AH335" s="627">
        <f t="shared" si="245"/>
        <v>0.6767813600650231</v>
      </c>
      <c r="AI335" s="509"/>
      <c r="AJ335" s="165"/>
      <c r="AK335" s="165"/>
      <c r="AL335" s="165"/>
      <c r="AM335" s="165"/>
      <c r="AN335" s="165"/>
      <c r="AO335" s="165"/>
      <c r="AP335" s="165"/>
      <c r="AQ335" s="165"/>
      <c r="AR335" s="165"/>
      <c r="AS335" s="165"/>
      <c r="AT335" s="165"/>
      <c r="AU335" s="165"/>
      <c r="AV335" s="165"/>
      <c r="AW335" s="165"/>
      <c r="AX335" s="165"/>
      <c r="AY335" s="165"/>
    </row>
    <row r="336" spans="1:51" s="164" customFormat="1">
      <c r="A336" s="593"/>
      <c r="B336" s="593"/>
      <c r="C336" s="638"/>
      <c r="D336" s="609"/>
      <c r="E336" s="629"/>
      <c r="F336" s="629"/>
      <c r="G336" s="629"/>
      <c r="H336" s="629"/>
      <c r="I336" s="629"/>
      <c r="J336" s="629"/>
      <c r="K336" s="629"/>
      <c r="L336" s="629"/>
      <c r="M336" s="629"/>
      <c r="N336" s="629"/>
      <c r="O336" s="629"/>
      <c r="P336" s="629"/>
      <c r="Q336" s="629"/>
      <c r="R336" s="629"/>
      <c r="S336" s="629"/>
      <c r="T336" s="629"/>
      <c r="U336" s="629"/>
      <c r="V336" s="629"/>
      <c r="W336" s="629"/>
      <c r="X336" s="629"/>
      <c r="Y336" s="629"/>
      <c r="Z336" s="629"/>
      <c r="AA336" s="629"/>
      <c r="AB336" s="629"/>
      <c r="AC336" s="629"/>
      <c r="AD336" s="629"/>
      <c r="AE336" s="629"/>
      <c r="AF336" s="629"/>
      <c r="AG336" s="629"/>
      <c r="AH336" s="629"/>
      <c r="AI336" s="509"/>
      <c r="AJ336" s="165"/>
      <c r="AK336" s="165"/>
      <c r="AL336" s="165"/>
      <c r="AM336" s="165"/>
      <c r="AN336" s="165"/>
      <c r="AO336" s="165"/>
      <c r="AP336" s="165"/>
      <c r="AQ336" s="165"/>
      <c r="AR336" s="165"/>
      <c r="AS336" s="165"/>
      <c r="AT336" s="165"/>
      <c r="AU336" s="165"/>
      <c r="AV336" s="165"/>
      <c r="AW336" s="165"/>
      <c r="AX336" s="165"/>
      <c r="AY336" s="165"/>
    </row>
    <row r="337" spans="1:51" s="164" customFormat="1">
      <c r="A337" s="593"/>
      <c r="B337" s="593"/>
      <c r="C337" s="631" t="s">
        <v>965</v>
      </c>
      <c r="D337" s="609"/>
      <c r="E337" s="629">
        <f>IF(E329=0,0,E329/(E323*31.53))</f>
        <v>0.76026577055042666</v>
      </c>
      <c r="F337" s="629">
        <f t="shared" ref="F337:AH337" si="246">IF(F329=0,0,F329/(F323*31.53))</f>
        <v>0.22993973993022496</v>
      </c>
      <c r="G337" s="629" t="e">
        <f t="shared" si="246"/>
        <v>#DIV/0!</v>
      </c>
      <c r="H337" s="629">
        <f t="shared" si="246"/>
        <v>2.1143884131514957E-2</v>
      </c>
      <c r="I337" s="629">
        <f t="shared" si="246"/>
        <v>0.14273410002671755</v>
      </c>
      <c r="J337" s="629">
        <f t="shared" si="246"/>
        <v>37.109498889946046</v>
      </c>
      <c r="K337" s="629">
        <f t="shared" si="246"/>
        <v>7.4000940293243939E-3</v>
      </c>
      <c r="L337" s="629">
        <f t="shared" si="246"/>
        <v>2.8650459916748727</v>
      </c>
      <c r="M337" s="629">
        <f t="shared" si="246"/>
        <v>7.7735092594600846E-2</v>
      </c>
      <c r="N337" s="629">
        <f t="shared" si="246"/>
        <v>0.41904283372729301</v>
      </c>
      <c r="O337" s="629">
        <f t="shared" si="246"/>
        <v>0.28521597190366671</v>
      </c>
      <c r="P337" s="629">
        <f t="shared" si="246"/>
        <v>0.20306440239468654</v>
      </c>
      <c r="Q337" s="629" t="e">
        <f t="shared" si="246"/>
        <v>#DIV/0!</v>
      </c>
      <c r="R337" s="629">
        <f t="shared" si="246"/>
        <v>0</v>
      </c>
      <c r="S337" s="629">
        <f t="shared" si="246"/>
        <v>0.10000374442679873</v>
      </c>
      <c r="T337" s="629">
        <f t="shared" si="246"/>
        <v>0</v>
      </c>
      <c r="U337" s="629">
        <f t="shared" si="246"/>
        <v>6.5029979604091209E-2</v>
      </c>
      <c r="V337" s="629">
        <f t="shared" si="246"/>
        <v>9.5818206034055678E-2</v>
      </c>
      <c r="W337" s="629">
        <f t="shared" si="246"/>
        <v>0</v>
      </c>
      <c r="X337" s="629">
        <f t="shared" si="246"/>
        <v>0.20831973569112094</v>
      </c>
      <c r="Y337" s="629">
        <f t="shared" si="246"/>
        <v>0.22201078338093153</v>
      </c>
      <c r="Z337" s="629">
        <f t="shared" si="246"/>
        <v>0.10857785352997851</v>
      </c>
      <c r="AA337" s="629">
        <f t="shared" si="246"/>
        <v>6.7637957406220334E-2</v>
      </c>
      <c r="AB337" s="629">
        <f t="shared" si="246"/>
        <v>0.7257143482085251</v>
      </c>
      <c r="AC337" s="629">
        <f t="shared" si="246"/>
        <v>0.25677620825099423</v>
      </c>
      <c r="AD337" s="629">
        <f t="shared" si="246"/>
        <v>0.11611291297131</v>
      </c>
      <c r="AE337" s="629">
        <f t="shared" si="246"/>
        <v>0.45022054039761716</v>
      </c>
      <c r="AF337" s="629">
        <f t="shared" si="246"/>
        <v>0.20605299539221647</v>
      </c>
      <c r="AG337" s="629">
        <f t="shared" si="246"/>
        <v>1.8415641017771097E-2</v>
      </c>
      <c r="AH337" s="629">
        <f t="shared" si="246"/>
        <v>0.68646000537474294</v>
      </c>
      <c r="AI337" s="509"/>
      <c r="AJ337" s="165"/>
      <c r="AK337" s="165"/>
      <c r="AL337" s="165"/>
      <c r="AM337" s="165"/>
      <c r="AN337" s="165"/>
      <c r="AO337" s="165"/>
      <c r="AP337" s="165"/>
      <c r="AQ337" s="165"/>
      <c r="AR337" s="165"/>
      <c r="AS337" s="165"/>
      <c r="AT337" s="165"/>
      <c r="AU337" s="165"/>
      <c r="AV337" s="165"/>
      <c r="AW337" s="165"/>
      <c r="AX337" s="165"/>
      <c r="AY337" s="165"/>
    </row>
    <row r="338" spans="1:51" s="164" customFormat="1">
      <c r="A338" s="597" t="s">
        <v>1004</v>
      </c>
      <c r="B338" s="597"/>
      <c r="C338" s="629" t="s">
        <v>975</v>
      </c>
      <c r="D338" s="609"/>
      <c r="E338" s="629">
        <f>IF(E330=0,0,E330/(E324*31.53))</f>
        <v>2.7959227965706832</v>
      </c>
      <c r="F338" s="629" t="e">
        <f>IF(F330=0,0,F330/(F324*31.53))</f>
        <v>#DIV/0!</v>
      </c>
      <c r="G338" s="629" t="e">
        <f t="shared" ref="G338:T338" si="247">IF(G330=0,0,G330/(G324*31.53))</f>
        <v>#DIV/0!</v>
      </c>
      <c r="H338" s="629">
        <f t="shared" si="247"/>
        <v>0</v>
      </c>
      <c r="I338" s="629">
        <f t="shared" si="247"/>
        <v>9.3718011371067736E-2</v>
      </c>
      <c r="J338" s="629" t="e">
        <f t="shared" si="247"/>
        <v>#DIV/0!</v>
      </c>
      <c r="K338" s="629">
        <f t="shared" si="247"/>
        <v>3.8947789792376153E-3</v>
      </c>
      <c r="L338" s="629">
        <f t="shared" si="247"/>
        <v>10.437453864699695</v>
      </c>
      <c r="M338" s="629">
        <f t="shared" si="247"/>
        <v>5.8315704178111001E-2</v>
      </c>
      <c r="N338" s="629">
        <f t="shared" si="247"/>
        <v>0.33090938531816849</v>
      </c>
      <c r="O338" s="629">
        <f t="shared" si="247"/>
        <v>0.28082800986468831</v>
      </c>
      <c r="P338" s="629">
        <f t="shared" si="247"/>
        <v>0.20306440239468654</v>
      </c>
      <c r="Q338" s="629" t="e">
        <f t="shared" si="247"/>
        <v>#DIV/0!</v>
      </c>
      <c r="R338" s="629">
        <f t="shared" si="247"/>
        <v>0</v>
      </c>
      <c r="S338" s="629">
        <f t="shared" si="247"/>
        <v>6.1401253733877122E-2</v>
      </c>
      <c r="T338" s="629">
        <f t="shared" si="247"/>
        <v>0</v>
      </c>
      <c r="U338" s="629">
        <f t="shared" ref="U338:AH338" si="248">IF(U330=0,0,U330/(U324*31.53))</f>
        <v>0</v>
      </c>
      <c r="V338" s="629">
        <f t="shared" si="248"/>
        <v>1.7522555910095265E-2</v>
      </c>
      <c r="W338" s="629">
        <f t="shared" si="248"/>
        <v>0</v>
      </c>
      <c r="X338" s="629">
        <f t="shared" si="248"/>
        <v>0.21631093146646668</v>
      </c>
      <c r="Y338" s="629">
        <f t="shared" si="248"/>
        <v>0</v>
      </c>
      <c r="Z338" s="629">
        <f t="shared" si="248"/>
        <v>0.10818791415565844</v>
      </c>
      <c r="AA338" s="629">
        <f t="shared" si="248"/>
        <v>4.5806919950466415E-2</v>
      </c>
      <c r="AB338" s="629">
        <f t="shared" si="248"/>
        <v>0.74987684812168143</v>
      </c>
      <c r="AC338" s="629" t="e">
        <f t="shared" si="248"/>
        <v>#DIV/0!</v>
      </c>
      <c r="AD338" s="629">
        <f t="shared" si="248"/>
        <v>2.161951342690694E-3</v>
      </c>
      <c r="AE338" s="629">
        <f t="shared" si="248"/>
        <v>0.56246872348368404</v>
      </c>
      <c r="AF338" s="629">
        <f t="shared" si="248"/>
        <v>2.8655842965980546E-2</v>
      </c>
      <c r="AG338" s="629">
        <f t="shared" si="248"/>
        <v>4.6986409181144356E-3</v>
      </c>
      <c r="AH338" s="629">
        <f t="shared" si="248"/>
        <v>0.3490138054660199</v>
      </c>
      <c r="AI338" s="509"/>
      <c r="AJ338" s="165"/>
      <c r="AK338" s="165"/>
      <c r="AL338" s="165"/>
      <c r="AM338" s="165"/>
      <c r="AN338" s="165"/>
      <c r="AO338" s="165"/>
      <c r="AP338" s="165"/>
      <c r="AQ338" s="165"/>
      <c r="AR338" s="165"/>
      <c r="AS338" s="165"/>
      <c r="AT338" s="165"/>
      <c r="AU338" s="165"/>
      <c r="AV338" s="165"/>
      <c r="AW338" s="165"/>
      <c r="AX338" s="165"/>
      <c r="AY338" s="165"/>
    </row>
    <row r="339" spans="1:51" s="164" customFormat="1">
      <c r="A339" s="597" t="s">
        <v>1004</v>
      </c>
      <c r="B339" s="597"/>
      <c r="C339" s="629" t="s">
        <v>968</v>
      </c>
      <c r="D339" s="609"/>
      <c r="E339" s="629">
        <f>IF(E331=0,0,E331/(E325*31.53))</f>
        <v>0</v>
      </c>
      <c r="F339" s="629">
        <f t="shared" ref="F339:T339" si="249">IF(F331=0,0,F331/(F325*31.53))</f>
        <v>6.3431652394544874E-2</v>
      </c>
      <c r="G339" s="629">
        <f t="shared" si="249"/>
        <v>0</v>
      </c>
      <c r="H339" s="629" t="e">
        <f t="shared" si="249"/>
        <v>#DIV/0!</v>
      </c>
      <c r="I339" s="629">
        <f t="shared" si="249"/>
        <v>0</v>
      </c>
      <c r="J339" s="629">
        <f t="shared" si="249"/>
        <v>0</v>
      </c>
      <c r="K339" s="629">
        <f t="shared" si="249"/>
        <v>7.4003594460302358E-2</v>
      </c>
      <c r="L339" s="629">
        <f t="shared" si="249"/>
        <v>0</v>
      </c>
      <c r="M339" s="629" t="e">
        <f t="shared" si="249"/>
        <v>#DIV/0!</v>
      </c>
      <c r="N339" s="629">
        <f t="shared" si="249"/>
        <v>0</v>
      </c>
      <c r="O339" s="629" t="e">
        <f t="shared" si="249"/>
        <v>#DIV/0!</v>
      </c>
      <c r="P339" s="629">
        <f t="shared" si="249"/>
        <v>0</v>
      </c>
      <c r="Q339" s="629">
        <f t="shared" si="249"/>
        <v>0</v>
      </c>
      <c r="R339" s="629">
        <f t="shared" si="249"/>
        <v>0</v>
      </c>
      <c r="S339" s="629">
        <f t="shared" si="249"/>
        <v>0</v>
      </c>
      <c r="T339" s="629">
        <f t="shared" si="249"/>
        <v>0</v>
      </c>
      <c r="U339" s="629">
        <f t="shared" ref="U339:AH339" si="250">IF(U331=0,0,U331/(U325*31.53))</f>
        <v>8.5897029284279516E-2</v>
      </c>
      <c r="V339" s="629">
        <f t="shared" si="250"/>
        <v>0</v>
      </c>
      <c r="W339" s="629">
        <f t="shared" si="250"/>
        <v>0</v>
      </c>
      <c r="X339" s="629">
        <f t="shared" si="250"/>
        <v>7.5985833597631877E-2</v>
      </c>
      <c r="Y339" s="629">
        <f t="shared" si="250"/>
        <v>0</v>
      </c>
      <c r="Z339" s="629">
        <f t="shared" si="250"/>
        <v>0</v>
      </c>
      <c r="AA339" s="629">
        <f t="shared" si="250"/>
        <v>0</v>
      </c>
      <c r="AB339" s="629">
        <f t="shared" si="250"/>
        <v>0</v>
      </c>
      <c r="AC339" s="629">
        <f t="shared" si="250"/>
        <v>0</v>
      </c>
      <c r="AD339" s="629">
        <f t="shared" si="250"/>
        <v>0</v>
      </c>
      <c r="AE339" s="629">
        <f t="shared" si="250"/>
        <v>8.3614450883718258E-2</v>
      </c>
      <c r="AF339" s="629">
        <f t="shared" si="250"/>
        <v>8.2949083900558704E-2</v>
      </c>
      <c r="AG339" s="629">
        <f t="shared" si="250"/>
        <v>0</v>
      </c>
      <c r="AH339" s="629">
        <f t="shared" si="250"/>
        <v>0</v>
      </c>
      <c r="AI339" s="509"/>
      <c r="AJ339" s="165"/>
      <c r="AK339" s="165"/>
      <c r="AL339" s="165"/>
      <c r="AM339" s="165"/>
      <c r="AN339" s="165"/>
      <c r="AO339" s="165"/>
      <c r="AP339" s="165"/>
      <c r="AQ339" s="165"/>
      <c r="AR339" s="165"/>
      <c r="AS339" s="165"/>
      <c r="AT339" s="165"/>
      <c r="AU339" s="165"/>
      <c r="AV339" s="165"/>
      <c r="AW339" s="165"/>
      <c r="AX339" s="165"/>
      <c r="AY339" s="165"/>
    </row>
    <row r="340" spans="1:51" s="164" customFormat="1">
      <c r="A340" s="597" t="s">
        <v>1004</v>
      </c>
      <c r="B340" s="597"/>
      <c r="C340" s="629" t="s">
        <v>103</v>
      </c>
      <c r="D340" s="609"/>
      <c r="E340" s="629">
        <f>IF(E332=0,0,E332/(E326*31.53))</f>
        <v>0</v>
      </c>
      <c r="F340" s="629">
        <f t="shared" ref="F340:T340" si="251">IF(F332=0,0,F332/(F326*31.53))</f>
        <v>0.11100539169045354</v>
      </c>
      <c r="G340" s="629">
        <f t="shared" si="251"/>
        <v>0</v>
      </c>
      <c r="H340" s="629">
        <f t="shared" si="251"/>
        <v>0</v>
      </c>
      <c r="I340" s="629">
        <f t="shared" si="251"/>
        <v>0</v>
      </c>
      <c r="J340" s="629">
        <f t="shared" si="251"/>
        <v>0</v>
      </c>
      <c r="K340" s="629">
        <f t="shared" si="251"/>
        <v>0</v>
      </c>
      <c r="L340" s="629">
        <f t="shared" si="251"/>
        <v>0.12686330478908975</v>
      </c>
      <c r="M340" s="629" t="e">
        <f t="shared" si="251"/>
        <v>#DIV/0!</v>
      </c>
      <c r="N340" s="629">
        <f t="shared" si="251"/>
        <v>0</v>
      </c>
      <c r="O340" s="629">
        <f t="shared" si="251"/>
        <v>0.2243601038399643</v>
      </c>
      <c r="P340" s="629">
        <f t="shared" si="251"/>
        <v>0</v>
      </c>
      <c r="Q340" s="629">
        <f t="shared" si="251"/>
        <v>0</v>
      </c>
      <c r="R340" s="629">
        <f t="shared" si="251"/>
        <v>0</v>
      </c>
      <c r="S340" s="629">
        <f t="shared" si="251"/>
        <v>0.34887408816999677</v>
      </c>
      <c r="T340" s="629">
        <f t="shared" si="251"/>
        <v>0</v>
      </c>
      <c r="U340" s="629">
        <f t="shared" ref="U340:AH340" si="252">IF(U332=0,0,U332/(U326*31.53))</f>
        <v>0</v>
      </c>
      <c r="V340" s="629">
        <f t="shared" si="252"/>
        <v>0</v>
      </c>
      <c r="W340" s="629">
        <f t="shared" si="252"/>
        <v>0</v>
      </c>
      <c r="X340" s="629">
        <f t="shared" si="252"/>
        <v>0.19237158866083695</v>
      </c>
      <c r="Y340" s="629">
        <f t="shared" si="252"/>
        <v>0</v>
      </c>
      <c r="Z340" s="629">
        <f t="shared" si="252"/>
        <v>0</v>
      </c>
      <c r="AA340" s="629">
        <f t="shared" si="252"/>
        <v>0</v>
      </c>
      <c r="AB340" s="629">
        <f t="shared" si="252"/>
        <v>0</v>
      </c>
      <c r="AC340" s="629">
        <f t="shared" si="252"/>
        <v>0</v>
      </c>
      <c r="AD340" s="629">
        <f t="shared" si="252"/>
        <v>0.13954963526799871</v>
      </c>
      <c r="AE340" s="629">
        <f t="shared" si="252"/>
        <v>0.21185766585705182</v>
      </c>
      <c r="AF340" s="629">
        <f t="shared" si="252"/>
        <v>0</v>
      </c>
      <c r="AG340" s="629">
        <f t="shared" si="252"/>
        <v>0</v>
      </c>
      <c r="AH340" s="629">
        <f t="shared" si="252"/>
        <v>0</v>
      </c>
      <c r="AI340" s="509"/>
      <c r="AJ340" s="165"/>
      <c r="AK340" s="165"/>
      <c r="AL340" s="165"/>
      <c r="AM340" s="165"/>
      <c r="AN340" s="165"/>
      <c r="AO340" s="165"/>
      <c r="AP340" s="165"/>
      <c r="AQ340" s="165"/>
      <c r="AR340" s="165"/>
      <c r="AS340" s="165"/>
      <c r="AT340" s="165"/>
      <c r="AU340" s="165"/>
      <c r="AV340" s="165"/>
      <c r="AW340" s="165"/>
      <c r="AX340" s="165"/>
      <c r="AY340" s="165"/>
    </row>
    <row r="341" spans="1:51" s="164" customFormat="1">
      <c r="A341" s="597" t="s">
        <v>1004</v>
      </c>
      <c r="B341" s="597"/>
      <c r="C341" s="629" t="s">
        <v>102</v>
      </c>
      <c r="D341" s="609"/>
      <c r="E341" s="629">
        <f>IF(E333=0,0,E333/(E327*31.53))</f>
        <v>0.26071583794387471</v>
      </c>
      <c r="F341" s="629">
        <f t="shared" ref="F341:T341" si="253">IF(F333=0,0,F333/(F327*31.53))</f>
        <v>0</v>
      </c>
      <c r="G341" s="629">
        <f t="shared" si="253"/>
        <v>0</v>
      </c>
      <c r="H341" s="629">
        <f t="shared" si="253"/>
        <v>0</v>
      </c>
      <c r="I341" s="629">
        <f t="shared" si="253"/>
        <v>0.40514410239096404</v>
      </c>
      <c r="J341" s="629">
        <f t="shared" si="253"/>
        <v>0.64422771963209635</v>
      </c>
      <c r="K341" s="629">
        <f t="shared" si="253"/>
        <v>0</v>
      </c>
      <c r="L341" s="629">
        <f t="shared" si="253"/>
        <v>0</v>
      </c>
      <c r="M341" s="629" t="e">
        <f t="shared" si="253"/>
        <v>#DIV/0!</v>
      </c>
      <c r="N341" s="629">
        <f t="shared" si="253"/>
        <v>0.57966771572861009</v>
      </c>
      <c r="O341" s="629">
        <f t="shared" si="253"/>
        <v>0.34378535486222545</v>
      </c>
      <c r="P341" s="629">
        <f t="shared" si="253"/>
        <v>0</v>
      </c>
      <c r="Q341" s="629">
        <f t="shared" si="253"/>
        <v>0</v>
      </c>
      <c r="R341" s="629">
        <f t="shared" si="253"/>
        <v>0</v>
      </c>
      <c r="S341" s="629">
        <f t="shared" si="253"/>
        <v>0.45836540775555534</v>
      </c>
      <c r="T341" s="629">
        <f t="shared" si="253"/>
        <v>0</v>
      </c>
      <c r="U341" s="629">
        <f t="shared" ref="U341:AH341" si="254">IF(U333=0,0,U333/(U327*31.53))</f>
        <v>0.28544243577545192</v>
      </c>
      <c r="V341" s="629">
        <f t="shared" si="254"/>
        <v>0.19029495718363459</v>
      </c>
      <c r="W341" s="629">
        <f t="shared" si="254"/>
        <v>0</v>
      </c>
      <c r="X341" s="629">
        <f t="shared" si="254"/>
        <v>0</v>
      </c>
      <c r="Y341" s="629">
        <f t="shared" si="254"/>
        <v>0.22201078338090707</v>
      </c>
      <c r="Z341" s="629">
        <f t="shared" si="254"/>
        <v>0.15329315995348344</v>
      </c>
      <c r="AA341" s="629">
        <f t="shared" si="254"/>
        <v>0.3778320164370717</v>
      </c>
      <c r="AB341" s="629">
        <f t="shared" si="254"/>
        <v>0.42287768263029918</v>
      </c>
      <c r="AC341" s="629">
        <f t="shared" si="254"/>
        <v>0.2470174924979873</v>
      </c>
      <c r="AD341" s="629">
        <f t="shared" si="254"/>
        <v>0.38984036367480701</v>
      </c>
      <c r="AE341" s="629">
        <f t="shared" si="254"/>
        <v>0.79209272262301922</v>
      </c>
      <c r="AF341" s="629">
        <f t="shared" si="254"/>
        <v>0.51158478272228713</v>
      </c>
      <c r="AG341" s="629">
        <f t="shared" si="254"/>
        <v>0.11100539169045354</v>
      </c>
      <c r="AH341" s="629">
        <f t="shared" si="254"/>
        <v>0.78646677124317466</v>
      </c>
      <c r="AI341" s="509"/>
      <c r="AJ341" s="165"/>
      <c r="AK341" s="165"/>
      <c r="AL341" s="165"/>
      <c r="AM341" s="165"/>
      <c r="AN341" s="165"/>
      <c r="AO341" s="165"/>
      <c r="AP341" s="165"/>
      <c r="AQ341" s="165"/>
      <c r="AR341" s="165"/>
      <c r="AS341" s="165"/>
      <c r="AT341" s="165"/>
      <c r="AU341" s="165"/>
      <c r="AV341" s="165"/>
      <c r="AW341" s="165"/>
      <c r="AX341" s="165"/>
      <c r="AY341" s="165"/>
    </row>
    <row r="342" spans="1:51" s="164" customFormat="1">
      <c r="A342" s="593"/>
      <c r="B342" s="593"/>
      <c r="C342" s="629"/>
      <c r="D342" s="609"/>
      <c r="E342" s="629"/>
      <c r="F342" s="629"/>
      <c r="G342" s="629"/>
      <c r="H342" s="629"/>
      <c r="I342" s="629"/>
      <c r="J342" s="629"/>
      <c r="K342" s="629"/>
      <c r="L342" s="629"/>
      <c r="M342" s="629"/>
      <c r="N342" s="629"/>
      <c r="O342" s="629"/>
      <c r="P342" s="629"/>
      <c r="Q342" s="629"/>
      <c r="R342" s="629"/>
      <c r="S342" s="629"/>
      <c r="T342" s="629"/>
      <c r="U342" s="629"/>
      <c r="V342" s="629"/>
      <c r="W342" s="629"/>
      <c r="X342" s="629"/>
      <c r="Y342" s="629"/>
      <c r="Z342" s="629"/>
      <c r="AA342" s="629"/>
      <c r="AB342" s="629"/>
      <c r="AC342" s="629"/>
      <c r="AD342" s="629"/>
      <c r="AE342" s="629"/>
      <c r="AF342" s="629"/>
      <c r="AG342" s="629"/>
      <c r="AH342" s="629"/>
      <c r="AI342" s="509"/>
      <c r="AJ342" s="165"/>
      <c r="AK342" s="165"/>
      <c r="AL342" s="165"/>
      <c r="AM342" s="165"/>
      <c r="AN342" s="165"/>
      <c r="AO342" s="165"/>
      <c r="AP342" s="165"/>
      <c r="AQ342" s="165"/>
      <c r="AR342" s="165"/>
      <c r="AS342" s="165"/>
      <c r="AT342" s="165"/>
      <c r="AU342" s="165"/>
      <c r="AV342" s="165"/>
      <c r="AW342" s="165"/>
      <c r="AX342" s="165"/>
      <c r="AY342" s="165"/>
    </row>
    <row r="343" spans="1:51" s="164" customFormat="1">
      <c r="A343" s="593"/>
      <c r="B343" s="593"/>
      <c r="C343" s="629" t="s">
        <v>981</v>
      </c>
      <c r="D343" s="609"/>
      <c r="E343" s="629"/>
      <c r="F343" s="629"/>
      <c r="G343" s="629"/>
      <c r="H343" s="629"/>
      <c r="I343" s="629"/>
      <c r="J343" s="629"/>
      <c r="K343" s="629"/>
      <c r="L343" s="629"/>
      <c r="M343" s="629"/>
      <c r="N343" s="629"/>
      <c r="O343" s="629"/>
      <c r="P343" s="629"/>
      <c r="Q343" s="629"/>
      <c r="R343" s="629"/>
      <c r="S343" s="629"/>
      <c r="T343" s="629"/>
      <c r="U343" s="629"/>
      <c r="V343" s="629"/>
      <c r="W343" s="629"/>
      <c r="X343" s="629"/>
      <c r="Y343" s="629"/>
      <c r="Z343" s="629"/>
      <c r="AA343" s="629"/>
      <c r="AB343" s="629"/>
      <c r="AC343" s="629"/>
      <c r="AD343" s="629"/>
      <c r="AE343" s="629"/>
      <c r="AF343" s="629"/>
      <c r="AG343" s="629"/>
      <c r="AH343" s="629"/>
      <c r="AI343" s="509"/>
      <c r="AJ343" s="165"/>
      <c r="AK343" s="165"/>
      <c r="AL343" s="165"/>
      <c r="AM343" s="165"/>
      <c r="AN343" s="165"/>
      <c r="AO343" s="165"/>
      <c r="AP343" s="165"/>
      <c r="AQ343" s="165"/>
      <c r="AR343" s="165"/>
      <c r="AS343" s="165"/>
      <c r="AT343" s="165"/>
      <c r="AU343" s="165"/>
      <c r="AV343" s="165"/>
      <c r="AW343" s="165"/>
      <c r="AX343" s="165"/>
      <c r="AY343" s="165"/>
    </row>
    <row r="344" spans="1:51" s="164" customFormat="1">
      <c r="A344" s="597" t="s">
        <v>1004</v>
      </c>
      <c r="B344" s="597"/>
      <c r="C344" s="629" t="s">
        <v>975</v>
      </c>
      <c r="D344" s="609">
        <f>SUM(E344:AH344)</f>
        <v>2.8998955004038485</v>
      </c>
      <c r="E344" s="629">
        <f>IF(E330/0.9/31.53-E324&gt;0,E330/0.9/31.53-E324,0)</f>
        <v>0.27915550404059636</v>
      </c>
      <c r="F344" s="629">
        <f t="shared" ref="F344:T344" si="255">IF(F330/0.9/31.53-F324&gt;0,F330/0.9/31.53-F324,0)</f>
        <v>6.3431652394544866E-4</v>
      </c>
      <c r="G344" s="629">
        <f t="shared" si="255"/>
        <v>2.1813440462346262E-2</v>
      </c>
      <c r="H344" s="629">
        <f t="shared" si="255"/>
        <v>0</v>
      </c>
      <c r="I344" s="629">
        <f t="shared" si="255"/>
        <v>0</v>
      </c>
      <c r="J344" s="629">
        <f t="shared" si="255"/>
        <v>2.5930859498889949</v>
      </c>
      <c r="K344" s="629">
        <f t="shared" si="255"/>
        <v>0</v>
      </c>
      <c r="L344" s="629">
        <f t="shared" si="255"/>
        <v>3.8319370194171325E-3</v>
      </c>
      <c r="M344" s="629">
        <f t="shared" si="255"/>
        <v>0</v>
      </c>
      <c r="N344" s="629">
        <f t="shared" si="255"/>
        <v>0</v>
      </c>
      <c r="O344" s="629">
        <f t="shared" si="255"/>
        <v>0</v>
      </c>
      <c r="P344" s="629">
        <f t="shared" si="255"/>
        <v>0</v>
      </c>
      <c r="Q344" s="629">
        <f t="shared" si="255"/>
        <v>2.4667864820100786E-4</v>
      </c>
      <c r="R344" s="629">
        <f t="shared" si="255"/>
        <v>0</v>
      </c>
      <c r="S344" s="629">
        <f t="shared" si="255"/>
        <v>0</v>
      </c>
      <c r="T344" s="629">
        <f t="shared" si="255"/>
        <v>0</v>
      </c>
      <c r="U344" s="629">
        <f t="shared" ref="U344:AH344" si="256">IF(U330/0.9/31.53-U324&gt;0,U330/0.9/31.53-U324,0)</f>
        <v>0</v>
      </c>
      <c r="V344" s="629">
        <f t="shared" si="256"/>
        <v>0</v>
      </c>
      <c r="W344" s="629">
        <f t="shared" si="256"/>
        <v>0</v>
      </c>
      <c r="X344" s="629">
        <f t="shared" si="256"/>
        <v>0</v>
      </c>
      <c r="Y344" s="629">
        <f t="shared" si="256"/>
        <v>1.1015494072452725E-16</v>
      </c>
      <c r="Z344" s="629">
        <f t="shared" si="256"/>
        <v>0</v>
      </c>
      <c r="AA344" s="629">
        <f t="shared" si="256"/>
        <v>0</v>
      </c>
      <c r="AB344" s="629">
        <f t="shared" si="256"/>
        <v>0</v>
      </c>
      <c r="AC344" s="629">
        <f t="shared" si="256"/>
        <v>1.1276738203474645E-3</v>
      </c>
      <c r="AD344" s="629">
        <f t="shared" si="256"/>
        <v>0</v>
      </c>
      <c r="AE344" s="629">
        <f t="shared" si="256"/>
        <v>0</v>
      </c>
      <c r="AF344" s="629">
        <f t="shared" si="256"/>
        <v>0</v>
      </c>
      <c r="AG344" s="629">
        <f t="shared" si="256"/>
        <v>0</v>
      </c>
      <c r="AH344" s="629">
        <f t="shared" si="256"/>
        <v>0</v>
      </c>
      <c r="AI344" s="509"/>
      <c r="AJ344" s="165"/>
      <c r="AK344" s="165"/>
      <c r="AL344" s="165"/>
      <c r="AM344" s="165"/>
      <c r="AN344" s="165"/>
      <c r="AO344" s="165"/>
      <c r="AP344" s="165"/>
      <c r="AQ344" s="165"/>
      <c r="AR344" s="165"/>
      <c r="AS344" s="165"/>
      <c r="AT344" s="165"/>
      <c r="AU344" s="165"/>
      <c r="AV344" s="165"/>
      <c r="AW344" s="165"/>
      <c r="AX344" s="165"/>
      <c r="AY344" s="165"/>
    </row>
    <row r="345" spans="1:51" s="164" customFormat="1">
      <c r="A345" s="597" t="s">
        <v>1004</v>
      </c>
      <c r="B345" s="597"/>
      <c r="C345" s="629" t="s">
        <v>968</v>
      </c>
      <c r="D345" s="609">
        <f>SUM(E345:AH345)</f>
        <v>2.4315466751242201E-3</v>
      </c>
      <c r="E345" s="629">
        <f>IF(E331/0.9/31.53-E325&gt;0,E331/0.9/31.53-E325,0)</f>
        <v>0</v>
      </c>
      <c r="F345" s="629">
        <f t="shared" ref="F345:T345" si="257">IF(F331/0.9/31.53-F325&gt;0,F331/0.9/31.53-F325,0)</f>
        <v>0</v>
      </c>
      <c r="G345" s="629">
        <f t="shared" si="257"/>
        <v>0</v>
      </c>
      <c r="H345" s="629">
        <f t="shared" si="257"/>
        <v>1.4095922754343306E-4</v>
      </c>
      <c r="I345" s="629">
        <f t="shared" si="257"/>
        <v>0</v>
      </c>
      <c r="J345" s="629">
        <f t="shared" si="257"/>
        <v>0</v>
      </c>
      <c r="K345" s="629">
        <f t="shared" si="257"/>
        <v>0</v>
      </c>
      <c r="L345" s="629">
        <f t="shared" si="257"/>
        <v>0</v>
      </c>
      <c r="M345" s="629">
        <f t="shared" si="257"/>
        <v>1.2686330478908973E-3</v>
      </c>
      <c r="N345" s="629">
        <f t="shared" si="257"/>
        <v>0</v>
      </c>
      <c r="O345" s="629">
        <f t="shared" si="257"/>
        <v>1.0219543996898897E-3</v>
      </c>
      <c r="P345" s="629">
        <f t="shared" si="257"/>
        <v>0</v>
      </c>
      <c r="Q345" s="629">
        <f t="shared" si="257"/>
        <v>0</v>
      </c>
      <c r="R345" s="629">
        <f t="shared" si="257"/>
        <v>0</v>
      </c>
      <c r="S345" s="629">
        <f t="shared" si="257"/>
        <v>0</v>
      </c>
      <c r="T345" s="629">
        <f t="shared" si="257"/>
        <v>0</v>
      </c>
      <c r="U345" s="629">
        <f t="shared" ref="U345:AH345" si="258">IF(U331/0.9/31.53-U325&gt;0,U331/0.9/31.53-U325,0)</f>
        <v>0</v>
      </c>
      <c r="V345" s="629">
        <f t="shared" si="258"/>
        <v>0</v>
      </c>
      <c r="W345" s="629">
        <f t="shared" si="258"/>
        <v>0</v>
      </c>
      <c r="X345" s="629">
        <f t="shared" si="258"/>
        <v>0</v>
      </c>
      <c r="Y345" s="629">
        <f t="shared" si="258"/>
        <v>0</v>
      </c>
      <c r="Z345" s="629">
        <f t="shared" si="258"/>
        <v>0</v>
      </c>
      <c r="AA345" s="629">
        <f t="shared" si="258"/>
        <v>0</v>
      </c>
      <c r="AB345" s="629">
        <f t="shared" si="258"/>
        <v>0</v>
      </c>
      <c r="AC345" s="629">
        <f t="shared" si="258"/>
        <v>0</v>
      </c>
      <c r="AD345" s="629">
        <f t="shared" si="258"/>
        <v>0</v>
      </c>
      <c r="AE345" s="629">
        <f t="shared" si="258"/>
        <v>0</v>
      </c>
      <c r="AF345" s="629">
        <f t="shared" si="258"/>
        <v>0</v>
      </c>
      <c r="AG345" s="629">
        <f t="shared" si="258"/>
        <v>0</v>
      </c>
      <c r="AH345" s="629">
        <f t="shared" si="258"/>
        <v>0</v>
      </c>
      <c r="AI345" s="509"/>
      <c r="AJ345" s="165"/>
      <c r="AK345" s="165"/>
      <c r="AL345" s="165"/>
      <c r="AM345" s="165"/>
      <c r="AN345" s="165"/>
      <c r="AO345" s="165"/>
      <c r="AP345" s="165"/>
      <c r="AQ345" s="165"/>
      <c r="AR345" s="165"/>
      <c r="AS345" s="165"/>
      <c r="AT345" s="165"/>
      <c r="AU345" s="165"/>
      <c r="AV345" s="165"/>
      <c r="AW345" s="165"/>
      <c r="AX345" s="165"/>
      <c r="AY345" s="165"/>
    </row>
    <row r="346" spans="1:51" s="164" customFormat="1">
      <c r="A346" s="597" t="s">
        <v>1004</v>
      </c>
      <c r="B346" s="597"/>
      <c r="C346" s="629" t="s">
        <v>103</v>
      </c>
      <c r="D346" s="609">
        <f>SUM(E346:AH346)</f>
        <v>1.9029495718363462E-3</v>
      </c>
      <c r="E346" s="629">
        <f>IF(E332/0.9/31.53-E326&gt;0,E332/0.9/31.53-E326,0)</f>
        <v>0</v>
      </c>
      <c r="F346" s="629">
        <f t="shared" ref="F346:T346" si="259">IF(F332/0.9/31.53-F326&gt;0,F332/0.9/31.53-F326,0)</f>
        <v>0</v>
      </c>
      <c r="G346" s="629">
        <f t="shared" si="259"/>
        <v>0</v>
      </c>
      <c r="H346" s="629">
        <f t="shared" si="259"/>
        <v>0</v>
      </c>
      <c r="I346" s="629">
        <f t="shared" si="259"/>
        <v>0</v>
      </c>
      <c r="J346" s="629">
        <f t="shared" si="259"/>
        <v>0</v>
      </c>
      <c r="K346" s="629">
        <f t="shared" si="259"/>
        <v>0</v>
      </c>
      <c r="L346" s="629">
        <f t="shared" si="259"/>
        <v>0</v>
      </c>
      <c r="M346" s="629">
        <f t="shared" si="259"/>
        <v>1.9029495718363462E-3</v>
      </c>
      <c r="N346" s="629">
        <f t="shared" si="259"/>
        <v>0</v>
      </c>
      <c r="O346" s="629">
        <f t="shared" si="259"/>
        <v>0</v>
      </c>
      <c r="P346" s="629">
        <f t="shared" si="259"/>
        <v>0</v>
      </c>
      <c r="Q346" s="629">
        <f t="shared" si="259"/>
        <v>0</v>
      </c>
      <c r="R346" s="629">
        <f t="shared" si="259"/>
        <v>0</v>
      </c>
      <c r="S346" s="629">
        <f t="shared" si="259"/>
        <v>0</v>
      </c>
      <c r="T346" s="629">
        <f t="shared" si="259"/>
        <v>0</v>
      </c>
      <c r="U346" s="629">
        <f t="shared" ref="U346:AH346" si="260">IF(U332/0.9/31.53-U326&gt;0,U332/0.9/31.53-U326,0)</f>
        <v>0</v>
      </c>
      <c r="V346" s="629">
        <f t="shared" si="260"/>
        <v>0</v>
      </c>
      <c r="W346" s="629">
        <f t="shared" si="260"/>
        <v>0</v>
      </c>
      <c r="X346" s="629">
        <f t="shared" si="260"/>
        <v>0</v>
      </c>
      <c r="Y346" s="629">
        <f t="shared" si="260"/>
        <v>0</v>
      </c>
      <c r="Z346" s="629">
        <f t="shared" si="260"/>
        <v>0</v>
      </c>
      <c r="AA346" s="629">
        <f t="shared" si="260"/>
        <v>0</v>
      </c>
      <c r="AB346" s="629">
        <f t="shared" si="260"/>
        <v>0</v>
      </c>
      <c r="AC346" s="629">
        <f t="shared" si="260"/>
        <v>0</v>
      </c>
      <c r="AD346" s="629">
        <f t="shared" si="260"/>
        <v>0</v>
      </c>
      <c r="AE346" s="629">
        <f t="shared" si="260"/>
        <v>0</v>
      </c>
      <c r="AF346" s="629">
        <f t="shared" si="260"/>
        <v>0</v>
      </c>
      <c r="AG346" s="629">
        <f t="shared" si="260"/>
        <v>0</v>
      </c>
      <c r="AH346" s="629">
        <f t="shared" si="260"/>
        <v>0</v>
      </c>
      <c r="AI346" s="509"/>
      <c r="AJ346" s="165"/>
      <c r="AK346" s="165"/>
      <c r="AL346" s="165"/>
      <c r="AM346" s="165"/>
      <c r="AN346" s="165"/>
      <c r="AO346" s="165"/>
      <c r="AP346" s="165"/>
      <c r="AQ346" s="165"/>
      <c r="AR346" s="165"/>
      <c r="AS346" s="165"/>
      <c r="AT346" s="165"/>
      <c r="AU346" s="165"/>
      <c r="AV346" s="165"/>
      <c r="AW346" s="165"/>
      <c r="AX346" s="165"/>
      <c r="AY346" s="165"/>
    </row>
    <row r="347" spans="1:51" s="164" customFormat="1">
      <c r="A347" s="597" t="s">
        <v>1004</v>
      </c>
      <c r="B347" s="597"/>
      <c r="C347" s="629" t="s">
        <v>102</v>
      </c>
      <c r="D347" s="609">
        <f>SUM(E347:AH347)</f>
        <v>4.4402156676181408E-2</v>
      </c>
      <c r="E347" s="629">
        <f>IF(E333/0.9/31.53-E327&gt;0,E333/0.9/31.53-E327,0)</f>
        <v>0</v>
      </c>
      <c r="F347" s="629">
        <f t="shared" ref="F347:T347" si="261">IF(F333/0.9/31.53-F327&gt;0,F333/0.9/31.53-F327,0)</f>
        <v>0</v>
      </c>
      <c r="G347" s="629">
        <f t="shared" si="261"/>
        <v>0</v>
      </c>
      <c r="H347" s="629">
        <f t="shared" si="261"/>
        <v>0</v>
      </c>
      <c r="I347" s="629">
        <f t="shared" si="261"/>
        <v>0</v>
      </c>
      <c r="J347" s="629">
        <f t="shared" si="261"/>
        <v>0</v>
      </c>
      <c r="K347" s="629">
        <f t="shared" si="261"/>
        <v>0</v>
      </c>
      <c r="L347" s="629">
        <f t="shared" si="261"/>
        <v>0</v>
      </c>
      <c r="M347" s="629">
        <f t="shared" si="261"/>
        <v>4.4402156676181408E-2</v>
      </c>
      <c r="N347" s="629">
        <f t="shared" si="261"/>
        <v>0</v>
      </c>
      <c r="O347" s="629">
        <f t="shared" si="261"/>
        <v>0</v>
      </c>
      <c r="P347" s="629">
        <f t="shared" si="261"/>
        <v>0</v>
      </c>
      <c r="Q347" s="629">
        <f t="shared" si="261"/>
        <v>0</v>
      </c>
      <c r="R347" s="629">
        <f t="shared" si="261"/>
        <v>0</v>
      </c>
      <c r="S347" s="629">
        <f t="shared" si="261"/>
        <v>0</v>
      </c>
      <c r="T347" s="629">
        <f t="shared" si="261"/>
        <v>0</v>
      </c>
      <c r="U347" s="629">
        <f t="shared" ref="U347:AH347" si="262">IF(U333/0.9/31.53-U327&gt;0,U333/0.9/31.53-U327,0)</f>
        <v>0</v>
      </c>
      <c r="V347" s="629">
        <f t="shared" si="262"/>
        <v>0</v>
      </c>
      <c r="W347" s="629">
        <f t="shared" si="262"/>
        <v>0</v>
      </c>
      <c r="X347" s="629">
        <f t="shared" si="262"/>
        <v>0</v>
      </c>
      <c r="Y347" s="629">
        <f t="shared" si="262"/>
        <v>0</v>
      </c>
      <c r="Z347" s="629">
        <f t="shared" si="262"/>
        <v>0</v>
      </c>
      <c r="AA347" s="629">
        <f t="shared" si="262"/>
        <v>0</v>
      </c>
      <c r="AB347" s="629">
        <f t="shared" si="262"/>
        <v>0</v>
      </c>
      <c r="AC347" s="629">
        <f t="shared" si="262"/>
        <v>0</v>
      </c>
      <c r="AD347" s="629">
        <f t="shared" si="262"/>
        <v>0</v>
      </c>
      <c r="AE347" s="629">
        <f t="shared" si="262"/>
        <v>0</v>
      </c>
      <c r="AF347" s="629">
        <f t="shared" si="262"/>
        <v>0</v>
      </c>
      <c r="AG347" s="629">
        <f t="shared" si="262"/>
        <v>0</v>
      </c>
      <c r="AH347" s="629">
        <f t="shared" si="262"/>
        <v>0</v>
      </c>
      <c r="AI347" s="509"/>
      <c r="AJ347" s="165"/>
      <c r="AK347" s="165"/>
      <c r="AL347" s="165"/>
      <c r="AM347" s="165"/>
      <c r="AN347" s="165"/>
      <c r="AO347" s="165"/>
      <c r="AP347" s="165"/>
      <c r="AQ347" s="165"/>
      <c r="AR347" s="165"/>
      <c r="AS347" s="165"/>
      <c r="AT347" s="165"/>
      <c r="AU347" s="165"/>
      <c r="AV347" s="165"/>
      <c r="AW347" s="165"/>
      <c r="AX347" s="165"/>
      <c r="AY347" s="165"/>
    </row>
    <row r="348" spans="1:51" s="164" customFormat="1">
      <c r="A348" s="593"/>
      <c r="B348" s="593"/>
      <c r="C348" s="629"/>
      <c r="D348" s="609"/>
      <c r="E348" s="629"/>
      <c r="F348" s="629"/>
      <c r="G348" s="629"/>
      <c r="H348" s="629"/>
      <c r="I348" s="629"/>
      <c r="J348" s="629"/>
      <c r="K348" s="629"/>
      <c r="L348" s="629"/>
      <c r="M348" s="629"/>
      <c r="N348" s="629"/>
      <c r="O348" s="629"/>
      <c r="P348" s="629"/>
      <c r="Q348" s="629"/>
      <c r="R348" s="629"/>
      <c r="S348" s="629"/>
      <c r="T348" s="629"/>
      <c r="U348" s="629"/>
      <c r="V348" s="629"/>
      <c r="W348" s="629"/>
      <c r="X348" s="629"/>
      <c r="Y348" s="629"/>
      <c r="Z348" s="629"/>
      <c r="AA348" s="629"/>
      <c r="AB348" s="629"/>
      <c r="AC348" s="629"/>
      <c r="AD348" s="629"/>
      <c r="AE348" s="629"/>
      <c r="AF348" s="629"/>
      <c r="AG348" s="629"/>
      <c r="AH348" s="629"/>
      <c r="AI348" s="509"/>
      <c r="AJ348" s="165"/>
      <c r="AK348" s="165"/>
      <c r="AL348" s="165"/>
      <c r="AM348" s="165"/>
      <c r="AN348" s="165"/>
      <c r="AO348" s="165"/>
      <c r="AP348" s="165"/>
      <c r="AQ348" s="165"/>
      <c r="AR348" s="165"/>
      <c r="AS348" s="165"/>
      <c r="AT348" s="165"/>
      <c r="AU348" s="165"/>
      <c r="AV348" s="165"/>
      <c r="AW348" s="165"/>
      <c r="AX348" s="165"/>
      <c r="AY348" s="165"/>
    </row>
    <row r="349" spans="1:51" s="591" customFormat="1" ht="13.5" thickBot="1">
      <c r="A349" s="597"/>
      <c r="B349" s="597"/>
      <c r="C349" s="656" t="s">
        <v>989</v>
      </c>
      <c r="D349" s="645">
        <f>SUM(E349:AH349)</f>
        <v>22.778280360469168</v>
      </c>
      <c r="E349" s="645">
        <f>SUM(E350:E353)</f>
        <v>0.95167142404059635</v>
      </c>
      <c r="F349" s="645">
        <f t="shared" ref="F349:AH349" si="263">SUM(F350:F353)</f>
        <v>4.634316523945449E-3</v>
      </c>
      <c r="G349" s="645">
        <f t="shared" si="263"/>
        <v>2.1813440462346262E-2</v>
      </c>
      <c r="H349" s="645">
        <f t="shared" si="263"/>
        <v>6.1409592275434334E-3</v>
      </c>
      <c r="I349" s="645">
        <f t="shared" si="263"/>
        <v>0.98480000000000012</v>
      </c>
      <c r="J349" s="645">
        <f t="shared" si="263"/>
        <v>2.6570859498889949</v>
      </c>
      <c r="K349" s="645">
        <f t="shared" si="263"/>
        <v>6.000215199999992E-2</v>
      </c>
      <c r="L349" s="645">
        <f t="shared" si="263"/>
        <v>5.1935370194171335E-3</v>
      </c>
      <c r="M349" s="645">
        <f t="shared" si="263"/>
        <v>2.2523993727314373</v>
      </c>
      <c r="N349" s="645">
        <f t="shared" si="263"/>
        <v>0.55039119999999975</v>
      </c>
      <c r="O349" s="645">
        <f t="shared" si="263"/>
        <v>3.3609098391996897</v>
      </c>
      <c r="P349" s="645">
        <f t="shared" si="263"/>
        <v>1.3431999999999999E-2</v>
      </c>
      <c r="Q349" s="645">
        <f t="shared" si="263"/>
        <v>2.4667864820100786E-4</v>
      </c>
      <c r="R349" s="645">
        <f t="shared" si="263"/>
        <v>1.7509519999999973E-2</v>
      </c>
      <c r="S349" s="645">
        <f t="shared" si="263"/>
        <v>2.0538400000000001</v>
      </c>
      <c r="T349" s="645">
        <f t="shared" si="263"/>
        <v>4.0045600310110299E-2</v>
      </c>
      <c r="U349" s="645">
        <f t="shared" si="263"/>
        <v>4.0480000000000002E-2</v>
      </c>
      <c r="V349" s="645">
        <f t="shared" si="263"/>
        <v>1.3240000000000002E-2</v>
      </c>
      <c r="W349" s="645">
        <f t="shared" si="263"/>
        <v>0</v>
      </c>
      <c r="X349" s="645">
        <f t="shared" si="263"/>
        <v>1.3461582711111106</v>
      </c>
      <c r="Y349" s="645">
        <f t="shared" si="263"/>
        <v>1E-3</v>
      </c>
      <c r="Z349" s="645">
        <f t="shared" si="263"/>
        <v>0.69403474644958951</v>
      </c>
      <c r="AA349" s="645">
        <f t="shared" si="263"/>
        <v>0.34980367903583887</v>
      </c>
      <c r="AB349" s="645">
        <f t="shared" si="263"/>
        <v>4.0599999999999969E-2</v>
      </c>
      <c r="AC349" s="645">
        <f t="shared" si="263"/>
        <v>0.10512767382034746</v>
      </c>
      <c r="AD349" s="645">
        <f t="shared" si="263"/>
        <v>8.7679999999999925E-2</v>
      </c>
      <c r="AE349" s="645">
        <f t="shared" si="263"/>
        <v>4.6120400000000012</v>
      </c>
      <c r="AF349" s="645">
        <f t="shared" si="263"/>
        <v>1.429</v>
      </c>
      <c r="AG349" s="645">
        <f t="shared" si="263"/>
        <v>3.1E-2</v>
      </c>
      <c r="AH349" s="645">
        <f t="shared" si="263"/>
        <v>1.048</v>
      </c>
      <c r="AI349" s="589"/>
      <c r="AJ349" s="590"/>
      <c r="AK349" s="590"/>
      <c r="AL349" s="590"/>
      <c r="AM349" s="590"/>
      <c r="AN349" s="590"/>
      <c r="AO349" s="590"/>
      <c r="AP349" s="590"/>
      <c r="AQ349" s="590"/>
      <c r="AR349" s="590"/>
      <c r="AS349" s="590"/>
      <c r="AT349" s="590"/>
      <c r="AU349" s="590"/>
      <c r="AV349" s="590"/>
      <c r="AW349" s="590"/>
      <c r="AX349" s="590"/>
      <c r="AY349" s="590"/>
    </row>
    <row r="350" spans="1:51" s="591" customFormat="1">
      <c r="A350" s="597" t="s">
        <v>1004</v>
      </c>
      <c r="B350" s="597"/>
      <c r="C350" s="630" t="s">
        <v>975</v>
      </c>
      <c r="D350" s="646">
        <f>SUM(E350:AH350)</f>
        <v>17.724543707546029</v>
      </c>
      <c r="E350" s="630">
        <f>E324+E344</f>
        <v>0.41167142404059626</v>
      </c>
      <c r="F350" s="630">
        <f t="shared" ref="F350:T350" si="264">F324+F344</f>
        <v>6.3431652394544866E-4</v>
      </c>
      <c r="G350" s="630">
        <f t="shared" si="264"/>
        <v>2.1813440462346262E-2</v>
      </c>
      <c r="H350" s="630">
        <f t="shared" si="264"/>
        <v>6.0000000000000001E-3</v>
      </c>
      <c r="I350" s="630">
        <f t="shared" si="264"/>
        <v>0.82980000000000009</v>
      </c>
      <c r="J350" s="630">
        <f t="shared" si="264"/>
        <v>2.5930859498889949</v>
      </c>
      <c r="K350" s="630">
        <f t="shared" si="264"/>
        <v>5.7002151999999917E-2</v>
      </c>
      <c r="L350" s="630">
        <f t="shared" si="264"/>
        <v>4.1935370194171335E-3</v>
      </c>
      <c r="M350" s="630">
        <f t="shared" si="264"/>
        <v>2.2048256334355285</v>
      </c>
      <c r="N350" s="630">
        <f t="shared" si="264"/>
        <v>0.35539119999999974</v>
      </c>
      <c r="O350" s="630">
        <f t="shared" si="264"/>
        <v>3.0378878847999995</v>
      </c>
      <c r="P350" s="630">
        <f t="shared" si="264"/>
        <v>1.3431999999999999E-2</v>
      </c>
      <c r="Q350" s="630">
        <f t="shared" si="264"/>
        <v>2.4667864820100786E-4</v>
      </c>
      <c r="R350" s="630">
        <f t="shared" si="264"/>
        <v>1.7509519999999973E-2</v>
      </c>
      <c r="S350" s="630">
        <f t="shared" si="264"/>
        <v>1.8538400000000002</v>
      </c>
      <c r="T350" s="630">
        <f t="shared" si="264"/>
        <v>4.0045600310110299E-2</v>
      </c>
      <c r="U350" s="630">
        <f t="shared" ref="U350:AH350" si="265">U324+U344</f>
        <v>1.448E-2</v>
      </c>
      <c r="V350" s="630">
        <f t="shared" si="265"/>
        <v>7.2400000000000016E-3</v>
      </c>
      <c r="W350" s="630">
        <f t="shared" si="265"/>
        <v>0</v>
      </c>
      <c r="X350" s="630">
        <f t="shared" si="265"/>
        <v>1.1301582711111107</v>
      </c>
      <c r="Y350" s="630">
        <f t="shared" si="265"/>
        <v>0</v>
      </c>
      <c r="Z350" s="630">
        <f t="shared" si="265"/>
        <v>0.68803474644958951</v>
      </c>
      <c r="AA350" s="630">
        <f t="shared" si="265"/>
        <v>0.32680367903583885</v>
      </c>
      <c r="AB350" s="630">
        <f t="shared" si="265"/>
        <v>3.7599999999999967E-2</v>
      </c>
      <c r="AC350" s="630">
        <f t="shared" si="265"/>
        <v>1.1276738203474645E-3</v>
      </c>
      <c r="AD350" s="630">
        <f t="shared" si="265"/>
        <v>5.8679999999999927E-2</v>
      </c>
      <c r="AE350" s="630">
        <f t="shared" si="265"/>
        <v>2.8780400000000004</v>
      </c>
      <c r="AF350" s="630">
        <f t="shared" si="265"/>
        <v>0.88100000000000001</v>
      </c>
      <c r="AG350" s="630">
        <f t="shared" si="265"/>
        <v>2.7E-2</v>
      </c>
      <c r="AH350" s="630">
        <f t="shared" si="265"/>
        <v>0.22700000000000009</v>
      </c>
      <c r="AI350" s="589"/>
      <c r="AJ350" s="590"/>
      <c r="AK350" s="590"/>
      <c r="AL350" s="590"/>
      <c r="AM350" s="590"/>
      <c r="AN350" s="590"/>
      <c r="AO350" s="590"/>
      <c r="AP350" s="590"/>
      <c r="AQ350" s="590"/>
      <c r="AR350" s="590"/>
      <c r="AS350" s="590"/>
      <c r="AT350" s="590"/>
      <c r="AU350" s="590"/>
      <c r="AV350" s="590"/>
      <c r="AW350" s="590"/>
      <c r="AX350" s="590"/>
      <c r="AY350" s="590"/>
    </row>
    <row r="351" spans="1:51" s="591" customFormat="1">
      <c r="A351" s="597" t="s">
        <v>1004</v>
      </c>
      <c r="B351" s="597"/>
      <c r="C351" s="630" t="s">
        <v>968</v>
      </c>
      <c r="D351" s="646">
        <f>SUM(E351:AH351)</f>
        <v>0.12343154667512422</v>
      </c>
      <c r="E351" s="630">
        <f>E325+E345</f>
        <v>0</v>
      </c>
      <c r="F351" s="630">
        <f t="shared" ref="F351:T351" si="266">F325+F345</f>
        <v>2E-3</v>
      </c>
      <c r="G351" s="630">
        <f t="shared" si="266"/>
        <v>0</v>
      </c>
      <c r="H351" s="630">
        <f t="shared" si="266"/>
        <v>1.4095922754343306E-4</v>
      </c>
      <c r="I351" s="630">
        <f t="shared" si="266"/>
        <v>0</v>
      </c>
      <c r="J351" s="630">
        <f t="shared" si="266"/>
        <v>0</v>
      </c>
      <c r="K351" s="630">
        <f t="shared" si="266"/>
        <v>3.0000000000000001E-3</v>
      </c>
      <c r="L351" s="630">
        <f t="shared" si="266"/>
        <v>0</v>
      </c>
      <c r="M351" s="630">
        <f t="shared" si="266"/>
        <v>1.2686330478908973E-3</v>
      </c>
      <c r="N351" s="630">
        <f t="shared" si="266"/>
        <v>0</v>
      </c>
      <c r="O351" s="630">
        <f t="shared" si="266"/>
        <v>1.0219543996898897E-3</v>
      </c>
      <c r="P351" s="630">
        <f t="shared" si="266"/>
        <v>0</v>
      </c>
      <c r="Q351" s="630">
        <f t="shared" si="266"/>
        <v>0</v>
      </c>
      <c r="R351" s="630">
        <f t="shared" si="266"/>
        <v>0</v>
      </c>
      <c r="S351" s="630">
        <f t="shared" si="266"/>
        <v>0</v>
      </c>
      <c r="T351" s="630">
        <f t="shared" si="266"/>
        <v>0</v>
      </c>
      <c r="U351" s="630">
        <f t="shared" ref="U351:AH351" si="267">U325+U345</f>
        <v>2.4E-2</v>
      </c>
      <c r="V351" s="630">
        <f t="shared" si="267"/>
        <v>0</v>
      </c>
      <c r="W351" s="630">
        <f t="shared" si="267"/>
        <v>0</v>
      </c>
      <c r="X351" s="630">
        <f t="shared" si="267"/>
        <v>4.8000000000000001E-2</v>
      </c>
      <c r="Y351" s="630">
        <f t="shared" si="267"/>
        <v>0</v>
      </c>
      <c r="Z351" s="630">
        <f t="shared" si="267"/>
        <v>0</v>
      </c>
      <c r="AA351" s="630">
        <f t="shared" si="267"/>
        <v>0</v>
      </c>
      <c r="AB351" s="630">
        <f t="shared" si="267"/>
        <v>0</v>
      </c>
      <c r="AC351" s="630">
        <f t="shared" si="267"/>
        <v>0</v>
      </c>
      <c r="AD351" s="630">
        <f t="shared" si="267"/>
        <v>0</v>
      </c>
      <c r="AE351" s="630">
        <f t="shared" si="267"/>
        <v>1.0999999999999999E-2</v>
      </c>
      <c r="AF351" s="630">
        <f t="shared" si="267"/>
        <v>2.5999999999999999E-2</v>
      </c>
      <c r="AG351" s="630">
        <f t="shared" si="267"/>
        <v>0</v>
      </c>
      <c r="AH351" s="630">
        <f t="shared" si="267"/>
        <v>7.0000000000000001E-3</v>
      </c>
      <c r="AI351" s="589"/>
      <c r="AJ351" s="590"/>
      <c r="AK351" s="590"/>
      <c r="AL351" s="590"/>
      <c r="AM351" s="590"/>
      <c r="AN351" s="590"/>
      <c r="AO351" s="590"/>
      <c r="AP351" s="590"/>
      <c r="AQ351" s="590"/>
      <c r="AR351" s="590"/>
      <c r="AS351" s="590"/>
      <c r="AT351" s="590"/>
      <c r="AU351" s="590"/>
      <c r="AV351" s="590"/>
      <c r="AW351" s="590"/>
      <c r="AX351" s="590"/>
      <c r="AY351" s="590"/>
    </row>
    <row r="352" spans="1:51" s="591" customFormat="1">
      <c r="A352" s="597" t="s">
        <v>1004</v>
      </c>
      <c r="B352" s="597"/>
      <c r="C352" s="630" t="s">
        <v>103</v>
      </c>
      <c r="D352" s="646">
        <f>SUM(E352:AH352)</f>
        <v>1.7979029495718364</v>
      </c>
      <c r="E352" s="630">
        <f>E326+E346</f>
        <v>0</v>
      </c>
      <c r="F352" s="630">
        <f t="shared" ref="F352:T352" si="268">F326+F346</f>
        <v>2E-3</v>
      </c>
      <c r="G352" s="630">
        <f t="shared" si="268"/>
        <v>0</v>
      </c>
      <c r="H352" s="630">
        <f t="shared" si="268"/>
        <v>0</v>
      </c>
      <c r="I352" s="630">
        <f t="shared" si="268"/>
        <v>0</v>
      </c>
      <c r="J352" s="630">
        <f t="shared" si="268"/>
        <v>0</v>
      </c>
      <c r="K352" s="630">
        <f t="shared" si="268"/>
        <v>0</v>
      </c>
      <c r="L352" s="630">
        <f t="shared" si="268"/>
        <v>1E-3</v>
      </c>
      <c r="M352" s="630">
        <f t="shared" si="268"/>
        <v>1.9029495718363462E-3</v>
      </c>
      <c r="N352" s="630">
        <f t="shared" si="268"/>
        <v>0</v>
      </c>
      <c r="O352" s="630">
        <f t="shared" si="268"/>
        <v>5.3999999999999999E-2</v>
      </c>
      <c r="P352" s="630">
        <f t="shared" si="268"/>
        <v>0</v>
      </c>
      <c r="Q352" s="630">
        <f t="shared" si="268"/>
        <v>0</v>
      </c>
      <c r="R352" s="630">
        <f t="shared" si="268"/>
        <v>0</v>
      </c>
      <c r="S352" s="630">
        <f t="shared" si="268"/>
        <v>1E-3</v>
      </c>
      <c r="T352" s="630">
        <f t="shared" si="268"/>
        <v>0</v>
      </c>
      <c r="U352" s="630">
        <f t="shared" ref="U352:AH352" si="269">U326+U346</f>
        <v>0</v>
      </c>
      <c r="V352" s="630">
        <f t="shared" si="269"/>
        <v>0</v>
      </c>
      <c r="W352" s="630">
        <f t="shared" si="269"/>
        <v>0</v>
      </c>
      <c r="X352" s="630">
        <f t="shared" si="269"/>
        <v>0.16800000000000001</v>
      </c>
      <c r="Y352" s="630">
        <f t="shared" si="269"/>
        <v>0</v>
      </c>
      <c r="Z352" s="630">
        <f t="shared" si="269"/>
        <v>0</v>
      </c>
      <c r="AA352" s="630">
        <f t="shared" si="269"/>
        <v>0</v>
      </c>
      <c r="AB352" s="630">
        <f t="shared" si="269"/>
        <v>0</v>
      </c>
      <c r="AC352" s="630">
        <f t="shared" si="269"/>
        <v>0</v>
      </c>
      <c r="AD352" s="630">
        <f t="shared" si="269"/>
        <v>5.0000000000000001E-3</v>
      </c>
      <c r="AE352" s="630">
        <f t="shared" si="269"/>
        <v>1.5649999999999999</v>
      </c>
      <c r="AF352" s="630">
        <f t="shared" si="269"/>
        <v>0</v>
      </c>
      <c r="AG352" s="630">
        <f t="shared" si="269"/>
        <v>0</v>
      </c>
      <c r="AH352" s="630">
        <f t="shared" si="269"/>
        <v>0</v>
      </c>
      <c r="AI352" s="589"/>
      <c r="AJ352" s="590"/>
      <c r="AK352" s="590"/>
      <c r="AL352" s="590"/>
      <c r="AM352" s="590"/>
      <c r="AN352" s="590"/>
      <c r="AO352" s="590"/>
      <c r="AP352" s="590"/>
      <c r="AQ352" s="590"/>
      <c r="AR352" s="590"/>
      <c r="AS352" s="590"/>
      <c r="AT352" s="590"/>
      <c r="AU352" s="590"/>
      <c r="AV352" s="590"/>
      <c r="AW352" s="590"/>
      <c r="AX352" s="590"/>
      <c r="AY352" s="590"/>
    </row>
    <row r="353" spans="1:51" s="591" customFormat="1">
      <c r="A353" s="597" t="s">
        <v>1004</v>
      </c>
      <c r="B353" s="597"/>
      <c r="C353" s="630" t="s">
        <v>102</v>
      </c>
      <c r="D353" s="646">
        <f>SUM(E353:AH353)</f>
        <v>3.1324021566761817</v>
      </c>
      <c r="E353" s="630">
        <f>E327+E347</f>
        <v>0.54</v>
      </c>
      <c r="F353" s="630">
        <f t="shared" ref="F353:T353" si="270">F327+F347</f>
        <v>0</v>
      </c>
      <c r="G353" s="630">
        <f t="shared" si="270"/>
        <v>0</v>
      </c>
      <c r="H353" s="630">
        <f t="shared" si="270"/>
        <v>0</v>
      </c>
      <c r="I353" s="630">
        <f t="shared" si="270"/>
        <v>0.155</v>
      </c>
      <c r="J353" s="630">
        <f t="shared" si="270"/>
        <v>6.4000000000000001E-2</v>
      </c>
      <c r="K353" s="630">
        <f t="shared" si="270"/>
        <v>0</v>
      </c>
      <c r="L353" s="630">
        <f t="shared" si="270"/>
        <v>0</v>
      </c>
      <c r="M353" s="630">
        <f t="shared" si="270"/>
        <v>4.4402156676181408E-2</v>
      </c>
      <c r="N353" s="630">
        <f t="shared" si="270"/>
        <v>0.19500000000000001</v>
      </c>
      <c r="O353" s="630">
        <f t="shared" si="270"/>
        <v>0.26800000000000002</v>
      </c>
      <c r="P353" s="630">
        <f t="shared" si="270"/>
        <v>0</v>
      </c>
      <c r="Q353" s="630">
        <f t="shared" si="270"/>
        <v>0</v>
      </c>
      <c r="R353" s="630">
        <f t="shared" si="270"/>
        <v>0</v>
      </c>
      <c r="S353" s="630">
        <f t="shared" si="270"/>
        <v>0.19900000000000001</v>
      </c>
      <c r="T353" s="630">
        <f t="shared" si="270"/>
        <v>0</v>
      </c>
      <c r="U353" s="630">
        <f t="shared" ref="U353:AH353" si="271">U327+U347</f>
        <v>2E-3</v>
      </c>
      <c r="V353" s="630">
        <f t="shared" si="271"/>
        <v>6.0000000000000001E-3</v>
      </c>
      <c r="W353" s="630">
        <f t="shared" si="271"/>
        <v>0</v>
      </c>
      <c r="X353" s="630">
        <f t="shared" si="271"/>
        <v>0</v>
      </c>
      <c r="Y353" s="630">
        <f t="shared" si="271"/>
        <v>1E-3</v>
      </c>
      <c r="Z353" s="630">
        <f t="shared" si="271"/>
        <v>6.0000000000000001E-3</v>
      </c>
      <c r="AA353" s="630">
        <f t="shared" si="271"/>
        <v>2.3E-2</v>
      </c>
      <c r="AB353" s="630">
        <f t="shared" si="271"/>
        <v>3.0000000000000001E-3</v>
      </c>
      <c r="AC353" s="630">
        <f t="shared" si="271"/>
        <v>0.104</v>
      </c>
      <c r="AD353" s="630">
        <f t="shared" si="271"/>
        <v>2.4E-2</v>
      </c>
      <c r="AE353" s="630">
        <f t="shared" si="271"/>
        <v>0.158</v>
      </c>
      <c r="AF353" s="630">
        <f t="shared" si="271"/>
        <v>0.52200000000000002</v>
      </c>
      <c r="AG353" s="630">
        <f t="shared" si="271"/>
        <v>4.0000000000000001E-3</v>
      </c>
      <c r="AH353" s="630">
        <f t="shared" si="271"/>
        <v>0.81399999999999995</v>
      </c>
      <c r="AI353" s="589"/>
      <c r="AJ353" s="590"/>
      <c r="AK353" s="590"/>
      <c r="AL353" s="590"/>
      <c r="AM353" s="590"/>
      <c r="AN353" s="590"/>
      <c r="AO353" s="590"/>
      <c r="AP353" s="590"/>
      <c r="AQ353" s="590"/>
      <c r="AR353" s="590"/>
      <c r="AS353" s="590"/>
      <c r="AT353" s="590"/>
      <c r="AU353" s="590"/>
      <c r="AV353" s="590"/>
      <c r="AW353" s="590"/>
      <c r="AX353" s="590"/>
      <c r="AY353" s="590"/>
    </row>
    <row r="354" spans="1:51" s="591" customFormat="1">
      <c r="A354" s="597"/>
      <c r="B354" s="597"/>
      <c r="C354" s="657"/>
      <c r="D354" s="646"/>
      <c r="E354" s="630"/>
      <c r="F354" s="630"/>
      <c r="G354" s="630"/>
      <c r="H354" s="630"/>
      <c r="I354" s="630"/>
      <c r="J354" s="630"/>
      <c r="K354" s="630"/>
      <c r="L354" s="630"/>
      <c r="M354" s="630"/>
      <c r="N354" s="630"/>
      <c r="O354" s="630"/>
      <c r="P354" s="630"/>
      <c r="Q354" s="630"/>
      <c r="R354" s="630"/>
      <c r="S354" s="630"/>
      <c r="T354" s="630"/>
      <c r="U354" s="630"/>
      <c r="V354" s="630"/>
      <c r="W354" s="630"/>
      <c r="X354" s="630"/>
      <c r="Y354" s="630"/>
      <c r="Z354" s="630"/>
      <c r="AA354" s="630"/>
      <c r="AB354" s="630"/>
      <c r="AC354" s="630"/>
      <c r="AD354" s="630"/>
      <c r="AE354" s="630"/>
      <c r="AF354" s="630"/>
      <c r="AG354" s="630"/>
      <c r="AH354" s="630"/>
      <c r="AI354" s="589"/>
      <c r="AJ354" s="590"/>
      <c r="AK354" s="590"/>
      <c r="AL354" s="590"/>
      <c r="AM354" s="590"/>
      <c r="AN354" s="590"/>
      <c r="AO354" s="590"/>
      <c r="AP354" s="590"/>
      <c r="AQ354" s="590"/>
      <c r="AR354" s="590"/>
      <c r="AS354" s="590"/>
      <c r="AT354" s="590"/>
      <c r="AU354" s="590"/>
      <c r="AV354" s="590"/>
      <c r="AW354" s="590"/>
      <c r="AX354" s="590"/>
      <c r="AY354" s="590"/>
    </row>
    <row r="355" spans="1:51" s="591" customFormat="1" ht="13.5" thickBot="1">
      <c r="A355" s="597"/>
      <c r="B355" s="597"/>
      <c r="C355" s="656" t="s">
        <v>990</v>
      </c>
      <c r="D355" s="645"/>
      <c r="E355" s="645"/>
      <c r="F355" s="645"/>
      <c r="G355" s="645"/>
      <c r="H355" s="645"/>
      <c r="I355" s="645"/>
      <c r="J355" s="645"/>
      <c r="K355" s="645"/>
      <c r="L355" s="645"/>
      <c r="M355" s="645"/>
      <c r="N355" s="645"/>
      <c r="O355" s="645"/>
      <c r="P355" s="645"/>
      <c r="Q355" s="645"/>
      <c r="R355" s="645"/>
      <c r="S355" s="645"/>
      <c r="T355" s="645"/>
      <c r="U355" s="645"/>
      <c r="V355" s="645"/>
      <c r="W355" s="645"/>
      <c r="X355" s="645"/>
      <c r="Y355" s="645"/>
      <c r="Z355" s="645"/>
      <c r="AA355" s="645"/>
      <c r="AB355" s="645"/>
      <c r="AC355" s="645"/>
      <c r="AD355" s="645"/>
      <c r="AE355" s="645"/>
      <c r="AF355" s="645"/>
      <c r="AG355" s="645"/>
      <c r="AH355" s="645"/>
      <c r="AI355" s="589"/>
      <c r="AJ355" s="590"/>
      <c r="AK355" s="590"/>
      <c r="AL355" s="590"/>
      <c r="AM355" s="590"/>
      <c r="AN355" s="590"/>
      <c r="AO355" s="590"/>
      <c r="AP355" s="590"/>
      <c r="AQ355" s="590"/>
      <c r="AR355" s="590"/>
      <c r="AS355" s="590"/>
      <c r="AT355" s="590"/>
      <c r="AU355" s="590"/>
      <c r="AV355" s="590"/>
      <c r="AW355" s="590"/>
      <c r="AX355" s="590"/>
      <c r="AY355" s="590"/>
    </row>
    <row r="356" spans="1:51" s="591" customFormat="1">
      <c r="A356" s="597" t="s">
        <v>1004</v>
      </c>
      <c r="B356" s="597"/>
      <c r="C356" s="630" t="s">
        <v>975</v>
      </c>
      <c r="D356" s="646"/>
      <c r="E356" s="630">
        <f>IF(E330=0,0,E330/E350/31.53)</f>
        <v>0.9</v>
      </c>
      <c r="F356" s="630">
        <f t="shared" ref="F356:T356" si="272">IF(F330=0,0,F330/F350/31.53)</f>
        <v>0.9</v>
      </c>
      <c r="G356" s="630">
        <f t="shared" si="272"/>
        <v>0.90000000000000013</v>
      </c>
      <c r="H356" s="630">
        <f t="shared" si="272"/>
        <v>0</v>
      </c>
      <c r="I356" s="630">
        <f t="shared" si="272"/>
        <v>9.3718011371067736E-2</v>
      </c>
      <c r="J356" s="630">
        <f t="shared" si="272"/>
        <v>0.89999999999999991</v>
      </c>
      <c r="K356" s="630">
        <f t="shared" si="272"/>
        <v>3.8947789792376157E-3</v>
      </c>
      <c r="L356" s="630">
        <f t="shared" si="272"/>
        <v>0.89999999999999991</v>
      </c>
      <c r="M356" s="630">
        <f t="shared" si="272"/>
        <v>5.8315704178110994E-2</v>
      </c>
      <c r="N356" s="630">
        <f t="shared" si="272"/>
        <v>0.33090938531816855</v>
      </c>
      <c r="O356" s="630">
        <f t="shared" si="272"/>
        <v>0.28082800986468831</v>
      </c>
      <c r="P356" s="630">
        <f t="shared" si="272"/>
        <v>0.20306440239468654</v>
      </c>
      <c r="Q356" s="630">
        <f t="shared" si="272"/>
        <v>0.9</v>
      </c>
      <c r="R356" s="630">
        <f t="shared" si="272"/>
        <v>0</v>
      </c>
      <c r="S356" s="630">
        <f t="shared" si="272"/>
        <v>6.1401253733877129E-2</v>
      </c>
      <c r="T356" s="630">
        <f t="shared" si="272"/>
        <v>0</v>
      </c>
      <c r="U356" s="630">
        <f t="shared" ref="U356:AH356" si="273">IF(U330=0,0,U330/U350/31.53)</f>
        <v>0</v>
      </c>
      <c r="V356" s="630">
        <f t="shared" si="273"/>
        <v>1.7522555910095269E-2</v>
      </c>
      <c r="W356" s="630">
        <f t="shared" si="273"/>
        <v>0</v>
      </c>
      <c r="X356" s="630">
        <f t="shared" si="273"/>
        <v>0.21631093146646671</v>
      </c>
      <c r="Y356" s="630">
        <f t="shared" si="273"/>
        <v>0</v>
      </c>
      <c r="Z356" s="630">
        <f t="shared" si="273"/>
        <v>0.10818791415565844</v>
      </c>
      <c r="AA356" s="630">
        <f t="shared" si="273"/>
        <v>4.5806919950466415E-2</v>
      </c>
      <c r="AB356" s="630">
        <f t="shared" si="273"/>
        <v>0.74987684812168154</v>
      </c>
      <c r="AC356" s="630">
        <f t="shared" si="273"/>
        <v>0.9</v>
      </c>
      <c r="AD356" s="630">
        <f t="shared" si="273"/>
        <v>2.161951342690694E-3</v>
      </c>
      <c r="AE356" s="630">
        <f t="shared" si="273"/>
        <v>0.56246872348368415</v>
      </c>
      <c r="AF356" s="630">
        <f t="shared" si="273"/>
        <v>2.865584296598055E-2</v>
      </c>
      <c r="AG356" s="630">
        <f t="shared" si="273"/>
        <v>4.6986409181144348E-3</v>
      </c>
      <c r="AH356" s="630">
        <f t="shared" si="273"/>
        <v>0.3490138054660199</v>
      </c>
      <c r="AI356" s="589"/>
      <c r="AJ356" s="590"/>
      <c r="AK356" s="590"/>
      <c r="AL356" s="590"/>
      <c r="AM356" s="590"/>
      <c r="AN356" s="590"/>
      <c r="AO356" s="590"/>
      <c r="AP356" s="590"/>
      <c r="AQ356" s="590"/>
      <c r="AR356" s="590"/>
      <c r="AS356" s="590"/>
      <c r="AT356" s="590"/>
      <c r="AU356" s="590"/>
      <c r="AV356" s="590"/>
      <c r="AW356" s="590"/>
      <c r="AX356" s="590"/>
      <c r="AY356" s="590"/>
    </row>
    <row r="357" spans="1:51" s="591" customFormat="1">
      <c r="A357" s="597" t="s">
        <v>1004</v>
      </c>
      <c r="B357" s="597"/>
      <c r="C357" s="630" t="s">
        <v>968</v>
      </c>
      <c r="D357" s="646"/>
      <c r="E357" s="630">
        <f>IF(E331=0,0,E331/E351/31.53)</f>
        <v>0</v>
      </c>
      <c r="F357" s="630">
        <f t="shared" ref="F357:T357" si="274">IF(F331=0,0,F331/F351/31.53)</f>
        <v>6.3431652394544874E-2</v>
      </c>
      <c r="G357" s="630">
        <f t="shared" si="274"/>
        <v>0</v>
      </c>
      <c r="H357" s="630">
        <f t="shared" si="274"/>
        <v>0.9</v>
      </c>
      <c r="I357" s="630">
        <f t="shared" si="274"/>
        <v>0</v>
      </c>
      <c r="J357" s="630">
        <f t="shared" si="274"/>
        <v>0</v>
      </c>
      <c r="K357" s="630">
        <f t="shared" si="274"/>
        <v>7.4003594460302358E-2</v>
      </c>
      <c r="L357" s="630">
        <f t="shared" si="274"/>
        <v>0</v>
      </c>
      <c r="M357" s="630">
        <f t="shared" si="274"/>
        <v>0.9</v>
      </c>
      <c r="N357" s="630">
        <f t="shared" si="274"/>
        <v>0</v>
      </c>
      <c r="O357" s="630">
        <f t="shared" si="274"/>
        <v>0.89999999999999991</v>
      </c>
      <c r="P357" s="630">
        <f t="shared" si="274"/>
        <v>0</v>
      </c>
      <c r="Q357" s="630">
        <f t="shared" si="274"/>
        <v>0</v>
      </c>
      <c r="R357" s="630">
        <f t="shared" si="274"/>
        <v>0</v>
      </c>
      <c r="S357" s="630">
        <f t="shared" si="274"/>
        <v>0</v>
      </c>
      <c r="T357" s="630">
        <f t="shared" si="274"/>
        <v>0</v>
      </c>
      <c r="U357" s="630">
        <f t="shared" ref="U357:AH357" si="275">IF(U331=0,0,U331/U351/31.53)</f>
        <v>8.589702928427953E-2</v>
      </c>
      <c r="V357" s="630">
        <f t="shared" si="275"/>
        <v>0</v>
      </c>
      <c r="W357" s="630">
        <f t="shared" si="275"/>
        <v>0</v>
      </c>
      <c r="X357" s="630">
        <f t="shared" si="275"/>
        <v>7.5985833597631891E-2</v>
      </c>
      <c r="Y357" s="630">
        <f t="shared" si="275"/>
        <v>0</v>
      </c>
      <c r="Z357" s="630">
        <f t="shared" si="275"/>
        <v>0</v>
      </c>
      <c r="AA357" s="630">
        <f t="shared" si="275"/>
        <v>0</v>
      </c>
      <c r="AB357" s="630">
        <f t="shared" si="275"/>
        <v>0</v>
      </c>
      <c r="AC357" s="630">
        <f t="shared" si="275"/>
        <v>0</v>
      </c>
      <c r="AD357" s="630">
        <f t="shared" si="275"/>
        <v>0</v>
      </c>
      <c r="AE357" s="630">
        <f t="shared" si="275"/>
        <v>8.3614450883718258E-2</v>
      </c>
      <c r="AF357" s="630">
        <f t="shared" si="275"/>
        <v>8.2949083900558704E-2</v>
      </c>
      <c r="AG357" s="630">
        <f t="shared" si="275"/>
        <v>0</v>
      </c>
      <c r="AH357" s="630">
        <f t="shared" si="275"/>
        <v>0</v>
      </c>
      <c r="AI357" s="589"/>
      <c r="AJ357" s="590"/>
      <c r="AK357" s="590"/>
      <c r="AL357" s="590"/>
      <c r="AM357" s="590"/>
      <c r="AN357" s="590"/>
      <c r="AO357" s="590"/>
      <c r="AP357" s="590"/>
      <c r="AQ357" s="590"/>
      <c r="AR357" s="590"/>
      <c r="AS357" s="590"/>
      <c r="AT357" s="590"/>
      <c r="AU357" s="590"/>
      <c r="AV357" s="590"/>
      <c r="AW357" s="590"/>
      <c r="AX357" s="590"/>
      <c r="AY357" s="590"/>
    </row>
    <row r="358" spans="1:51" s="591" customFormat="1">
      <c r="A358" s="597" t="s">
        <v>1004</v>
      </c>
      <c r="B358" s="597"/>
      <c r="C358" s="630" t="s">
        <v>103</v>
      </c>
      <c r="D358" s="646"/>
      <c r="E358" s="630">
        <f>IF(E332=0,0,E332/E352/31.53)</f>
        <v>0</v>
      </c>
      <c r="F358" s="630">
        <f t="shared" ref="F358:T358" si="276">IF(F332=0,0,F332/F352/31.53)</f>
        <v>0.11100539169045354</v>
      </c>
      <c r="G358" s="630">
        <f t="shared" si="276"/>
        <v>0</v>
      </c>
      <c r="H358" s="630">
        <f t="shared" si="276"/>
        <v>0</v>
      </c>
      <c r="I358" s="630">
        <f t="shared" si="276"/>
        <v>0</v>
      </c>
      <c r="J358" s="630">
        <f t="shared" si="276"/>
        <v>0</v>
      </c>
      <c r="K358" s="630">
        <f t="shared" si="276"/>
        <v>0</v>
      </c>
      <c r="L358" s="630">
        <f t="shared" si="276"/>
        <v>0.12686330478908975</v>
      </c>
      <c r="M358" s="630">
        <f t="shared" si="276"/>
        <v>0.9</v>
      </c>
      <c r="N358" s="630">
        <f t="shared" si="276"/>
        <v>0</v>
      </c>
      <c r="O358" s="630">
        <f t="shared" si="276"/>
        <v>0.2243601038399643</v>
      </c>
      <c r="P358" s="630">
        <f t="shared" si="276"/>
        <v>0</v>
      </c>
      <c r="Q358" s="630">
        <f t="shared" si="276"/>
        <v>0</v>
      </c>
      <c r="R358" s="630">
        <f t="shared" si="276"/>
        <v>0</v>
      </c>
      <c r="S358" s="630">
        <f t="shared" si="276"/>
        <v>0.34887408816999682</v>
      </c>
      <c r="T358" s="630">
        <f t="shared" si="276"/>
        <v>0</v>
      </c>
      <c r="U358" s="630">
        <f t="shared" ref="U358:AH358" si="277">IF(U332=0,0,U332/U352/31.53)</f>
        <v>0</v>
      </c>
      <c r="V358" s="630">
        <f t="shared" si="277"/>
        <v>0</v>
      </c>
      <c r="W358" s="630">
        <f t="shared" si="277"/>
        <v>0</v>
      </c>
      <c r="X358" s="630">
        <f t="shared" si="277"/>
        <v>0.19237158866083698</v>
      </c>
      <c r="Y358" s="630">
        <f t="shared" si="277"/>
        <v>0</v>
      </c>
      <c r="Z358" s="630">
        <f t="shared" si="277"/>
        <v>0</v>
      </c>
      <c r="AA358" s="630">
        <f t="shared" si="277"/>
        <v>0</v>
      </c>
      <c r="AB358" s="630">
        <f t="shared" si="277"/>
        <v>0</v>
      </c>
      <c r="AC358" s="630">
        <f t="shared" si="277"/>
        <v>0</v>
      </c>
      <c r="AD358" s="630">
        <f t="shared" si="277"/>
        <v>0.13954963526799871</v>
      </c>
      <c r="AE358" s="630">
        <f t="shared" si="277"/>
        <v>0.21185766585705182</v>
      </c>
      <c r="AF358" s="630">
        <f t="shared" si="277"/>
        <v>0</v>
      </c>
      <c r="AG358" s="630">
        <f t="shared" si="277"/>
        <v>0</v>
      </c>
      <c r="AH358" s="630">
        <f t="shared" si="277"/>
        <v>0</v>
      </c>
      <c r="AI358" s="589"/>
      <c r="AJ358" s="590"/>
      <c r="AK358" s="590"/>
      <c r="AL358" s="590"/>
      <c r="AM358" s="590"/>
      <c r="AN358" s="590"/>
      <c r="AO358" s="590"/>
      <c r="AP358" s="590"/>
      <c r="AQ358" s="590"/>
      <c r="AR358" s="590"/>
      <c r="AS358" s="590"/>
      <c r="AT358" s="590"/>
      <c r="AU358" s="590"/>
      <c r="AV358" s="590"/>
      <c r="AW358" s="590"/>
      <c r="AX358" s="590"/>
      <c r="AY358" s="590"/>
    </row>
    <row r="359" spans="1:51" s="591" customFormat="1">
      <c r="A359" s="597" t="s">
        <v>1004</v>
      </c>
      <c r="B359" s="597"/>
      <c r="C359" s="630" t="s">
        <v>102</v>
      </c>
      <c r="D359" s="646"/>
      <c r="E359" s="630">
        <f>IF(E333=0,0,E333/E353/31.53)</f>
        <v>0.26071583794387471</v>
      </c>
      <c r="F359" s="630">
        <f t="shared" ref="F359:T359" si="278">IF(F333=0,0,F333/F353/31.53)</f>
        <v>0</v>
      </c>
      <c r="G359" s="630">
        <f t="shared" si="278"/>
        <v>0</v>
      </c>
      <c r="H359" s="630">
        <f t="shared" si="278"/>
        <v>0</v>
      </c>
      <c r="I359" s="630">
        <f t="shared" si="278"/>
        <v>0.40514410239096404</v>
      </c>
      <c r="J359" s="630">
        <f t="shared" si="278"/>
        <v>0.64422771963209635</v>
      </c>
      <c r="K359" s="630">
        <f t="shared" si="278"/>
        <v>0</v>
      </c>
      <c r="L359" s="630">
        <f t="shared" si="278"/>
        <v>0</v>
      </c>
      <c r="M359" s="630">
        <f t="shared" si="278"/>
        <v>0.90000000000000013</v>
      </c>
      <c r="N359" s="630">
        <f t="shared" si="278"/>
        <v>0.57966771572861009</v>
      </c>
      <c r="O359" s="630">
        <f t="shared" si="278"/>
        <v>0.34378535486222545</v>
      </c>
      <c r="P359" s="630">
        <f t="shared" si="278"/>
        <v>0</v>
      </c>
      <c r="Q359" s="630">
        <f t="shared" si="278"/>
        <v>0</v>
      </c>
      <c r="R359" s="630">
        <f t="shared" si="278"/>
        <v>0</v>
      </c>
      <c r="S359" s="630">
        <f t="shared" si="278"/>
        <v>0.4583654077555554</v>
      </c>
      <c r="T359" s="630">
        <f t="shared" si="278"/>
        <v>0</v>
      </c>
      <c r="U359" s="630">
        <f t="shared" ref="U359:AH359" si="279">IF(U333=0,0,U333/U353/31.53)</f>
        <v>0.28544243577545192</v>
      </c>
      <c r="V359" s="630">
        <f t="shared" si="279"/>
        <v>0.19029495718363459</v>
      </c>
      <c r="W359" s="630">
        <f t="shared" si="279"/>
        <v>0</v>
      </c>
      <c r="X359" s="630">
        <f t="shared" si="279"/>
        <v>0</v>
      </c>
      <c r="Y359" s="630">
        <f t="shared" si="279"/>
        <v>0.22201078338090707</v>
      </c>
      <c r="Z359" s="630">
        <f t="shared" si="279"/>
        <v>0.15329315995348344</v>
      </c>
      <c r="AA359" s="630">
        <f t="shared" si="279"/>
        <v>0.3778320164370717</v>
      </c>
      <c r="AB359" s="630">
        <f t="shared" si="279"/>
        <v>0.42287768263029918</v>
      </c>
      <c r="AC359" s="630">
        <f t="shared" si="279"/>
        <v>0.24701749249798727</v>
      </c>
      <c r="AD359" s="630">
        <f t="shared" si="279"/>
        <v>0.38984036367480701</v>
      </c>
      <c r="AE359" s="630">
        <f t="shared" si="279"/>
        <v>0.79209272262301922</v>
      </c>
      <c r="AF359" s="630">
        <f t="shared" si="279"/>
        <v>0.51158478272228713</v>
      </c>
      <c r="AG359" s="630">
        <f t="shared" si="279"/>
        <v>0.11100539169045354</v>
      </c>
      <c r="AH359" s="630">
        <f t="shared" si="279"/>
        <v>0.78646677124317466</v>
      </c>
      <c r="AI359" s="589"/>
      <c r="AJ359" s="590"/>
      <c r="AK359" s="590"/>
      <c r="AL359" s="590"/>
      <c r="AM359" s="590"/>
      <c r="AN359" s="590"/>
      <c r="AO359" s="590"/>
      <c r="AP359" s="590"/>
      <c r="AQ359" s="590"/>
      <c r="AR359" s="590"/>
      <c r="AS359" s="590"/>
      <c r="AT359" s="590"/>
      <c r="AU359" s="590"/>
      <c r="AV359" s="590"/>
      <c r="AW359" s="590"/>
      <c r="AX359" s="590"/>
      <c r="AY359" s="590"/>
    </row>
    <row r="360" spans="1:51" s="164" customFormat="1">
      <c r="A360" s="593"/>
      <c r="B360" s="593"/>
      <c r="C360" s="629"/>
      <c r="D360" s="609"/>
      <c r="E360" s="629"/>
      <c r="F360" s="629"/>
      <c r="G360" s="629"/>
      <c r="H360" s="629"/>
      <c r="I360" s="629"/>
      <c r="J360" s="629"/>
      <c r="K360" s="629"/>
      <c r="L360" s="629"/>
      <c r="M360" s="629"/>
      <c r="N360" s="629"/>
      <c r="O360" s="629"/>
      <c r="P360" s="629"/>
      <c r="Q360" s="629"/>
      <c r="R360" s="629"/>
      <c r="S360" s="629"/>
      <c r="T360" s="629"/>
      <c r="U360" s="629"/>
      <c r="V360" s="629"/>
      <c r="W360" s="629"/>
      <c r="X360" s="629"/>
      <c r="Y360" s="629"/>
      <c r="Z360" s="629"/>
      <c r="AA360" s="629"/>
      <c r="AB360" s="629"/>
      <c r="AC360" s="629"/>
      <c r="AD360" s="629"/>
      <c r="AE360" s="629"/>
      <c r="AF360" s="629"/>
      <c r="AG360" s="629"/>
      <c r="AH360" s="629"/>
      <c r="AI360" s="509"/>
      <c r="AJ360" s="165"/>
      <c r="AK360" s="165"/>
      <c r="AL360" s="165"/>
      <c r="AM360" s="165"/>
      <c r="AN360" s="165"/>
      <c r="AO360" s="165"/>
      <c r="AP360" s="165"/>
      <c r="AQ360" s="165"/>
      <c r="AR360" s="165"/>
      <c r="AS360" s="165"/>
      <c r="AT360" s="165"/>
      <c r="AU360" s="165"/>
      <c r="AV360" s="165"/>
      <c r="AW360" s="165"/>
      <c r="AX360" s="165"/>
      <c r="AY360" s="165"/>
    </row>
    <row r="361" spans="1:51" s="164" customFormat="1" ht="13.5" thickBot="1">
      <c r="A361" s="593"/>
      <c r="B361" s="593"/>
      <c r="C361" s="626" t="s">
        <v>991</v>
      </c>
      <c r="D361" s="627">
        <f>SUM(E361:AH361)</f>
        <v>27.424398167143593</v>
      </c>
      <c r="E361" s="627">
        <f>SUM(E362:E365)</f>
        <v>1.4916714240405964</v>
      </c>
      <c r="F361" s="627">
        <f t="shared" ref="F361:AH361" si="280">SUM(F362:F365)</f>
        <v>8.6343165239454699E-3</v>
      </c>
      <c r="G361" s="627">
        <f t="shared" si="280"/>
        <v>2.1813440462346262E-2</v>
      </c>
      <c r="H361" s="627">
        <f t="shared" si="280"/>
        <v>6.1409592275434334E-3</v>
      </c>
      <c r="I361" s="627">
        <f t="shared" si="280"/>
        <v>1.1398000000000001</v>
      </c>
      <c r="J361" s="627">
        <f t="shared" si="280"/>
        <v>2.7210859498889945</v>
      </c>
      <c r="K361" s="627">
        <f t="shared" si="280"/>
        <v>6.3002151999999922E-2</v>
      </c>
      <c r="L361" s="627">
        <f t="shared" si="280"/>
        <v>6.1935370194171327E-3</v>
      </c>
      <c r="M361" s="627">
        <f t="shared" si="280"/>
        <v>2.2523993727314373</v>
      </c>
      <c r="N361" s="627">
        <f t="shared" si="280"/>
        <v>0.74539119999999981</v>
      </c>
      <c r="O361" s="627">
        <f t="shared" si="280"/>
        <v>3.6829098391996897</v>
      </c>
      <c r="P361" s="627">
        <f t="shared" si="280"/>
        <v>1.3431999999999999E-2</v>
      </c>
      <c r="Q361" s="627">
        <f t="shared" si="280"/>
        <v>2.4667864820102081E-4</v>
      </c>
      <c r="R361" s="627">
        <f t="shared" si="280"/>
        <v>1.7509519999999973E-2</v>
      </c>
      <c r="S361" s="627">
        <f t="shared" si="280"/>
        <v>2.2538399999999998</v>
      </c>
      <c r="T361" s="627">
        <f t="shared" si="280"/>
        <v>4.0045600310110299E-2</v>
      </c>
      <c r="U361" s="627">
        <f t="shared" si="280"/>
        <v>6.6480000000000011E-2</v>
      </c>
      <c r="V361" s="627">
        <f t="shared" si="280"/>
        <v>1.924E-2</v>
      </c>
      <c r="W361" s="627">
        <f t="shared" si="280"/>
        <v>0</v>
      </c>
      <c r="X361" s="627">
        <f t="shared" si="280"/>
        <v>1.5621582711111106</v>
      </c>
      <c r="Y361" s="627">
        <f t="shared" si="280"/>
        <v>1.9999999999998899E-3</v>
      </c>
      <c r="Z361" s="627">
        <f t="shared" si="280"/>
        <v>0.70003474644958952</v>
      </c>
      <c r="AA361" s="627">
        <f t="shared" si="280"/>
        <v>0.37280367903583889</v>
      </c>
      <c r="AB361" s="627">
        <f t="shared" si="280"/>
        <v>4.3599999999999972E-2</v>
      </c>
      <c r="AC361" s="627">
        <f t="shared" si="280"/>
        <v>0.20912767382034747</v>
      </c>
      <c r="AD361" s="627">
        <f t="shared" si="280"/>
        <v>0.11667999999999992</v>
      </c>
      <c r="AE361" s="627">
        <f t="shared" si="280"/>
        <v>6.3460400000000012</v>
      </c>
      <c r="AF361" s="627">
        <f t="shared" si="280"/>
        <v>1.6181178066744195</v>
      </c>
      <c r="AG361" s="627">
        <f t="shared" si="280"/>
        <v>3.5000000000000003E-2</v>
      </c>
      <c r="AH361" s="627">
        <f t="shared" si="280"/>
        <v>1.8689999999999998</v>
      </c>
      <c r="AI361" s="509"/>
      <c r="AJ361" s="165"/>
      <c r="AK361" s="165"/>
      <c r="AL361" s="165"/>
      <c r="AM361" s="165"/>
      <c r="AN361" s="165"/>
      <c r="AO361" s="165"/>
      <c r="AP361" s="165"/>
      <c r="AQ361" s="165"/>
      <c r="AR361" s="165"/>
      <c r="AS361" s="165"/>
      <c r="AT361" s="165"/>
      <c r="AU361" s="165"/>
      <c r="AV361" s="165"/>
      <c r="AW361" s="165"/>
      <c r="AX361" s="165"/>
      <c r="AY361" s="165"/>
    </row>
    <row r="362" spans="1:51" s="164" customFormat="1">
      <c r="A362" s="593"/>
      <c r="B362" s="593"/>
      <c r="C362" s="609" t="s">
        <v>975</v>
      </c>
      <c r="D362" s="609">
        <f>SUM(E362:AH362)</f>
        <v>22.370661514220444</v>
      </c>
      <c r="E362" s="583">
        <f t="shared" ref="E362:AH362" si="281">E6-E120</f>
        <v>0.95167142404059635</v>
      </c>
      <c r="F362" s="583">
        <f t="shared" si="281"/>
        <v>4.6343165239454698E-3</v>
      </c>
      <c r="G362" s="583">
        <f t="shared" si="281"/>
        <v>2.1813440462346262E-2</v>
      </c>
      <c r="H362" s="583">
        <f t="shared" si="281"/>
        <v>6.0000000000000001E-3</v>
      </c>
      <c r="I362" s="583">
        <f t="shared" si="281"/>
        <v>0.98480000000000012</v>
      </c>
      <c r="J362" s="583">
        <f t="shared" si="281"/>
        <v>2.6570859498889945</v>
      </c>
      <c r="K362" s="583">
        <f t="shared" si="281"/>
        <v>6.000215199999992E-2</v>
      </c>
      <c r="L362" s="583">
        <f t="shared" si="281"/>
        <v>5.1935370194171326E-3</v>
      </c>
      <c r="M362" s="583">
        <f t="shared" si="281"/>
        <v>2.2048256334355285</v>
      </c>
      <c r="N362" s="583">
        <f t="shared" si="281"/>
        <v>0.55039119999999975</v>
      </c>
      <c r="O362" s="583">
        <f t="shared" si="281"/>
        <v>3.3598878847999996</v>
      </c>
      <c r="P362" s="583">
        <f t="shared" si="281"/>
        <v>1.3431999999999999E-2</v>
      </c>
      <c r="Q362" s="583">
        <f t="shared" si="281"/>
        <v>2.4667864820102081E-4</v>
      </c>
      <c r="R362" s="583">
        <f t="shared" si="281"/>
        <v>1.7509519999999973E-2</v>
      </c>
      <c r="S362" s="583">
        <f t="shared" si="281"/>
        <v>2.0538400000000001</v>
      </c>
      <c r="T362" s="583">
        <f t="shared" si="281"/>
        <v>4.0045600310110299E-2</v>
      </c>
      <c r="U362" s="583">
        <f t="shared" si="281"/>
        <v>4.0480000000000002E-2</v>
      </c>
      <c r="V362" s="583">
        <f t="shared" si="281"/>
        <v>1.3240000000000002E-2</v>
      </c>
      <c r="W362" s="583">
        <f t="shared" si="281"/>
        <v>0</v>
      </c>
      <c r="X362" s="583">
        <f t="shared" si="281"/>
        <v>1.3461582711111106</v>
      </c>
      <c r="Y362" s="583">
        <f t="shared" si="281"/>
        <v>9.9999999999988987E-4</v>
      </c>
      <c r="Z362" s="583">
        <f t="shared" si="281"/>
        <v>0.69403474644958951</v>
      </c>
      <c r="AA362" s="583">
        <f t="shared" si="281"/>
        <v>0.34980367903583887</v>
      </c>
      <c r="AB362" s="583">
        <f t="shared" si="281"/>
        <v>4.0599999999999969E-2</v>
      </c>
      <c r="AC362" s="583">
        <f t="shared" si="281"/>
        <v>0.10512767382034746</v>
      </c>
      <c r="AD362" s="583">
        <f t="shared" si="281"/>
        <v>8.7679999999999925E-2</v>
      </c>
      <c r="AE362" s="583">
        <f t="shared" si="281"/>
        <v>4.6120400000000004</v>
      </c>
      <c r="AF362" s="583">
        <f t="shared" si="281"/>
        <v>1.0701178066744195</v>
      </c>
      <c r="AG362" s="583">
        <f t="shared" si="281"/>
        <v>3.1E-2</v>
      </c>
      <c r="AH362" s="583">
        <f t="shared" si="281"/>
        <v>1.048</v>
      </c>
      <c r="AI362" s="509"/>
      <c r="AJ362" s="165"/>
      <c r="AK362" s="165"/>
      <c r="AL362" s="165"/>
      <c r="AM362" s="165"/>
      <c r="AN362" s="165"/>
      <c r="AO362" s="165"/>
      <c r="AP362" s="165"/>
      <c r="AQ362" s="165"/>
      <c r="AR362" s="165"/>
      <c r="AS362" s="165"/>
      <c r="AT362" s="165"/>
      <c r="AU362" s="165"/>
      <c r="AV362" s="165"/>
      <c r="AW362" s="165"/>
      <c r="AX362" s="165"/>
      <c r="AY362" s="165"/>
    </row>
    <row r="363" spans="1:51" s="164" customFormat="1">
      <c r="A363" s="593"/>
      <c r="B363" s="593"/>
      <c r="C363" s="609" t="s">
        <v>968</v>
      </c>
      <c r="D363" s="609">
        <f>SUM(E363:AH363)</f>
        <v>0.12343154667512422</v>
      </c>
      <c r="E363" s="629">
        <f>E325+E345</f>
        <v>0</v>
      </c>
      <c r="F363" s="629">
        <f t="shared" ref="F363:AH363" si="282">F325+F345</f>
        <v>2E-3</v>
      </c>
      <c r="G363" s="629">
        <f t="shared" si="282"/>
        <v>0</v>
      </c>
      <c r="H363" s="629">
        <f t="shared" si="282"/>
        <v>1.4095922754343306E-4</v>
      </c>
      <c r="I363" s="629">
        <f t="shared" si="282"/>
        <v>0</v>
      </c>
      <c r="J363" s="629">
        <f t="shared" si="282"/>
        <v>0</v>
      </c>
      <c r="K363" s="629">
        <f t="shared" si="282"/>
        <v>3.0000000000000001E-3</v>
      </c>
      <c r="L363" s="629">
        <f t="shared" si="282"/>
        <v>0</v>
      </c>
      <c r="M363" s="629">
        <f t="shared" si="282"/>
        <v>1.2686330478908973E-3</v>
      </c>
      <c r="N363" s="629">
        <f t="shared" si="282"/>
        <v>0</v>
      </c>
      <c r="O363" s="629">
        <f t="shared" si="282"/>
        <v>1.0219543996898897E-3</v>
      </c>
      <c r="P363" s="629">
        <f t="shared" si="282"/>
        <v>0</v>
      </c>
      <c r="Q363" s="629">
        <f t="shared" si="282"/>
        <v>0</v>
      </c>
      <c r="R363" s="629">
        <f t="shared" si="282"/>
        <v>0</v>
      </c>
      <c r="S363" s="629">
        <f t="shared" si="282"/>
        <v>0</v>
      </c>
      <c r="T363" s="629">
        <f t="shared" si="282"/>
        <v>0</v>
      </c>
      <c r="U363" s="629">
        <f t="shared" si="282"/>
        <v>2.4E-2</v>
      </c>
      <c r="V363" s="629">
        <f t="shared" si="282"/>
        <v>0</v>
      </c>
      <c r="W363" s="629">
        <f t="shared" si="282"/>
        <v>0</v>
      </c>
      <c r="X363" s="629">
        <f t="shared" si="282"/>
        <v>4.8000000000000001E-2</v>
      </c>
      <c r="Y363" s="629">
        <f t="shared" si="282"/>
        <v>0</v>
      </c>
      <c r="Z363" s="629">
        <f t="shared" si="282"/>
        <v>0</v>
      </c>
      <c r="AA363" s="629">
        <f t="shared" si="282"/>
        <v>0</v>
      </c>
      <c r="AB363" s="629">
        <f t="shared" si="282"/>
        <v>0</v>
      </c>
      <c r="AC363" s="629">
        <f t="shared" si="282"/>
        <v>0</v>
      </c>
      <c r="AD363" s="629">
        <f t="shared" si="282"/>
        <v>0</v>
      </c>
      <c r="AE363" s="629">
        <f t="shared" si="282"/>
        <v>1.0999999999999999E-2</v>
      </c>
      <c r="AF363" s="629">
        <f t="shared" si="282"/>
        <v>2.5999999999999999E-2</v>
      </c>
      <c r="AG363" s="629">
        <f t="shared" si="282"/>
        <v>0</v>
      </c>
      <c r="AH363" s="629">
        <f t="shared" si="282"/>
        <v>7.0000000000000001E-3</v>
      </c>
      <c r="AI363" s="509"/>
      <c r="AJ363" s="165"/>
      <c r="AK363" s="165"/>
      <c r="AL363" s="165"/>
      <c r="AM363" s="165"/>
      <c r="AN363" s="165"/>
      <c r="AO363" s="165"/>
      <c r="AP363" s="165"/>
      <c r="AQ363" s="165"/>
      <c r="AR363" s="165"/>
      <c r="AS363" s="165"/>
      <c r="AT363" s="165"/>
      <c r="AU363" s="165"/>
      <c r="AV363" s="165"/>
      <c r="AW363" s="165"/>
      <c r="AX363" s="165"/>
      <c r="AY363" s="165"/>
    </row>
    <row r="364" spans="1:51" s="164" customFormat="1">
      <c r="A364" s="593"/>
      <c r="B364" s="593"/>
      <c r="C364" s="609" t="s">
        <v>103</v>
      </c>
      <c r="D364" s="609">
        <f>SUM(E364:AH364)</f>
        <v>1.7979029495718364</v>
      </c>
      <c r="E364" s="629">
        <f t="shared" ref="E364:AH364" si="283">E326+E346</f>
        <v>0</v>
      </c>
      <c r="F364" s="629">
        <f t="shared" si="283"/>
        <v>2E-3</v>
      </c>
      <c r="G364" s="629">
        <f t="shared" si="283"/>
        <v>0</v>
      </c>
      <c r="H364" s="629">
        <f t="shared" si="283"/>
        <v>0</v>
      </c>
      <c r="I364" s="629">
        <f t="shared" si="283"/>
        <v>0</v>
      </c>
      <c r="J364" s="629">
        <f t="shared" si="283"/>
        <v>0</v>
      </c>
      <c r="K364" s="629">
        <f t="shared" si="283"/>
        <v>0</v>
      </c>
      <c r="L364" s="629">
        <f t="shared" si="283"/>
        <v>1E-3</v>
      </c>
      <c r="M364" s="629">
        <f t="shared" si="283"/>
        <v>1.9029495718363462E-3</v>
      </c>
      <c r="N364" s="629">
        <f t="shared" si="283"/>
        <v>0</v>
      </c>
      <c r="O364" s="629">
        <f t="shared" si="283"/>
        <v>5.3999999999999999E-2</v>
      </c>
      <c r="P364" s="629">
        <f t="shared" si="283"/>
        <v>0</v>
      </c>
      <c r="Q364" s="629">
        <f t="shared" si="283"/>
        <v>0</v>
      </c>
      <c r="R364" s="629">
        <f t="shared" si="283"/>
        <v>0</v>
      </c>
      <c r="S364" s="629">
        <f t="shared" si="283"/>
        <v>1E-3</v>
      </c>
      <c r="T364" s="629">
        <f t="shared" si="283"/>
        <v>0</v>
      </c>
      <c r="U364" s="629">
        <f t="shared" si="283"/>
        <v>0</v>
      </c>
      <c r="V364" s="629">
        <f t="shared" si="283"/>
        <v>0</v>
      </c>
      <c r="W364" s="629">
        <f t="shared" si="283"/>
        <v>0</v>
      </c>
      <c r="X364" s="629">
        <f t="shared" si="283"/>
        <v>0.16800000000000001</v>
      </c>
      <c r="Y364" s="629">
        <f t="shared" si="283"/>
        <v>0</v>
      </c>
      <c r="Z364" s="629">
        <f t="shared" si="283"/>
        <v>0</v>
      </c>
      <c r="AA364" s="629">
        <f t="shared" si="283"/>
        <v>0</v>
      </c>
      <c r="AB364" s="629">
        <f t="shared" si="283"/>
        <v>0</v>
      </c>
      <c r="AC364" s="629">
        <f t="shared" si="283"/>
        <v>0</v>
      </c>
      <c r="AD364" s="629">
        <f t="shared" si="283"/>
        <v>5.0000000000000001E-3</v>
      </c>
      <c r="AE364" s="629">
        <f t="shared" si="283"/>
        <v>1.5649999999999999</v>
      </c>
      <c r="AF364" s="629">
        <f t="shared" si="283"/>
        <v>0</v>
      </c>
      <c r="AG364" s="629">
        <f t="shared" si="283"/>
        <v>0</v>
      </c>
      <c r="AH364" s="629">
        <f t="shared" si="283"/>
        <v>0</v>
      </c>
      <c r="AI364" s="509"/>
      <c r="AJ364" s="165"/>
      <c r="AK364" s="165"/>
      <c r="AL364" s="165"/>
      <c r="AM364" s="165"/>
      <c r="AN364" s="165"/>
      <c r="AO364" s="165"/>
      <c r="AP364" s="165"/>
      <c r="AQ364" s="165"/>
      <c r="AR364" s="165"/>
      <c r="AS364" s="165"/>
      <c r="AT364" s="165"/>
      <c r="AU364" s="165"/>
      <c r="AV364" s="165"/>
      <c r="AW364" s="165"/>
      <c r="AX364" s="165"/>
      <c r="AY364" s="165"/>
    </row>
    <row r="365" spans="1:51" s="164" customFormat="1">
      <c r="A365" s="593"/>
      <c r="B365" s="593"/>
      <c r="C365" s="609" t="s">
        <v>102</v>
      </c>
      <c r="D365" s="609">
        <f>SUM(E365:AH365)</f>
        <v>3.1324021566761817</v>
      </c>
      <c r="E365" s="629">
        <f t="shared" ref="E365:AH365" si="284">E327+E347</f>
        <v>0.54</v>
      </c>
      <c r="F365" s="629">
        <f t="shared" si="284"/>
        <v>0</v>
      </c>
      <c r="G365" s="629">
        <f t="shared" si="284"/>
        <v>0</v>
      </c>
      <c r="H365" s="629">
        <f t="shared" si="284"/>
        <v>0</v>
      </c>
      <c r="I365" s="629">
        <f t="shared" si="284"/>
        <v>0.155</v>
      </c>
      <c r="J365" s="629">
        <f t="shared" si="284"/>
        <v>6.4000000000000001E-2</v>
      </c>
      <c r="K365" s="629">
        <f t="shared" si="284"/>
        <v>0</v>
      </c>
      <c r="L365" s="629">
        <f t="shared" si="284"/>
        <v>0</v>
      </c>
      <c r="M365" s="629">
        <f t="shared" si="284"/>
        <v>4.4402156676181408E-2</v>
      </c>
      <c r="N365" s="629">
        <f t="shared" si="284"/>
        <v>0.19500000000000001</v>
      </c>
      <c r="O365" s="629">
        <f t="shared" si="284"/>
        <v>0.26800000000000002</v>
      </c>
      <c r="P365" s="629">
        <f t="shared" si="284"/>
        <v>0</v>
      </c>
      <c r="Q365" s="629">
        <f t="shared" si="284"/>
        <v>0</v>
      </c>
      <c r="R365" s="629">
        <f t="shared" si="284"/>
        <v>0</v>
      </c>
      <c r="S365" s="629">
        <f t="shared" si="284"/>
        <v>0.19900000000000001</v>
      </c>
      <c r="T365" s="629">
        <f t="shared" si="284"/>
        <v>0</v>
      </c>
      <c r="U365" s="629">
        <f t="shared" si="284"/>
        <v>2E-3</v>
      </c>
      <c r="V365" s="629">
        <f t="shared" si="284"/>
        <v>6.0000000000000001E-3</v>
      </c>
      <c r="W365" s="629">
        <f t="shared" si="284"/>
        <v>0</v>
      </c>
      <c r="X365" s="629">
        <f t="shared" si="284"/>
        <v>0</v>
      </c>
      <c r="Y365" s="629">
        <f t="shared" si="284"/>
        <v>1E-3</v>
      </c>
      <c r="Z365" s="629">
        <f t="shared" si="284"/>
        <v>6.0000000000000001E-3</v>
      </c>
      <c r="AA365" s="629">
        <f t="shared" si="284"/>
        <v>2.3E-2</v>
      </c>
      <c r="AB365" s="629">
        <f t="shared" si="284"/>
        <v>3.0000000000000001E-3</v>
      </c>
      <c r="AC365" s="629">
        <f t="shared" si="284"/>
        <v>0.104</v>
      </c>
      <c r="AD365" s="629">
        <f t="shared" si="284"/>
        <v>2.4E-2</v>
      </c>
      <c r="AE365" s="629">
        <f t="shared" si="284"/>
        <v>0.158</v>
      </c>
      <c r="AF365" s="629">
        <f t="shared" si="284"/>
        <v>0.52200000000000002</v>
      </c>
      <c r="AG365" s="629">
        <f t="shared" si="284"/>
        <v>4.0000000000000001E-3</v>
      </c>
      <c r="AH365" s="629">
        <f t="shared" si="284"/>
        <v>0.81399999999999995</v>
      </c>
      <c r="AI365" s="509"/>
      <c r="AJ365" s="165"/>
      <c r="AK365" s="165"/>
      <c r="AL365" s="165"/>
      <c r="AM365" s="165"/>
      <c r="AN365" s="165"/>
      <c r="AO365" s="165"/>
      <c r="AP365" s="165"/>
      <c r="AQ365" s="165"/>
      <c r="AR365" s="165"/>
      <c r="AS365" s="165"/>
      <c r="AT365" s="165"/>
      <c r="AU365" s="165"/>
      <c r="AV365" s="165"/>
      <c r="AW365" s="165"/>
      <c r="AX365" s="165"/>
      <c r="AY365" s="165"/>
    </row>
    <row r="366" spans="1:51" s="164" customFormat="1">
      <c r="A366" s="593"/>
      <c r="B366" s="593"/>
      <c r="C366" s="654"/>
      <c r="D366" s="609" t="s">
        <v>261</v>
      </c>
      <c r="E366" s="583">
        <f>SUM(E390,E397,E404,E411,E418,E425)</f>
        <v>0.95167142404059635</v>
      </c>
      <c r="F366" s="583">
        <f t="shared" ref="F366:AH366" si="285">SUM(F390,F397,F404,F411,F418,F425)</f>
        <v>4.6343165239454698E-3</v>
      </c>
      <c r="G366" s="583">
        <f t="shared" si="285"/>
        <v>2.1813440462346265E-2</v>
      </c>
      <c r="H366" s="583">
        <f t="shared" si="285"/>
        <v>6.0000000000000001E-3</v>
      </c>
      <c r="I366" s="583">
        <f t="shared" si="285"/>
        <v>0.98480000000000012</v>
      </c>
      <c r="J366" s="583">
        <f t="shared" si="285"/>
        <v>2.6570859498889945</v>
      </c>
      <c r="K366" s="583">
        <f t="shared" si="285"/>
        <v>6.000215199999992E-2</v>
      </c>
      <c r="L366" s="583">
        <f t="shared" si="285"/>
        <v>5.1935370194171335E-3</v>
      </c>
      <c r="M366" s="583">
        <f t="shared" si="285"/>
        <v>2.2048256334355285</v>
      </c>
      <c r="N366" s="583">
        <f t="shared" si="285"/>
        <v>0.55039119999999975</v>
      </c>
      <c r="O366" s="583">
        <f t="shared" si="285"/>
        <v>3.3598878847999996</v>
      </c>
      <c r="P366" s="583">
        <f t="shared" si="285"/>
        <v>1.3431999999999999E-2</v>
      </c>
      <c r="Q366" s="583">
        <f t="shared" si="285"/>
        <v>2.4667864820102081E-4</v>
      </c>
      <c r="R366" s="583">
        <f t="shared" si="285"/>
        <v>1.7509519999999973E-2</v>
      </c>
      <c r="S366" s="583">
        <f t="shared" si="285"/>
        <v>2.0538400000000001</v>
      </c>
      <c r="T366" s="583">
        <f t="shared" si="285"/>
        <v>4.0045600310110299E-2</v>
      </c>
      <c r="U366" s="583">
        <f>SUM(U390,U397,U404,U411,U418,U425)</f>
        <v>0</v>
      </c>
      <c r="V366" s="583">
        <f t="shared" si="285"/>
        <v>1.324E-2</v>
      </c>
      <c r="W366" s="583">
        <f t="shared" si="285"/>
        <v>0</v>
      </c>
      <c r="X366" s="583">
        <f t="shared" si="285"/>
        <v>1.3461582711111106</v>
      </c>
      <c r="Y366" s="583">
        <f t="shared" si="285"/>
        <v>9.9999999999988987E-4</v>
      </c>
      <c r="Z366" s="583">
        <f t="shared" si="285"/>
        <v>0.69403474644958951</v>
      </c>
      <c r="AA366" s="583">
        <f t="shared" si="285"/>
        <v>0.34980367903583887</v>
      </c>
      <c r="AB366" s="583">
        <f t="shared" si="285"/>
        <v>4.0599999999999969E-2</v>
      </c>
      <c r="AC366" s="583">
        <f t="shared" si="285"/>
        <v>0.10512767382034746</v>
      </c>
      <c r="AD366" s="583">
        <f t="shared" si="285"/>
        <v>8.7679999999999911E-2</v>
      </c>
      <c r="AE366" s="583">
        <f t="shared" si="285"/>
        <v>4.6120400000000004</v>
      </c>
      <c r="AF366" s="583">
        <f t="shared" si="285"/>
        <v>1.0701178066744195</v>
      </c>
      <c r="AG366" s="583">
        <f t="shared" si="285"/>
        <v>0</v>
      </c>
      <c r="AH366" s="583">
        <f t="shared" si="285"/>
        <v>1.048</v>
      </c>
      <c r="AI366" s="509"/>
      <c r="AJ366" s="165"/>
      <c r="AK366" s="165"/>
      <c r="AL366" s="165"/>
      <c r="AM366" s="165"/>
      <c r="AN366" s="165"/>
      <c r="AO366" s="165"/>
      <c r="AP366" s="165"/>
      <c r="AQ366" s="165"/>
      <c r="AR366" s="165"/>
      <c r="AS366" s="165"/>
      <c r="AT366" s="165"/>
      <c r="AU366" s="165"/>
      <c r="AV366" s="165"/>
      <c r="AW366" s="165"/>
      <c r="AX366" s="165"/>
      <c r="AY366" s="165"/>
    </row>
    <row r="367" spans="1:51" s="164" customFormat="1" ht="13.5" thickBot="1">
      <c r="A367" s="593"/>
      <c r="B367" s="593"/>
      <c r="C367" s="626" t="s">
        <v>992</v>
      </c>
      <c r="D367" s="627"/>
      <c r="E367" s="658"/>
      <c r="F367" s="658"/>
      <c r="G367" s="658"/>
      <c r="H367" s="658"/>
      <c r="I367" s="658"/>
      <c r="J367" s="658"/>
      <c r="K367" s="658"/>
      <c r="L367" s="658"/>
      <c r="M367" s="658"/>
      <c r="N367" s="658"/>
      <c r="O367" s="658"/>
      <c r="P367" s="658"/>
      <c r="Q367" s="658"/>
      <c r="R367" s="658"/>
      <c r="S367" s="658"/>
      <c r="T367" s="658"/>
      <c r="U367" s="658"/>
      <c r="V367" s="658"/>
      <c r="W367" s="658"/>
      <c r="X367" s="658"/>
      <c r="Y367" s="658"/>
      <c r="Z367" s="658"/>
      <c r="AA367" s="658"/>
      <c r="AB367" s="658"/>
      <c r="AC367" s="658"/>
      <c r="AD367" s="658"/>
      <c r="AE367" s="658"/>
      <c r="AF367" s="658"/>
      <c r="AG367" s="658"/>
      <c r="AH367" s="658"/>
      <c r="AI367" s="509"/>
      <c r="AJ367" s="165"/>
      <c r="AK367" s="165"/>
      <c r="AL367" s="165"/>
      <c r="AM367" s="165"/>
      <c r="AN367" s="165"/>
      <c r="AO367" s="165"/>
      <c r="AP367" s="165"/>
      <c r="AQ367" s="165"/>
      <c r="AR367" s="165"/>
      <c r="AS367" s="165"/>
      <c r="AT367" s="165"/>
      <c r="AU367" s="165"/>
      <c r="AV367" s="165"/>
      <c r="AW367" s="165"/>
      <c r="AX367" s="165"/>
      <c r="AY367" s="165"/>
    </row>
    <row r="368" spans="1:51" s="164" customFormat="1">
      <c r="A368" s="593"/>
      <c r="B368" s="593"/>
      <c r="C368" s="609" t="s">
        <v>975</v>
      </c>
      <c r="D368" s="609"/>
      <c r="E368" s="629">
        <f>IF(E330=0,0,E330/E362/31.53)</f>
        <v>0.38931954062827012</v>
      </c>
      <c r="F368" s="629">
        <f t="shared" ref="F368:AH371" si="286">IF(F330=0,0,F330/F362/31.53)</f>
        <v>0.12318642211880589</v>
      </c>
      <c r="G368" s="629">
        <f t="shared" si="286"/>
        <v>0.90000000000000013</v>
      </c>
      <c r="H368" s="629">
        <f t="shared" si="286"/>
        <v>0</v>
      </c>
      <c r="I368" s="629">
        <f t="shared" si="286"/>
        <v>7.896751201839157E-2</v>
      </c>
      <c r="J368" s="629">
        <f t="shared" si="286"/>
        <v>0.87832211637624813</v>
      </c>
      <c r="K368" s="629">
        <f t="shared" si="286"/>
        <v>3.7000470146621969E-3</v>
      </c>
      <c r="L368" s="629">
        <f t="shared" si="286"/>
        <v>0.72670769523059919</v>
      </c>
      <c r="M368" s="629">
        <f t="shared" si="286"/>
        <v>5.8315704178110994E-2</v>
      </c>
      <c r="N368" s="629">
        <f t="shared" si="286"/>
        <v>0.2136703558114415</v>
      </c>
      <c r="O368" s="629">
        <f t="shared" si="286"/>
        <v>0.25391442754382687</v>
      </c>
      <c r="P368" s="629">
        <f t="shared" si="286"/>
        <v>0.20306440239468654</v>
      </c>
      <c r="Q368" s="629">
        <f t="shared" si="286"/>
        <v>0.89999999999995273</v>
      </c>
      <c r="R368" s="629">
        <f t="shared" si="286"/>
        <v>0</v>
      </c>
      <c r="S368" s="629">
        <f t="shared" si="286"/>
        <v>5.5422087515098924E-2</v>
      </c>
      <c r="T368" s="629">
        <f t="shared" si="286"/>
        <v>0</v>
      </c>
      <c r="U368" s="629">
        <f t="shared" si="286"/>
        <v>0</v>
      </c>
      <c r="V368" s="629">
        <f t="shared" si="286"/>
        <v>9.5818206034055699E-3</v>
      </c>
      <c r="W368" s="629">
        <f t="shared" si="286"/>
        <v>0</v>
      </c>
      <c r="X368" s="629">
        <f t="shared" si="286"/>
        <v>0.18160241152535175</v>
      </c>
      <c r="Y368" s="629">
        <f t="shared" si="286"/>
        <v>0</v>
      </c>
      <c r="Z368" s="629">
        <f t="shared" si="286"/>
        <v>0.10725261878571532</v>
      </c>
      <c r="AA368" s="629">
        <f t="shared" si="286"/>
        <v>4.2795061522434313E-2</v>
      </c>
      <c r="AB368" s="629">
        <f t="shared" si="286"/>
        <v>0.69446722880234524</v>
      </c>
      <c r="AC368" s="629">
        <f t="shared" si="286"/>
        <v>9.6540368623307532E-3</v>
      </c>
      <c r="AD368" s="629">
        <f t="shared" si="286"/>
        <v>1.44688988126243E-3</v>
      </c>
      <c r="AE368" s="629">
        <f t="shared" si="286"/>
        <v>0.3509959768204487</v>
      </c>
      <c r="AF368" s="629">
        <f t="shared" si="286"/>
        <v>2.3591605985405145E-2</v>
      </c>
      <c r="AG368" s="629">
        <f t="shared" si="286"/>
        <v>4.0923646706157984E-3</v>
      </c>
      <c r="AH368" s="629">
        <f t="shared" si="286"/>
        <v>7.5597455954949003E-2</v>
      </c>
      <c r="AI368" s="509"/>
      <c r="AJ368" s="165"/>
      <c r="AK368" s="165"/>
      <c r="AL368" s="165"/>
      <c r="AM368" s="165"/>
      <c r="AN368" s="165"/>
      <c r="AO368" s="165"/>
      <c r="AP368" s="165"/>
      <c r="AQ368" s="165"/>
      <c r="AR368" s="165"/>
      <c r="AS368" s="165"/>
      <c r="AT368" s="165"/>
      <c r="AU368" s="165"/>
      <c r="AV368" s="165"/>
      <c r="AW368" s="165"/>
      <c r="AX368" s="165"/>
      <c r="AY368" s="165"/>
    </row>
    <row r="369" spans="1:67" s="164" customFormat="1">
      <c r="A369" s="593"/>
      <c r="B369" s="593"/>
      <c r="C369" s="609" t="s">
        <v>968</v>
      </c>
      <c r="D369" s="609"/>
      <c r="E369" s="629">
        <f>IF(E331=0,0,E331/E363/31.53)</f>
        <v>0</v>
      </c>
      <c r="F369" s="629">
        <f t="shared" ref="F369:T369" si="287">IF(F331=0,0,F331/F363/31.53)</f>
        <v>6.3431652394544874E-2</v>
      </c>
      <c r="G369" s="629">
        <f t="shared" si="287"/>
        <v>0</v>
      </c>
      <c r="H369" s="629">
        <f t="shared" si="287"/>
        <v>0.9</v>
      </c>
      <c r="I369" s="629">
        <f t="shared" si="287"/>
        <v>0</v>
      </c>
      <c r="J369" s="629">
        <f t="shared" si="287"/>
        <v>0</v>
      </c>
      <c r="K369" s="629">
        <f t="shared" si="287"/>
        <v>7.4003594460302358E-2</v>
      </c>
      <c r="L369" s="629">
        <f t="shared" si="287"/>
        <v>0</v>
      </c>
      <c r="M369" s="629">
        <f t="shared" si="287"/>
        <v>0.9</v>
      </c>
      <c r="N369" s="629">
        <f t="shared" si="287"/>
        <v>0</v>
      </c>
      <c r="O369" s="629">
        <f t="shared" si="287"/>
        <v>0.89999999999999991</v>
      </c>
      <c r="P369" s="629">
        <f t="shared" si="287"/>
        <v>0</v>
      </c>
      <c r="Q369" s="629">
        <f t="shared" si="287"/>
        <v>0</v>
      </c>
      <c r="R369" s="629">
        <f t="shared" si="287"/>
        <v>0</v>
      </c>
      <c r="S369" s="629">
        <f t="shared" si="287"/>
        <v>0</v>
      </c>
      <c r="T369" s="629">
        <f t="shared" si="287"/>
        <v>0</v>
      </c>
      <c r="U369" s="629">
        <f t="shared" si="286"/>
        <v>8.589702928427953E-2</v>
      </c>
      <c r="V369" s="629">
        <f t="shared" si="286"/>
        <v>0</v>
      </c>
      <c r="W369" s="629">
        <f t="shared" si="286"/>
        <v>0</v>
      </c>
      <c r="X369" s="629">
        <f t="shared" si="286"/>
        <v>7.5985833597631891E-2</v>
      </c>
      <c r="Y369" s="629">
        <f t="shared" si="286"/>
        <v>0</v>
      </c>
      <c r="Z369" s="629">
        <f t="shared" si="286"/>
        <v>0</v>
      </c>
      <c r="AA369" s="629">
        <f t="shared" si="286"/>
        <v>0</v>
      </c>
      <c r="AB369" s="629">
        <f t="shared" si="286"/>
        <v>0</v>
      </c>
      <c r="AC369" s="629">
        <f t="shared" si="286"/>
        <v>0</v>
      </c>
      <c r="AD369" s="629">
        <f t="shared" si="286"/>
        <v>0</v>
      </c>
      <c r="AE369" s="629">
        <f t="shared" si="286"/>
        <v>8.3614450883718258E-2</v>
      </c>
      <c r="AF369" s="629">
        <f t="shared" si="286"/>
        <v>8.2949083900558704E-2</v>
      </c>
      <c r="AG369" s="629">
        <f t="shared" si="286"/>
        <v>0</v>
      </c>
      <c r="AH369" s="629">
        <f t="shared" si="286"/>
        <v>0</v>
      </c>
      <c r="AI369" s="509"/>
      <c r="AJ369" s="165"/>
      <c r="AK369" s="165"/>
      <c r="AL369" s="165"/>
      <c r="AM369" s="165"/>
      <c r="AN369" s="165"/>
      <c r="AO369" s="165"/>
      <c r="AP369" s="165"/>
      <c r="AQ369" s="165"/>
      <c r="AR369" s="165"/>
      <c r="AS369" s="165"/>
      <c r="AT369" s="165"/>
      <c r="AU369" s="165"/>
      <c r="AV369" s="165"/>
      <c r="AW369" s="165"/>
      <c r="AX369" s="165"/>
      <c r="AY369" s="165"/>
    </row>
    <row r="370" spans="1:67" s="164" customFormat="1">
      <c r="A370" s="593"/>
      <c r="B370" s="593"/>
      <c r="C370" s="609" t="s">
        <v>103</v>
      </c>
      <c r="D370" s="609"/>
      <c r="E370" s="629">
        <f>IF(E332=0,0,E332/E364/31.53)</f>
        <v>0</v>
      </c>
      <c r="F370" s="629">
        <f t="shared" si="286"/>
        <v>0.11100539169045354</v>
      </c>
      <c r="G370" s="629">
        <f t="shared" si="286"/>
        <v>0</v>
      </c>
      <c r="H370" s="629">
        <f t="shared" si="286"/>
        <v>0</v>
      </c>
      <c r="I370" s="629">
        <f t="shared" si="286"/>
        <v>0</v>
      </c>
      <c r="J370" s="629">
        <f t="shared" si="286"/>
        <v>0</v>
      </c>
      <c r="K370" s="629">
        <f t="shared" si="286"/>
        <v>0</v>
      </c>
      <c r="L370" s="629">
        <f t="shared" si="286"/>
        <v>0.12686330478908975</v>
      </c>
      <c r="M370" s="629">
        <f t="shared" si="286"/>
        <v>0.9</v>
      </c>
      <c r="N370" s="629">
        <f t="shared" si="286"/>
        <v>0</v>
      </c>
      <c r="O370" s="629">
        <f t="shared" si="286"/>
        <v>0.2243601038399643</v>
      </c>
      <c r="P370" s="629">
        <f t="shared" si="286"/>
        <v>0</v>
      </c>
      <c r="Q370" s="629">
        <f t="shared" si="286"/>
        <v>0</v>
      </c>
      <c r="R370" s="629">
        <f t="shared" si="286"/>
        <v>0</v>
      </c>
      <c r="S370" s="629">
        <f t="shared" si="286"/>
        <v>0.34887408816999682</v>
      </c>
      <c r="T370" s="629">
        <f t="shared" si="286"/>
        <v>0</v>
      </c>
      <c r="U370" s="629">
        <f t="shared" si="286"/>
        <v>0</v>
      </c>
      <c r="V370" s="629">
        <f t="shared" si="286"/>
        <v>0</v>
      </c>
      <c r="W370" s="629">
        <f t="shared" si="286"/>
        <v>0</v>
      </c>
      <c r="X370" s="629">
        <f t="shared" si="286"/>
        <v>0.19237158866083698</v>
      </c>
      <c r="Y370" s="629">
        <f t="shared" si="286"/>
        <v>0</v>
      </c>
      <c r="Z370" s="629">
        <f t="shared" si="286"/>
        <v>0</v>
      </c>
      <c r="AA370" s="629">
        <f t="shared" si="286"/>
        <v>0</v>
      </c>
      <c r="AB370" s="629">
        <f t="shared" si="286"/>
        <v>0</v>
      </c>
      <c r="AC370" s="629">
        <f t="shared" si="286"/>
        <v>0</v>
      </c>
      <c r="AD370" s="629">
        <f t="shared" si="286"/>
        <v>0.13954963526799871</v>
      </c>
      <c r="AE370" s="629">
        <f t="shared" si="286"/>
        <v>0.21185766585705182</v>
      </c>
      <c r="AF370" s="629">
        <f t="shared" si="286"/>
        <v>0</v>
      </c>
      <c r="AG370" s="629">
        <f t="shared" si="286"/>
        <v>0</v>
      </c>
      <c r="AH370" s="629">
        <f t="shared" si="286"/>
        <v>0</v>
      </c>
      <c r="AI370" s="509"/>
      <c r="AJ370" s="165"/>
      <c r="AK370" s="165"/>
      <c r="AL370" s="165"/>
      <c r="AM370" s="165"/>
      <c r="AN370" s="165"/>
      <c r="AO370" s="165"/>
      <c r="AP370" s="165"/>
      <c r="AQ370" s="165"/>
      <c r="AR370" s="165"/>
      <c r="AS370" s="165"/>
      <c r="AT370" s="165"/>
      <c r="AU370" s="165"/>
      <c r="AV370" s="165"/>
      <c r="AW370" s="165"/>
      <c r="AX370" s="165"/>
      <c r="AY370" s="165"/>
    </row>
    <row r="371" spans="1:67" s="164" customFormat="1">
      <c r="A371" s="593"/>
      <c r="B371" s="593"/>
      <c r="C371" s="609" t="s">
        <v>102</v>
      </c>
      <c r="D371" s="609"/>
      <c r="E371" s="629">
        <f>IF(E333=0,0,E333/E365/31.53)</f>
        <v>0.26071583794387471</v>
      </c>
      <c r="F371" s="629">
        <f t="shared" si="286"/>
        <v>0</v>
      </c>
      <c r="G371" s="629">
        <f t="shared" si="286"/>
        <v>0</v>
      </c>
      <c r="H371" s="629">
        <f t="shared" si="286"/>
        <v>0</v>
      </c>
      <c r="I371" s="629">
        <f t="shared" si="286"/>
        <v>0.40514410239096404</v>
      </c>
      <c r="J371" s="629">
        <f t="shared" si="286"/>
        <v>0.64422771963209635</v>
      </c>
      <c r="K371" s="629">
        <f t="shared" si="286"/>
        <v>0</v>
      </c>
      <c r="L371" s="629">
        <f t="shared" si="286"/>
        <v>0</v>
      </c>
      <c r="M371" s="629">
        <f t="shared" si="286"/>
        <v>0.90000000000000013</v>
      </c>
      <c r="N371" s="629">
        <f t="shared" si="286"/>
        <v>0.57966771572861009</v>
      </c>
      <c r="O371" s="629">
        <f t="shared" si="286"/>
        <v>0.34378535486222545</v>
      </c>
      <c r="P371" s="629">
        <f t="shared" si="286"/>
        <v>0</v>
      </c>
      <c r="Q371" s="629">
        <f t="shared" si="286"/>
        <v>0</v>
      </c>
      <c r="R371" s="629">
        <f t="shared" si="286"/>
        <v>0</v>
      </c>
      <c r="S371" s="629">
        <f t="shared" si="286"/>
        <v>0.4583654077555554</v>
      </c>
      <c r="T371" s="629">
        <f t="shared" si="286"/>
        <v>0</v>
      </c>
      <c r="U371" s="629">
        <f t="shared" si="286"/>
        <v>0.28544243577545192</v>
      </c>
      <c r="V371" s="629">
        <f t="shared" si="286"/>
        <v>0.19029495718363459</v>
      </c>
      <c r="W371" s="629">
        <f t="shared" si="286"/>
        <v>0</v>
      </c>
      <c r="X371" s="629">
        <f t="shared" si="286"/>
        <v>0</v>
      </c>
      <c r="Y371" s="629">
        <f t="shared" si="286"/>
        <v>0.22201078338090707</v>
      </c>
      <c r="Z371" s="629">
        <f t="shared" si="286"/>
        <v>0.15329315995348344</v>
      </c>
      <c r="AA371" s="629">
        <f t="shared" si="286"/>
        <v>0.3778320164370717</v>
      </c>
      <c r="AB371" s="629">
        <f t="shared" si="286"/>
        <v>0.42287768263029918</v>
      </c>
      <c r="AC371" s="629">
        <f t="shared" si="286"/>
        <v>0.24701749249798727</v>
      </c>
      <c r="AD371" s="629">
        <f t="shared" si="286"/>
        <v>0.38984036367480701</v>
      </c>
      <c r="AE371" s="629">
        <f t="shared" si="286"/>
        <v>0.79209272262301922</v>
      </c>
      <c r="AF371" s="629">
        <f t="shared" si="286"/>
        <v>0.51158478272228713</v>
      </c>
      <c r="AG371" s="629">
        <f t="shared" si="286"/>
        <v>0.11100539169045354</v>
      </c>
      <c r="AH371" s="629">
        <f t="shared" si="286"/>
        <v>0.78646677124317466</v>
      </c>
      <c r="AI371" s="509"/>
      <c r="AJ371" s="165"/>
      <c r="AK371" s="165"/>
      <c r="AL371" s="165"/>
      <c r="AM371" s="165"/>
      <c r="AN371" s="491"/>
      <c r="AO371" s="508"/>
      <c r="AP371" s="510"/>
      <c r="AQ371" s="509"/>
      <c r="AR371" s="509"/>
      <c r="AS371" s="509"/>
      <c r="AT371" s="509"/>
      <c r="AU371" s="509"/>
      <c r="AV371" s="509"/>
      <c r="AW371" s="509"/>
      <c r="AX371" s="509"/>
      <c r="AY371" s="509"/>
      <c r="AZ371" s="509"/>
      <c r="BA371" s="509"/>
    </row>
    <row r="372" spans="1:67" s="164" customFormat="1">
      <c r="A372" s="593"/>
      <c r="B372" s="593"/>
      <c r="C372" s="638"/>
      <c r="D372" s="609"/>
      <c r="E372" s="629"/>
      <c r="F372" s="629"/>
      <c r="G372" s="629"/>
      <c r="H372" s="629"/>
      <c r="I372" s="629"/>
      <c r="J372" s="629"/>
      <c r="K372" s="629"/>
      <c r="L372" s="629"/>
      <c r="M372" s="629"/>
      <c r="N372" s="629"/>
      <c r="O372" s="629"/>
      <c r="P372" s="629"/>
      <c r="Q372" s="629"/>
      <c r="R372" s="629"/>
      <c r="S372" s="629"/>
      <c r="T372" s="629"/>
      <c r="U372" s="629"/>
      <c r="V372" s="629"/>
      <c r="W372" s="629"/>
      <c r="X372" s="629"/>
      <c r="Y372" s="629"/>
      <c r="Z372" s="629"/>
      <c r="AA372" s="629"/>
      <c r="AB372" s="629"/>
      <c r="AC372" s="629"/>
      <c r="AD372" s="629"/>
      <c r="AE372" s="629"/>
      <c r="AF372" s="629"/>
      <c r="AG372" s="629"/>
      <c r="AH372" s="629"/>
      <c r="AI372" s="509"/>
      <c r="AJ372" s="165"/>
      <c r="AK372" s="165"/>
      <c r="AL372" s="165"/>
      <c r="AM372" s="165"/>
      <c r="AN372" s="491"/>
      <c r="AO372" s="508"/>
      <c r="AP372" s="510"/>
      <c r="AQ372" s="509"/>
      <c r="AR372" s="509"/>
      <c r="AS372" s="509"/>
      <c r="AT372" s="509"/>
      <c r="AU372" s="509"/>
      <c r="AV372" s="509"/>
      <c r="AW372" s="509"/>
      <c r="AX372" s="509"/>
      <c r="AY372" s="509"/>
      <c r="AZ372" s="509"/>
      <c r="BA372" s="509"/>
    </row>
    <row r="373" spans="1:67" s="164" customFormat="1">
      <c r="A373" s="593"/>
      <c r="B373" s="593"/>
      <c r="C373" s="639" t="s">
        <v>979</v>
      </c>
      <c r="D373" s="629"/>
      <c r="E373" s="617">
        <f>'Eurostat Resume'!F96</f>
        <v>0.54</v>
      </c>
      <c r="F373" s="617">
        <f>'Eurostat Resume'!G96</f>
        <v>4.0000000000000036E-3</v>
      </c>
      <c r="G373" s="617">
        <f>'Eurostat Resume'!H96</f>
        <v>0</v>
      </c>
      <c r="H373" s="617">
        <f>'Eurostat Resume'!I96</f>
        <v>0</v>
      </c>
      <c r="I373" s="617">
        <f>'Eurostat Resume'!J96</f>
        <v>0.1549999999999998</v>
      </c>
      <c r="J373" s="617">
        <f>'Eurostat Resume'!K96</f>
        <v>6.4000000000000057E-2</v>
      </c>
      <c r="K373" s="617">
        <f>'Eurostat Resume'!L96</f>
        <v>3.0000000000000027E-3</v>
      </c>
      <c r="L373" s="617">
        <f>'Eurostat Resume'!M96</f>
        <v>1.0000000000000009E-3</v>
      </c>
      <c r="M373" s="617">
        <f>'Eurostat Resume'!N96</f>
        <v>0</v>
      </c>
      <c r="N373" s="617">
        <f>'Eurostat Resume'!O96</f>
        <v>0.19499999999999984</v>
      </c>
      <c r="O373" s="617">
        <f>'Eurostat Resume'!P96</f>
        <v>0.32200000000000006</v>
      </c>
      <c r="P373" s="617">
        <f>'Eurostat Resume'!Q96</f>
        <v>0</v>
      </c>
      <c r="Q373" s="617">
        <f>'Eurostat Resume'!R96</f>
        <v>0</v>
      </c>
      <c r="R373" s="617">
        <f>'Eurostat Resume'!S96</f>
        <v>0</v>
      </c>
      <c r="S373" s="617">
        <f>'Eurostat Resume'!T96</f>
        <v>0.20000000000000018</v>
      </c>
      <c r="T373" s="617">
        <f>'Eurostat Resume'!U96</f>
        <v>0</v>
      </c>
      <c r="U373" s="617">
        <f>'Eurostat Resume'!V96</f>
        <v>2.5999999999999995E-2</v>
      </c>
      <c r="V373" s="617">
        <f>'Eurostat Resume'!W96</f>
        <v>5.9999999999999984E-3</v>
      </c>
      <c r="W373" s="617">
        <f>'Eurostat Resume'!X96</f>
        <v>0</v>
      </c>
      <c r="X373" s="617">
        <f>'Eurostat Resume'!Y96</f>
        <v>0.21600000000000019</v>
      </c>
      <c r="Y373" s="617">
        <f>'Eurostat Resume'!Z96</f>
        <v>9.9999999999988987E-4</v>
      </c>
      <c r="Z373" s="617">
        <f>'Eurostat Resume'!AA96</f>
        <v>6.0000000000000053E-3</v>
      </c>
      <c r="AA373" s="617">
        <f>'Eurostat Resume'!AB96</f>
        <v>2.300000000000002E-2</v>
      </c>
      <c r="AB373" s="617">
        <f>'Eurostat Resume'!AC96</f>
        <v>3.0000000000000027E-3</v>
      </c>
      <c r="AC373" s="617">
        <f>'Eurostat Resume'!AD96</f>
        <v>0.104</v>
      </c>
      <c r="AD373" s="617">
        <f>'Eurostat Resume'!AE96</f>
        <v>2.9000000000000026E-2</v>
      </c>
      <c r="AE373" s="617">
        <f>'Eurostat Resume'!AF96</f>
        <v>1.734</v>
      </c>
      <c r="AF373" s="617">
        <f>'Eurostat Resume'!AG96</f>
        <v>0.54800000000000004</v>
      </c>
      <c r="AG373" s="617">
        <f>'Eurostat Resume'!AH96</f>
        <v>4.0000000000000001E-3</v>
      </c>
      <c r="AH373" s="617">
        <f>'Eurostat Resume'!AI96</f>
        <v>0.82099999999999995</v>
      </c>
      <c r="AI373" s="165"/>
      <c r="AJ373" s="165"/>
      <c r="AK373" s="165"/>
      <c r="AL373" s="165"/>
      <c r="AM373" s="165"/>
      <c r="AN373" s="165"/>
      <c r="AO373" s="165"/>
      <c r="AP373" s="165"/>
      <c r="AQ373" s="165"/>
      <c r="AR373" s="165"/>
      <c r="AS373" s="165"/>
      <c r="AT373" s="165"/>
      <c r="AU373" s="165"/>
      <c r="AV373" s="165"/>
      <c r="AW373" s="165"/>
      <c r="AX373" s="165"/>
    </row>
    <row r="374" spans="1:67" s="164" customFormat="1">
      <c r="A374" s="593"/>
      <c r="B374" s="593"/>
      <c r="C374" s="616" t="s">
        <v>977</v>
      </c>
      <c r="D374" s="629"/>
      <c r="E374" s="617">
        <f t="shared" ref="E374:AH374" si="288">E373+E343</f>
        <v>0.54</v>
      </c>
      <c r="F374" s="617">
        <f t="shared" si="288"/>
        <v>4.0000000000000036E-3</v>
      </c>
      <c r="G374" s="617">
        <f t="shared" si="288"/>
        <v>0</v>
      </c>
      <c r="H374" s="617">
        <f t="shared" si="288"/>
        <v>0</v>
      </c>
      <c r="I374" s="617">
        <f t="shared" si="288"/>
        <v>0.1549999999999998</v>
      </c>
      <c r="J374" s="617">
        <f t="shared" si="288"/>
        <v>6.4000000000000057E-2</v>
      </c>
      <c r="K374" s="617">
        <f t="shared" si="288"/>
        <v>3.0000000000000027E-3</v>
      </c>
      <c r="L374" s="617">
        <f t="shared" si="288"/>
        <v>1.0000000000000009E-3</v>
      </c>
      <c r="M374" s="617">
        <f t="shared" si="288"/>
        <v>0</v>
      </c>
      <c r="N374" s="617">
        <f t="shared" si="288"/>
        <v>0.19499999999999984</v>
      </c>
      <c r="O374" s="617">
        <f t="shared" si="288"/>
        <v>0.32200000000000006</v>
      </c>
      <c r="P374" s="617">
        <f t="shared" si="288"/>
        <v>0</v>
      </c>
      <c r="Q374" s="617">
        <f t="shared" si="288"/>
        <v>0</v>
      </c>
      <c r="R374" s="617">
        <f t="shared" si="288"/>
        <v>0</v>
      </c>
      <c r="S374" s="617">
        <f t="shared" si="288"/>
        <v>0.20000000000000018</v>
      </c>
      <c r="T374" s="617">
        <f t="shared" si="288"/>
        <v>0</v>
      </c>
      <c r="U374" s="617">
        <f t="shared" si="288"/>
        <v>2.5999999999999995E-2</v>
      </c>
      <c r="V374" s="617">
        <f t="shared" si="288"/>
        <v>5.9999999999999984E-3</v>
      </c>
      <c r="W374" s="617">
        <f t="shared" si="288"/>
        <v>0</v>
      </c>
      <c r="X374" s="617">
        <f t="shared" si="288"/>
        <v>0.21600000000000019</v>
      </c>
      <c r="Y374" s="617">
        <f t="shared" si="288"/>
        <v>9.9999999999988987E-4</v>
      </c>
      <c r="Z374" s="617">
        <f t="shared" si="288"/>
        <v>6.0000000000000053E-3</v>
      </c>
      <c r="AA374" s="617">
        <f t="shared" si="288"/>
        <v>2.300000000000002E-2</v>
      </c>
      <c r="AB374" s="617">
        <f t="shared" si="288"/>
        <v>3.0000000000000027E-3</v>
      </c>
      <c r="AC374" s="617">
        <f t="shared" si="288"/>
        <v>0.104</v>
      </c>
      <c r="AD374" s="617">
        <f t="shared" si="288"/>
        <v>2.9000000000000026E-2</v>
      </c>
      <c r="AE374" s="617">
        <f t="shared" si="288"/>
        <v>1.734</v>
      </c>
      <c r="AF374" s="617">
        <f t="shared" si="288"/>
        <v>0.54800000000000004</v>
      </c>
      <c r="AG374" s="617">
        <f t="shared" si="288"/>
        <v>4.0000000000000001E-3</v>
      </c>
      <c r="AH374" s="617">
        <f t="shared" si="288"/>
        <v>0.82099999999999995</v>
      </c>
      <c r="AI374" s="165"/>
      <c r="AJ374" s="165"/>
      <c r="AK374" s="165"/>
      <c r="AL374" s="165"/>
      <c r="AM374" s="165"/>
      <c r="AN374" s="165"/>
      <c r="AO374" s="165"/>
      <c r="AP374" s="165"/>
      <c r="AQ374" s="165"/>
      <c r="AR374" s="165"/>
      <c r="AS374" s="165"/>
      <c r="AT374" s="165"/>
      <c r="AU374" s="165"/>
      <c r="AV374" s="165"/>
      <c r="AW374" s="165"/>
      <c r="AX374" s="165"/>
    </row>
    <row r="375" spans="1:67" s="164" customFormat="1">
      <c r="A375" s="593"/>
      <c r="B375" s="593"/>
      <c r="C375" s="639" t="s">
        <v>978</v>
      </c>
      <c r="D375" s="629"/>
      <c r="E375" s="617">
        <f t="shared" ref="E375:AH375" si="289">E6-E374</f>
        <v>1.2129999999999999</v>
      </c>
      <c r="F375" s="617">
        <f t="shared" si="289"/>
        <v>0.49</v>
      </c>
      <c r="G375" s="617">
        <f t="shared" si="289"/>
        <v>0.26300000000000001</v>
      </c>
      <c r="H375" s="617">
        <f t="shared" si="289"/>
        <v>6.0000000000000001E-3</v>
      </c>
      <c r="I375" s="617">
        <f t="shared" si="289"/>
        <v>2.1350000000000002</v>
      </c>
      <c r="J375" s="617">
        <f t="shared" si="289"/>
        <v>10.557</v>
      </c>
      <c r="K375" s="617">
        <f t="shared" si="289"/>
        <v>0.63600000000000001</v>
      </c>
      <c r="L375" s="617">
        <f t="shared" si="289"/>
        <v>3.1E-2</v>
      </c>
      <c r="M375" s="617">
        <f t="shared" si="289"/>
        <v>6.4809999999999999</v>
      </c>
      <c r="N375" s="617">
        <f t="shared" si="289"/>
        <v>2.27</v>
      </c>
      <c r="O375" s="617">
        <f t="shared" si="289"/>
        <v>6.4329999999999998</v>
      </c>
      <c r="P375" s="617">
        <f t="shared" si="289"/>
        <v>0.25700000000000001</v>
      </c>
      <c r="Q375" s="617">
        <f t="shared" si="289"/>
        <v>0.13500000000000001</v>
      </c>
      <c r="R375" s="617">
        <f t="shared" si="289"/>
        <v>0.14499999999999999</v>
      </c>
      <c r="S375" s="617">
        <f t="shared" si="289"/>
        <v>4.6399999999999997</v>
      </c>
      <c r="T375" s="617">
        <f t="shared" si="289"/>
        <v>6.2E-2</v>
      </c>
      <c r="U375" s="617">
        <f t="shared" si="289"/>
        <v>0.10600000000000001</v>
      </c>
      <c r="V375" s="617">
        <f t="shared" si="289"/>
        <v>2.7000000000000003E-2</v>
      </c>
      <c r="W375" s="617">
        <f t="shared" si="289"/>
        <v>0</v>
      </c>
      <c r="X375" s="617">
        <f t="shared" si="289"/>
        <v>2.78</v>
      </c>
      <c r="Y375" s="617">
        <f t="shared" si="289"/>
        <v>2.0529999999999999</v>
      </c>
      <c r="Z375" s="617">
        <f t="shared" si="289"/>
        <v>1.306</v>
      </c>
      <c r="AA375" s="617">
        <f t="shared" si="289"/>
        <v>0.60399999999999998</v>
      </c>
      <c r="AB375" s="617">
        <f t="shared" si="289"/>
        <v>0.98399999999999999</v>
      </c>
      <c r="AC375" s="617">
        <f t="shared" si="289"/>
        <v>7.8E-2</v>
      </c>
      <c r="AD375" s="617">
        <f t="shared" si="289"/>
        <v>0.53499999999999992</v>
      </c>
      <c r="AE375" s="617">
        <f t="shared" si="289"/>
        <v>6.6340000000000003</v>
      </c>
      <c r="AF375" s="617">
        <f t="shared" si="289"/>
        <v>0.88100000000000001</v>
      </c>
      <c r="AG375" s="617">
        <f t="shared" si="289"/>
        <v>2.7E-2</v>
      </c>
      <c r="AH375" s="617">
        <f t="shared" si="289"/>
        <v>0.22700000000000009</v>
      </c>
      <c r="AI375" s="165"/>
      <c r="AJ375" s="165"/>
      <c r="AK375" s="165"/>
      <c r="AL375" s="165"/>
      <c r="AM375" s="165"/>
      <c r="AN375" s="165"/>
      <c r="AO375" s="165"/>
      <c r="AP375" s="165"/>
      <c r="AQ375" s="165"/>
      <c r="AR375" s="165"/>
      <c r="AS375" s="165"/>
      <c r="AT375" s="165"/>
      <c r="AU375" s="165"/>
      <c r="AV375" s="165"/>
      <c r="AW375" s="165"/>
      <c r="AX375" s="165"/>
    </row>
    <row r="376" spans="1:67" s="164" customFormat="1">
      <c r="A376" s="593"/>
      <c r="B376" s="593"/>
      <c r="C376" s="638"/>
      <c r="D376" s="609"/>
      <c r="E376" s="629"/>
      <c r="F376" s="629"/>
      <c r="G376" s="629"/>
      <c r="H376" s="629"/>
      <c r="I376" s="629"/>
      <c r="J376" s="629"/>
      <c r="K376" s="629"/>
      <c r="L376" s="629"/>
      <c r="M376" s="629"/>
      <c r="N376" s="629"/>
      <c r="O376" s="629"/>
      <c r="P376" s="629"/>
      <c r="Q376" s="629"/>
      <c r="R376" s="629"/>
      <c r="S376" s="629"/>
      <c r="T376" s="629"/>
      <c r="U376" s="629"/>
      <c r="V376" s="629"/>
      <c r="W376" s="629"/>
      <c r="X376" s="629"/>
      <c r="Y376" s="629"/>
      <c r="Z376" s="629"/>
      <c r="AA376" s="629"/>
      <c r="AB376" s="629"/>
      <c r="AC376" s="629"/>
      <c r="AD376" s="629"/>
      <c r="AE376" s="629"/>
      <c r="AF376" s="629"/>
      <c r="AG376" s="629"/>
      <c r="AH376" s="629"/>
      <c r="AI376" s="509"/>
      <c r="AJ376" s="165"/>
      <c r="AK376" s="165"/>
      <c r="AL376" s="165"/>
      <c r="AM376" s="165"/>
      <c r="AN376" s="491"/>
      <c r="AO376" s="165"/>
      <c r="AP376" s="165"/>
      <c r="AQ376" s="165"/>
      <c r="AR376" s="165"/>
      <c r="AS376" s="165"/>
      <c r="AT376" s="165"/>
      <c r="AU376" s="509"/>
      <c r="AV376" s="509"/>
      <c r="AW376" s="509"/>
      <c r="AX376" s="509"/>
      <c r="AY376" s="509"/>
      <c r="AZ376" s="509"/>
      <c r="BA376" s="509"/>
    </row>
    <row r="377" spans="1:67" s="180" customFormat="1" ht="15" customHeight="1">
      <c r="A377" s="593"/>
      <c r="B377" s="593"/>
      <c r="C377" s="640" t="s">
        <v>1054</v>
      </c>
      <c r="D377" s="609"/>
      <c r="E377" s="629"/>
      <c r="F377" s="629"/>
      <c r="G377" s="629"/>
      <c r="H377" s="629"/>
      <c r="I377" s="629"/>
      <c r="J377" s="629"/>
      <c r="K377" s="629"/>
      <c r="L377" s="629"/>
      <c r="M377" s="629"/>
      <c r="N377" s="629"/>
      <c r="O377" s="629"/>
      <c r="P377" s="629"/>
      <c r="Q377" s="629"/>
      <c r="R377" s="629"/>
      <c r="S377" s="629"/>
      <c r="T377" s="629"/>
      <c r="U377" s="629"/>
      <c r="V377" s="629"/>
      <c r="W377" s="629"/>
      <c r="X377" s="629"/>
      <c r="Y377" s="629"/>
      <c r="Z377" s="629"/>
      <c r="AA377" s="629"/>
      <c r="AB377" s="629"/>
      <c r="AC377" s="629"/>
      <c r="AD377" s="629"/>
      <c r="AE377" s="629"/>
      <c r="AF377" s="629"/>
      <c r="AG377" s="629"/>
      <c r="AH377" s="629"/>
      <c r="AI377" s="509"/>
      <c r="AJ377" s="165"/>
      <c r="AK377" s="165"/>
      <c r="AL377" s="165"/>
      <c r="AM377" s="165"/>
      <c r="AN377" s="491"/>
      <c r="AO377" s="165"/>
      <c r="AP377" s="165"/>
      <c r="AQ377" s="165"/>
      <c r="AR377" s="165"/>
      <c r="AS377" s="165"/>
      <c r="AT377" s="165"/>
      <c r="AU377" s="509"/>
      <c r="AV377" s="509"/>
      <c r="AW377" s="509"/>
      <c r="AX377" s="509"/>
      <c r="AY377" s="509"/>
      <c r="AZ377" s="509"/>
      <c r="BA377" s="509"/>
      <c r="BB377" s="164"/>
      <c r="BC377" s="164"/>
      <c r="BD377" s="164"/>
      <c r="BE377" s="164"/>
      <c r="BF377" s="164"/>
      <c r="BG377" s="164"/>
      <c r="BH377" s="164"/>
      <c r="BI377" s="164"/>
      <c r="BJ377" s="164"/>
      <c r="BK377" s="164"/>
      <c r="BL377" s="164"/>
      <c r="BM377" s="164"/>
      <c r="BN377" s="164"/>
      <c r="BO377" s="164"/>
    </row>
    <row r="378" spans="1:67" s="180" customFormat="1">
      <c r="A378" s="593"/>
      <c r="B378" s="593"/>
      <c r="C378" s="638"/>
      <c r="D378" s="609"/>
      <c r="E378" s="629"/>
      <c r="F378" s="629"/>
      <c r="G378" s="629"/>
      <c r="H378" s="629"/>
      <c r="I378" s="629"/>
      <c r="J378" s="629"/>
      <c r="K378" s="629"/>
      <c r="L378" s="629"/>
      <c r="M378" s="629"/>
      <c r="N378" s="629"/>
      <c r="O378" s="629"/>
      <c r="P378" s="629"/>
      <c r="Q378" s="629"/>
      <c r="R378" s="629"/>
      <c r="S378" s="629"/>
      <c r="T378" s="629"/>
      <c r="U378" s="629"/>
      <c r="V378" s="629"/>
      <c r="W378" s="629"/>
      <c r="X378" s="629"/>
      <c r="Y378" s="629"/>
      <c r="Z378" s="629"/>
      <c r="AA378" s="629"/>
      <c r="AB378" s="629"/>
      <c r="AC378" s="629"/>
      <c r="AD378" s="629"/>
      <c r="AE378" s="629"/>
      <c r="AF378" s="629"/>
      <c r="AG378" s="629"/>
      <c r="AH378" s="629"/>
      <c r="AI378" s="509"/>
      <c r="AJ378" s="165"/>
      <c r="AK378" s="165"/>
      <c r="AL378" s="165"/>
      <c r="AM378" s="165"/>
      <c r="AN378" s="491"/>
      <c r="AO378" s="165"/>
      <c r="AP378" s="165"/>
      <c r="AQ378" s="165"/>
      <c r="AR378" s="165"/>
      <c r="AS378" s="165"/>
      <c r="AT378" s="165"/>
      <c r="AU378" s="509"/>
      <c r="AV378" s="509"/>
      <c r="AW378" s="509"/>
      <c r="AX378" s="509"/>
      <c r="AY378" s="509"/>
      <c r="AZ378" s="509"/>
      <c r="BA378" s="509"/>
      <c r="BB378" s="164"/>
      <c r="BC378" s="164"/>
      <c r="BD378" s="164"/>
      <c r="BE378" s="164"/>
      <c r="BF378" s="164"/>
      <c r="BG378" s="164"/>
      <c r="BH378" s="164"/>
      <c r="BI378" s="164"/>
      <c r="BJ378" s="164"/>
      <c r="BK378" s="164"/>
      <c r="BL378" s="164"/>
      <c r="BM378" s="164"/>
      <c r="BN378" s="164"/>
      <c r="BO378" s="164"/>
    </row>
    <row r="379" spans="1:67" s="180" customFormat="1" ht="13.5" thickBot="1">
      <c r="A379" s="593"/>
      <c r="B379" s="593"/>
      <c r="C379" s="620" t="s">
        <v>1053</v>
      </c>
      <c r="D379" s="621">
        <f>SUM(E379:AH379)</f>
        <v>613.32300000000009</v>
      </c>
      <c r="E379" s="620">
        <f t="shared" ref="E379:AH379" si="290">SUM(E380:E386)</f>
        <v>23.445999999999998</v>
      </c>
      <c r="F379" s="620">
        <f t="shared" si="290"/>
        <v>35.677</v>
      </c>
      <c r="G379" s="620">
        <f t="shared" si="290"/>
        <v>0.78700000000000003</v>
      </c>
      <c r="H379" s="620">
        <f t="shared" si="290"/>
        <v>0.224</v>
      </c>
      <c r="I379" s="620">
        <f t="shared" si="290"/>
        <v>8.92</v>
      </c>
      <c r="J379" s="620">
        <f t="shared" si="290"/>
        <v>206.85299999999998</v>
      </c>
      <c r="K379" s="620">
        <f t="shared" si="290"/>
        <v>0.02</v>
      </c>
      <c r="L379" s="620">
        <f t="shared" si="290"/>
        <v>0.187</v>
      </c>
      <c r="M379" s="620">
        <f t="shared" si="290"/>
        <v>13.178000000000001</v>
      </c>
      <c r="N379" s="620">
        <f t="shared" si="290"/>
        <v>8.3320000000000007</v>
      </c>
      <c r="O379" s="620">
        <f t="shared" si="290"/>
        <v>73.602000000000004</v>
      </c>
      <c r="P379" s="620">
        <f t="shared" si="290"/>
        <v>0.21299999999999999</v>
      </c>
      <c r="Q379" s="620">
        <f t="shared" si="290"/>
        <v>1.6E-2</v>
      </c>
      <c r="R379" s="620">
        <f t="shared" si="290"/>
        <v>1.6E-2</v>
      </c>
      <c r="S379" s="620">
        <f t="shared" si="290"/>
        <v>42.301000000000002</v>
      </c>
      <c r="T379" s="620">
        <f t="shared" si="290"/>
        <v>0</v>
      </c>
      <c r="U379" s="620">
        <f t="shared" si="290"/>
        <v>0</v>
      </c>
      <c r="V379" s="620">
        <f t="shared" si="290"/>
        <v>1.9E-2</v>
      </c>
      <c r="W379" s="620">
        <f t="shared" si="290"/>
        <v>0</v>
      </c>
      <c r="X379" s="620">
        <f t="shared" si="290"/>
        <v>16.541999999999998</v>
      </c>
      <c r="Y379" s="620">
        <f t="shared" si="290"/>
        <v>3.7370000000000001</v>
      </c>
      <c r="Z379" s="620">
        <f t="shared" si="290"/>
        <v>4.9039999999999999</v>
      </c>
      <c r="AA379" s="620">
        <f t="shared" si="290"/>
        <v>1.194</v>
      </c>
      <c r="AB379" s="620">
        <f t="shared" si="290"/>
        <v>6.2149999999999999</v>
      </c>
      <c r="AC379" s="620">
        <f t="shared" si="290"/>
        <v>0.13600000000000001</v>
      </c>
      <c r="AD379" s="620">
        <f t="shared" si="290"/>
        <v>6.0000000000000001E-3</v>
      </c>
      <c r="AE379" s="620">
        <f t="shared" si="290"/>
        <v>157.01</v>
      </c>
      <c r="AF379" s="620">
        <f t="shared" si="290"/>
        <v>6.16</v>
      </c>
      <c r="AG379" s="620">
        <f t="shared" si="290"/>
        <v>0</v>
      </c>
      <c r="AH379" s="620">
        <f t="shared" si="290"/>
        <v>3.6279999999999997</v>
      </c>
      <c r="AI379" s="509"/>
      <c r="AJ379" s="165"/>
      <c r="AK379" s="165"/>
      <c r="AL379" s="165"/>
      <c r="AM379" s="165"/>
      <c r="AN379" s="491"/>
      <c r="AO379" s="165"/>
      <c r="AP379" s="165"/>
      <c r="AQ379" s="165"/>
      <c r="AR379" s="165"/>
      <c r="AS379" s="165"/>
      <c r="AT379" s="165"/>
      <c r="AU379" s="509"/>
      <c r="AV379" s="509"/>
      <c r="AW379" s="509"/>
      <c r="AX379" s="509"/>
      <c r="AY379" s="509"/>
      <c r="AZ379" s="509"/>
      <c r="BA379" s="509"/>
      <c r="BB379" s="164"/>
      <c r="BC379" s="164"/>
      <c r="BD379" s="164"/>
      <c r="BE379" s="164"/>
      <c r="BF379" s="164"/>
      <c r="BG379" s="164"/>
      <c r="BH379" s="164"/>
      <c r="BI379" s="164"/>
      <c r="BJ379" s="164"/>
      <c r="BK379" s="164"/>
      <c r="BL379" s="164"/>
      <c r="BM379" s="164"/>
      <c r="BN379" s="164"/>
      <c r="BO379" s="164"/>
    </row>
    <row r="380" spans="1:67" s="180" customFormat="1" ht="15" customHeight="1">
      <c r="A380" s="593" t="s">
        <v>1008</v>
      </c>
      <c r="B380" s="664"/>
      <c r="C380" s="623" t="s">
        <v>69</v>
      </c>
      <c r="D380" s="622">
        <f>SUM(E380:AH380)</f>
        <v>158.12199999999999</v>
      </c>
      <c r="E380" s="607">
        <f>'Eurostat Resume'!F29</f>
        <v>0.20699999999999999</v>
      </c>
      <c r="F380" s="607">
        <f>'Eurostat Resume'!G29</f>
        <v>0</v>
      </c>
      <c r="G380" s="607">
        <f>'Eurostat Resume'!H29</f>
        <v>0</v>
      </c>
      <c r="H380" s="607">
        <f>'Eurostat Resume'!I29</f>
        <v>0</v>
      </c>
      <c r="I380" s="607">
        <f>'Eurostat Resume'!J29</f>
        <v>6.7229999999999999</v>
      </c>
      <c r="J380" s="607">
        <f>'Eurostat Resume'!K29</f>
        <v>110.99</v>
      </c>
      <c r="K380" s="607">
        <f>'Eurostat Resume'!L29</f>
        <v>0</v>
      </c>
      <c r="L380" s="607">
        <f>'Eurostat Resume'!M29</f>
        <v>0</v>
      </c>
      <c r="M380" s="607">
        <f>'Eurostat Resume'!N29</f>
        <v>0</v>
      </c>
      <c r="N380" s="607">
        <f>'Eurostat Resume'!O29</f>
        <v>4.8000000000000001E-2</v>
      </c>
      <c r="O380" s="607">
        <f>'Eurostat Resume'!P29</f>
        <v>6.8120000000000003</v>
      </c>
      <c r="P380" s="607">
        <f>'Eurostat Resume'!Q29</f>
        <v>0</v>
      </c>
      <c r="Q380" s="607">
        <f>'Eurostat Resume'!R29</f>
        <v>0</v>
      </c>
      <c r="R380" s="607">
        <f>'Eurostat Resume'!S29</f>
        <v>0</v>
      </c>
      <c r="S380" s="607">
        <f>'Eurostat Resume'!T29</f>
        <v>1.4890000000000001</v>
      </c>
      <c r="T380" s="607">
        <f>'Eurostat Resume'!U29</f>
        <v>0</v>
      </c>
      <c r="U380" s="607">
        <f>'Eurostat Resume'!V29</f>
        <v>0</v>
      </c>
      <c r="V380" s="607">
        <f>'Eurostat Resume'!W29</f>
        <v>0</v>
      </c>
      <c r="W380" s="607">
        <f>'Eurostat Resume'!X29</f>
        <v>0</v>
      </c>
      <c r="X380" s="607">
        <f>'Eurostat Resume'!Y29</f>
        <v>0</v>
      </c>
      <c r="Y380" s="607">
        <f>'Eurostat Resume'!Z29</f>
        <v>0</v>
      </c>
      <c r="Z380" s="607">
        <f>'Eurostat Resume'!AA29</f>
        <v>0</v>
      </c>
      <c r="AA380" s="607">
        <f>'Eurostat Resume'!AB29</f>
        <v>0</v>
      </c>
      <c r="AB380" s="607">
        <f>'Eurostat Resume'!AC29</f>
        <v>0</v>
      </c>
      <c r="AC380" s="607">
        <f>'Eurostat Resume'!AD29</f>
        <v>0</v>
      </c>
      <c r="AD380" s="607">
        <f>'Eurostat Resume'!AE29</f>
        <v>0</v>
      </c>
      <c r="AE380" s="607">
        <f>'Eurostat Resume'!AF29</f>
        <v>31.853000000000002</v>
      </c>
      <c r="AF380" s="607">
        <f>'Eurostat Resume'!AG29</f>
        <v>0</v>
      </c>
      <c r="AG380" s="607">
        <f>'Eurostat Resume'!AH29</f>
        <v>0</v>
      </c>
      <c r="AH380" s="607">
        <f>'Eurostat Resume'!AI29</f>
        <v>0</v>
      </c>
      <c r="AI380" s="509"/>
      <c r="AJ380" s="165"/>
      <c r="AK380" s="165"/>
      <c r="AL380" s="165"/>
      <c r="AM380" s="165"/>
      <c r="AN380" s="491"/>
      <c r="AO380" s="165"/>
      <c r="AP380" s="165"/>
      <c r="AQ380" s="165"/>
      <c r="AR380" s="165"/>
      <c r="AS380" s="165"/>
      <c r="AT380" s="165"/>
      <c r="AU380" s="509"/>
      <c r="AV380" s="509"/>
      <c r="AW380" s="509"/>
      <c r="AX380" s="509"/>
      <c r="AY380" s="509"/>
      <c r="AZ380" s="509"/>
      <c r="BA380" s="509"/>
      <c r="BB380" s="164"/>
      <c r="BC380" s="164"/>
      <c r="BD380" s="164"/>
      <c r="BE380" s="164"/>
      <c r="BF380" s="164"/>
      <c r="BG380" s="164"/>
      <c r="BH380" s="164"/>
      <c r="BI380" s="164"/>
      <c r="BJ380" s="164"/>
      <c r="BK380" s="164"/>
      <c r="BL380" s="164"/>
      <c r="BM380" s="164"/>
      <c r="BN380" s="164"/>
      <c r="BO380" s="164"/>
    </row>
    <row r="381" spans="1:67" s="180" customFormat="1" ht="12" customHeight="1">
      <c r="A381" s="593" t="s">
        <v>1008</v>
      </c>
      <c r="B381" s="664"/>
      <c r="C381" s="623" t="s">
        <v>304</v>
      </c>
      <c r="D381" s="622">
        <f t="shared" ref="D381:D386" si="291">SUM(E381:AH381)</f>
        <v>4.17</v>
      </c>
      <c r="E381" s="607">
        <f>'Eurostat Resume'!F32</f>
        <v>0</v>
      </c>
      <c r="F381" s="607">
        <f>'Eurostat Resume'!G32</f>
        <v>0</v>
      </c>
      <c r="G381" s="607">
        <f>'Eurostat Resume'!H32</f>
        <v>0.09</v>
      </c>
      <c r="H381" s="607">
        <f>'Eurostat Resume'!I32</f>
        <v>0</v>
      </c>
      <c r="I381" s="607">
        <f>'Eurostat Resume'!J32</f>
        <v>0</v>
      </c>
      <c r="J381" s="607">
        <f>'Eurostat Resume'!K32</f>
        <v>4.03</v>
      </c>
      <c r="K381" s="607">
        <f>'Eurostat Resume'!L32</f>
        <v>0</v>
      </c>
      <c r="L381" s="607">
        <f>'Eurostat Resume'!M32</f>
        <v>0</v>
      </c>
      <c r="M381" s="607">
        <f>'Eurostat Resume'!N32</f>
        <v>0</v>
      </c>
      <c r="N381" s="607">
        <f>'Eurostat Resume'!O32</f>
        <v>0</v>
      </c>
      <c r="O381" s="607">
        <f>'Eurostat Resume'!P32</f>
        <v>0</v>
      </c>
      <c r="P381" s="607">
        <f>'Eurostat Resume'!Q32</f>
        <v>0</v>
      </c>
      <c r="Q381" s="607">
        <f>'Eurostat Resume'!R32</f>
        <v>0</v>
      </c>
      <c r="R381" s="607">
        <f>'Eurostat Resume'!S32</f>
        <v>0</v>
      </c>
      <c r="S381" s="607">
        <f>'Eurostat Resume'!T32</f>
        <v>0.05</v>
      </c>
      <c r="T381" s="607">
        <f>'Eurostat Resume'!U32</f>
        <v>0</v>
      </c>
      <c r="U381" s="607">
        <f>'Eurostat Resume'!V32</f>
        <v>0</v>
      </c>
      <c r="V381" s="607">
        <f>'Eurostat Resume'!W32</f>
        <v>0</v>
      </c>
      <c r="W381" s="607">
        <f>'Eurostat Resume'!X32</f>
        <v>0</v>
      </c>
      <c r="X381" s="607">
        <f>'Eurostat Resume'!Y32</f>
        <v>0</v>
      </c>
      <c r="Y381" s="607">
        <f>'Eurostat Resume'!Z32</f>
        <v>0</v>
      </c>
      <c r="Z381" s="607">
        <f>'Eurostat Resume'!AA32</f>
        <v>0</v>
      </c>
      <c r="AA381" s="607">
        <f>'Eurostat Resume'!AB32</f>
        <v>0</v>
      </c>
      <c r="AB381" s="607">
        <f>'Eurostat Resume'!AC32</f>
        <v>0</v>
      </c>
      <c r="AC381" s="607">
        <f>'Eurostat Resume'!AD32</f>
        <v>0</v>
      </c>
      <c r="AD381" s="607">
        <f>'Eurostat Resume'!AE32</f>
        <v>0</v>
      </c>
      <c r="AE381" s="607">
        <f>'Eurostat Resume'!AF32</f>
        <v>0</v>
      </c>
      <c r="AF381" s="607">
        <f>'Eurostat Resume'!AG32</f>
        <v>0</v>
      </c>
      <c r="AG381" s="607">
        <f>'Eurostat Resume'!AH32</f>
        <v>0</v>
      </c>
      <c r="AH381" s="607">
        <f>'Eurostat Resume'!AI32</f>
        <v>0</v>
      </c>
      <c r="AI381" s="509"/>
      <c r="AJ381" s="165"/>
      <c r="AK381" s="165"/>
      <c r="AL381" s="165"/>
      <c r="AM381" s="165"/>
      <c r="AN381" s="491"/>
      <c r="AO381" s="165"/>
      <c r="AP381" s="165"/>
      <c r="AQ381" s="165"/>
      <c r="AR381" s="165"/>
      <c r="AS381" s="165"/>
      <c r="AT381" s="165"/>
      <c r="AU381" s="509"/>
      <c r="AV381" s="509"/>
      <c r="AW381" s="509"/>
      <c r="AX381" s="509"/>
      <c r="AY381" s="509"/>
      <c r="AZ381" s="509"/>
      <c r="BA381" s="509"/>
      <c r="BB381" s="164"/>
      <c r="BC381" s="164"/>
      <c r="BD381" s="164"/>
      <c r="BE381" s="164"/>
      <c r="BF381" s="164"/>
      <c r="BG381" s="164"/>
      <c r="BH381" s="164"/>
      <c r="BI381" s="164"/>
      <c r="BJ381" s="164"/>
      <c r="BK381" s="164"/>
      <c r="BL381" s="164"/>
      <c r="BM381" s="164"/>
      <c r="BN381" s="164"/>
      <c r="BO381" s="164"/>
    </row>
    <row r="382" spans="1:67" s="180" customFormat="1">
      <c r="A382" s="593" t="s">
        <v>1008</v>
      </c>
      <c r="B382" s="664"/>
      <c r="C382" s="623" t="s">
        <v>70</v>
      </c>
      <c r="D382" s="622">
        <f t="shared" si="291"/>
        <v>50.147999999999996</v>
      </c>
      <c r="E382" s="607">
        <f>'Eurostat Resume'!F31-E381</f>
        <v>0.12</v>
      </c>
      <c r="F382" s="607">
        <f>'Eurostat Resume'!G31-F381</f>
        <v>0</v>
      </c>
      <c r="G382" s="607">
        <f>'Eurostat Resume'!H31-G381</f>
        <v>0.68800000000000006</v>
      </c>
      <c r="H382" s="607">
        <f>'Eurostat Resume'!I31-H381</f>
        <v>0</v>
      </c>
      <c r="I382" s="607">
        <f>'Eurostat Resume'!J31-I381</f>
        <v>1.292</v>
      </c>
      <c r="J382" s="607">
        <f>'Eurostat Resume'!K31-J381</f>
        <v>15.75</v>
      </c>
      <c r="K382" s="607">
        <f>'Eurostat Resume'!L31-K381</f>
        <v>0</v>
      </c>
      <c r="L382" s="607">
        <f>'Eurostat Resume'!M31-L381</f>
        <v>0</v>
      </c>
      <c r="M382" s="607">
        <f>'Eurostat Resume'!N31-M381</f>
        <v>0</v>
      </c>
      <c r="N382" s="607">
        <f>'Eurostat Resume'!O31-N381</f>
        <v>0.36</v>
      </c>
      <c r="O382" s="607">
        <f>'Eurostat Resume'!P31-O381</f>
        <v>9.6449999999999996</v>
      </c>
      <c r="P382" s="607">
        <f>'Eurostat Resume'!Q31-P381</f>
        <v>0</v>
      </c>
      <c r="Q382" s="607">
        <f>'Eurostat Resume'!R31-Q381</f>
        <v>0</v>
      </c>
      <c r="R382" s="607">
        <f>'Eurostat Resume'!S31-R381</f>
        <v>0</v>
      </c>
      <c r="S382" s="607">
        <f>'Eurostat Resume'!T31-S381</f>
        <v>19.805</v>
      </c>
      <c r="T382" s="607">
        <f>'Eurostat Resume'!U31-T381</f>
        <v>0</v>
      </c>
      <c r="U382" s="607">
        <f>'Eurostat Resume'!V31-U381</f>
        <v>0</v>
      </c>
      <c r="V382" s="607">
        <f>'Eurostat Resume'!W31-V381</f>
        <v>0</v>
      </c>
      <c r="W382" s="607">
        <f>'Eurostat Resume'!X31-W381</f>
        <v>0</v>
      </c>
      <c r="X382" s="607">
        <f>'Eurostat Resume'!Y31-X381</f>
        <v>0</v>
      </c>
      <c r="Y382" s="607">
        <f>'Eurostat Resume'!Z31-Y381</f>
        <v>0</v>
      </c>
      <c r="Z382" s="607">
        <f>'Eurostat Resume'!AA31-Z381</f>
        <v>0.16300000000000001</v>
      </c>
      <c r="AA382" s="607">
        <f>'Eurostat Resume'!AB31-AA381</f>
        <v>0.68300000000000005</v>
      </c>
      <c r="AB382" s="607">
        <f>'Eurostat Resume'!AC31-AB381</f>
        <v>0.04</v>
      </c>
      <c r="AC382" s="607">
        <f>'Eurostat Resume'!AD31-AC381</f>
        <v>0</v>
      </c>
      <c r="AD382" s="607">
        <f>'Eurostat Resume'!AE31-AD381</f>
        <v>0</v>
      </c>
      <c r="AE382" s="607">
        <f>'Eurostat Resume'!AF31-AE381</f>
        <v>0.68</v>
      </c>
      <c r="AF382" s="607">
        <f>'Eurostat Resume'!AG31-AF381</f>
        <v>0.83699999999999997</v>
      </c>
      <c r="AG382" s="607">
        <f>'Eurostat Resume'!AH31-AG381</f>
        <v>0</v>
      </c>
      <c r="AH382" s="607">
        <f>'Eurostat Resume'!AI31-AH381</f>
        <v>8.5000000000000006E-2</v>
      </c>
      <c r="AI382" s="509"/>
      <c r="AJ382" s="165"/>
      <c r="AK382" s="165"/>
      <c r="AL382" s="165"/>
      <c r="AM382" s="165"/>
      <c r="AN382" s="491"/>
      <c r="AO382" s="165"/>
      <c r="AP382" s="165"/>
      <c r="AQ382" s="165"/>
      <c r="AR382" s="165"/>
      <c r="AS382" s="165"/>
      <c r="AT382" s="165"/>
      <c r="AU382" s="509"/>
      <c r="AV382" s="509"/>
      <c r="AW382" s="509"/>
      <c r="AX382" s="509"/>
      <c r="AY382" s="509"/>
      <c r="AZ382" s="509"/>
      <c r="BA382" s="509"/>
      <c r="BB382" s="164"/>
      <c r="BC382" s="164"/>
      <c r="BD382" s="164"/>
      <c r="BE382" s="164"/>
      <c r="BF382" s="164"/>
      <c r="BG382" s="164"/>
      <c r="BH382" s="164"/>
      <c r="BI382" s="164"/>
      <c r="BJ382" s="164"/>
      <c r="BK382" s="164"/>
      <c r="BL382" s="164"/>
      <c r="BM382" s="164"/>
      <c r="BN382" s="164"/>
      <c r="BO382" s="164"/>
    </row>
    <row r="383" spans="1:67" s="180" customFormat="1">
      <c r="A383" s="593" t="s">
        <v>1008</v>
      </c>
      <c r="B383" s="664"/>
      <c r="C383" s="623" t="s">
        <v>305</v>
      </c>
      <c r="D383" s="622">
        <f t="shared" si="291"/>
        <v>91.593999999999994</v>
      </c>
      <c r="E383" s="607">
        <f>'Eurostat Resume'!F36-E384</f>
        <v>8.9310000000000009</v>
      </c>
      <c r="F383" s="607">
        <f>'Eurostat Resume'!G36-F384</f>
        <v>0</v>
      </c>
      <c r="G383" s="607">
        <f>'Eurostat Resume'!H36-G384</f>
        <v>0</v>
      </c>
      <c r="H383" s="607">
        <f>'Eurostat Resume'!I36-H384</f>
        <v>0</v>
      </c>
      <c r="I383" s="607">
        <f>'Eurostat Resume'!J36-I384</f>
        <v>0.45900000000000002</v>
      </c>
      <c r="J383" s="607">
        <f>'Eurostat Resume'!K36-J384</f>
        <v>30.914999999999999</v>
      </c>
      <c r="K383" s="607">
        <f>'Eurostat Resume'!L36-K384</f>
        <v>0</v>
      </c>
      <c r="L383" s="607">
        <f>'Eurostat Resume'!M36-L384</f>
        <v>7.0000000000000062E-3</v>
      </c>
      <c r="M383" s="607">
        <f>'Eurostat Resume'!N36-M384</f>
        <v>0</v>
      </c>
      <c r="N383" s="607">
        <f>'Eurostat Resume'!O36-N384</f>
        <v>0.26700000000000035</v>
      </c>
      <c r="O383" s="607">
        <f>'Eurostat Resume'!P36-O384</f>
        <v>20.414999999999999</v>
      </c>
      <c r="P383" s="607">
        <f>'Eurostat Resume'!Q36-P384</f>
        <v>0.21299999999999999</v>
      </c>
      <c r="Q383" s="607">
        <f>'Eurostat Resume'!R36-Q384</f>
        <v>1.6E-2</v>
      </c>
      <c r="R383" s="607">
        <f>'Eurostat Resume'!S36-R384</f>
        <v>0</v>
      </c>
      <c r="S383" s="607">
        <f>'Eurostat Resume'!T36-S384</f>
        <v>2.6799999999999997</v>
      </c>
      <c r="T383" s="607">
        <f>'Eurostat Resume'!U36-T384</f>
        <v>0</v>
      </c>
      <c r="U383" s="607">
        <f>'Eurostat Resume'!V36-U384</f>
        <v>0</v>
      </c>
      <c r="V383" s="607">
        <f>'Eurostat Resume'!W36-V384</f>
        <v>0</v>
      </c>
      <c r="W383" s="607">
        <f>'Eurostat Resume'!X36-W384</f>
        <v>0</v>
      </c>
      <c r="X383" s="607">
        <f>'Eurostat Resume'!Y36-X384</f>
        <v>1.252</v>
      </c>
      <c r="Y383" s="607">
        <f>'Eurostat Resume'!Z36-Y384</f>
        <v>0</v>
      </c>
      <c r="Z383" s="607">
        <f>'Eurostat Resume'!AA36-Z384</f>
        <v>7.2999999999999995E-2</v>
      </c>
      <c r="AA383" s="607">
        <f>'Eurostat Resume'!AB36-AA384</f>
        <v>0.22600000000000001</v>
      </c>
      <c r="AB383" s="607">
        <f>'Eurostat Resume'!AC36-AB384</f>
        <v>0</v>
      </c>
      <c r="AC383" s="607">
        <f>'Eurostat Resume'!AD36-AC384</f>
        <v>0</v>
      </c>
      <c r="AD383" s="607">
        <f>'Eurostat Resume'!AE36-AD384</f>
        <v>0</v>
      </c>
      <c r="AE383" s="607">
        <f>'Eurostat Resume'!AF36-AE384</f>
        <v>20.384</v>
      </c>
      <c r="AF383" s="607">
        <f>'Eurostat Resume'!AG36-AF384</f>
        <v>3.726</v>
      </c>
      <c r="AG383" s="607">
        <f>'Eurostat Resume'!AH36-AG384</f>
        <v>0</v>
      </c>
      <c r="AH383" s="607">
        <f>'Eurostat Resume'!AI36-AH384</f>
        <v>2.0299999999999998</v>
      </c>
      <c r="AI383" s="509"/>
      <c r="AJ383" s="165"/>
      <c r="AK383" s="165"/>
      <c r="AL383" s="165"/>
      <c r="AM383" s="165"/>
      <c r="AN383" s="491"/>
      <c r="AO383" s="165"/>
      <c r="AP383" s="165"/>
      <c r="AQ383" s="165"/>
      <c r="AR383" s="165"/>
      <c r="AS383" s="165"/>
      <c r="AT383" s="165"/>
      <c r="AU383" s="509"/>
      <c r="AV383" s="509"/>
      <c r="AW383" s="509"/>
      <c r="AX383" s="509"/>
      <c r="AY383" s="509"/>
      <c r="AZ383" s="509"/>
      <c r="BA383" s="509"/>
      <c r="BB383" s="164"/>
      <c r="BC383" s="164"/>
      <c r="BD383" s="164"/>
      <c r="BE383" s="164"/>
      <c r="BF383" s="164"/>
      <c r="BG383" s="164"/>
      <c r="BH383" s="164"/>
      <c r="BI383" s="164"/>
      <c r="BJ383" s="164"/>
      <c r="BK383" s="164"/>
      <c r="BL383" s="164"/>
      <c r="BM383" s="164"/>
      <c r="BN383" s="164"/>
      <c r="BO383" s="164"/>
    </row>
    <row r="384" spans="1:67" s="180" customFormat="1">
      <c r="A384" s="593" t="s">
        <v>1008</v>
      </c>
      <c r="B384" s="664"/>
      <c r="C384" s="623" t="s">
        <v>306</v>
      </c>
      <c r="D384" s="622">
        <f t="shared" si="291"/>
        <v>127.254</v>
      </c>
      <c r="E384" s="607">
        <f>'Eurostat Resume'!F37</f>
        <v>13.206</v>
      </c>
      <c r="F384" s="607">
        <f>'Eurostat Resume'!G37</f>
        <v>0</v>
      </c>
      <c r="G384" s="607">
        <f>'Eurostat Resume'!H37</f>
        <v>0</v>
      </c>
      <c r="H384" s="607">
        <f>'Eurostat Resume'!I37</f>
        <v>0</v>
      </c>
      <c r="I384" s="607">
        <f>'Eurostat Resume'!J37</f>
        <v>0</v>
      </c>
      <c r="J384" s="607">
        <f>'Eurostat Resume'!K37</f>
        <v>45.167999999999999</v>
      </c>
      <c r="K384" s="607">
        <f>'Eurostat Resume'!L37</f>
        <v>0</v>
      </c>
      <c r="L384" s="607">
        <f>'Eurostat Resume'!M37</f>
        <v>0.16400000000000001</v>
      </c>
      <c r="M384" s="607">
        <f>'Eurostat Resume'!N37</f>
        <v>1.9630000000000001</v>
      </c>
      <c r="N384" s="607">
        <f>'Eurostat Resume'!O37</f>
        <v>7.657</v>
      </c>
      <c r="O384" s="607">
        <f>'Eurostat Resume'!P37</f>
        <v>13.005000000000001</v>
      </c>
      <c r="P384" s="607">
        <f>'Eurostat Resume'!Q37</f>
        <v>0</v>
      </c>
      <c r="Q384" s="607">
        <f>'Eurostat Resume'!R37</f>
        <v>0</v>
      </c>
      <c r="R384" s="607">
        <f>'Eurostat Resume'!S37</f>
        <v>0</v>
      </c>
      <c r="S384" s="607">
        <f>'Eurostat Resume'!T37</f>
        <v>4.4550000000000001</v>
      </c>
      <c r="T384" s="607">
        <f>'Eurostat Resume'!U37</f>
        <v>0</v>
      </c>
      <c r="U384" s="607">
        <f>'Eurostat Resume'!V37</f>
        <v>0</v>
      </c>
      <c r="V384" s="607">
        <f>'Eurostat Resume'!W37</f>
        <v>0</v>
      </c>
      <c r="W384" s="607">
        <f>'Eurostat Resume'!X37</f>
        <v>0</v>
      </c>
      <c r="X384" s="607">
        <f>'Eurostat Resume'!Y37</f>
        <v>0</v>
      </c>
      <c r="Y384" s="607">
        <f>'Eurostat Resume'!Z37</f>
        <v>0</v>
      </c>
      <c r="Z384" s="607">
        <f>'Eurostat Resume'!AA37</f>
        <v>0</v>
      </c>
      <c r="AA384" s="607">
        <f>'Eurostat Resume'!AB37</f>
        <v>0</v>
      </c>
      <c r="AB384" s="607">
        <f>'Eurostat Resume'!AC37</f>
        <v>3.0609999999999999</v>
      </c>
      <c r="AC384" s="607">
        <f>'Eurostat Resume'!AD37</f>
        <v>0</v>
      </c>
      <c r="AD384" s="607">
        <f>'Eurostat Resume'!AE37</f>
        <v>0</v>
      </c>
      <c r="AE384" s="607">
        <f>'Eurostat Resume'!AF37</f>
        <v>38.575000000000003</v>
      </c>
      <c r="AF384" s="607">
        <f>'Eurostat Resume'!AG37</f>
        <v>0</v>
      </c>
      <c r="AG384" s="607">
        <f>'Eurostat Resume'!AH37</f>
        <v>0</v>
      </c>
      <c r="AH384" s="607">
        <f>'Eurostat Resume'!AI37</f>
        <v>0</v>
      </c>
      <c r="AI384" s="509"/>
      <c r="AJ384" s="165"/>
      <c r="AK384" s="165"/>
      <c r="AL384" s="165"/>
      <c r="AM384" s="165"/>
      <c r="AN384" s="491"/>
      <c r="AO384" s="508"/>
      <c r="AP384" s="510"/>
      <c r="AQ384" s="509"/>
      <c r="AR384" s="509"/>
      <c r="AS384" s="509"/>
      <c r="AT384" s="509"/>
      <c r="AU384" s="509"/>
      <c r="AV384" s="509"/>
      <c r="AW384" s="509"/>
      <c r="AX384" s="509"/>
      <c r="AY384" s="509"/>
      <c r="AZ384" s="509"/>
      <c r="BA384" s="509"/>
      <c r="BB384" s="164"/>
      <c r="BC384" s="164"/>
      <c r="BD384" s="164"/>
      <c r="BE384" s="164"/>
      <c r="BF384" s="164"/>
      <c r="BG384" s="164"/>
      <c r="BH384" s="164"/>
      <c r="BI384" s="164"/>
      <c r="BJ384" s="164"/>
      <c r="BK384" s="164"/>
      <c r="BL384" s="164"/>
      <c r="BM384" s="164"/>
      <c r="BN384" s="164"/>
      <c r="BO384" s="164"/>
    </row>
    <row r="385" spans="1:67" s="180" customFormat="1">
      <c r="A385" s="593" t="s">
        <v>1008</v>
      </c>
      <c r="B385" s="664"/>
      <c r="C385" s="623" t="s">
        <v>97</v>
      </c>
      <c r="D385" s="622">
        <f t="shared" si="291"/>
        <v>62.725999999999992</v>
      </c>
      <c r="E385" s="607">
        <f>'Eurostat Resume'!F42</f>
        <v>0</v>
      </c>
      <c r="F385" s="607">
        <f>'Eurostat Resume'!G42</f>
        <v>35.658000000000001</v>
      </c>
      <c r="G385" s="607">
        <f>'Eurostat Resume'!H42</f>
        <v>8.9999999999999993E-3</v>
      </c>
      <c r="H385" s="607">
        <f>'Eurostat Resume'!I42</f>
        <v>0.224</v>
      </c>
      <c r="I385" s="607">
        <f>'Eurostat Resume'!J42</f>
        <v>0</v>
      </c>
      <c r="J385" s="607">
        <f>'Eurostat Resume'!K42</f>
        <v>0</v>
      </c>
      <c r="K385" s="607">
        <f>'Eurostat Resume'!L42</f>
        <v>0</v>
      </c>
      <c r="L385" s="607">
        <f>'Eurostat Resume'!M42</f>
        <v>0</v>
      </c>
      <c r="M385" s="607">
        <f>'Eurostat Resume'!N42</f>
        <v>0</v>
      </c>
      <c r="N385" s="607">
        <f>'Eurostat Resume'!O42</f>
        <v>0</v>
      </c>
      <c r="O385" s="607">
        <f>'Eurostat Resume'!P42</f>
        <v>4.9130000000000003</v>
      </c>
      <c r="P385" s="607">
        <f>'Eurostat Resume'!Q42</f>
        <v>0</v>
      </c>
      <c r="Q385" s="607">
        <f>'Eurostat Resume'!R42</f>
        <v>0</v>
      </c>
      <c r="R385" s="607">
        <f>'Eurostat Resume'!S42</f>
        <v>1.6E-2</v>
      </c>
      <c r="S385" s="607">
        <f>'Eurostat Resume'!T42</f>
        <v>13.222</v>
      </c>
      <c r="T385" s="607">
        <f>'Eurostat Resume'!U42</f>
        <v>0</v>
      </c>
      <c r="U385" s="607">
        <f>'Eurostat Resume'!V42</f>
        <v>0</v>
      </c>
      <c r="V385" s="607">
        <f>'Eurostat Resume'!W42</f>
        <v>0</v>
      </c>
      <c r="W385" s="607">
        <f>'Eurostat Resume'!X42</f>
        <v>0</v>
      </c>
      <c r="X385" s="607">
        <f>'Eurostat Resume'!Y42</f>
        <v>0</v>
      </c>
      <c r="Y385" s="607">
        <f>'Eurostat Resume'!Z42</f>
        <v>3.7370000000000001</v>
      </c>
      <c r="Z385" s="607">
        <f>'Eurostat Resume'!AA42</f>
        <v>0</v>
      </c>
      <c r="AA385" s="607">
        <f>'Eurostat Resume'!AB42</f>
        <v>0.28499999999999998</v>
      </c>
      <c r="AB385" s="607">
        <f>'Eurostat Resume'!AC42</f>
        <v>3.1139999999999999</v>
      </c>
      <c r="AC385" s="607">
        <f>'Eurostat Resume'!AD42</f>
        <v>3.5000000000000003E-2</v>
      </c>
      <c r="AD385" s="607">
        <f>'Eurostat Resume'!AE42</f>
        <v>0</v>
      </c>
      <c r="AE385" s="607">
        <f>'Eurostat Resume'!AF42</f>
        <v>0</v>
      </c>
      <c r="AF385" s="607">
        <f>'Eurostat Resume'!AG42</f>
        <v>0</v>
      </c>
      <c r="AG385" s="607">
        <f>'Eurostat Resume'!AH42</f>
        <v>0</v>
      </c>
      <c r="AH385" s="607">
        <f>'Eurostat Resume'!AI42</f>
        <v>1.5129999999999999</v>
      </c>
      <c r="AI385" s="509"/>
      <c r="AJ385" s="165"/>
      <c r="AK385" s="165"/>
      <c r="AL385" s="165"/>
      <c r="AM385" s="165"/>
      <c r="AN385" s="491"/>
      <c r="AO385" s="508"/>
      <c r="AP385" s="510"/>
      <c r="AQ385" s="509"/>
      <c r="AR385" s="509"/>
      <c r="AS385" s="509"/>
      <c r="AT385" s="509"/>
      <c r="AU385" s="509"/>
      <c r="AV385" s="509"/>
      <c r="AW385" s="509"/>
      <c r="AX385" s="509"/>
      <c r="AY385" s="509"/>
      <c r="AZ385" s="509"/>
      <c r="BA385" s="509"/>
      <c r="BB385" s="164"/>
      <c r="BC385" s="164"/>
      <c r="BD385" s="164"/>
      <c r="BE385" s="164"/>
      <c r="BF385" s="164"/>
      <c r="BG385" s="164"/>
      <c r="BH385" s="164"/>
      <c r="BI385" s="164"/>
      <c r="BJ385" s="164"/>
      <c r="BK385" s="164"/>
      <c r="BL385" s="164"/>
      <c r="BM385" s="164"/>
      <c r="BN385" s="164"/>
      <c r="BO385" s="164"/>
    </row>
    <row r="386" spans="1:67" s="180" customFormat="1">
      <c r="A386" s="593" t="s">
        <v>1008</v>
      </c>
      <c r="B386" s="664"/>
      <c r="C386" s="623" t="s">
        <v>316</v>
      </c>
      <c r="D386" s="622">
        <f t="shared" si="291"/>
        <v>119.30899999999998</v>
      </c>
      <c r="E386" s="607">
        <f>'Eurostat Resume'!F41</f>
        <v>0.98199999999999998</v>
      </c>
      <c r="F386" s="607">
        <f>'Eurostat Resume'!G41</f>
        <v>1.9E-2</v>
      </c>
      <c r="G386" s="607">
        <f>'Eurostat Resume'!H41</f>
        <v>0</v>
      </c>
      <c r="H386" s="607">
        <f>'Eurostat Resume'!I41</f>
        <v>0</v>
      </c>
      <c r="I386" s="607">
        <f>'Eurostat Resume'!J41</f>
        <v>0.44600000000000001</v>
      </c>
      <c r="J386" s="607">
        <f>'Eurostat Resume'!K41</f>
        <v>0</v>
      </c>
      <c r="K386" s="607">
        <f>'Eurostat Resume'!L41</f>
        <v>0.02</v>
      </c>
      <c r="L386" s="607">
        <f>'Eurostat Resume'!M41</f>
        <v>1.6E-2</v>
      </c>
      <c r="M386" s="607">
        <f>'Eurostat Resume'!N41</f>
        <v>11.215</v>
      </c>
      <c r="N386" s="607">
        <f>'Eurostat Resume'!O41</f>
        <v>0</v>
      </c>
      <c r="O386" s="607">
        <f>'Eurostat Resume'!P41</f>
        <v>18.812000000000001</v>
      </c>
      <c r="P386" s="607">
        <f>'Eurostat Resume'!Q41</f>
        <v>0</v>
      </c>
      <c r="Q386" s="607">
        <f>'Eurostat Resume'!R41</f>
        <v>0</v>
      </c>
      <c r="R386" s="607">
        <f>'Eurostat Resume'!S41</f>
        <v>0</v>
      </c>
      <c r="S386" s="607">
        <f>'Eurostat Resume'!T41</f>
        <v>0.6</v>
      </c>
      <c r="T386" s="607">
        <f>'Eurostat Resume'!U41</f>
        <v>0</v>
      </c>
      <c r="U386" s="607">
        <f>'Eurostat Resume'!V41</f>
        <v>0</v>
      </c>
      <c r="V386" s="607">
        <f>'Eurostat Resume'!W41</f>
        <v>1.9E-2</v>
      </c>
      <c r="W386" s="607">
        <f>'Eurostat Resume'!X41</f>
        <v>0</v>
      </c>
      <c r="X386" s="607">
        <f>'Eurostat Resume'!Y41</f>
        <v>15.29</v>
      </c>
      <c r="Y386" s="607">
        <f>'Eurostat Resume'!Z41</f>
        <v>0</v>
      </c>
      <c r="Z386" s="607">
        <f>'Eurostat Resume'!AA41</f>
        <v>4.6680000000000001</v>
      </c>
      <c r="AA386" s="607">
        <f>'Eurostat Resume'!AB41</f>
        <v>0</v>
      </c>
      <c r="AB386" s="607">
        <f>'Eurostat Resume'!AC41</f>
        <v>0</v>
      </c>
      <c r="AC386" s="607">
        <f>'Eurostat Resume'!AD41</f>
        <v>0.10100000000000001</v>
      </c>
      <c r="AD386" s="607">
        <f>'Eurostat Resume'!AE41</f>
        <v>6.0000000000000001E-3</v>
      </c>
      <c r="AE386" s="607">
        <f>'Eurostat Resume'!AF41</f>
        <v>65.518000000000001</v>
      </c>
      <c r="AF386" s="607">
        <f>'Eurostat Resume'!AG41</f>
        <v>1.597</v>
      </c>
      <c r="AG386" s="607">
        <f>'Eurostat Resume'!AH41</f>
        <v>0</v>
      </c>
      <c r="AH386" s="607">
        <f>'Eurostat Resume'!AI41</f>
        <v>0</v>
      </c>
      <c r="AI386" s="509"/>
      <c r="AJ386" s="165"/>
      <c r="AK386" s="165"/>
      <c r="AL386" s="165"/>
      <c r="AM386" s="165"/>
      <c r="AN386" s="491"/>
      <c r="AO386" s="508"/>
      <c r="AP386" s="510"/>
      <c r="AQ386" s="509"/>
      <c r="AR386" s="509"/>
      <c r="AS386" s="509"/>
      <c r="AT386" s="509"/>
      <c r="AU386" s="509"/>
      <c r="AV386" s="509"/>
      <c r="AW386" s="509"/>
      <c r="AX386" s="509"/>
      <c r="AY386" s="509"/>
      <c r="AZ386" s="509"/>
      <c r="BA386" s="509"/>
      <c r="BB386" s="164"/>
      <c r="BC386" s="164"/>
      <c r="BD386" s="164"/>
      <c r="BE386" s="164"/>
      <c r="BF386" s="164"/>
      <c r="BG386" s="164"/>
      <c r="BH386" s="164"/>
      <c r="BI386" s="164"/>
      <c r="BJ386" s="164"/>
      <c r="BK386" s="164"/>
      <c r="BL386" s="164"/>
      <c r="BM386" s="164"/>
      <c r="BN386" s="164"/>
      <c r="BO386" s="164"/>
    </row>
    <row r="387" spans="1:67" s="180" customFormat="1">
      <c r="A387" s="593"/>
      <c r="B387" s="593"/>
      <c r="C387" s="638"/>
      <c r="D387" s="609"/>
      <c r="E387" s="629"/>
      <c r="F387" s="629"/>
      <c r="G387" s="629"/>
      <c r="H387" s="629"/>
      <c r="I387" s="629"/>
      <c r="J387" s="629"/>
      <c r="K387" s="629"/>
      <c r="L387" s="629"/>
      <c r="M387" s="629"/>
      <c r="N387" s="629"/>
      <c r="O387" s="629"/>
      <c r="P387" s="629"/>
      <c r="Q387" s="629"/>
      <c r="R387" s="629"/>
      <c r="S387" s="629"/>
      <c r="T387" s="629"/>
      <c r="U387" s="629"/>
      <c r="V387" s="629"/>
      <c r="W387" s="629"/>
      <c r="X387" s="629"/>
      <c r="Y387" s="629"/>
      <c r="Z387" s="629"/>
      <c r="AA387" s="629"/>
      <c r="AB387" s="629"/>
      <c r="AC387" s="629"/>
      <c r="AD387" s="629"/>
      <c r="AE387" s="629"/>
      <c r="AF387" s="629"/>
      <c r="AG387" s="629"/>
      <c r="AH387" s="629"/>
      <c r="AI387" s="509"/>
      <c r="AJ387" s="165"/>
      <c r="AK387" s="165"/>
      <c r="AL387" s="165"/>
      <c r="AM387" s="165"/>
      <c r="AN387" s="491"/>
      <c r="AO387" s="508"/>
      <c r="AP387" s="510"/>
      <c r="AQ387" s="509"/>
      <c r="AR387" s="509"/>
      <c r="AS387" s="509"/>
      <c r="AT387" s="509"/>
      <c r="AU387" s="509"/>
      <c r="AV387" s="509"/>
      <c r="AW387" s="509"/>
      <c r="AX387" s="509"/>
      <c r="AY387" s="509"/>
      <c r="AZ387" s="509"/>
      <c r="BA387" s="509"/>
      <c r="BB387" s="164"/>
      <c r="BC387" s="164"/>
      <c r="BD387" s="164"/>
      <c r="BE387" s="164"/>
      <c r="BF387" s="164"/>
      <c r="BG387" s="164"/>
      <c r="BH387" s="164"/>
      <c r="BI387" s="164"/>
      <c r="BJ387" s="164"/>
      <c r="BK387" s="164"/>
      <c r="BL387" s="164"/>
      <c r="BM387" s="164"/>
      <c r="BN387" s="164"/>
      <c r="BO387" s="164"/>
    </row>
    <row r="388" spans="1:67" s="180" customFormat="1">
      <c r="A388" s="593"/>
      <c r="B388" s="593"/>
      <c r="C388" s="638" t="s">
        <v>327</v>
      </c>
      <c r="D388" s="609"/>
      <c r="E388" s="629"/>
      <c r="F388" s="629"/>
      <c r="G388" s="629"/>
      <c r="H388" s="629"/>
      <c r="I388" s="629"/>
      <c r="J388" s="629"/>
      <c r="K388" s="629"/>
      <c r="L388" s="629"/>
      <c r="M388" s="629"/>
      <c r="N388" s="629"/>
      <c r="O388" s="629"/>
      <c r="P388" s="629"/>
      <c r="Q388" s="629"/>
      <c r="R388" s="629"/>
      <c r="S388" s="629"/>
      <c r="T388" s="629"/>
      <c r="U388" s="629"/>
      <c r="V388" s="629"/>
      <c r="W388" s="629"/>
      <c r="X388" s="629"/>
      <c r="Y388" s="629"/>
      <c r="Z388" s="629"/>
      <c r="AA388" s="629"/>
      <c r="AB388" s="629"/>
      <c r="AC388" s="629"/>
      <c r="AD388" s="629"/>
      <c r="AE388" s="629"/>
      <c r="AF388" s="629"/>
      <c r="AG388" s="629"/>
      <c r="AH388" s="629"/>
      <c r="AI388" s="509"/>
      <c r="AJ388" s="165"/>
      <c r="AK388" s="165"/>
      <c r="AL388" s="165"/>
      <c r="AM388" s="165"/>
      <c r="AN388" s="491"/>
      <c r="AO388" s="508"/>
      <c r="AP388" s="510"/>
      <c r="AQ388" s="509"/>
      <c r="AR388" s="509"/>
      <c r="AS388" s="509"/>
      <c r="AT388" s="509"/>
      <c r="AU388" s="509"/>
      <c r="AV388" s="509"/>
      <c r="AW388" s="509"/>
      <c r="AX388" s="509"/>
      <c r="AY388" s="509"/>
      <c r="AZ388" s="509"/>
      <c r="BA388" s="509"/>
      <c r="BB388" s="164"/>
      <c r="BC388" s="164"/>
      <c r="BD388" s="164"/>
      <c r="BE388" s="164"/>
      <c r="BF388" s="164"/>
      <c r="BG388" s="164"/>
      <c r="BH388" s="164"/>
      <c r="BI388" s="164"/>
      <c r="BJ388" s="164"/>
      <c r="BK388" s="164"/>
      <c r="BL388" s="164"/>
      <c r="BM388" s="164"/>
      <c r="BN388" s="164"/>
      <c r="BO388" s="164"/>
    </row>
    <row r="389" spans="1:67" s="180" customFormat="1">
      <c r="A389" s="593"/>
      <c r="B389" s="593"/>
      <c r="C389" s="631" t="s">
        <v>149</v>
      </c>
      <c r="D389" s="609"/>
      <c r="E389" s="629">
        <f>E$368</f>
        <v>0.38931954062827012</v>
      </c>
      <c r="F389" s="629">
        <f t="shared" ref="F389:AH389" si="292">F$368</f>
        <v>0.12318642211880589</v>
      </c>
      <c r="G389" s="629">
        <f t="shared" si="292"/>
        <v>0.90000000000000013</v>
      </c>
      <c r="H389" s="629">
        <f t="shared" si="292"/>
        <v>0</v>
      </c>
      <c r="I389" s="629">
        <f t="shared" si="292"/>
        <v>7.896751201839157E-2</v>
      </c>
      <c r="J389" s="629">
        <f t="shared" si="292"/>
        <v>0.87832211637624813</v>
      </c>
      <c r="K389" s="629">
        <f t="shared" si="292"/>
        <v>3.7000470146621969E-3</v>
      </c>
      <c r="L389" s="629">
        <f t="shared" si="292"/>
        <v>0.72670769523059919</v>
      </c>
      <c r="M389" s="629">
        <f t="shared" si="292"/>
        <v>5.8315704178110994E-2</v>
      </c>
      <c r="N389" s="629">
        <f t="shared" si="292"/>
        <v>0.2136703558114415</v>
      </c>
      <c r="O389" s="629">
        <f t="shared" si="292"/>
        <v>0.25391442754382687</v>
      </c>
      <c r="P389" s="629">
        <f t="shared" si="292"/>
        <v>0.20306440239468654</v>
      </c>
      <c r="Q389" s="629">
        <f t="shared" si="292"/>
        <v>0.89999999999995273</v>
      </c>
      <c r="R389" s="629">
        <f t="shared" si="292"/>
        <v>0</v>
      </c>
      <c r="S389" s="629">
        <f t="shared" si="292"/>
        <v>5.5422087515098924E-2</v>
      </c>
      <c r="T389" s="629">
        <f t="shared" si="292"/>
        <v>0</v>
      </c>
      <c r="U389" s="629">
        <f t="shared" si="292"/>
        <v>0</v>
      </c>
      <c r="V389" s="629">
        <f t="shared" si="292"/>
        <v>9.5818206034055699E-3</v>
      </c>
      <c r="W389" s="629">
        <f t="shared" si="292"/>
        <v>0</v>
      </c>
      <c r="X389" s="629">
        <f t="shared" si="292"/>
        <v>0.18160241152535175</v>
      </c>
      <c r="Y389" s="629">
        <f t="shared" si="292"/>
        <v>0</v>
      </c>
      <c r="Z389" s="629">
        <f t="shared" si="292"/>
        <v>0.10725261878571532</v>
      </c>
      <c r="AA389" s="629">
        <f t="shared" si="292"/>
        <v>4.2795061522434313E-2</v>
      </c>
      <c r="AB389" s="629">
        <f t="shared" si="292"/>
        <v>0.69446722880234524</v>
      </c>
      <c r="AC389" s="629">
        <f t="shared" si="292"/>
        <v>9.6540368623307532E-3</v>
      </c>
      <c r="AD389" s="629">
        <f t="shared" si="292"/>
        <v>1.44688988126243E-3</v>
      </c>
      <c r="AE389" s="629">
        <f t="shared" si="292"/>
        <v>0.3509959768204487</v>
      </c>
      <c r="AF389" s="629">
        <f t="shared" si="292"/>
        <v>2.3591605985405145E-2</v>
      </c>
      <c r="AG389" s="629">
        <f t="shared" si="292"/>
        <v>4.0923646706157984E-3</v>
      </c>
      <c r="AH389" s="629">
        <f t="shared" si="292"/>
        <v>7.5597455954949003E-2</v>
      </c>
      <c r="AI389" s="509"/>
      <c r="AJ389" s="165"/>
      <c r="AK389" s="165"/>
      <c r="AL389" s="165"/>
      <c r="AM389" s="165"/>
      <c r="AN389" s="491"/>
      <c r="AO389" s="508"/>
      <c r="AP389" s="510"/>
      <c r="AQ389" s="509"/>
      <c r="AR389" s="509"/>
      <c r="AS389" s="509"/>
      <c r="AT389" s="509"/>
      <c r="AU389" s="509"/>
      <c r="AV389" s="509"/>
      <c r="AW389" s="509"/>
      <c r="AX389" s="509"/>
      <c r="AY389" s="509"/>
      <c r="AZ389" s="509"/>
      <c r="BA389" s="509"/>
      <c r="BB389" s="164"/>
      <c r="BC389" s="164"/>
      <c r="BD389" s="164"/>
      <c r="BE389" s="164"/>
      <c r="BF389" s="164"/>
      <c r="BG389" s="164"/>
      <c r="BH389" s="164"/>
      <c r="BI389" s="164"/>
      <c r="BJ389" s="164"/>
      <c r="BK389" s="164"/>
      <c r="BL389" s="164"/>
      <c r="BM389" s="164"/>
      <c r="BN389" s="164"/>
      <c r="BO389" s="164"/>
    </row>
    <row r="390" spans="1:67" s="180" customFormat="1">
      <c r="A390" s="593"/>
      <c r="B390" s="593"/>
      <c r="C390" s="631" t="s">
        <v>320</v>
      </c>
      <c r="D390" s="609">
        <f>SUM(E390:AH390)</f>
        <v>3.4984294277281345</v>
      </c>
      <c r="E390" s="629">
        <f t="shared" ref="E390:AH390" si="293">IF(E$379&gt;0,E$362*E380/E$379,0)</f>
        <v>8.4021148501408956E-3</v>
      </c>
      <c r="F390" s="629">
        <f t="shared" si="293"/>
        <v>0</v>
      </c>
      <c r="G390" s="629">
        <f t="shared" si="293"/>
        <v>0</v>
      </c>
      <c r="H390" s="629">
        <f t="shared" si="293"/>
        <v>0</v>
      </c>
      <c r="I390" s="629">
        <f t="shared" si="293"/>
        <v>0.74224331838565027</v>
      </c>
      <c r="J390" s="629">
        <f t="shared" si="293"/>
        <v>1.4256982957857971</v>
      </c>
      <c r="K390" s="629">
        <f t="shared" si="293"/>
        <v>0</v>
      </c>
      <c r="L390" s="629">
        <f t="shared" si="293"/>
        <v>0</v>
      </c>
      <c r="M390" s="629">
        <f t="shared" si="293"/>
        <v>0</v>
      </c>
      <c r="N390" s="629">
        <f t="shared" si="293"/>
        <v>3.1707606337013903E-3</v>
      </c>
      <c r="O390" s="629">
        <f t="shared" si="293"/>
        <v>0.31096378184366724</v>
      </c>
      <c r="P390" s="629">
        <f t="shared" si="293"/>
        <v>0</v>
      </c>
      <c r="Q390" s="629">
        <f t="shared" si="293"/>
        <v>0</v>
      </c>
      <c r="R390" s="629">
        <f t="shared" si="293"/>
        <v>0</v>
      </c>
      <c r="S390" s="629">
        <f t="shared" si="293"/>
        <v>7.2295401054348604E-2</v>
      </c>
      <c r="T390" s="629">
        <f t="shared" si="293"/>
        <v>0</v>
      </c>
      <c r="U390" s="629">
        <f t="shared" si="293"/>
        <v>0</v>
      </c>
      <c r="V390" s="629">
        <f t="shared" si="293"/>
        <v>0</v>
      </c>
      <c r="W390" s="629">
        <f t="shared" si="293"/>
        <v>0</v>
      </c>
      <c r="X390" s="629">
        <f t="shared" si="293"/>
        <v>0</v>
      </c>
      <c r="Y390" s="629">
        <f t="shared" si="293"/>
        <v>0</v>
      </c>
      <c r="Z390" s="629">
        <f t="shared" si="293"/>
        <v>0</v>
      </c>
      <c r="AA390" s="629">
        <f t="shared" si="293"/>
        <v>0</v>
      </c>
      <c r="AB390" s="629">
        <f t="shared" si="293"/>
        <v>0</v>
      </c>
      <c r="AC390" s="629">
        <f t="shared" si="293"/>
        <v>0</v>
      </c>
      <c r="AD390" s="629">
        <f t="shared" si="293"/>
        <v>0</v>
      </c>
      <c r="AE390" s="629">
        <f t="shared" si="293"/>
        <v>0.93565575517482968</v>
      </c>
      <c r="AF390" s="629">
        <f t="shared" si="293"/>
        <v>0</v>
      </c>
      <c r="AG390" s="629">
        <f t="shared" si="293"/>
        <v>0</v>
      </c>
      <c r="AH390" s="629">
        <f t="shared" si="293"/>
        <v>0</v>
      </c>
      <c r="AI390" s="509"/>
      <c r="AJ390" s="165"/>
      <c r="AK390" s="165"/>
      <c r="AL390" s="165"/>
      <c r="AM390" s="165"/>
      <c r="AN390" s="491"/>
      <c r="AO390" s="508"/>
      <c r="AP390" s="510"/>
      <c r="AQ390" s="509"/>
      <c r="AR390" s="509"/>
      <c r="AS390" s="509"/>
      <c r="AT390" s="509"/>
      <c r="AU390" s="509"/>
      <c r="AV390" s="509"/>
      <c r="AW390" s="509"/>
      <c r="AX390" s="509"/>
      <c r="AY390" s="509"/>
      <c r="AZ390" s="509"/>
      <c r="BA390" s="509"/>
      <c r="BB390" s="164"/>
      <c r="BC390" s="164"/>
      <c r="BD390" s="164"/>
      <c r="BE390" s="164"/>
      <c r="BF390" s="164"/>
      <c r="BG390" s="164"/>
      <c r="BH390" s="164"/>
      <c r="BI390" s="164"/>
      <c r="BJ390" s="164"/>
      <c r="BK390" s="164"/>
      <c r="BL390" s="164"/>
      <c r="BM390" s="164"/>
      <c r="BN390" s="164"/>
      <c r="BO390" s="164"/>
    </row>
    <row r="391" spans="1:67" s="180" customFormat="1">
      <c r="A391" s="593"/>
      <c r="B391" s="593"/>
      <c r="C391" s="631" t="s">
        <v>328</v>
      </c>
      <c r="D391" s="609"/>
      <c r="E391" s="629">
        <f t="shared" ref="E391:AH391" si="294">E335</f>
        <v>0.41276234895060421</v>
      </c>
      <c r="F391" s="629">
        <f>F335</f>
        <v>0.64285714285714279</v>
      </c>
      <c r="G391" s="629">
        <f t="shared" si="294"/>
        <v>0.4024707412223667</v>
      </c>
      <c r="H391" s="629">
        <f t="shared" si="294"/>
        <v>0</v>
      </c>
      <c r="I391" s="629">
        <f t="shared" si="294"/>
        <v>0.2748878923766816</v>
      </c>
      <c r="J391" s="629">
        <f t="shared" si="294"/>
        <v>0.35539241729050952</v>
      </c>
      <c r="K391" s="629">
        <f t="shared" si="294"/>
        <v>0.35</v>
      </c>
      <c r="L391" s="629">
        <f t="shared" si="294"/>
        <v>0.58620689655172409</v>
      </c>
      <c r="M391" s="629">
        <f t="shared" si="294"/>
        <v>0.22408932618429053</v>
      </c>
      <c r="N391" s="629">
        <f t="shared" si="294"/>
        <v>0.32361668703089547</v>
      </c>
      <c r="O391" s="629">
        <f t="shared" si="294"/>
        <v>0.27894556729682363</v>
      </c>
      <c r="P391" s="629">
        <f t="shared" si="294"/>
        <v>0.40375586854460094</v>
      </c>
      <c r="Q391" s="629">
        <f t="shared" si="294"/>
        <v>0.4375</v>
      </c>
      <c r="R391" s="629">
        <f t="shared" si="294"/>
        <v>0</v>
      </c>
      <c r="S391" s="629">
        <f t="shared" si="294"/>
        <v>0.1195655795049472</v>
      </c>
      <c r="T391" s="629">
        <f t="shared" si="294"/>
        <v>0</v>
      </c>
      <c r="U391" s="629">
        <f t="shared" si="294"/>
        <v>0</v>
      </c>
      <c r="V391" s="629">
        <f t="shared" si="294"/>
        <v>0.2105263157894737</v>
      </c>
      <c r="W391" s="629">
        <f t="shared" si="294"/>
        <v>0</v>
      </c>
      <c r="X391" s="629">
        <f t="shared" si="294"/>
        <v>0.23330710091409895</v>
      </c>
      <c r="Y391" s="629">
        <f t="shared" si="294"/>
        <v>0</v>
      </c>
      <c r="Z391" s="629">
        <f t="shared" si="294"/>
        <v>0.24364164849994813</v>
      </c>
      <c r="AA391" s="629">
        <f t="shared" si="294"/>
        <v>0.5</v>
      </c>
      <c r="AB391" s="629">
        <f t="shared" si="294"/>
        <v>0.28668171557562078</v>
      </c>
      <c r="AC391" s="629">
        <f t="shared" si="294"/>
        <v>0.31683168316831684</v>
      </c>
      <c r="AD391" s="629">
        <f t="shared" si="294"/>
        <v>0.66666666666666663</v>
      </c>
      <c r="AE391" s="629">
        <f t="shared" si="294"/>
        <v>0.28529666582823282</v>
      </c>
      <c r="AF391" s="629">
        <f t="shared" si="294"/>
        <v>0.22821100917431195</v>
      </c>
      <c r="AG391" s="629" t="e">
        <f t="shared" si="294"/>
        <v>#DIV/0!</v>
      </c>
      <c r="AH391" s="629">
        <f t="shared" si="294"/>
        <v>0.6767813600650231</v>
      </c>
      <c r="AI391" s="509"/>
      <c r="AJ391" s="165"/>
      <c r="AK391" s="165"/>
      <c r="AL391" s="165"/>
      <c r="AM391" s="165"/>
      <c r="AN391" s="491"/>
      <c r="AO391" s="508"/>
      <c r="AP391" s="510"/>
      <c r="AQ391" s="509"/>
      <c r="AR391" s="509"/>
      <c r="AS391" s="509"/>
      <c r="AT391" s="509"/>
      <c r="AU391" s="509"/>
      <c r="AV391" s="509"/>
      <c r="AW391" s="509"/>
      <c r="AX391" s="509"/>
      <c r="AY391" s="509"/>
      <c r="AZ391" s="509"/>
      <c r="BA391" s="509"/>
      <c r="BB391" s="164"/>
      <c r="BC391" s="164"/>
      <c r="BD391" s="164"/>
      <c r="BE391" s="164"/>
      <c r="BF391" s="164"/>
      <c r="BG391" s="164"/>
      <c r="BH391" s="164"/>
      <c r="BI391" s="164"/>
      <c r="BJ391" s="164"/>
      <c r="BK391" s="164"/>
      <c r="BL391" s="164"/>
      <c r="BM391" s="164"/>
      <c r="BN391" s="164"/>
      <c r="BO391" s="164"/>
    </row>
    <row r="392" spans="1:67" s="180" customFormat="1">
      <c r="A392" s="593"/>
      <c r="B392" s="593"/>
      <c r="C392" s="631" t="s">
        <v>319</v>
      </c>
      <c r="D392" s="609" t="e">
        <f>SUM(E392:AH392)</f>
        <v>#DIV/0!</v>
      </c>
      <c r="E392" s="629">
        <f>E393*E391</f>
        <v>8.5441806232775072E-2</v>
      </c>
      <c r="F392" s="629">
        <f t="shared" ref="F392:AH392" si="295">F393*F391</f>
        <v>0</v>
      </c>
      <c r="G392" s="629">
        <f t="shared" si="295"/>
        <v>0</v>
      </c>
      <c r="H392" s="629">
        <f t="shared" si="295"/>
        <v>0</v>
      </c>
      <c r="I392" s="629">
        <f t="shared" si="295"/>
        <v>1.8480713004484304</v>
      </c>
      <c r="J392" s="629">
        <f>J393*J391</f>
        <v>39.445004395073653</v>
      </c>
      <c r="K392" s="629">
        <f t="shared" si="295"/>
        <v>0</v>
      </c>
      <c r="L392" s="629">
        <f t="shared" si="295"/>
        <v>0</v>
      </c>
      <c r="M392" s="629">
        <f t="shared" si="295"/>
        <v>0</v>
      </c>
      <c r="N392" s="629">
        <f t="shared" si="295"/>
        <v>1.5533600977482983E-2</v>
      </c>
      <c r="O392" s="629">
        <f t="shared" si="295"/>
        <v>1.9001772044259626</v>
      </c>
      <c r="P392" s="629">
        <f t="shared" si="295"/>
        <v>0</v>
      </c>
      <c r="Q392" s="629">
        <f t="shared" si="295"/>
        <v>0</v>
      </c>
      <c r="R392" s="629">
        <f t="shared" si="295"/>
        <v>0</v>
      </c>
      <c r="S392" s="629">
        <f t="shared" si="295"/>
        <v>0.17803314788286639</v>
      </c>
      <c r="T392" s="629">
        <f t="shared" si="295"/>
        <v>0</v>
      </c>
      <c r="U392" s="629">
        <f t="shared" si="295"/>
        <v>0</v>
      </c>
      <c r="V392" s="629">
        <f t="shared" si="295"/>
        <v>0</v>
      </c>
      <c r="W392" s="629">
        <f t="shared" si="295"/>
        <v>0</v>
      </c>
      <c r="X392" s="629">
        <f t="shared" si="295"/>
        <v>0</v>
      </c>
      <c r="Y392" s="629">
        <f t="shared" si="295"/>
        <v>0</v>
      </c>
      <c r="Z392" s="629">
        <f t="shared" si="295"/>
        <v>0</v>
      </c>
      <c r="AA392" s="629">
        <f t="shared" si="295"/>
        <v>0</v>
      </c>
      <c r="AB392" s="629">
        <f t="shared" si="295"/>
        <v>0</v>
      </c>
      <c r="AC392" s="629">
        <f t="shared" si="295"/>
        <v>0</v>
      </c>
      <c r="AD392" s="629">
        <f t="shared" si="295"/>
        <v>0</v>
      </c>
      <c r="AE392" s="629">
        <f t="shared" si="295"/>
        <v>9.0875546966267002</v>
      </c>
      <c r="AF392" s="629">
        <f t="shared" si="295"/>
        <v>0</v>
      </c>
      <c r="AG392" s="629" t="e">
        <f t="shared" si="295"/>
        <v>#DIV/0!</v>
      </c>
      <c r="AH392" s="629">
        <f t="shared" si="295"/>
        <v>0</v>
      </c>
      <c r="AI392" s="509"/>
      <c r="AJ392" s="165"/>
      <c r="AK392" s="165"/>
      <c r="AL392" s="165"/>
      <c r="AM392" s="165"/>
      <c r="AN392" s="491"/>
      <c r="AO392" s="508"/>
      <c r="AP392" s="510"/>
      <c r="AQ392" s="509"/>
      <c r="AR392" s="509"/>
      <c r="AS392" s="509"/>
      <c r="AT392" s="509"/>
      <c r="AU392" s="509"/>
      <c r="AV392" s="509"/>
      <c r="AW392" s="509"/>
      <c r="AX392" s="509"/>
      <c r="AY392" s="509"/>
      <c r="AZ392" s="509"/>
      <c r="BA392" s="509"/>
      <c r="BB392" s="164"/>
      <c r="BC392" s="164"/>
      <c r="BD392" s="164"/>
      <c r="BE392" s="164"/>
      <c r="BF392" s="164"/>
      <c r="BG392" s="164"/>
      <c r="BH392" s="164"/>
      <c r="BI392" s="164"/>
      <c r="BJ392" s="164"/>
      <c r="BK392" s="164"/>
      <c r="BL392" s="164"/>
      <c r="BM392" s="164"/>
      <c r="BN392" s="164"/>
      <c r="BO392" s="164"/>
    </row>
    <row r="393" spans="1:67" s="180" customFormat="1">
      <c r="A393" s="593"/>
      <c r="B393" s="593"/>
      <c r="C393" s="631" t="s">
        <v>321</v>
      </c>
      <c r="D393" s="609">
        <f>SUM(E393:AH393)</f>
        <v>158.12199999999999</v>
      </c>
      <c r="E393" s="629">
        <f t="shared" ref="E393:AH393" si="296">E380</f>
        <v>0.20699999999999999</v>
      </c>
      <c r="F393" s="629">
        <f t="shared" si="296"/>
        <v>0</v>
      </c>
      <c r="G393" s="629">
        <f t="shared" si="296"/>
        <v>0</v>
      </c>
      <c r="H393" s="629">
        <f t="shared" si="296"/>
        <v>0</v>
      </c>
      <c r="I393" s="629">
        <f t="shared" si="296"/>
        <v>6.7229999999999999</v>
      </c>
      <c r="J393" s="629">
        <f t="shared" si="296"/>
        <v>110.99</v>
      </c>
      <c r="K393" s="629">
        <f t="shared" si="296"/>
        <v>0</v>
      </c>
      <c r="L393" s="629">
        <f t="shared" si="296"/>
        <v>0</v>
      </c>
      <c r="M393" s="629">
        <f t="shared" si="296"/>
        <v>0</v>
      </c>
      <c r="N393" s="629">
        <f t="shared" si="296"/>
        <v>4.8000000000000001E-2</v>
      </c>
      <c r="O393" s="629">
        <f t="shared" si="296"/>
        <v>6.8120000000000003</v>
      </c>
      <c r="P393" s="629">
        <f t="shared" si="296"/>
        <v>0</v>
      </c>
      <c r="Q393" s="629">
        <f t="shared" si="296"/>
        <v>0</v>
      </c>
      <c r="R393" s="629">
        <f t="shared" si="296"/>
        <v>0</v>
      </c>
      <c r="S393" s="629">
        <f t="shared" si="296"/>
        <v>1.4890000000000001</v>
      </c>
      <c r="T393" s="629">
        <f t="shared" si="296"/>
        <v>0</v>
      </c>
      <c r="U393" s="629">
        <f t="shared" si="296"/>
        <v>0</v>
      </c>
      <c r="V393" s="629">
        <f t="shared" si="296"/>
        <v>0</v>
      </c>
      <c r="W393" s="629">
        <f t="shared" si="296"/>
        <v>0</v>
      </c>
      <c r="X393" s="629">
        <f t="shared" si="296"/>
        <v>0</v>
      </c>
      <c r="Y393" s="629">
        <f t="shared" si="296"/>
        <v>0</v>
      </c>
      <c r="Z393" s="629">
        <f t="shared" si="296"/>
        <v>0</v>
      </c>
      <c r="AA393" s="629">
        <f t="shared" si="296"/>
        <v>0</v>
      </c>
      <c r="AB393" s="629">
        <f t="shared" si="296"/>
        <v>0</v>
      </c>
      <c r="AC393" s="629">
        <f t="shared" si="296"/>
        <v>0</v>
      </c>
      <c r="AD393" s="629">
        <f t="shared" si="296"/>
        <v>0</v>
      </c>
      <c r="AE393" s="629">
        <f t="shared" si="296"/>
        <v>31.853000000000002</v>
      </c>
      <c r="AF393" s="629">
        <f t="shared" si="296"/>
        <v>0</v>
      </c>
      <c r="AG393" s="629">
        <f t="shared" si="296"/>
        <v>0</v>
      </c>
      <c r="AH393" s="629">
        <f t="shared" si="296"/>
        <v>0</v>
      </c>
      <c r="AI393" s="509"/>
      <c r="AJ393" s="165"/>
      <c r="AK393" s="165"/>
      <c r="AL393" s="165"/>
      <c r="AM393" s="165"/>
      <c r="AN393" s="491"/>
      <c r="AO393" s="508"/>
      <c r="AP393" s="510"/>
      <c r="AQ393" s="509"/>
      <c r="AR393" s="509"/>
      <c r="AS393" s="509"/>
      <c r="AT393" s="509"/>
      <c r="AU393" s="509"/>
      <c r="AV393" s="509"/>
      <c r="AW393" s="509"/>
      <c r="AX393" s="509"/>
      <c r="AY393" s="509"/>
      <c r="AZ393" s="509"/>
      <c r="BA393" s="509"/>
      <c r="BB393" s="164"/>
      <c r="BC393" s="164"/>
      <c r="BD393" s="164"/>
      <c r="BE393" s="164"/>
      <c r="BF393" s="164"/>
      <c r="BG393" s="164"/>
      <c r="BH393" s="164"/>
      <c r="BI393" s="164"/>
      <c r="BJ393" s="164"/>
      <c r="BK393" s="164"/>
      <c r="BL393" s="164"/>
      <c r="BM393" s="164"/>
      <c r="BN393" s="164"/>
      <c r="BO393" s="164"/>
    </row>
    <row r="394" spans="1:67" s="180" customFormat="1">
      <c r="A394" s="593"/>
      <c r="B394" s="593"/>
      <c r="C394" s="638"/>
      <c r="D394" s="609"/>
      <c r="E394" s="629"/>
      <c r="F394" s="629"/>
      <c r="G394" s="629"/>
      <c r="H394" s="629"/>
      <c r="I394" s="629"/>
      <c r="J394" s="629"/>
      <c r="K394" s="629"/>
      <c r="L394" s="629"/>
      <c r="M394" s="629"/>
      <c r="N394" s="629"/>
      <c r="O394" s="629"/>
      <c r="P394" s="629"/>
      <c r="Q394" s="629"/>
      <c r="R394" s="629"/>
      <c r="S394" s="629"/>
      <c r="T394" s="629"/>
      <c r="U394" s="629"/>
      <c r="V394" s="629"/>
      <c r="W394" s="629"/>
      <c r="X394" s="629"/>
      <c r="Y394" s="629"/>
      <c r="Z394" s="629"/>
      <c r="AA394" s="629"/>
      <c r="AB394" s="629"/>
      <c r="AC394" s="629"/>
      <c r="AD394" s="629"/>
      <c r="AE394" s="629"/>
      <c r="AF394" s="629"/>
      <c r="AG394" s="629"/>
      <c r="AH394" s="629"/>
      <c r="AI394" s="509"/>
      <c r="AJ394" s="165"/>
      <c r="AK394" s="165"/>
      <c r="AL394" s="165"/>
      <c r="AM394" s="165"/>
      <c r="AN394" s="491"/>
      <c r="AO394" s="508"/>
      <c r="AP394" s="510"/>
      <c r="AQ394" s="509"/>
      <c r="AR394" s="509"/>
      <c r="AS394" s="509"/>
      <c r="AT394" s="509"/>
      <c r="AU394" s="509"/>
      <c r="AV394" s="509"/>
      <c r="AW394" s="509"/>
      <c r="AX394" s="509"/>
      <c r="AY394" s="509"/>
      <c r="AZ394" s="509"/>
      <c r="BA394" s="509"/>
      <c r="BB394" s="164"/>
      <c r="BC394" s="164"/>
      <c r="BD394" s="164"/>
      <c r="BE394" s="164"/>
      <c r="BF394" s="164"/>
      <c r="BG394" s="164"/>
      <c r="BH394" s="164"/>
      <c r="BI394" s="164"/>
      <c r="BJ394" s="164"/>
      <c r="BK394" s="164"/>
      <c r="BL394" s="164"/>
      <c r="BM394" s="164"/>
      <c r="BN394" s="164"/>
      <c r="BO394" s="164"/>
    </row>
    <row r="395" spans="1:67" s="180" customFormat="1">
      <c r="A395" s="593"/>
      <c r="B395" s="593"/>
      <c r="C395" s="638" t="s">
        <v>329</v>
      </c>
      <c r="D395" s="609"/>
      <c r="E395" s="629"/>
      <c r="F395" s="629"/>
      <c r="G395" s="629"/>
      <c r="H395" s="629"/>
      <c r="I395" s="629"/>
      <c r="J395" s="629"/>
      <c r="K395" s="629"/>
      <c r="L395" s="629"/>
      <c r="M395" s="629"/>
      <c r="N395" s="629"/>
      <c r="O395" s="629"/>
      <c r="P395" s="629"/>
      <c r="Q395" s="629"/>
      <c r="R395" s="629"/>
      <c r="S395" s="629"/>
      <c r="T395" s="629"/>
      <c r="U395" s="629"/>
      <c r="V395" s="629"/>
      <c r="W395" s="629"/>
      <c r="X395" s="629"/>
      <c r="Y395" s="629"/>
      <c r="Z395" s="629"/>
      <c r="AA395" s="629"/>
      <c r="AB395" s="629"/>
      <c r="AC395" s="629"/>
      <c r="AD395" s="629"/>
      <c r="AE395" s="629"/>
      <c r="AF395" s="629"/>
      <c r="AG395" s="629"/>
      <c r="AH395" s="629"/>
      <c r="AI395" s="509"/>
      <c r="AJ395" s="165"/>
      <c r="AK395" s="165"/>
      <c r="AL395" s="165"/>
      <c r="AM395" s="165"/>
      <c r="AN395" s="491"/>
      <c r="AO395" s="508"/>
      <c r="AP395" s="510"/>
      <c r="AQ395" s="509"/>
      <c r="AR395" s="509"/>
      <c r="AS395" s="509"/>
      <c r="AT395" s="509"/>
      <c r="AU395" s="509"/>
      <c r="AV395" s="509"/>
      <c r="AW395" s="509"/>
      <c r="AX395" s="509"/>
      <c r="AY395" s="509"/>
      <c r="AZ395" s="509"/>
      <c r="BA395" s="509"/>
      <c r="BB395" s="164"/>
      <c r="BC395" s="164"/>
      <c r="BD395" s="164"/>
      <c r="BE395" s="164"/>
      <c r="BF395" s="164"/>
      <c r="BG395" s="164"/>
      <c r="BH395" s="164"/>
      <c r="BI395" s="164"/>
      <c r="BJ395" s="164"/>
      <c r="BK395" s="164"/>
      <c r="BL395" s="164"/>
      <c r="BM395" s="164"/>
      <c r="BN395" s="164"/>
      <c r="BO395" s="164"/>
    </row>
    <row r="396" spans="1:67" s="180" customFormat="1">
      <c r="A396" s="593"/>
      <c r="B396" s="593"/>
      <c r="C396" s="631" t="s">
        <v>149</v>
      </c>
      <c r="D396" s="609"/>
      <c r="E396" s="629">
        <f>E389</f>
        <v>0.38931954062827012</v>
      </c>
      <c r="F396" s="629">
        <f t="shared" ref="F396:AH396" si="297">F389</f>
        <v>0.12318642211880589</v>
      </c>
      <c r="G396" s="629">
        <f t="shared" si="297"/>
        <v>0.90000000000000013</v>
      </c>
      <c r="H396" s="629">
        <f t="shared" si="297"/>
        <v>0</v>
      </c>
      <c r="I396" s="629">
        <f t="shared" si="297"/>
        <v>7.896751201839157E-2</v>
      </c>
      <c r="J396" s="629">
        <f t="shared" si="297"/>
        <v>0.87832211637624813</v>
      </c>
      <c r="K396" s="629">
        <f t="shared" si="297"/>
        <v>3.7000470146621969E-3</v>
      </c>
      <c r="L396" s="629">
        <f t="shared" si="297"/>
        <v>0.72670769523059919</v>
      </c>
      <c r="M396" s="629">
        <f t="shared" si="297"/>
        <v>5.8315704178110994E-2</v>
      </c>
      <c r="N396" s="629">
        <f t="shared" si="297"/>
        <v>0.2136703558114415</v>
      </c>
      <c r="O396" s="629">
        <f t="shared" si="297"/>
        <v>0.25391442754382687</v>
      </c>
      <c r="P396" s="629">
        <f t="shared" si="297"/>
        <v>0.20306440239468654</v>
      </c>
      <c r="Q396" s="629">
        <f t="shared" si="297"/>
        <v>0.89999999999995273</v>
      </c>
      <c r="R396" s="629">
        <f t="shared" si="297"/>
        <v>0</v>
      </c>
      <c r="S396" s="629">
        <f t="shared" si="297"/>
        <v>5.5422087515098924E-2</v>
      </c>
      <c r="T396" s="629">
        <f t="shared" si="297"/>
        <v>0</v>
      </c>
      <c r="U396" s="629">
        <f t="shared" si="297"/>
        <v>0</v>
      </c>
      <c r="V396" s="629">
        <f t="shared" si="297"/>
        <v>9.5818206034055699E-3</v>
      </c>
      <c r="W396" s="629">
        <f t="shared" si="297"/>
        <v>0</v>
      </c>
      <c r="X396" s="629">
        <f t="shared" si="297"/>
        <v>0.18160241152535175</v>
      </c>
      <c r="Y396" s="629">
        <f t="shared" si="297"/>
        <v>0</v>
      </c>
      <c r="Z396" s="629">
        <f t="shared" si="297"/>
        <v>0.10725261878571532</v>
      </c>
      <c r="AA396" s="629">
        <f t="shared" si="297"/>
        <v>4.2795061522434313E-2</v>
      </c>
      <c r="AB396" s="629">
        <f t="shared" si="297"/>
        <v>0.69446722880234524</v>
      </c>
      <c r="AC396" s="629">
        <f t="shared" si="297"/>
        <v>9.6540368623307532E-3</v>
      </c>
      <c r="AD396" s="629">
        <f t="shared" si="297"/>
        <v>1.44688988126243E-3</v>
      </c>
      <c r="AE396" s="629">
        <f t="shared" si="297"/>
        <v>0.3509959768204487</v>
      </c>
      <c r="AF396" s="629">
        <f t="shared" si="297"/>
        <v>2.3591605985405145E-2</v>
      </c>
      <c r="AG396" s="629">
        <f t="shared" si="297"/>
        <v>4.0923646706157984E-3</v>
      </c>
      <c r="AH396" s="629">
        <f t="shared" si="297"/>
        <v>7.5597455954949003E-2</v>
      </c>
      <c r="AI396" s="509"/>
      <c r="AJ396" s="165"/>
      <c r="AK396" s="165"/>
      <c r="AL396" s="165"/>
      <c r="AM396" s="165"/>
      <c r="AN396" s="491"/>
      <c r="AO396" s="508"/>
      <c r="AP396" s="510"/>
      <c r="AQ396" s="509"/>
      <c r="AR396" s="509"/>
      <c r="AS396" s="509"/>
      <c r="AT396" s="509"/>
      <c r="AU396" s="509"/>
      <c r="AV396" s="509"/>
      <c r="AW396" s="509"/>
      <c r="AX396" s="509"/>
      <c r="AY396" s="509"/>
      <c r="AZ396" s="509"/>
      <c r="BA396" s="509"/>
      <c r="BB396" s="164"/>
      <c r="BC396" s="164"/>
      <c r="BD396" s="164"/>
      <c r="BE396" s="164"/>
      <c r="BF396" s="164"/>
      <c r="BG396" s="164"/>
      <c r="BH396" s="164"/>
      <c r="BI396" s="164"/>
      <c r="BJ396" s="164"/>
      <c r="BK396" s="164"/>
      <c r="BL396" s="164"/>
      <c r="BM396" s="164"/>
      <c r="BN396" s="164"/>
      <c r="BO396" s="164"/>
    </row>
    <row r="397" spans="1:67" s="180" customFormat="1">
      <c r="A397" s="593"/>
      <c r="B397" s="593"/>
      <c r="C397" s="631" t="s">
        <v>320</v>
      </c>
      <c r="D397" s="609">
        <f t="shared" ref="D397" si="298">SUM(E397:AH397)</f>
        <v>5.6688700605182551E-2</v>
      </c>
      <c r="E397" s="629">
        <f t="shared" ref="E397:AH397" si="299">IF(E$379&gt;0,E$362*E381/E$379,0)</f>
        <v>0</v>
      </c>
      <c r="F397" s="629">
        <f t="shared" si="299"/>
        <v>0</v>
      </c>
      <c r="G397" s="629">
        <f t="shared" si="299"/>
        <v>2.4945484645631046E-3</v>
      </c>
      <c r="H397" s="629">
        <f t="shared" si="299"/>
        <v>0</v>
      </c>
      <c r="I397" s="629">
        <f t="shared" si="299"/>
        <v>0</v>
      </c>
      <c r="J397" s="629">
        <f t="shared" si="299"/>
        <v>5.1766502676067784E-2</v>
      </c>
      <c r="K397" s="629">
        <f t="shared" si="299"/>
        <v>0</v>
      </c>
      <c r="L397" s="629">
        <f t="shared" si="299"/>
        <v>0</v>
      </c>
      <c r="M397" s="629">
        <f t="shared" si="299"/>
        <v>0</v>
      </c>
      <c r="N397" s="629">
        <f t="shared" si="299"/>
        <v>0</v>
      </c>
      <c r="O397" s="629">
        <f t="shared" si="299"/>
        <v>0</v>
      </c>
      <c r="P397" s="629">
        <f t="shared" si="299"/>
        <v>0</v>
      </c>
      <c r="Q397" s="629">
        <f t="shared" si="299"/>
        <v>0</v>
      </c>
      <c r="R397" s="629">
        <f t="shared" si="299"/>
        <v>0</v>
      </c>
      <c r="S397" s="629">
        <f t="shared" si="299"/>
        <v>2.4276494645516654E-3</v>
      </c>
      <c r="T397" s="629">
        <f t="shared" si="299"/>
        <v>0</v>
      </c>
      <c r="U397" s="629">
        <f t="shared" si="299"/>
        <v>0</v>
      </c>
      <c r="V397" s="629">
        <f t="shared" si="299"/>
        <v>0</v>
      </c>
      <c r="W397" s="629">
        <f t="shared" si="299"/>
        <v>0</v>
      </c>
      <c r="X397" s="629">
        <f t="shared" si="299"/>
        <v>0</v>
      </c>
      <c r="Y397" s="629">
        <f t="shared" si="299"/>
        <v>0</v>
      </c>
      <c r="Z397" s="629">
        <f t="shared" si="299"/>
        <v>0</v>
      </c>
      <c r="AA397" s="629">
        <f t="shared" si="299"/>
        <v>0</v>
      </c>
      <c r="AB397" s="629">
        <f t="shared" si="299"/>
        <v>0</v>
      </c>
      <c r="AC397" s="629">
        <f t="shared" si="299"/>
        <v>0</v>
      </c>
      <c r="AD397" s="629">
        <f t="shared" si="299"/>
        <v>0</v>
      </c>
      <c r="AE397" s="629">
        <f t="shared" si="299"/>
        <v>0</v>
      </c>
      <c r="AF397" s="629">
        <f t="shared" si="299"/>
        <v>0</v>
      </c>
      <c r="AG397" s="629">
        <f t="shared" si="299"/>
        <v>0</v>
      </c>
      <c r="AH397" s="629">
        <f t="shared" si="299"/>
        <v>0</v>
      </c>
      <c r="AI397" s="509"/>
      <c r="AJ397" s="165"/>
      <c r="AK397" s="165"/>
      <c r="AL397" s="165"/>
      <c r="AM397" s="165"/>
      <c r="AN397" s="491"/>
      <c r="AO397" s="508"/>
      <c r="AP397" s="510"/>
      <c r="AQ397" s="509"/>
      <c r="AR397" s="509"/>
      <c r="AS397" s="509"/>
      <c r="AT397" s="509"/>
      <c r="AU397" s="509"/>
      <c r="AV397" s="509"/>
      <c r="AW397" s="509"/>
      <c r="AX397" s="509"/>
      <c r="AY397" s="509"/>
      <c r="AZ397" s="509"/>
      <c r="BA397" s="509"/>
      <c r="BB397" s="164"/>
      <c r="BC397" s="164"/>
      <c r="BD397" s="164"/>
      <c r="BE397" s="164"/>
      <c r="BF397" s="164"/>
      <c r="BG397" s="164"/>
      <c r="BH397" s="164"/>
      <c r="BI397" s="164"/>
      <c r="BJ397" s="164"/>
      <c r="BK397" s="164"/>
      <c r="BL397" s="164"/>
      <c r="BM397" s="164"/>
      <c r="BN397" s="164"/>
      <c r="BO397" s="164"/>
    </row>
    <row r="398" spans="1:67" s="180" customFormat="1">
      <c r="A398" s="593"/>
      <c r="B398" s="593"/>
      <c r="C398" s="631" t="s">
        <v>328</v>
      </c>
      <c r="D398" s="609"/>
      <c r="E398" s="629">
        <f>E391</f>
        <v>0.41276234895060421</v>
      </c>
      <c r="F398" s="629">
        <f t="shared" ref="F398:AH398" si="300">F391</f>
        <v>0.64285714285714279</v>
      </c>
      <c r="G398" s="629">
        <f t="shared" si="300"/>
        <v>0.4024707412223667</v>
      </c>
      <c r="H398" s="629">
        <f t="shared" si="300"/>
        <v>0</v>
      </c>
      <c r="I398" s="629">
        <f t="shared" si="300"/>
        <v>0.2748878923766816</v>
      </c>
      <c r="J398" s="629">
        <f t="shared" si="300"/>
        <v>0.35539241729050952</v>
      </c>
      <c r="K398" s="629">
        <f t="shared" si="300"/>
        <v>0.35</v>
      </c>
      <c r="L398" s="629">
        <f t="shared" si="300"/>
        <v>0.58620689655172409</v>
      </c>
      <c r="M398" s="629">
        <f t="shared" si="300"/>
        <v>0.22408932618429053</v>
      </c>
      <c r="N398" s="629">
        <f t="shared" si="300"/>
        <v>0.32361668703089547</v>
      </c>
      <c r="O398" s="629">
        <f t="shared" si="300"/>
        <v>0.27894556729682363</v>
      </c>
      <c r="P398" s="629">
        <f t="shared" si="300"/>
        <v>0.40375586854460094</v>
      </c>
      <c r="Q398" s="629">
        <f t="shared" si="300"/>
        <v>0.4375</v>
      </c>
      <c r="R398" s="629">
        <f t="shared" si="300"/>
        <v>0</v>
      </c>
      <c r="S398" s="629">
        <f t="shared" si="300"/>
        <v>0.1195655795049472</v>
      </c>
      <c r="T398" s="629">
        <f t="shared" si="300"/>
        <v>0</v>
      </c>
      <c r="U398" s="629">
        <f t="shared" si="300"/>
        <v>0</v>
      </c>
      <c r="V398" s="629">
        <f t="shared" si="300"/>
        <v>0.2105263157894737</v>
      </c>
      <c r="W398" s="629">
        <f t="shared" si="300"/>
        <v>0</v>
      </c>
      <c r="X398" s="629">
        <f t="shared" si="300"/>
        <v>0.23330710091409895</v>
      </c>
      <c r="Y398" s="629">
        <f t="shared" si="300"/>
        <v>0</v>
      </c>
      <c r="Z398" s="629">
        <f t="shared" si="300"/>
        <v>0.24364164849994813</v>
      </c>
      <c r="AA398" s="629">
        <f t="shared" si="300"/>
        <v>0.5</v>
      </c>
      <c r="AB398" s="629">
        <f t="shared" si="300"/>
        <v>0.28668171557562078</v>
      </c>
      <c r="AC398" s="629">
        <f t="shared" si="300"/>
        <v>0.31683168316831684</v>
      </c>
      <c r="AD398" s="629">
        <f t="shared" si="300"/>
        <v>0.66666666666666663</v>
      </c>
      <c r="AE398" s="629">
        <f t="shared" si="300"/>
        <v>0.28529666582823282</v>
      </c>
      <c r="AF398" s="629">
        <f t="shared" si="300"/>
        <v>0.22821100917431195</v>
      </c>
      <c r="AG398" s="629" t="e">
        <f t="shared" si="300"/>
        <v>#DIV/0!</v>
      </c>
      <c r="AH398" s="629">
        <f t="shared" si="300"/>
        <v>0.6767813600650231</v>
      </c>
      <c r="AI398" s="509"/>
      <c r="AJ398" s="165"/>
      <c r="AK398" s="165"/>
      <c r="AL398" s="165"/>
      <c r="AM398" s="165"/>
      <c r="AN398" s="491"/>
      <c r="AO398" s="508"/>
      <c r="AP398" s="510"/>
      <c r="AQ398" s="509"/>
      <c r="AR398" s="509"/>
      <c r="AS398" s="509"/>
      <c r="AT398" s="509"/>
      <c r="AU398" s="509"/>
      <c r="AV398" s="509"/>
      <c r="AW398" s="509"/>
      <c r="AX398" s="509"/>
      <c r="AY398" s="509"/>
      <c r="AZ398" s="509"/>
      <c r="BA398" s="509"/>
      <c r="BB398" s="164"/>
      <c r="BC398" s="164"/>
      <c r="BD398" s="164"/>
      <c r="BE398" s="164"/>
      <c r="BF398" s="164"/>
      <c r="BG398" s="164"/>
      <c r="BH398" s="164"/>
      <c r="BI398" s="164"/>
      <c r="BJ398" s="164"/>
      <c r="BK398" s="164"/>
      <c r="BL398" s="164"/>
      <c r="BM398" s="164"/>
      <c r="BN398" s="164"/>
      <c r="BO398" s="164"/>
    </row>
    <row r="399" spans="1:67" s="180" customFormat="1">
      <c r="A399" s="593"/>
      <c r="B399" s="593"/>
      <c r="C399" s="631" t="s">
        <v>319</v>
      </c>
      <c r="D399" s="609" t="e">
        <f>SUM(E399:AH399)</f>
        <v>#DIV/0!</v>
      </c>
      <c r="E399" s="629">
        <f>E400*E398</f>
        <v>0</v>
      </c>
      <c r="F399" s="629">
        <f t="shared" ref="F399:AH399" si="301">F400*F398</f>
        <v>0</v>
      </c>
      <c r="G399" s="629">
        <f t="shared" si="301"/>
        <v>3.6222366710012999E-2</v>
      </c>
      <c r="H399" s="629">
        <f t="shared" si="301"/>
        <v>0</v>
      </c>
      <c r="I399" s="629">
        <f t="shared" si="301"/>
        <v>0</v>
      </c>
      <c r="J399" s="629">
        <f t="shared" si="301"/>
        <v>1.4322314416807536</v>
      </c>
      <c r="K399" s="629">
        <f t="shared" si="301"/>
        <v>0</v>
      </c>
      <c r="L399" s="629">
        <f t="shared" si="301"/>
        <v>0</v>
      </c>
      <c r="M399" s="629">
        <f t="shared" si="301"/>
        <v>0</v>
      </c>
      <c r="N399" s="629">
        <f t="shared" si="301"/>
        <v>0</v>
      </c>
      <c r="O399" s="629">
        <f t="shared" si="301"/>
        <v>0</v>
      </c>
      <c r="P399" s="629">
        <f t="shared" si="301"/>
        <v>0</v>
      </c>
      <c r="Q399" s="629">
        <f t="shared" si="301"/>
        <v>0</v>
      </c>
      <c r="R399" s="629">
        <f t="shared" si="301"/>
        <v>0</v>
      </c>
      <c r="S399" s="629">
        <f t="shared" si="301"/>
        <v>5.9782789752473604E-3</v>
      </c>
      <c r="T399" s="629">
        <f t="shared" si="301"/>
        <v>0</v>
      </c>
      <c r="U399" s="629">
        <f t="shared" si="301"/>
        <v>0</v>
      </c>
      <c r="V399" s="629">
        <f t="shared" si="301"/>
        <v>0</v>
      </c>
      <c r="W399" s="629">
        <f t="shared" si="301"/>
        <v>0</v>
      </c>
      <c r="X399" s="629">
        <f t="shared" si="301"/>
        <v>0</v>
      </c>
      <c r="Y399" s="629">
        <f t="shared" si="301"/>
        <v>0</v>
      </c>
      <c r="Z399" s="629">
        <f t="shared" si="301"/>
        <v>0</v>
      </c>
      <c r="AA399" s="629">
        <f t="shared" si="301"/>
        <v>0</v>
      </c>
      <c r="AB399" s="629">
        <f t="shared" si="301"/>
        <v>0</v>
      </c>
      <c r="AC399" s="629">
        <f t="shared" si="301"/>
        <v>0</v>
      </c>
      <c r="AD399" s="629">
        <f t="shared" si="301"/>
        <v>0</v>
      </c>
      <c r="AE399" s="629">
        <f t="shared" si="301"/>
        <v>0</v>
      </c>
      <c r="AF399" s="629">
        <f t="shared" si="301"/>
        <v>0</v>
      </c>
      <c r="AG399" s="629" t="e">
        <f t="shared" si="301"/>
        <v>#DIV/0!</v>
      </c>
      <c r="AH399" s="629">
        <f t="shared" si="301"/>
        <v>0</v>
      </c>
      <c r="AI399" s="509"/>
      <c r="AJ399" s="165"/>
      <c r="AK399" s="165"/>
      <c r="AL399" s="165"/>
      <c r="AM399" s="165"/>
      <c r="AN399" s="491"/>
      <c r="AO399" s="508"/>
      <c r="AP399" s="510"/>
      <c r="AQ399" s="509"/>
      <c r="AR399" s="509"/>
      <c r="AS399" s="509"/>
      <c r="AT399" s="509"/>
      <c r="AU399" s="509"/>
      <c r="AV399" s="509"/>
      <c r="AW399" s="509"/>
      <c r="AX399" s="509"/>
      <c r="AY399" s="509"/>
      <c r="AZ399" s="509"/>
      <c r="BA399" s="509"/>
      <c r="BB399" s="164"/>
      <c r="BC399" s="164"/>
      <c r="BD399" s="164"/>
      <c r="BE399" s="164"/>
      <c r="BF399" s="164"/>
      <c r="BG399" s="164"/>
      <c r="BH399" s="164"/>
      <c r="BI399" s="164"/>
      <c r="BJ399" s="164"/>
      <c r="BK399" s="164"/>
      <c r="BL399" s="164"/>
      <c r="BM399" s="164"/>
      <c r="BN399" s="164"/>
      <c r="BO399" s="164"/>
    </row>
    <row r="400" spans="1:67" s="180" customFormat="1">
      <c r="A400" s="593"/>
      <c r="B400" s="593"/>
      <c r="C400" s="631" t="s">
        <v>321</v>
      </c>
      <c r="D400" s="609">
        <f>SUM(E400:AH400)</f>
        <v>4.17</v>
      </c>
      <c r="E400" s="629">
        <f>E381</f>
        <v>0</v>
      </c>
      <c r="F400" s="629">
        <f t="shared" ref="F400:AH400" si="302">F381</f>
        <v>0</v>
      </c>
      <c r="G400" s="629">
        <f t="shared" si="302"/>
        <v>0.09</v>
      </c>
      <c r="H400" s="629">
        <f t="shared" si="302"/>
        <v>0</v>
      </c>
      <c r="I400" s="629">
        <f t="shared" si="302"/>
        <v>0</v>
      </c>
      <c r="J400" s="629">
        <f t="shared" si="302"/>
        <v>4.03</v>
      </c>
      <c r="K400" s="629">
        <f t="shared" si="302"/>
        <v>0</v>
      </c>
      <c r="L400" s="629">
        <f t="shared" si="302"/>
        <v>0</v>
      </c>
      <c r="M400" s="629">
        <f t="shared" si="302"/>
        <v>0</v>
      </c>
      <c r="N400" s="629">
        <f t="shared" si="302"/>
        <v>0</v>
      </c>
      <c r="O400" s="629">
        <f t="shared" si="302"/>
        <v>0</v>
      </c>
      <c r="P400" s="629">
        <f t="shared" si="302"/>
        <v>0</v>
      </c>
      <c r="Q400" s="629">
        <f t="shared" si="302"/>
        <v>0</v>
      </c>
      <c r="R400" s="629">
        <f t="shared" si="302"/>
        <v>0</v>
      </c>
      <c r="S400" s="629">
        <f t="shared" si="302"/>
        <v>0.05</v>
      </c>
      <c r="T400" s="629">
        <f t="shared" si="302"/>
        <v>0</v>
      </c>
      <c r="U400" s="629">
        <f t="shared" si="302"/>
        <v>0</v>
      </c>
      <c r="V400" s="629">
        <f t="shared" si="302"/>
        <v>0</v>
      </c>
      <c r="W400" s="629">
        <f t="shared" si="302"/>
        <v>0</v>
      </c>
      <c r="X400" s="629">
        <f t="shared" si="302"/>
        <v>0</v>
      </c>
      <c r="Y400" s="629">
        <f t="shared" si="302"/>
        <v>0</v>
      </c>
      <c r="Z400" s="629">
        <f t="shared" si="302"/>
        <v>0</v>
      </c>
      <c r="AA400" s="629">
        <f t="shared" si="302"/>
        <v>0</v>
      </c>
      <c r="AB400" s="629">
        <f t="shared" si="302"/>
        <v>0</v>
      </c>
      <c r="AC400" s="629">
        <f t="shared" si="302"/>
        <v>0</v>
      </c>
      <c r="AD400" s="629">
        <f t="shared" si="302"/>
        <v>0</v>
      </c>
      <c r="AE400" s="629">
        <f t="shared" si="302"/>
        <v>0</v>
      </c>
      <c r="AF400" s="629">
        <f t="shared" si="302"/>
        <v>0</v>
      </c>
      <c r="AG400" s="629">
        <f t="shared" si="302"/>
        <v>0</v>
      </c>
      <c r="AH400" s="629">
        <f t="shared" si="302"/>
        <v>0</v>
      </c>
      <c r="AI400" s="509"/>
      <c r="AJ400" s="165"/>
      <c r="AK400" s="165"/>
      <c r="AL400" s="165"/>
      <c r="AM400" s="165"/>
      <c r="AN400" s="491"/>
      <c r="AO400" s="508"/>
      <c r="AP400" s="510"/>
      <c r="AQ400" s="509"/>
      <c r="AR400" s="509"/>
      <c r="AS400" s="509"/>
      <c r="AT400" s="509"/>
      <c r="AU400" s="509"/>
      <c r="AV400" s="509"/>
      <c r="AW400" s="509"/>
      <c r="AX400" s="509"/>
      <c r="AY400" s="509"/>
      <c r="AZ400" s="509"/>
      <c r="BA400" s="509"/>
      <c r="BB400" s="164"/>
      <c r="BC400" s="164"/>
      <c r="BD400" s="164"/>
      <c r="BE400" s="164"/>
      <c r="BF400" s="164"/>
      <c r="BG400" s="164"/>
      <c r="BH400" s="164"/>
      <c r="BI400" s="164"/>
      <c r="BJ400" s="164"/>
      <c r="BK400" s="164"/>
      <c r="BL400" s="164"/>
      <c r="BM400" s="164"/>
      <c r="BN400" s="164"/>
      <c r="BO400" s="164"/>
    </row>
    <row r="401" spans="1:67" s="180" customFormat="1">
      <c r="A401" s="593"/>
      <c r="B401" s="593"/>
      <c r="C401" s="638"/>
      <c r="D401" s="609"/>
      <c r="E401" s="629"/>
      <c r="F401" s="629"/>
      <c r="G401" s="629"/>
      <c r="H401" s="629"/>
      <c r="I401" s="629"/>
      <c r="J401" s="629"/>
      <c r="K401" s="629"/>
      <c r="L401" s="629"/>
      <c r="M401" s="629"/>
      <c r="N401" s="629"/>
      <c r="O401" s="629"/>
      <c r="P401" s="629"/>
      <c r="Q401" s="629"/>
      <c r="R401" s="629"/>
      <c r="S401" s="629"/>
      <c r="T401" s="629"/>
      <c r="U401" s="629"/>
      <c r="V401" s="629"/>
      <c r="W401" s="629"/>
      <c r="X401" s="629"/>
      <c r="Y401" s="629"/>
      <c r="Z401" s="629"/>
      <c r="AA401" s="629"/>
      <c r="AB401" s="629"/>
      <c r="AC401" s="629"/>
      <c r="AD401" s="629"/>
      <c r="AE401" s="629"/>
      <c r="AF401" s="629"/>
      <c r="AG401" s="629"/>
      <c r="AH401" s="629"/>
      <c r="AI401" s="509"/>
      <c r="AJ401" s="165"/>
      <c r="AK401" s="165"/>
      <c r="AL401" s="165"/>
      <c r="AM401" s="165"/>
      <c r="AN401" s="491"/>
      <c r="AO401" s="508"/>
      <c r="AP401" s="510"/>
      <c r="AQ401" s="509"/>
      <c r="AR401" s="509"/>
      <c r="AS401" s="509"/>
      <c r="AT401" s="509"/>
      <c r="AU401" s="509"/>
      <c r="AV401" s="509"/>
      <c r="AW401" s="509"/>
      <c r="AX401" s="509"/>
      <c r="AY401" s="509"/>
      <c r="AZ401" s="509"/>
      <c r="BA401" s="509"/>
      <c r="BB401" s="164"/>
      <c r="BC401" s="164"/>
      <c r="BD401" s="164"/>
      <c r="BE401" s="164"/>
      <c r="BF401" s="164"/>
      <c r="BG401" s="164"/>
      <c r="BH401" s="164"/>
      <c r="BI401" s="164"/>
      <c r="BJ401" s="164"/>
      <c r="BK401" s="164"/>
      <c r="BL401" s="164"/>
      <c r="BM401" s="164"/>
      <c r="BN401" s="164"/>
      <c r="BO401" s="164"/>
    </row>
    <row r="402" spans="1:67" s="180" customFormat="1">
      <c r="A402" s="593"/>
      <c r="B402" s="593"/>
      <c r="C402" s="638" t="s">
        <v>330</v>
      </c>
      <c r="D402" s="609"/>
      <c r="E402" s="629"/>
      <c r="F402" s="629"/>
      <c r="G402" s="629"/>
      <c r="H402" s="629"/>
      <c r="I402" s="629"/>
      <c r="J402" s="629"/>
      <c r="K402" s="629"/>
      <c r="L402" s="629"/>
      <c r="M402" s="629"/>
      <c r="N402" s="629"/>
      <c r="O402" s="629"/>
      <c r="P402" s="629"/>
      <c r="Q402" s="629"/>
      <c r="R402" s="629"/>
      <c r="S402" s="629"/>
      <c r="T402" s="629"/>
      <c r="U402" s="629"/>
      <c r="V402" s="629"/>
      <c r="W402" s="629"/>
      <c r="X402" s="629"/>
      <c r="Y402" s="629"/>
      <c r="Z402" s="629"/>
      <c r="AA402" s="629"/>
      <c r="AB402" s="629"/>
      <c r="AC402" s="629"/>
      <c r="AD402" s="629"/>
      <c r="AE402" s="629"/>
      <c r="AF402" s="629"/>
      <c r="AG402" s="629"/>
      <c r="AH402" s="629"/>
      <c r="AI402" s="509"/>
      <c r="AJ402" s="165"/>
      <c r="AK402" s="165"/>
      <c r="AL402" s="165"/>
      <c r="AM402" s="165"/>
      <c r="AN402" s="491"/>
      <c r="AO402" s="508"/>
      <c r="AP402" s="510"/>
      <c r="AQ402" s="509"/>
      <c r="AR402" s="509"/>
      <c r="AS402" s="509"/>
      <c r="AT402" s="509"/>
      <c r="AU402" s="509"/>
      <c r="AV402" s="509"/>
      <c r="AW402" s="509"/>
      <c r="AX402" s="509"/>
      <c r="AY402" s="509"/>
      <c r="AZ402" s="509"/>
      <c r="BA402" s="509"/>
      <c r="BB402" s="164"/>
      <c r="BC402" s="164"/>
      <c r="BD402" s="164"/>
      <c r="BE402" s="164"/>
      <c r="BF402" s="164"/>
      <c r="BG402" s="164"/>
      <c r="BH402" s="164"/>
      <c r="BI402" s="164"/>
      <c r="BJ402" s="164"/>
      <c r="BK402" s="164"/>
      <c r="BL402" s="164"/>
      <c r="BM402" s="164"/>
      <c r="BN402" s="164"/>
      <c r="BO402" s="164"/>
    </row>
    <row r="403" spans="1:67" s="180" customFormat="1">
      <c r="A403" s="593"/>
      <c r="B403" s="593"/>
      <c r="C403" s="631" t="s">
        <v>149</v>
      </c>
      <c r="D403" s="609"/>
      <c r="E403" s="629">
        <f>E396</f>
        <v>0.38931954062827012</v>
      </c>
      <c r="F403" s="629">
        <f t="shared" ref="F403:AH403" si="303">F396</f>
        <v>0.12318642211880589</v>
      </c>
      <c r="G403" s="629">
        <f t="shared" si="303"/>
        <v>0.90000000000000013</v>
      </c>
      <c r="H403" s="629">
        <f t="shared" si="303"/>
        <v>0</v>
      </c>
      <c r="I403" s="629">
        <f t="shared" si="303"/>
        <v>7.896751201839157E-2</v>
      </c>
      <c r="J403" s="629">
        <f t="shared" si="303"/>
        <v>0.87832211637624813</v>
      </c>
      <c r="K403" s="629">
        <f t="shared" si="303"/>
        <v>3.7000470146621969E-3</v>
      </c>
      <c r="L403" s="629">
        <f t="shared" si="303"/>
        <v>0.72670769523059919</v>
      </c>
      <c r="M403" s="629">
        <f t="shared" si="303"/>
        <v>5.8315704178110994E-2</v>
      </c>
      <c r="N403" s="629">
        <f t="shared" si="303"/>
        <v>0.2136703558114415</v>
      </c>
      <c r="O403" s="629">
        <f t="shared" si="303"/>
        <v>0.25391442754382687</v>
      </c>
      <c r="P403" s="629">
        <f t="shared" si="303"/>
        <v>0.20306440239468654</v>
      </c>
      <c r="Q403" s="629">
        <f t="shared" si="303"/>
        <v>0.89999999999995273</v>
      </c>
      <c r="R403" s="629">
        <f t="shared" si="303"/>
        <v>0</v>
      </c>
      <c r="S403" s="629">
        <f t="shared" si="303"/>
        <v>5.5422087515098924E-2</v>
      </c>
      <c r="T403" s="629">
        <f t="shared" si="303"/>
        <v>0</v>
      </c>
      <c r="U403" s="629">
        <f t="shared" si="303"/>
        <v>0</v>
      </c>
      <c r="V403" s="629">
        <f t="shared" si="303"/>
        <v>9.5818206034055699E-3</v>
      </c>
      <c r="W403" s="629">
        <f t="shared" si="303"/>
        <v>0</v>
      </c>
      <c r="X403" s="629">
        <f t="shared" si="303"/>
        <v>0.18160241152535175</v>
      </c>
      <c r="Y403" s="629">
        <f t="shared" si="303"/>
        <v>0</v>
      </c>
      <c r="Z403" s="629">
        <f t="shared" si="303"/>
        <v>0.10725261878571532</v>
      </c>
      <c r="AA403" s="629">
        <f t="shared" si="303"/>
        <v>4.2795061522434313E-2</v>
      </c>
      <c r="AB403" s="629">
        <f t="shared" si="303"/>
        <v>0.69446722880234524</v>
      </c>
      <c r="AC403" s="629">
        <f t="shared" si="303"/>
        <v>9.6540368623307532E-3</v>
      </c>
      <c r="AD403" s="629">
        <f t="shared" si="303"/>
        <v>1.44688988126243E-3</v>
      </c>
      <c r="AE403" s="629">
        <f t="shared" si="303"/>
        <v>0.3509959768204487</v>
      </c>
      <c r="AF403" s="629">
        <f t="shared" si="303"/>
        <v>2.3591605985405145E-2</v>
      </c>
      <c r="AG403" s="629">
        <f t="shared" si="303"/>
        <v>4.0923646706157984E-3</v>
      </c>
      <c r="AH403" s="629">
        <f t="shared" si="303"/>
        <v>7.5597455954949003E-2</v>
      </c>
      <c r="AI403" s="509"/>
      <c r="AJ403" s="165"/>
      <c r="AK403" s="165"/>
      <c r="AL403" s="165"/>
      <c r="AM403" s="165"/>
      <c r="AN403" s="491"/>
      <c r="AO403" s="508"/>
      <c r="AP403" s="510"/>
      <c r="AQ403" s="509"/>
      <c r="AR403" s="509"/>
      <c r="AS403" s="509"/>
      <c r="AT403" s="509"/>
      <c r="AU403" s="509"/>
      <c r="AV403" s="509"/>
      <c r="AW403" s="509"/>
      <c r="AX403" s="509"/>
      <c r="AY403" s="509"/>
      <c r="AZ403" s="509"/>
      <c r="BA403" s="509"/>
      <c r="BB403" s="164"/>
      <c r="BC403" s="164"/>
      <c r="BD403" s="164"/>
      <c r="BE403" s="164"/>
      <c r="BF403" s="164"/>
      <c r="BG403" s="164"/>
      <c r="BH403" s="164"/>
      <c r="BI403" s="164"/>
      <c r="BJ403" s="164"/>
      <c r="BK403" s="164"/>
      <c r="BL403" s="164"/>
      <c r="BM403" s="164"/>
      <c r="BN403" s="164"/>
      <c r="BO403" s="164"/>
    </row>
    <row r="404" spans="1:67" s="180" customFormat="1">
      <c r="A404" s="593"/>
      <c r="B404" s="593"/>
      <c r="C404" s="631" t="s">
        <v>320</v>
      </c>
      <c r="D404" s="609">
        <f t="shared" ref="D404" si="304">SUM(E404:AH404)</f>
        <v>2.2079148758024729</v>
      </c>
      <c r="E404" s="629">
        <f>IF(E$379&gt;0,E$362*E382/E$379,0)</f>
        <v>4.8707912174729834E-3</v>
      </c>
      <c r="F404" s="629">
        <f t="shared" ref="F404:AH404" si="305">IF(F$379&gt;0,F$362*F382/F$379,0)</f>
        <v>0</v>
      </c>
      <c r="G404" s="629">
        <f t="shared" si="305"/>
        <v>1.9069437151326848E-2</v>
      </c>
      <c r="H404" s="629">
        <f t="shared" si="305"/>
        <v>0</v>
      </c>
      <c r="I404" s="629">
        <f t="shared" si="305"/>
        <v>0.1426414349775785</v>
      </c>
      <c r="J404" s="629">
        <f t="shared" si="305"/>
        <v>0.20231325487545102</v>
      </c>
      <c r="K404" s="629">
        <f t="shared" si="305"/>
        <v>0</v>
      </c>
      <c r="L404" s="629">
        <f t="shared" si="305"/>
        <v>0</v>
      </c>
      <c r="M404" s="629">
        <f t="shared" si="305"/>
        <v>0</v>
      </c>
      <c r="N404" s="629">
        <f t="shared" si="305"/>
        <v>2.3780704752760427E-2</v>
      </c>
      <c r="O404" s="629">
        <f t="shared" si="305"/>
        <v>0.44028856075780543</v>
      </c>
      <c r="P404" s="629">
        <f t="shared" si="305"/>
        <v>0</v>
      </c>
      <c r="Q404" s="629">
        <f t="shared" si="305"/>
        <v>0</v>
      </c>
      <c r="R404" s="629">
        <f t="shared" si="305"/>
        <v>0</v>
      </c>
      <c r="S404" s="629">
        <f t="shared" si="305"/>
        <v>0.96159195290891475</v>
      </c>
      <c r="T404" s="629">
        <f t="shared" si="305"/>
        <v>0</v>
      </c>
      <c r="U404" s="629">
        <f t="shared" si="305"/>
        <v>0</v>
      </c>
      <c r="V404" s="629">
        <f t="shared" si="305"/>
        <v>0</v>
      </c>
      <c r="W404" s="629">
        <f t="shared" si="305"/>
        <v>0</v>
      </c>
      <c r="X404" s="629">
        <f t="shared" si="305"/>
        <v>0</v>
      </c>
      <c r="Y404" s="629">
        <f t="shared" si="305"/>
        <v>0</v>
      </c>
      <c r="Z404" s="629">
        <f t="shared" si="305"/>
        <v>2.30684469150251E-2</v>
      </c>
      <c r="AA404" s="629">
        <f t="shared" si="305"/>
        <v>0.20009707938147234</v>
      </c>
      <c r="AB404" s="629">
        <f t="shared" si="305"/>
        <v>2.6130329847143984E-4</v>
      </c>
      <c r="AC404" s="629">
        <f t="shared" si="305"/>
        <v>0</v>
      </c>
      <c r="AD404" s="629">
        <f t="shared" si="305"/>
        <v>0</v>
      </c>
      <c r="AE404" s="629">
        <f t="shared" si="305"/>
        <v>1.9974442392204323E-2</v>
      </c>
      <c r="AF404" s="629">
        <f t="shared" si="305"/>
        <v>0.14540399418611835</v>
      </c>
      <c r="AG404" s="629">
        <f t="shared" si="305"/>
        <v>0</v>
      </c>
      <c r="AH404" s="629">
        <f t="shared" si="305"/>
        <v>2.455347298787211E-2</v>
      </c>
      <c r="AI404" s="509"/>
      <c r="AJ404" s="165"/>
      <c r="AK404" s="165"/>
      <c r="AL404" s="165"/>
      <c r="AM404" s="165"/>
      <c r="AN404" s="491"/>
      <c r="AO404" s="508"/>
      <c r="AP404" s="510"/>
      <c r="AQ404" s="509"/>
      <c r="AR404" s="509"/>
      <c r="AS404" s="509"/>
      <c r="AT404" s="509"/>
      <c r="AU404" s="509"/>
      <c r="AV404" s="509"/>
      <c r="AW404" s="509"/>
      <c r="AX404" s="509"/>
      <c r="AY404" s="509"/>
      <c r="AZ404" s="509"/>
      <c r="BA404" s="509"/>
      <c r="BB404" s="164"/>
      <c r="BC404" s="164"/>
      <c r="BD404" s="164"/>
      <c r="BE404" s="164"/>
      <c r="BF404" s="164"/>
      <c r="BG404" s="164"/>
      <c r="BH404" s="164"/>
      <c r="BI404" s="164"/>
      <c r="BJ404" s="164"/>
      <c r="BK404" s="164"/>
      <c r="BL404" s="164"/>
      <c r="BM404" s="164"/>
      <c r="BN404" s="164"/>
      <c r="BO404" s="164"/>
    </row>
    <row r="405" spans="1:67" s="180" customFormat="1">
      <c r="A405" s="593"/>
      <c r="B405" s="593"/>
      <c r="C405" s="631" t="s">
        <v>328</v>
      </c>
      <c r="D405" s="609"/>
      <c r="E405" s="629">
        <f>E391</f>
        <v>0.41276234895060421</v>
      </c>
      <c r="F405" s="629">
        <f t="shared" ref="F405:AH405" si="306">F391</f>
        <v>0.64285714285714279</v>
      </c>
      <c r="G405" s="629">
        <f t="shared" si="306"/>
        <v>0.4024707412223667</v>
      </c>
      <c r="H405" s="629">
        <f t="shared" si="306"/>
        <v>0</v>
      </c>
      <c r="I405" s="629">
        <f t="shared" si="306"/>
        <v>0.2748878923766816</v>
      </c>
      <c r="J405" s="629">
        <f t="shared" si="306"/>
        <v>0.35539241729050952</v>
      </c>
      <c r="K405" s="629">
        <f t="shared" si="306"/>
        <v>0.35</v>
      </c>
      <c r="L405" s="629">
        <f t="shared" si="306"/>
        <v>0.58620689655172409</v>
      </c>
      <c r="M405" s="629">
        <f t="shared" si="306"/>
        <v>0.22408932618429053</v>
      </c>
      <c r="N405" s="629">
        <f t="shared" si="306"/>
        <v>0.32361668703089547</v>
      </c>
      <c r="O405" s="629">
        <f t="shared" si="306"/>
        <v>0.27894556729682363</v>
      </c>
      <c r="P405" s="629">
        <f t="shared" si="306"/>
        <v>0.40375586854460094</v>
      </c>
      <c r="Q405" s="629">
        <f t="shared" si="306"/>
        <v>0.4375</v>
      </c>
      <c r="R405" s="629">
        <f t="shared" si="306"/>
        <v>0</v>
      </c>
      <c r="S405" s="629">
        <f t="shared" si="306"/>
        <v>0.1195655795049472</v>
      </c>
      <c r="T405" s="629">
        <f t="shared" si="306"/>
        <v>0</v>
      </c>
      <c r="U405" s="629">
        <f t="shared" si="306"/>
        <v>0</v>
      </c>
      <c r="V405" s="629">
        <f t="shared" si="306"/>
        <v>0.2105263157894737</v>
      </c>
      <c r="W405" s="629">
        <f t="shared" si="306"/>
        <v>0</v>
      </c>
      <c r="X405" s="629">
        <f t="shared" si="306"/>
        <v>0.23330710091409895</v>
      </c>
      <c r="Y405" s="629">
        <f t="shared" si="306"/>
        <v>0</v>
      </c>
      <c r="Z405" s="629">
        <f t="shared" si="306"/>
        <v>0.24364164849994813</v>
      </c>
      <c r="AA405" s="629">
        <f t="shared" si="306"/>
        <v>0.5</v>
      </c>
      <c r="AB405" s="629">
        <f t="shared" si="306"/>
        <v>0.28668171557562078</v>
      </c>
      <c r="AC405" s="629">
        <f t="shared" si="306"/>
        <v>0.31683168316831684</v>
      </c>
      <c r="AD405" s="629">
        <f t="shared" si="306"/>
        <v>0.66666666666666663</v>
      </c>
      <c r="AE405" s="629">
        <f t="shared" si="306"/>
        <v>0.28529666582823282</v>
      </c>
      <c r="AF405" s="629">
        <f t="shared" si="306"/>
        <v>0.22821100917431195</v>
      </c>
      <c r="AG405" s="629" t="e">
        <f t="shared" si="306"/>
        <v>#DIV/0!</v>
      </c>
      <c r="AH405" s="629">
        <f t="shared" si="306"/>
        <v>0.6767813600650231</v>
      </c>
      <c r="AI405" s="509"/>
      <c r="AJ405" s="165"/>
      <c r="AK405" s="165"/>
      <c r="AL405" s="165"/>
      <c r="AM405" s="165"/>
      <c r="AN405" s="491"/>
      <c r="AO405" s="508"/>
      <c r="AP405" s="510"/>
      <c r="AQ405" s="509"/>
      <c r="AR405" s="509"/>
      <c r="AS405" s="509"/>
      <c r="AT405" s="509"/>
      <c r="AU405" s="509"/>
      <c r="AV405" s="509"/>
      <c r="AW405" s="509"/>
      <c r="AX405" s="509"/>
      <c r="AY405" s="509"/>
      <c r="AZ405" s="509"/>
      <c r="BA405" s="509"/>
      <c r="BB405" s="164"/>
      <c r="BC405" s="164"/>
      <c r="BD405" s="164"/>
      <c r="BE405" s="164"/>
      <c r="BF405" s="164"/>
      <c r="BG405" s="164"/>
      <c r="BH405" s="164"/>
      <c r="BI405" s="164"/>
      <c r="BJ405" s="164"/>
      <c r="BK405" s="164"/>
      <c r="BL405" s="164"/>
      <c r="BM405" s="164"/>
      <c r="BN405" s="164"/>
      <c r="BO405" s="164"/>
    </row>
    <row r="406" spans="1:67" s="180" customFormat="1">
      <c r="A406" s="593"/>
      <c r="B406" s="593"/>
      <c r="C406" s="631" t="s">
        <v>319</v>
      </c>
      <c r="D406" s="609" t="e">
        <f>SUM(E406:AH406)</f>
        <v>#DIV/0!</v>
      </c>
      <c r="E406" s="629">
        <f>E407*E405</f>
        <v>4.9531481874072504E-2</v>
      </c>
      <c r="F406" s="629">
        <f t="shared" ref="F406:AH406" si="307">F407*F405</f>
        <v>0</v>
      </c>
      <c r="G406" s="629">
        <f t="shared" si="307"/>
        <v>0.27689986996098831</v>
      </c>
      <c r="H406" s="629">
        <f t="shared" si="307"/>
        <v>0</v>
      </c>
      <c r="I406" s="629">
        <f t="shared" si="307"/>
        <v>0.35515515695067262</v>
      </c>
      <c r="J406" s="629">
        <f t="shared" si="307"/>
        <v>5.5974305723255249</v>
      </c>
      <c r="K406" s="629">
        <f t="shared" si="307"/>
        <v>0</v>
      </c>
      <c r="L406" s="629">
        <f t="shared" si="307"/>
        <v>0</v>
      </c>
      <c r="M406" s="629">
        <f t="shared" si="307"/>
        <v>0</v>
      </c>
      <c r="N406" s="629">
        <f t="shared" si="307"/>
        <v>0.11650200733112237</v>
      </c>
      <c r="O406" s="629">
        <f t="shared" si="307"/>
        <v>2.6904299965778637</v>
      </c>
      <c r="P406" s="629">
        <f t="shared" si="307"/>
        <v>0</v>
      </c>
      <c r="Q406" s="629">
        <f t="shared" si="307"/>
        <v>0</v>
      </c>
      <c r="R406" s="629">
        <f t="shared" si="307"/>
        <v>0</v>
      </c>
      <c r="S406" s="629">
        <f t="shared" si="307"/>
        <v>2.3679963020954791</v>
      </c>
      <c r="T406" s="629">
        <f t="shared" si="307"/>
        <v>0</v>
      </c>
      <c r="U406" s="629">
        <f t="shared" si="307"/>
        <v>0</v>
      </c>
      <c r="V406" s="629">
        <f t="shared" si="307"/>
        <v>0</v>
      </c>
      <c r="W406" s="629">
        <f t="shared" si="307"/>
        <v>0</v>
      </c>
      <c r="X406" s="629">
        <f t="shared" si="307"/>
        <v>0</v>
      </c>
      <c r="Y406" s="629">
        <f t="shared" si="307"/>
        <v>0</v>
      </c>
      <c r="Z406" s="629">
        <f t="shared" si="307"/>
        <v>3.9713588705491548E-2</v>
      </c>
      <c r="AA406" s="629">
        <f t="shared" si="307"/>
        <v>0.34150000000000003</v>
      </c>
      <c r="AB406" s="629">
        <f t="shared" si="307"/>
        <v>1.1467268623024831E-2</v>
      </c>
      <c r="AC406" s="629">
        <f t="shared" si="307"/>
        <v>0</v>
      </c>
      <c r="AD406" s="629">
        <f t="shared" si="307"/>
        <v>0</v>
      </c>
      <c r="AE406" s="629">
        <f t="shared" si="307"/>
        <v>0.19400173276319832</v>
      </c>
      <c r="AF406" s="629">
        <f t="shared" si="307"/>
        <v>0.1910126146788991</v>
      </c>
      <c r="AG406" s="629" t="e">
        <f t="shared" si="307"/>
        <v>#DIV/0!</v>
      </c>
      <c r="AH406" s="629">
        <f t="shared" si="307"/>
        <v>5.7526415605526966E-2</v>
      </c>
      <c r="AI406" s="509"/>
      <c r="AJ406" s="165"/>
      <c r="AK406" s="165"/>
      <c r="AL406" s="165"/>
      <c r="AM406" s="165"/>
      <c r="AN406" s="491"/>
      <c r="AO406" s="508"/>
      <c r="AP406" s="510"/>
      <c r="AQ406" s="509"/>
      <c r="AR406" s="509"/>
      <c r="AS406" s="509"/>
      <c r="AT406" s="509"/>
      <c r="AU406" s="509"/>
      <c r="AV406" s="509"/>
      <c r="AW406" s="509"/>
      <c r="AX406" s="509"/>
      <c r="AY406" s="509"/>
      <c r="AZ406" s="509"/>
      <c r="BA406" s="509"/>
      <c r="BB406" s="164"/>
      <c r="BC406" s="164"/>
      <c r="BD406" s="164"/>
      <c r="BE406" s="164"/>
      <c r="BF406" s="164"/>
      <c r="BG406" s="164"/>
      <c r="BH406" s="164"/>
      <c r="BI406" s="164"/>
      <c r="BJ406" s="164"/>
      <c r="BK406" s="164"/>
      <c r="BL406" s="164"/>
      <c r="BM406" s="164"/>
      <c r="BN406" s="164"/>
      <c r="BO406" s="164"/>
    </row>
    <row r="407" spans="1:67" s="180" customFormat="1">
      <c r="A407" s="593"/>
      <c r="B407" s="593"/>
      <c r="C407" s="631" t="s">
        <v>321</v>
      </c>
      <c r="D407" s="609">
        <f>SUM(E407:AH407)</f>
        <v>50.147999999999996</v>
      </c>
      <c r="E407" s="629">
        <f>E382</f>
        <v>0.12</v>
      </c>
      <c r="F407" s="629">
        <f t="shared" ref="F407:AH407" si="308">F382</f>
        <v>0</v>
      </c>
      <c r="G407" s="629">
        <f t="shared" si="308"/>
        <v>0.68800000000000006</v>
      </c>
      <c r="H407" s="629">
        <f t="shared" si="308"/>
        <v>0</v>
      </c>
      <c r="I407" s="629">
        <f t="shared" si="308"/>
        <v>1.292</v>
      </c>
      <c r="J407" s="629">
        <f t="shared" si="308"/>
        <v>15.75</v>
      </c>
      <c r="K407" s="629">
        <f t="shared" si="308"/>
        <v>0</v>
      </c>
      <c r="L407" s="629">
        <f t="shared" si="308"/>
        <v>0</v>
      </c>
      <c r="M407" s="629">
        <f t="shared" si="308"/>
        <v>0</v>
      </c>
      <c r="N407" s="629">
        <f t="shared" si="308"/>
        <v>0.36</v>
      </c>
      <c r="O407" s="629">
        <f t="shared" si="308"/>
        <v>9.6449999999999996</v>
      </c>
      <c r="P407" s="629">
        <f t="shared" si="308"/>
        <v>0</v>
      </c>
      <c r="Q407" s="629">
        <f t="shared" si="308"/>
        <v>0</v>
      </c>
      <c r="R407" s="629">
        <f t="shared" si="308"/>
        <v>0</v>
      </c>
      <c r="S407" s="629">
        <f t="shared" si="308"/>
        <v>19.805</v>
      </c>
      <c r="T407" s="629">
        <f t="shared" si="308"/>
        <v>0</v>
      </c>
      <c r="U407" s="629">
        <f t="shared" si="308"/>
        <v>0</v>
      </c>
      <c r="V407" s="629">
        <f t="shared" si="308"/>
        <v>0</v>
      </c>
      <c r="W407" s="629">
        <f t="shared" si="308"/>
        <v>0</v>
      </c>
      <c r="X407" s="629">
        <f t="shared" si="308"/>
        <v>0</v>
      </c>
      <c r="Y407" s="629">
        <f t="shared" si="308"/>
        <v>0</v>
      </c>
      <c r="Z407" s="629">
        <f t="shared" si="308"/>
        <v>0.16300000000000001</v>
      </c>
      <c r="AA407" s="629">
        <f t="shared" si="308"/>
        <v>0.68300000000000005</v>
      </c>
      <c r="AB407" s="629">
        <f t="shared" si="308"/>
        <v>0.04</v>
      </c>
      <c r="AC407" s="629">
        <f t="shared" si="308"/>
        <v>0</v>
      </c>
      <c r="AD407" s="629">
        <f t="shared" si="308"/>
        <v>0</v>
      </c>
      <c r="AE407" s="629">
        <f t="shared" si="308"/>
        <v>0.68</v>
      </c>
      <c r="AF407" s="629">
        <f t="shared" si="308"/>
        <v>0.83699999999999997</v>
      </c>
      <c r="AG407" s="629">
        <f t="shared" si="308"/>
        <v>0</v>
      </c>
      <c r="AH407" s="629">
        <f t="shared" si="308"/>
        <v>8.5000000000000006E-2</v>
      </c>
      <c r="AI407" s="509"/>
      <c r="AJ407" s="165"/>
      <c r="AK407" s="165"/>
      <c r="AL407" s="165"/>
      <c r="AM407" s="165"/>
      <c r="AN407" s="491"/>
      <c r="AO407" s="508"/>
      <c r="AP407" s="510"/>
      <c r="AQ407" s="509"/>
      <c r="AR407" s="509"/>
      <c r="AS407" s="509"/>
      <c r="AT407" s="509"/>
      <c r="AU407" s="509"/>
      <c r="AV407" s="509"/>
      <c r="AW407" s="509"/>
      <c r="AX407" s="509"/>
      <c r="AY407" s="509"/>
      <c r="AZ407" s="509"/>
      <c r="BA407" s="509"/>
      <c r="BB407" s="164"/>
      <c r="BC407" s="164"/>
      <c r="BD407" s="164"/>
      <c r="BE407" s="164"/>
      <c r="BF407" s="164"/>
      <c r="BG407" s="164"/>
      <c r="BH407" s="164"/>
      <c r="BI407" s="164"/>
      <c r="BJ407" s="164"/>
      <c r="BK407" s="164"/>
      <c r="BL407" s="164"/>
      <c r="BM407" s="164"/>
      <c r="BN407" s="164"/>
      <c r="BO407" s="164"/>
    </row>
    <row r="408" spans="1:67" s="180" customFormat="1">
      <c r="A408" s="593"/>
      <c r="B408" s="593"/>
      <c r="C408" s="638"/>
      <c r="D408" s="609"/>
      <c r="E408" s="629"/>
      <c r="F408" s="629"/>
      <c r="G408" s="629"/>
      <c r="H408" s="629"/>
      <c r="I408" s="629"/>
      <c r="J408" s="629"/>
      <c r="K408" s="629"/>
      <c r="L408" s="629"/>
      <c r="M408" s="629"/>
      <c r="N408" s="629"/>
      <c r="O408" s="629"/>
      <c r="P408" s="629"/>
      <c r="Q408" s="629"/>
      <c r="R408" s="629"/>
      <c r="S408" s="629"/>
      <c r="T408" s="629"/>
      <c r="U408" s="629"/>
      <c r="V408" s="629"/>
      <c r="W408" s="629"/>
      <c r="X408" s="629"/>
      <c r="Y408" s="629"/>
      <c r="Z408" s="629"/>
      <c r="AA408" s="629"/>
      <c r="AB408" s="629"/>
      <c r="AC408" s="629"/>
      <c r="AD408" s="629"/>
      <c r="AE408" s="629"/>
      <c r="AF408" s="629"/>
      <c r="AG408" s="629"/>
      <c r="AH408" s="629"/>
      <c r="AI408" s="509"/>
      <c r="AJ408" s="165"/>
      <c r="AK408" s="165"/>
      <c r="AL408" s="165"/>
      <c r="AM408" s="165"/>
      <c r="AN408" s="491"/>
      <c r="AO408" s="508"/>
      <c r="AP408" s="510"/>
      <c r="AQ408" s="509"/>
      <c r="AR408" s="509"/>
      <c r="AS408" s="509"/>
      <c r="AT408" s="509"/>
      <c r="AU408" s="509"/>
      <c r="AV408" s="509"/>
      <c r="AW408" s="509"/>
      <c r="AX408" s="509"/>
      <c r="AY408" s="509"/>
      <c r="AZ408" s="509"/>
      <c r="BA408" s="509"/>
      <c r="BB408" s="164"/>
      <c r="BC408" s="164"/>
      <c r="BD408" s="164"/>
      <c r="BE408" s="164"/>
      <c r="BF408" s="164"/>
      <c r="BG408" s="164"/>
      <c r="BH408" s="164"/>
      <c r="BI408" s="164"/>
      <c r="BJ408" s="164"/>
      <c r="BK408" s="164"/>
      <c r="BL408" s="164"/>
      <c r="BM408" s="164"/>
      <c r="BN408" s="164"/>
      <c r="BO408" s="164"/>
    </row>
    <row r="409" spans="1:67" s="180" customFormat="1">
      <c r="A409" s="593"/>
      <c r="B409" s="593"/>
      <c r="C409" s="638" t="s">
        <v>331</v>
      </c>
      <c r="D409" s="609"/>
      <c r="E409" s="629"/>
      <c r="F409" s="629"/>
      <c r="G409" s="629"/>
      <c r="H409" s="629"/>
      <c r="I409" s="629"/>
      <c r="J409" s="629"/>
      <c r="K409" s="629"/>
      <c r="L409" s="629"/>
      <c r="M409" s="629"/>
      <c r="N409" s="629"/>
      <c r="O409" s="629"/>
      <c r="P409" s="629"/>
      <c r="Q409" s="629"/>
      <c r="R409" s="629"/>
      <c r="S409" s="629"/>
      <c r="T409" s="629"/>
      <c r="U409" s="629"/>
      <c r="V409" s="629"/>
      <c r="W409" s="629"/>
      <c r="X409" s="629"/>
      <c r="Y409" s="629"/>
      <c r="Z409" s="629"/>
      <c r="AA409" s="629"/>
      <c r="AB409" s="629"/>
      <c r="AC409" s="629"/>
      <c r="AD409" s="629"/>
      <c r="AE409" s="629"/>
      <c r="AF409" s="629"/>
      <c r="AG409" s="629"/>
      <c r="AH409" s="629"/>
      <c r="AI409" s="509"/>
      <c r="AJ409" s="165"/>
      <c r="AK409" s="165"/>
      <c r="AL409" s="165"/>
      <c r="AM409" s="165"/>
      <c r="AN409" s="491"/>
      <c r="AO409" s="508"/>
      <c r="AP409" s="510"/>
      <c r="AQ409" s="509"/>
      <c r="AR409" s="509"/>
      <c r="AS409" s="509"/>
      <c r="AT409" s="509"/>
      <c r="AU409" s="509"/>
      <c r="AV409" s="509"/>
      <c r="AW409" s="509"/>
      <c r="AX409" s="509"/>
      <c r="AY409" s="509"/>
      <c r="AZ409" s="509"/>
      <c r="BA409" s="509"/>
      <c r="BB409" s="164"/>
      <c r="BC409" s="164"/>
      <c r="BD409" s="164"/>
      <c r="BE409" s="164"/>
      <c r="BF409" s="164"/>
      <c r="BG409" s="164"/>
      <c r="BH409" s="164"/>
      <c r="BI409" s="164"/>
      <c r="BJ409" s="164"/>
      <c r="BK409" s="164"/>
      <c r="BL409" s="164"/>
      <c r="BM409" s="164"/>
      <c r="BN409" s="164"/>
      <c r="BO409" s="164"/>
    </row>
    <row r="410" spans="1:67" s="180" customFormat="1">
      <c r="A410" s="593"/>
      <c r="B410" s="593"/>
      <c r="C410" s="631" t="s">
        <v>149</v>
      </c>
      <c r="D410" s="609"/>
      <c r="E410" s="629">
        <f>E403</f>
        <v>0.38931954062827012</v>
      </c>
      <c r="F410" s="629">
        <f t="shared" ref="F410:AH410" si="309">F403</f>
        <v>0.12318642211880589</v>
      </c>
      <c r="G410" s="629">
        <f t="shared" si="309"/>
        <v>0.90000000000000013</v>
      </c>
      <c r="H410" s="629">
        <f t="shared" si="309"/>
        <v>0</v>
      </c>
      <c r="I410" s="629">
        <f t="shared" si="309"/>
        <v>7.896751201839157E-2</v>
      </c>
      <c r="J410" s="629">
        <f t="shared" si="309"/>
        <v>0.87832211637624813</v>
      </c>
      <c r="K410" s="629">
        <f t="shared" si="309"/>
        <v>3.7000470146621969E-3</v>
      </c>
      <c r="L410" s="629">
        <f t="shared" si="309"/>
        <v>0.72670769523059919</v>
      </c>
      <c r="M410" s="629">
        <f t="shared" si="309"/>
        <v>5.8315704178110994E-2</v>
      </c>
      <c r="N410" s="629">
        <f t="shared" si="309"/>
        <v>0.2136703558114415</v>
      </c>
      <c r="O410" s="629">
        <f t="shared" si="309"/>
        <v>0.25391442754382687</v>
      </c>
      <c r="P410" s="629">
        <f t="shared" si="309"/>
        <v>0.20306440239468654</v>
      </c>
      <c r="Q410" s="629">
        <f t="shared" si="309"/>
        <v>0.89999999999995273</v>
      </c>
      <c r="R410" s="629">
        <f t="shared" si="309"/>
        <v>0</v>
      </c>
      <c r="S410" s="629">
        <f t="shared" si="309"/>
        <v>5.5422087515098924E-2</v>
      </c>
      <c r="T410" s="629">
        <f t="shared" si="309"/>
        <v>0</v>
      </c>
      <c r="U410" s="629">
        <f t="shared" si="309"/>
        <v>0</v>
      </c>
      <c r="V410" s="629">
        <f t="shared" si="309"/>
        <v>9.5818206034055699E-3</v>
      </c>
      <c r="W410" s="629">
        <f t="shared" si="309"/>
        <v>0</v>
      </c>
      <c r="X410" s="629">
        <f t="shared" si="309"/>
        <v>0.18160241152535175</v>
      </c>
      <c r="Y410" s="629">
        <f t="shared" si="309"/>
        <v>0</v>
      </c>
      <c r="Z410" s="629">
        <f t="shared" si="309"/>
        <v>0.10725261878571532</v>
      </c>
      <c r="AA410" s="629">
        <f t="shared" si="309"/>
        <v>4.2795061522434313E-2</v>
      </c>
      <c r="AB410" s="629">
        <f t="shared" si="309"/>
        <v>0.69446722880234524</v>
      </c>
      <c r="AC410" s="629">
        <f t="shared" si="309"/>
        <v>9.6540368623307532E-3</v>
      </c>
      <c r="AD410" s="629">
        <f t="shared" si="309"/>
        <v>1.44688988126243E-3</v>
      </c>
      <c r="AE410" s="629">
        <f t="shared" si="309"/>
        <v>0.3509959768204487</v>
      </c>
      <c r="AF410" s="629">
        <f t="shared" si="309"/>
        <v>2.3591605985405145E-2</v>
      </c>
      <c r="AG410" s="629">
        <f t="shared" si="309"/>
        <v>4.0923646706157984E-3</v>
      </c>
      <c r="AH410" s="629">
        <f t="shared" si="309"/>
        <v>7.5597455954949003E-2</v>
      </c>
      <c r="AI410" s="509"/>
      <c r="AJ410" s="165"/>
      <c r="AK410" s="165"/>
      <c r="AL410" s="165"/>
      <c r="AM410" s="165"/>
      <c r="AN410" s="491"/>
      <c r="AO410" s="508"/>
      <c r="AP410" s="510"/>
      <c r="AQ410" s="509"/>
      <c r="AR410" s="509"/>
      <c r="AS410" s="509"/>
      <c r="AT410" s="509"/>
      <c r="AU410" s="509"/>
      <c r="AV410" s="509"/>
      <c r="AW410" s="509"/>
      <c r="AX410" s="509"/>
      <c r="AY410" s="509"/>
      <c r="AZ410" s="509"/>
      <c r="BA410" s="509"/>
      <c r="BB410" s="164"/>
      <c r="BC410" s="164"/>
      <c r="BD410" s="164"/>
      <c r="BE410" s="164"/>
      <c r="BF410" s="164"/>
      <c r="BG410" s="164"/>
      <c r="BH410" s="164"/>
      <c r="BI410" s="164"/>
      <c r="BJ410" s="164"/>
      <c r="BK410" s="164"/>
      <c r="BL410" s="164"/>
      <c r="BM410" s="164"/>
      <c r="BN410" s="164"/>
      <c r="BO410" s="164"/>
    </row>
    <row r="411" spans="1:67" s="180" customFormat="1">
      <c r="A411" s="593"/>
      <c r="B411" s="593"/>
      <c r="C411" s="631" t="s">
        <v>320</v>
      </c>
      <c r="D411" s="609">
        <f t="shared" ref="D411" si="310">SUM(E411:AH411)</f>
        <v>7.8728691297365954</v>
      </c>
      <c r="E411" s="629">
        <f t="shared" ref="E411:S411" si="311">IF(E$379&gt;0,E$362*(E383+E384)/E$379,0)</f>
        <v>0.89853920984332858</v>
      </c>
      <c r="F411" s="629">
        <f t="shared" si="311"/>
        <v>0</v>
      </c>
      <c r="G411" s="629">
        <f t="shared" si="311"/>
        <v>0</v>
      </c>
      <c r="H411" s="629">
        <f t="shared" si="311"/>
        <v>0</v>
      </c>
      <c r="I411" s="629">
        <f t="shared" si="311"/>
        <v>5.0675246636771309E-2</v>
      </c>
      <c r="J411" s="629">
        <f t="shared" si="311"/>
        <v>0.97730789655167871</v>
      </c>
      <c r="K411" s="629">
        <f t="shared" si="311"/>
        <v>0</v>
      </c>
      <c r="L411" s="629">
        <f t="shared" si="311"/>
        <v>4.7491702156167367E-3</v>
      </c>
      <c r="M411" s="629">
        <f t="shared" si="311"/>
        <v>0.32843168298937181</v>
      </c>
      <c r="N411" s="629">
        <f t="shared" si="311"/>
        <v>0.52343973461353788</v>
      </c>
      <c r="O411" s="629">
        <f t="shared" si="311"/>
        <v>1.5256032867315559</v>
      </c>
      <c r="P411" s="629">
        <f t="shared" si="311"/>
        <v>1.3431999999999999E-2</v>
      </c>
      <c r="Q411" s="629">
        <f t="shared" si="311"/>
        <v>2.4667864820102081E-4</v>
      </c>
      <c r="R411" s="629">
        <f t="shared" si="311"/>
        <v>0</v>
      </c>
      <c r="S411" s="629">
        <f t="shared" si="311"/>
        <v>0.34642557859152268</v>
      </c>
      <c r="T411" s="666">
        <f>IF(T$379&gt;0,T$362*(T383+T384)/T$379,T362)</f>
        <v>4.0045600310110299E-2</v>
      </c>
      <c r="U411" s="629">
        <f t="shared" ref="U411:AH411" si="312">IF(U$379&gt;0,U$362*(U383+U384)/U$379,0)</f>
        <v>0</v>
      </c>
      <c r="V411" s="629">
        <f t="shared" si="312"/>
        <v>0</v>
      </c>
      <c r="W411" s="629">
        <f t="shared" si="312"/>
        <v>0</v>
      </c>
      <c r="X411" s="629">
        <f t="shared" si="312"/>
        <v>0.10188551296282861</v>
      </c>
      <c r="Y411" s="629">
        <f t="shared" si="312"/>
        <v>0</v>
      </c>
      <c r="Z411" s="629">
        <f t="shared" si="312"/>
        <v>1.0331267636790382E-2</v>
      </c>
      <c r="AA411" s="629">
        <f t="shared" si="312"/>
        <v>6.621074661817386E-2</v>
      </c>
      <c r="AB411" s="629">
        <f t="shared" si="312"/>
        <v>1.9996234915526937E-2</v>
      </c>
      <c r="AC411" s="629">
        <f t="shared" si="312"/>
        <v>0</v>
      </c>
      <c r="AD411" s="629">
        <f t="shared" si="312"/>
        <v>0</v>
      </c>
      <c r="AE411" s="629">
        <f t="shared" si="312"/>
        <v>1.7318722779440805</v>
      </c>
      <c r="AF411" s="629">
        <f t="shared" si="312"/>
        <v>0.64728229669949466</v>
      </c>
      <c r="AG411" s="629">
        <f t="shared" si="312"/>
        <v>0</v>
      </c>
      <c r="AH411" s="629">
        <f t="shared" si="312"/>
        <v>0.58639470782800451</v>
      </c>
      <c r="AI411" s="509"/>
      <c r="AJ411" s="165"/>
      <c r="AK411" s="165"/>
      <c r="AL411" s="165"/>
      <c r="AM411" s="165"/>
      <c r="AN411" s="491"/>
      <c r="AO411" s="508"/>
      <c r="AP411" s="510"/>
      <c r="AQ411" s="509"/>
      <c r="AR411" s="509"/>
      <c r="AS411" s="509"/>
      <c r="AT411" s="509"/>
      <c r="AU411" s="509"/>
      <c r="AV411" s="509"/>
      <c r="AW411" s="509"/>
      <c r="AX411" s="509"/>
      <c r="AY411" s="509"/>
      <c r="AZ411" s="509"/>
      <c r="BA411" s="509"/>
      <c r="BB411" s="164"/>
      <c r="BC411" s="164"/>
      <c r="BD411" s="164"/>
      <c r="BE411" s="164"/>
      <c r="BF411" s="164"/>
      <c r="BG411" s="164"/>
      <c r="BH411" s="164"/>
      <c r="BI411" s="164"/>
      <c r="BJ411" s="164"/>
      <c r="BK411" s="164"/>
      <c r="BL411" s="164"/>
      <c r="BM411" s="164"/>
      <c r="BN411" s="164"/>
      <c r="BO411" s="164"/>
    </row>
    <row r="412" spans="1:67" s="180" customFormat="1">
      <c r="A412" s="593"/>
      <c r="B412" s="593"/>
      <c r="C412" s="631" t="s">
        <v>328</v>
      </c>
      <c r="D412" s="609"/>
      <c r="E412" s="629">
        <f>E398</f>
        <v>0.41276234895060421</v>
      </c>
      <c r="F412" s="629">
        <f t="shared" ref="F412:AH412" si="313">F398</f>
        <v>0.64285714285714279</v>
      </c>
      <c r="G412" s="629">
        <f t="shared" si="313"/>
        <v>0.4024707412223667</v>
      </c>
      <c r="H412" s="629">
        <f t="shared" si="313"/>
        <v>0</v>
      </c>
      <c r="I412" s="629">
        <f t="shared" si="313"/>
        <v>0.2748878923766816</v>
      </c>
      <c r="J412" s="629">
        <f t="shared" si="313"/>
        <v>0.35539241729050952</v>
      </c>
      <c r="K412" s="629">
        <f t="shared" si="313"/>
        <v>0.35</v>
      </c>
      <c r="L412" s="629">
        <f t="shared" si="313"/>
        <v>0.58620689655172409</v>
      </c>
      <c r="M412" s="629">
        <f t="shared" si="313"/>
        <v>0.22408932618429053</v>
      </c>
      <c r="N412" s="629">
        <f t="shared" si="313"/>
        <v>0.32361668703089547</v>
      </c>
      <c r="O412" s="629">
        <f t="shared" si="313"/>
        <v>0.27894556729682363</v>
      </c>
      <c r="P412" s="629">
        <f t="shared" si="313"/>
        <v>0.40375586854460094</v>
      </c>
      <c r="Q412" s="629">
        <f t="shared" si="313"/>
        <v>0.4375</v>
      </c>
      <c r="R412" s="629">
        <f t="shared" si="313"/>
        <v>0</v>
      </c>
      <c r="S412" s="629">
        <f t="shared" si="313"/>
        <v>0.1195655795049472</v>
      </c>
      <c r="T412" s="629">
        <f t="shared" si="313"/>
        <v>0</v>
      </c>
      <c r="U412" s="629">
        <f t="shared" si="313"/>
        <v>0</v>
      </c>
      <c r="V412" s="629">
        <f t="shared" si="313"/>
        <v>0.2105263157894737</v>
      </c>
      <c r="W412" s="629">
        <f t="shared" si="313"/>
        <v>0</v>
      </c>
      <c r="X412" s="629">
        <f t="shared" si="313"/>
        <v>0.23330710091409895</v>
      </c>
      <c r="Y412" s="629">
        <f t="shared" si="313"/>
        <v>0</v>
      </c>
      <c r="Z412" s="629">
        <f t="shared" si="313"/>
        <v>0.24364164849994813</v>
      </c>
      <c r="AA412" s="629">
        <f t="shared" si="313"/>
        <v>0.5</v>
      </c>
      <c r="AB412" s="629">
        <f t="shared" si="313"/>
        <v>0.28668171557562078</v>
      </c>
      <c r="AC412" s="629">
        <f t="shared" si="313"/>
        <v>0.31683168316831684</v>
      </c>
      <c r="AD412" s="629">
        <f t="shared" si="313"/>
        <v>0.66666666666666663</v>
      </c>
      <c r="AE412" s="629">
        <f t="shared" si="313"/>
        <v>0.28529666582823282</v>
      </c>
      <c r="AF412" s="629">
        <f t="shared" si="313"/>
        <v>0.22821100917431195</v>
      </c>
      <c r="AG412" s="629" t="e">
        <f t="shared" si="313"/>
        <v>#DIV/0!</v>
      </c>
      <c r="AH412" s="629">
        <f t="shared" si="313"/>
        <v>0.6767813600650231</v>
      </c>
      <c r="AI412" s="509"/>
      <c r="AJ412" s="165"/>
      <c r="AK412" s="165"/>
      <c r="AL412" s="165"/>
      <c r="AM412" s="165"/>
      <c r="AN412" s="491"/>
      <c r="AO412" s="508"/>
      <c r="AP412" s="510"/>
      <c r="AQ412" s="509"/>
      <c r="AR412" s="509"/>
      <c r="AS412" s="509"/>
      <c r="AT412" s="509"/>
      <c r="AU412" s="509"/>
      <c r="AV412" s="509"/>
      <c r="AW412" s="509"/>
      <c r="AX412" s="509"/>
      <c r="AY412" s="509"/>
      <c r="AZ412" s="509"/>
      <c r="BA412" s="509"/>
      <c r="BB412" s="164"/>
      <c r="BC412" s="164"/>
      <c r="BD412" s="164"/>
      <c r="BE412" s="164"/>
      <c r="BF412" s="164"/>
      <c r="BG412" s="164"/>
      <c r="BH412" s="164"/>
      <c r="BI412" s="164"/>
      <c r="BJ412" s="164"/>
      <c r="BK412" s="164"/>
      <c r="BL412" s="164"/>
      <c r="BM412" s="164"/>
      <c r="BN412" s="164"/>
      <c r="BO412" s="164"/>
    </row>
    <row r="413" spans="1:67" s="180" customFormat="1">
      <c r="A413" s="593"/>
      <c r="B413" s="593"/>
      <c r="C413" s="631" t="s">
        <v>319</v>
      </c>
      <c r="D413" s="609" t="e">
        <f>SUM(E413:AH413)</f>
        <v>#DIV/0!</v>
      </c>
      <c r="E413" s="629">
        <f>E414*E412</f>
        <v>9.1373201187195257</v>
      </c>
      <c r="F413" s="629">
        <f t="shared" ref="F413:AH413" si="314">F414*F412</f>
        <v>0</v>
      </c>
      <c r="G413" s="629">
        <f t="shared" si="314"/>
        <v>0</v>
      </c>
      <c r="H413" s="629">
        <f t="shared" si="314"/>
        <v>0</v>
      </c>
      <c r="I413" s="629">
        <f t="shared" si="314"/>
        <v>0.12617354260089686</v>
      </c>
      <c r="J413" s="629">
        <f t="shared" si="314"/>
        <v>27.039321284713836</v>
      </c>
      <c r="K413" s="629">
        <f t="shared" si="314"/>
        <v>0</v>
      </c>
      <c r="L413" s="629">
        <f t="shared" si="314"/>
        <v>0.10024137931034482</v>
      </c>
      <c r="M413" s="629">
        <f t="shared" si="314"/>
        <v>0.43988734729976231</v>
      </c>
      <c r="N413" s="629">
        <f t="shared" si="314"/>
        <v>2.5643386280328158</v>
      </c>
      <c r="O413" s="629">
        <f t="shared" si="314"/>
        <v>9.3223608590598452</v>
      </c>
      <c r="P413" s="629">
        <f t="shared" si="314"/>
        <v>8.5999999999999993E-2</v>
      </c>
      <c r="Q413" s="629">
        <f t="shared" si="314"/>
        <v>7.0000000000000001E-3</v>
      </c>
      <c r="R413" s="629">
        <f t="shared" si="314"/>
        <v>0</v>
      </c>
      <c r="S413" s="629">
        <f t="shared" si="314"/>
        <v>0.85310040976779822</v>
      </c>
      <c r="T413" s="629">
        <f t="shared" si="314"/>
        <v>0</v>
      </c>
      <c r="U413" s="629">
        <f t="shared" si="314"/>
        <v>0</v>
      </c>
      <c r="V413" s="629">
        <f t="shared" si="314"/>
        <v>0</v>
      </c>
      <c r="W413" s="629">
        <f t="shared" si="314"/>
        <v>0</v>
      </c>
      <c r="X413" s="629">
        <f t="shared" si="314"/>
        <v>0.2921004903444519</v>
      </c>
      <c r="Y413" s="629">
        <f t="shared" si="314"/>
        <v>0</v>
      </c>
      <c r="Z413" s="629">
        <f t="shared" si="314"/>
        <v>1.7785840340496212E-2</v>
      </c>
      <c r="AA413" s="629">
        <f t="shared" si="314"/>
        <v>0.113</v>
      </c>
      <c r="AB413" s="629">
        <f t="shared" si="314"/>
        <v>0.87753273137697518</v>
      </c>
      <c r="AC413" s="629">
        <f t="shared" si="314"/>
        <v>0</v>
      </c>
      <c r="AD413" s="629">
        <f t="shared" si="314"/>
        <v>0</v>
      </c>
      <c r="AE413" s="629">
        <f t="shared" si="314"/>
        <v>16.820806120566779</v>
      </c>
      <c r="AF413" s="629">
        <f t="shared" si="314"/>
        <v>0.85031422018348635</v>
      </c>
      <c r="AG413" s="629" t="e">
        <f t="shared" si="314"/>
        <v>#DIV/0!</v>
      </c>
      <c r="AH413" s="629">
        <f t="shared" si="314"/>
        <v>1.3738661609319966</v>
      </c>
      <c r="AI413" s="509"/>
      <c r="AJ413" s="165"/>
      <c r="AK413" s="165"/>
      <c r="AL413" s="165"/>
      <c r="AM413" s="165"/>
      <c r="AN413" s="491"/>
      <c r="AO413" s="508"/>
      <c r="AP413" s="510"/>
      <c r="AQ413" s="509"/>
      <c r="AR413" s="509"/>
      <c r="AS413" s="509"/>
      <c r="AT413" s="509"/>
      <c r="AU413" s="509"/>
      <c r="AV413" s="509"/>
      <c r="AW413" s="509"/>
      <c r="AX413" s="509"/>
      <c r="AY413" s="509"/>
      <c r="AZ413" s="509"/>
      <c r="BA413" s="509"/>
      <c r="BB413" s="164"/>
      <c r="BC413" s="164"/>
      <c r="BD413" s="164"/>
      <c r="BE413" s="164"/>
      <c r="BF413" s="164"/>
      <c r="BG413" s="164"/>
      <c r="BH413" s="164"/>
      <c r="BI413" s="164"/>
      <c r="BJ413" s="164"/>
      <c r="BK413" s="164"/>
      <c r="BL413" s="164"/>
      <c r="BM413" s="164"/>
      <c r="BN413" s="164"/>
      <c r="BO413" s="164"/>
    </row>
    <row r="414" spans="1:67" s="180" customFormat="1">
      <c r="A414" s="593"/>
      <c r="B414" s="593"/>
      <c r="C414" s="631" t="s">
        <v>321</v>
      </c>
      <c r="D414" s="609">
        <f>SUM(E414:AH414)</f>
        <v>218.84800000000001</v>
      </c>
      <c r="E414" s="629">
        <f t="shared" ref="E414:AH414" si="315">E383+E384</f>
        <v>22.137</v>
      </c>
      <c r="F414" s="629">
        <f t="shared" si="315"/>
        <v>0</v>
      </c>
      <c r="G414" s="629">
        <f t="shared" si="315"/>
        <v>0</v>
      </c>
      <c r="H414" s="629">
        <f t="shared" si="315"/>
        <v>0</v>
      </c>
      <c r="I414" s="629">
        <f t="shared" si="315"/>
        <v>0.45900000000000002</v>
      </c>
      <c r="J414" s="629">
        <f t="shared" si="315"/>
        <v>76.082999999999998</v>
      </c>
      <c r="K414" s="629">
        <f t="shared" si="315"/>
        <v>0</v>
      </c>
      <c r="L414" s="629">
        <f t="shared" si="315"/>
        <v>0.17100000000000001</v>
      </c>
      <c r="M414" s="629">
        <f t="shared" si="315"/>
        <v>1.9630000000000001</v>
      </c>
      <c r="N414" s="629">
        <f t="shared" si="315"/>
        <v>7.9240000000000004</v>
      </c>
      <c r="O414" s="629">
        <f t="shared" si="315"/>
        <v>33.42</v>
      </c>
      <c r="P414" s="629">
        <f t="shared" si="315"/>
        <v>0.21299999999999999</v>
      </c>
      <c r="Q414" s="629">
        <f t="shared" si="315"/>
        <v>1.6E-2</v>
      </c>
      <c r="R414" s="629">
        <f t="shared" si="315"/>
        <v>0</v>
      </c>
      <c r="S414" s="629">
        <f t="shared" si="315"/>
        <v>7.1349999999999998</v>
      </c>
      <c r="T414" s="629">
        <f t="shared" si="315"/>
        <v>0</v>
      </c>
      <c r="U414" s="629">
        <f t="shared" si="315"/>
        <v>0</v>
      </c>
      <c r="V414" s="629">
        <f t="shared" si="315"/>
        <v>0</v>
      </c>
      <c r="W414" s="629">
        <f t="shared" si="315"/>
        <v>0</v>
      </c>
      <c r="X414" s="629">
        <f t="shared" si="315"/>
        <v>1.252</v>
      </c>
      <c r="Y414" s="629">
        <f t="shared" si="315"/>
        <v>0</v>
      </c>
      <c r="Z414" s="629">
        <f t="shared" si="315"/>
        <v>7.2999999999999995E-2</v>
      </c>
      <c r="AA414" s="629">
        <f t="shared" si="315"/>
        <v>0.22600000000000001</v>
      </c>
      <c r="AB414" s="629">
        <f t="shared" si="315"/>
        <v>3.0609999999999999</v>
      </c>
      <c r="AC414" s="629">
        <f t="shared" si="315"/>
        <v>0</v>
      </c>
      <c r="AD414" s="629">
        <f t="shared" si="315"/>
        <v>0</v>
      </c>
      <c r="AE414" s="629">
        <f t="shared" si="315"/>
        <v>58.959000000000003</v>
      </c>
      <c r="AF414" s="629">
        <f t="shared" si="315"/>
        <v>3.726</v>
      </c>
      <c r="AG414" s="629">
        <f t="shared" si="315"/>
        <v>0</v>
      </c>
      <c r="AH414" s="629">
        <f t="shared" si="315"/>
        <v>2.0299999999999998</v>
      </c>
      <c r="AI414" s="509"/>
      <c r="AJ414" s="165"/>
      <c r="AK414" s="165"/>
      <c r="AL414" s="165"/>
      <c r="AM414" s="165"/>
      <c r="AN414" s="491"/>
      <c r="AO414" s="508"/>
      <c r="AP414" s="510"/>
      <c r="AQ414" s="509"/>
      <c r="AR414" s="509"/>
      <c r="AS414" s="509"/>
      <c r="AT414" s="509"/>
      <c r="AU414" s="509"/>
      <c r="AV414" s="509"/>
      <c r="AW414" s="509"/>
      <c r="AX414" s="509"/>
      <c r="AY414" s="509"/>
      <c r="AZ414" s="509"/>
      <c r="BA414" s="509"/>
      <c r="BB414" s="164"/>
      <c r="BC414" s="164"/>
      <c r="BD414" s="164"/>
      <c r="BE414" s="164"/>
      <c r="BF414" s="164"/>
      <c r="BG414" s="164"/>
      <c r="BH414" s="164"/>
      <c r="BI414" s="164"/>
      <c r="BJ414" s="164"/>
      <c r="BK414" s="164"/>
      <c r="BL414" s="164"/>
      <c r="BM414" s="164"/>
      <c r="BN414" s="164"/>
      <c r="BO414" s="164"/>
    </row>
    <row r="415" spans="1:67" s="180" customFormat="1">
      <c r="A415" s="593"/>
      <c r="B415" s="593"/>
      <c r="C415" s="638"/>
      <c r="D415" s="609"/>
      <c r="E415" s="629"/>
      <c r="F415" s="629"/>
      <c r="G415" s="629"/>
      <c r="H415" s="629"/>
      <c r="I415" s="629"/>
      <c r="J415" s="629"/>
      <c r="K415" s="629"/>
      <c r="L415" s="629"/>
      <c r="M415" s="629"/>
      <c r="N415" s="629"/>
      <c r="O415" s="629"/>
      <c r="P415" s="629"/>
      <c r="Q415" s="629"/>
      <c r="R415" s="629"/>
      <c r="S415" s="629"/>
      <c r="T415" s="629"/>
      <c r="U415" s="629"/>
      <c r="V415" s="629"/>
      <c r="W415" s="629"/>
      <c r="X415" s="629"/>
      <c r="Y415" s="629"/>
      <c r="Z415" s="629"/>
      <c r="AA415" s="629"/>
      <c r="AB415" s="629"/>
      <c r="AC415" s="629"/>
      <c r="AD415" s="629"/>
      <c r="AE415" s="629"/>
      <c r="AF415" s="629"/>
      <c r="AG415" s="629"/>
      <c r="AH415" s="629"/>
      <c r="AI415" s="509"/>
      <c r="AJ415" s="165"/>
      <c r="AK415" s="165"/>
      <c r="AL415" s="165"/>
      <c r="AM415" s="165"/>
      <c r="AN415" s="491"/>
      <c r="AO415" s="508"/>
      <c r="AP415" s="510"/>
      <c r="AQ415" s="509"/>
      <c r="AR415" s="509"/>
      <c r="AS415" s="509"/>
      <c r="AT415" s="509"/>
      <c r="AU415" s="509"/>
      <c r="AV415" s="509"/>
      <c r="AW415" s="509"/>
      <c r="AX415" s="509"/>
      <c r="AY415" s="509"/>
      <c r="AZ415" s="509"/>
      <c r="BA415" s="509"/>
      <c r="BB415" s="164"/>
      <c r="BC415" s="164"/>
      <c r="BD415" s="164"/>
      <c r="BE415" s="164"/>
      <c r="BF415" s="164"/>
      <c r="BG415" s="164"/>
      <c r="BH415" s="164"/>
      <c r="BI415" s="164"/>
      <c r="BJ415" s="164"/>
      <c r="BK415" s="164"/>
      <c r="BL415" s="164"/>
      <c r="BM415" s="164"/>
      <c r="BN415" s="164"/>
      <c r="BO415" s="164"/>
    </row>
    <row r="416" spans="1:67" s="180" customFormat="1">
      <c r="A416" s="593"/>
      <c r="B416" s="593"/>
      <c r="C416" s="638" t="s">
        <v>332</v>
      </c>
      <c r="D416" s="609"/>
      <c r="E416" s="629"/>
      <c r="F416" s="629"/>
      <c r="G416" s="629"/>
      <c r="H416" s="629"/>
      <c r="I416" s="629"/>
      <c r="J416" s="629"/>
      <c r="K416" s="629"/>
      <c r="L416" s="629"/>
      <c r="M416" s="629"/>
      <c r="N416" s="629"/>
      <c r="O416" s="629"/>
      <c r="P416" s="629"/>
      <c r="Q416" s="629"/>
      <c r="R416" s="629"/>
      <c r="S416" s="629"/>
      <c r="T416" s="629"/>
      <c r="U416" s="629"/>
      <c r="V416" s="629"/>
      <c r="W416" s="629"/>
      <c r="X416" s="629"/>
      <c r="Y416" s="629"/>
      <c r="Z416" s="629"/>
      <c r="AA416" s="629"/>
      <c r="AB416" s="629"/>
      <c r="AC416" s="629"/>
      <c r="AD416" s="629"/>
      <c r="AE416" s="629"/>
      <c r="AF416" s="629"/>
      <c r="AG416" s="629"/>
      <c r="AH416" s="629"/>
      <c r="AI416" s="509"/>
      <c r="AJ416" s="165"/>
      <c r="AK416" s="165"/>
      <c r="AL416" s="165"/>
      <c r="AM416" s="165"/>
      <c r="AN416" s="491"/>
      <c r="AO416" s="508"/>
      <c r="AP416" s="510"/>
      <c r="AQ416" s="509"/>
      <c r="AR416" s="509"/>
      <c r="AS416" s="509"/>
      <c r="AT416" s="509"/>
      <c r="AU416" s="509"/>
      <c r="AV416" s="509"/>
      <c r="AW416" s="509"/>
      <c r="AX416" s="509"/>
      <c r="AY416" s="509"/>
      <c r="AZ416" s="509"/>
      <c r="BA416" s="509"/>
      <c r="BB416" s="164"/>
      <c r="BC416" s="164"/>
      <c r="BD416" s="164"/>
      <c r="BE416" s="164"/>
      <c r="BF416" s="164"/>
      <c r="BG416" s="164"/>
      <c r="BH416" s="164"/>
      <c r="BI416" s="164"/>
      <c r="BJ416" s="164"/>
      <c r="BK416" s="164"/>
      <c r="BL416" s="164"/>
      <c r="BM416" s="164"/>
      <c r="BN416" s="164"/>
      <c r="BO416" s="164"/>
    </row>
    <row r="417" spans="1:67" s="180" customFormat="1">
      <c r="A417" s="593"/>
      <c r="B417" s="593"/>
      <c r="C417" s="631" t="s">
        <v>149</v>
      </c>
      <c r="D417" s="609"/>
      <c r="E417" s="629">
        <f>E410</f>
        <v>0.38931954062827012</v>
      </c>
      <c r="F417" s="629">
        <f t="shared" ref="F417:AH417" si="316">F410</f>
        <v>0.12318642211880589</v>
      </c>
      <c r="G417" s="629">
        <f t="shared" si="316"/>
        <v>0.90000000000000013</v>
      </c>
      <c r="H417" s="629">
        <f t="shared" si="316"/>
        <v>0</v>
      </c>
      <c r="I417" s="629">
        <f t="shared" si="316"/>
        <v>7.896751201839157E-2</v>
      </c>
      <c r="J417" s="629">
        <f t="shared" si="316"/>
        <v>0.87832211637624813</v>
      </c>
      <c r="K417" s="629">
        <f t="shared" si="316"/>
        <v>3.7000470146621969E-3</v>
      </c>
      <c r="L417" s="629">
        <f t="shared" si="316"/>
        <v>0.72670769523059919</v>
      </c>
      <c r="M417" s="629">
        <f t="shared" si="316"/>
        <v>5.8315704178110994E-2</v>
      </c>
      <c r="N417" s="629">
        <f t="shared" si="316"/>
        <v>0.2136703558114415</v>
      </c>
      <c r="O417" s="629">
        <f t="shared" si="316"/>
        <v>0.25391442754382687</v>
      </c>
      <c r="P417" s="629">
        <f t="shared" si="316"/>
        <v>0.20306440239468654</v>
      </c>
      <c r="Q417" s="629">
        <f t="shared" si="316"/>
        <v>0.89999999999995273</v>
      </c>
      <c r="R417" s="629">
        <f t="shared" si="316"/>
        <v>0</v>
      </c>
      <c r="S417" s="629">
        <f t="shared" si="316"/>
        <v>5.5422087515098924E-2</v>
      </c>
      <c r="T417" s="629">
        <f t="shared" si="316"/>
        <v>0</v>
      </c>
      <c r="U417" s="629">
        <f t="shared" si="316"/>
        <v>0</v>
      </c>
      <c r="V417" s="629">
        <f t="shared" si="316"/>
        <v>9.5818206034055699E-3</v>
      </c>
      <c r="W417" s="629">
        <f t="shared" si="316"/>
        <v>0</v>
      </c>
      <c r="X417" s="629">
        <f t="shared" si="316"/>
        <v>0.18160241152535175</v>
      </c>
      <c r="Y417" s="629">
        <f t="shared" si="316"/>
        <v>0</v>
      </c>
      <c r="Z417" s="629">
        <f t="shared" si="316"/>
        <v>0.10725261878571532</v>
      </c>
      <c r="AA417" s="629">
        <f t="shared" si="316"/>
        <v>4.2795061522434313E-2</v>
      </c>
      <c r="AB417" s="629">
        <f t="shared" si="316"/>
        <v>0.69446722880234524</v>
      </c>
      <c r="AC417" s="629">
        <f t="shared" si="316"/>
        <v>9.6540368623307532E-3</v>
      </c>
      <c r="AD417" s="629">
        <f t="shared" si="316"/>
        <v>1.44688988126243E-3</v>
      </c>
      <c r="AE417" s="629">
        <f t="shared" si="316"/>
        <v>0.3509959768204487</v>
      </c>
      <c r="AF417" s="629">
        <f t="shared" si="316"/>
        <v>2.3591605985405145E-2</v>
      </c>
      <c r="AG417" s="629">
        <f t="shared" si="316"/>
        <v>4.0923646706157984E-3</v>
      </c>
      <c r="AH417" s="629">
        <f t="shared" si="316"/>
        <v>7.5597455954949003E-2</v>
      </c>
      <c r="AI417" s="509"/>
      <c r="AJ417" s="165"/>
      <c r="AK417" s="165"/>
      <c r="AL417" s="165"/>
      <c r="AM417" s="165"/>
      <c r="AN417" s="491"/>
      <c r="AO417" s="508"/>
      <c r="AP417" s="510"/>
      <c r="AQ417" s="509"/>
      <c r="AR417" s="509"/>
      <c r="AS417" s="509"/>
      <c r="AT417" s="509"/>
      <c r="AU417" s="509"/>
      <c r="AV417" s="509"/>
      <c r="AW417" s="509"/>
      <c r="AX417" s="509"/>
      <c r="AY417" s="509"/>
      <c r="AZ417" s="509"/>
      <c r="BA417" s="509"/>
      <c r="BB417" s="164"/>
      <c r="BC417" s="164"/>
      <c r="BD417" s="164"/>
      <c r="BE417" s="164"/>
      <c r="BF417" s="164"/>
      <c r="BG417" s="164"/>
      <c r="BH417" s="164"/>
      <c r="BI417" s="164"/>
      <c r="BJ417" s="164"/>
      <c r="BK417" s="164"/>
      <c r="BL417" s="164"/>
      <c r="BM417" s="164"/>
      <c r="BN417" s="164"/>
      <c r="BO417" s="164"/>
    </row>
    <row r="418" spans="1:67" s="180" customFormat="1">
      <c r="A418" s="593"/>
      <c r="B418" s="593"/>
      <c r="C418" s="631" t="s">
        <v>320</v>
      </c>
      <c r="D418" s="609">
        <f t="shared" ref="D418" si="317">SUM(E418:AH418)</f>
        <v>1.4635790498026258</v>
      </c>
      <c r="E418" s="629">
        <f>IF(E$379&gt;0,E$362*E385/E$379,0)</f>
        <v>0</v>
      </c>
      <c r="F418" s="629">
        <f t="shared" ref="F418:AH418" si="318">IF(F$379&gt;0,F$362*F385/F$379,0)</f>
        <v>4.6318484909282608E-3</v>
      </c>
      <c r="G418" s="629">
        <f t="shared" si="318"/>
        <v>2.4945484645631045E-4</v>
      </c>
      <c r="H418" s="629">
        <f t="shared" si="318"/>
        <v>6.0000000000000001E-3</v>
      </c>
      <c r="I418" s="629">
        <f t="shared" si="318"/>
        <v>0</v>
      </c>
      <c r="J418" s="629">
        <f t="shared" si="318"/>
        <v>0</v>
      </c>
      <c r="K418" s="629">
        <f t="shared" si="318"/>
        <v>0</v>
      </c>
      <c r="L418" s="629">
        <f t="shared" si="318"/>
        <v>0</v>
      </c>
      <c r="M418" s="629">
        <f t="shared" si="318"/>
        <v>0</v>
      </c>
      <c r="N418" s="629">
        <f t="shared" si="318"/>
        <v>0</v>
      </c>
      <c r="O418" s="629">
        <f t="shared" si="318"/>
        <v>0.22427555199617399</v>
      </c>
      <c r="P418" s="629">
        <f t="shared" si="318"/>
        <v>0</v>
      </c>
      <c r="Q418" s="629">
        <f t="shared" si="318"/>
        <v>0</v>
      </c>
      <c r="R418" s="629">
        <f t="shared" si="318"/>
        <v>1.7509519999999973E-2</v>
      </c>
      <c r="S418" s="629">
        <f t="shared" si="318"/>
        <v>0.64196762440604238</v>
      </c>
      <c r="T418" s="629">
        <f t="shared" si="318"/>
        <v>0</v>
      </c>
      <c r="U418" s="629">
        <f t="shared" si="318"/>
        <v>0</v>
      </c>
      <c r="V418" s="629">
        <f t="shared" si="318"/>
        <v>0</v>
      </c>
      <c r="W418" s="629">
        <f t="shared" si="318"/>
        <v>0</v>
      </c>
      <c r="X418" s="629">
        <f t="shared" si="318"/>
        <v>0</v>
      </c>
      <c r="Y418" s="629">
        <f t="shared" si="318"/>
        <v>9.9999999999988987E-4</v>
      </c>
      <c r="Z418" s="629">
        <f t="shared" si="318"/>
        <v>0</v>
      </c>
      <c r="AA418" s="629">
        <f t="shared" si="318"/>
        <v>8.3495853036192696E-2</v>
      </c>
      <c r="AB418" s="629">
        <f t="shared" si="318"/>
        <v>2.0342461786001596E-2</v>
      </c>
      <c r="AC418" s="629">
        <f t="shared" si="318"/>
        <v>2.7054916056707068E-2</v>
      </c>
      <c r="AD418" s="629">
        <f t="shared" si="318"/>
        <v>0</v>
      </c>
      <c r="AE418" s="629">
        <f t="shared" si="318"/>
        <v>0</v>
      </c>
      <c r="AF418" s="629">
        <f t="shared" si="318"/>
        <v>0</v>
      </c>
      <c r="AG418" s="629">
        <f t="shared" si="318"/>
        <v>0</v>
      </c>
      <c r="AH418" s="629">
        <f t="shared" si="318"/>
        <v>0.4370518191841235</v>
      </c>
      <c r="AI418" s="509"/>
      <c r="AJ418" s="165"/>
      <c r="AK418" s="165"/>
      <c r="AL418" s="165"/>
      <c r="AM418" s="165"/>
      <c r="AN418" s="491"/>
      <c r="AO418" s="508"/>
      <c r="AP418" s="510"/>
      <c r="AQ418" s="509"/>
      <c r="AR418" s="509"/>
      <c r="AS418" s="509"/>
      <c r="AT418" s="509"/>
      <c r="AU418" s="509"/>
      <c r="AV418" s="509"/>
      <c r="AW418" s="509"/>
      <c r="AX418" s="509"/>
      <c r="AY418" s="509"/>
      <c r="AZ418" s="509"/>
      <c r="BA418" s="509"/>
      <c r="BB418" s="164"/>
      <c r="BC418" s="164"/>
      <c r="BD418" s="164"/>
      <c r="BE418" s="164"/>
      <c r="BF418" s="164"/>
      <c r="BG418" s="164"/>
      <c r="BH418" s="164"/>
      <c r="BI418" s="164"/>
      <c r="BJ418" s="164"/>
      <c r="BK418" s="164"/>
      <c r="BL418" s="164"/>
      <c r="BM418" s="164"/>
      <c r="BN418" s="164"/>
      <c r="BO418" s="164"/>
    </row>
    <row r="419" spans="1:67" s="180" customFormat="1">
      <c r="A419" s="593"/>
      <c r="B419" s="593"/>
      <c r="C419" s="631" t="s">
        <v>328</v>
      </c>
      <c r="D419" s="609"/>
      <c r="E419" s="629">
        <f>E412</f>
        <v>0.41276234895060421</v>
      </c>
      <c r="F419" s="629">
        <f t="shared" ref="F419:AH419" si="319">F412</f>
        <v>0.64285714285714279</v>
      </c>
      <c r="G419" s="629">
        <f t="shared" si="319"/>
        <v>0.4024707412223667</v>
      </c>
      <c r="H419" s="629">
        <f t="shared" si="319"/>
        <v>0</v>
      </c>
      <c r="I419" s="629">
        <f t="shared" si="319"/>
        <v>0.2748878923766816</v>
      </c>
      <c r="J419" s="629">
        <f t="shared" si="319"/>
        <v>0.35539241729050952</v>
      </c>
      <c r="K419" s="629">
        <f t="shared" si="319"/>
        <v>0.35</v>
      </c>
      <c r="L419" s="629">
        <f t="shared" si="319"/>
        <v>0.58620689655172409</v>
      </c>
      <c r="M419" s="629">
        <f t="shared" si="319"/>
        <v>0.22408932618429053</v>
      </c>
      <c r="N419" s="629">
        <f t="shared" si="319"/>
        <v>0.32361668703089547</v>
      </c>
      <c r="O419" s="629">
        <f t="shared" si="319"/>
        <v>0.27894556729682363</v>
      </c>
      <c r="P419" s="629">
        <f t="shared" si="319"/>
        <v>0.40375586854460094</v>
      </c>
      <c r="Q419" s="629">
        <f t="shared" si="319"/>
        <v>0.4375</v>
      </c>
      <c r="R419" s="629">
        <f t="shared" si="319"/>
        <v>0</v>
      </c>
      <c r="S419" s="629">
        <f t="shared" si="319"/>
        <v>0.1195655795049472</v>
      </c>
      <c r="T419" s="629">
        <f t="shared" si="319"/>
        <v>0</v>
      </c>
      <c r="U419" s="629">
        <f t="shared" si="319"/>
        <v>0</v>
      </c>
      <c r="V419" s="629">
        <f t="shared" si="319"/>
        <v>0.2105263157894737</v>
      </c>
      <c r="W419" s="629">
        <f t="shared" si="319"/>
        <v>0</v>
      </c>
      <c r="X419" s="629">
        <f t="shared" si="319"/>
        <v>0.23330710091409895</v>
      </c>
      <c r="Y419" s="629">
        <f t="shared" si="319"/>
        <v>0</v>
      </c>
      <c r="Z419" s="629">
        <f t="shared" si="319"/>
        <v>0.24364164849994813</v>
      </c>
      <c r="AA419" s="629">
        <f t="shared" si="319"/>
        <v>0.5</v>
      </c>
      <c r="AB419" s="629">
        <f t="shared" si="319"/>
        <v>0.28668171557562078</v>
      </c>
      <c r="AC419" s="629">
        <f t="shared" si="319"/>
        <v>0.31683168316831684</v>
      </c>
      <c r="AD419" s="629">
        <f t="shared" si="319"/>
        <v>0.66666666666666663</v>
      </c>
      <c r="AE419" s="629">
        <f t="shared" si="319"/>
        <v>0.28529666582823282</v>
      </c>
      <c r="AF419" s="629">
        <f t="shared" si="319"/>
        <v>0.22821100917431195</v>
      </c>
      <c r="AG419" s="629" t="e">
        <f t="shared" si="319"/>
        <v>#DIV/0!</v>
      </c>
      <c r="AH419" s="629">
        <f t="shared" si="319"/>
        <v>0.6767813600650231</v>
      </c>
      <c r="AI419" s="509"/>
      <c r="AJ419" s="165"/>
      <c r="AK419" s="165"/>
      <c r="AL419" s="165"/>
      <c r="AM419" s="165"/>
      <c r="AN419" s="491"/>
      <c r="AO419" s="508"/>
      <c r="AP419" s="510"/>
      <c r="AQ419" s="509"/>
      <c r="AR419" s="509"/>
      <c r="AS419" s="509"/>
      <c r="AT419" s="509"/>
      <c r="AU419" s="509"/>
      <c r="AV419" s="509"/>
      <c r="AW419" s="509"/>
      <c r="AX419" s="509"/>
      <c r="AY419" s="509"/>
      <c r="AZ419" s="509"/>
      <c r="BA419" s="509"/>
      <c r="BB419" s="164"/>
      <c r="BC419" s="164"/>
      <c r="BD419" s="164"/>
      <c r="BE419" s="164"/>
      <c r="BF419" s="164"/>
      <c r="BG419" s="164"/>
      <c r="BH419" s="164"/>
      <c r="BI419" s="164"/>
      <c r="BJ419" s="164"/>
      <c r="BK419" s="164"/>
      <c r="BL419" s="164"/>
      <c r="BM419" s="164"/>
      <c r="BN419" s="164"/>
      <c r="BO419" s="164"/>
    </row>
    <row r="420" spans="1:67" s="180" customFormat="1">
      <c r="A420" s="593"/>
      <c r="B420" s="593"/>
      <c r="C420" s="631" t="s">
        <v>319</v>
      </c>
      <c r="D420" s="609" t="e">
        <f>SUM(E420:AH420)</f>
        <v>#DIV/0!</v>
      </c>
      <c r="E420" s="629">
        <f>E421*E419</f>
        <v>0</v>
      </c>
      <c r="F420" s="629">
        <f t="shared" ref="F420:AH420" si="320">F421*F419</f>
        <v>22.922999999999998</v>
      </c>
      <c r="G420" s="629">
        <f t="shared" si="320"/>
        <v>3.6222366710013001E-3</v>
      </c>
      <c r="H420" s="629">
        <f t="shared" si="320"/>
        <v>0</v>
      </c>
      <c r="I420" s="629">
        <f t="shared" si="320"/>
        <v>0</v>
      </c>
      <c r="J420" s="629">
        <f t="shared" si="320"/>
        <v>0</v>
      </c>
      <c r="K420" s="629">
        <f t="shared" si="320"/>
        <v>0</v>
      </c>
      <c r="L420" s="629">
        <f t="shared" si="320"/>
        <v>0</v>
      </c>
      <c r="M420" s="629">
        <f t="shared" si="320"/>
        <v>0</v>
      </c>
      <c r="N420" s="629">
        <f t="shared" si="320"/>
        <v>0</v>
      </c>
      <c r="O420" s="629">
        <f t="shared" si="320"/>
        <v>1.3704595721292945</v>
      </c>
      <c r="P420" s="629">
        <f t="shared" si="320"/>
        <v>0</v>
      </c>
      <c r="Q420" s="629">
        <f t="shared" si="320"/>
        <v>0</v>
      </c>
      <c r="R420" s="629">
        <f t="shared" si="320"/>
        <v>0</v>
      </c>
      <c r="S420" s="629">
        <f t="shared" si="320"/>
        <v>1.5808960922144117</v>
      </c>
      <c r="T420" s="629">
        <f t="shared" si="320"/>
        <v>0</v>
      </c>
      <c r="U420" s="629">
        <f t="shared" si="320"/>
        <v>0</v>
      </c>
      <c r="V420" s="629">
        <f t="shared" si="320"/>
        <v>0</v>
      </c>
      <c r="W420" s="629">
        <f t="shared" si="320"/>
        <v>0</v>
      </c>
      <c r="X420" s="629">
        <f t="shared" si="320"/>
        <v>0</v>
      </c>
      <c r="Y420" s="629">
        <f t="shared" si="320"/>
        <v>0</v>
      </c>
      <c r="Z420" s="629">
        <f t="shared" si="320"/>
        <v>0</v>
      </c>
      <c r="AA420" s="629">
        <f t="shared" si="320"/>
        <v>0.14249999999999999</v>
      </c>
      <c r="AB420" s="629">
        <f t="shared" si="320"/>
        <v>0.8927268623024831</v>
      </c>
      <c r="AC420" s="629">
        <f t="shared" si="320"/>
        <v>1.108910891089109E-2</v>
      </c>
      <c r="AD420" s="629">
        <f t="shared" si="320"/>
        <v>0</v>
      </c>
      <c r="AE420" s="629">
        <f t="shared" si="320"/>
        <v>0</v>
      </c>
      <c r="AF420" s="629">
        <f t="shared" si="320"/>
        <v>0</v>
      </c>
      <c r="AG420" s="629" t="e">
        <f t="shared" si="320"/>
        <v>#DIV/0!</v>
      </c>
      <c r="AH420" s="629">
        <f t="shared" si="320"/>
        <v>1.0239701977783799</v>
      </c>
      <c r="AI420" s="509"/>
      <c r="AJ420" s="165"/>
      <c r="AK420" s="165"/>
      <c r="AL420" s="165"/>
      <c r="AM420" s="165"/>
      <c r="AN420" s="491"/>
      <c r="AO420" s="508"/>
      <c r="AP420" s="510"/>
      <c r="AQ420" s="509"/>
      <c r="AR420" s="509"/>
      <c r="AS420" s="509"/>
      <c r="AT420" s="509"/>
      <c r="AU420" s="509"/>
      <c r="AV420" s="509"/>
      <c r="AW420" s="509"/>
      <c r="AX420" s="509"/>
      <c r="AY420" s="509"/>
      <c r="AZ420" s="509"/>
      <c r="BA420" s="509"/>
      <c r="BB420" s="164"/>
      <c r="BC420" s="164"/>
      <c r="BD420" s="164"/>
      <c r="BE420" s="164"/>
      <c r="BF420" s="164"/>
      <c r="BG420" s="164"/>
      <c r="BH420" s="164"/>
      <c r="BI420" s="164"/>
      <c r="BJ420" s="164"/>
      <c r="BK420" s="164"/>
      <c r="BL420" s="164"/>
      <c r="BM420" s="164"/>
      <c r="BN420" s="164"/>
      <c r="BO420" s="164"/>
    </row>
    <row r="421" spans="1:67" s="180" customFormat="1">
      <c r="A421" s="593"/>
      <c r="B421" s="593"/>
      <c r="C421" s="631" t="s">
        <v>321</v>
      </c>
      <c r="D421" s="609">
        <f>SUM(E421:AH421)</f>
        <v>62.725999999999992</v>
      </c>
      <c r="E421" s="629">
        <f>E385</f>
        <v>0</v>
      </c>
      <c r="F421" s="629">
        <f t="shared" ref="F421:AH421" si="321">F385</f>
        <v>35.658000000000001</v>
      </c>
      <c r="G421" s="629">
        <f t="shared" si="321"/>
        <v>8.9999999999999993E-3</v>
      </c>
      <c r="H421" s="629">
        <f t="shared" si="321"/>
        <v>0.224</v>
      </c>
      <c r="I421" s="629">
        <f t="shared" si="321"/>
        <v>0</v>
      </c>
      <c r="J421" s="629">
        <f t="shared" si="321"/>
        <v>0</v>
      </c>
      <c r="K421" s="629">
        <f t="shared" si="321"/>
        <v>0</v>
      </c>
      <c r="L421" s="629">
        <f t="shared" si="321"/>
        <v>0</v>
      </c>
      <c r="M421" s="629">
        <f t="shared" si="321"/>
        <v>0</v>
      </c>
      <c r="N421" s="629">
        <f t="shared" si="321"/>
        <v>0</v>
      </c>
      <c r="O421" s="629">
        <f t="shared" si="321"/>
        <v>4.9130000000000003</v>
      </c>
      <c r="P421" s="629">
        <f t="shared" si="321"/>
        <v>0</v>
      </c>
      <c r="Q421" s="629">
        <f t="shared" si="321"/>
        <v>0</v>
      </c>
      <c r="R421" s="629">
        <f t="shared" si="321"/>
        <v>1.6E-2</v>
      </c>
      <c r="S421" s="629">
        <f t="shared" si="321"/>
        <v>13.222</v>
      </c>
      <c r="T421" s="629">
        <f t="shared" si="321"/>
        <v>0</v>
      </c>
      <c r="U421" s="629">
        <f t="shared" si="321"/>
        <v>0</v>
      </c>
      <c r="V421" s="629">
        <f t="shared" si="321"/>
        <v>0</v>
      </c>
      <c r="W421" s="629">
        <f t="shared" si="321"/>
        <v>0</v>
      </c>
      <c r="X421" s="629">
        <f t="shared" si="321"/>
        <v>0</v>
      </c>
      <c r="Y421" s="629">
        <f t="shared" si="321"/>
        <v>3.7370000000000001</v>
      </c>
      <c r="Z421" s="629">
        <f t="shared" si="321"/>
        <v>0</v>
      </c>
      <c r="AA421" s="629">
        <f t="shared" si="321"/>
        <v>0.28499999999999998</v>
      </c>
      <c r="AB421" s="629">
        <f t="shared" si="321"/>
        <v>3.1139999999999999</v>
      </c>
      <c r="AC421" s="629">
        <f t="shared" si="321"/>
        <v>3.5000000000000003E-2</v>
      </c>
      <c r="AD421" s="629">
        <f t="shared" si="321"/>
        <v>0</v>
      </c>
      <c r="AE421" s="629">
        <f t="shared" si="321"/>
        <v>0</v>
      </c>
      <c r="AF421" s="629">
        <f t="shared" si="321"/>
        <v>0</v>
      </c>
      <c r="AG421" s="629">
        <f t="shared" si="321"/>
        <v>0</v>
      </c>
      <c r="AH421" s="629">
        <f t="shared" si="321"/>
        <v>1.5129999999999999</v>
      </c>
      <c r="AI421" s="509"/>
      <c r="AJ421" s="165"/>
      <c r="AK421" s="165"/>
      <c r="AL421" s="165"/>
      <c r="AM421" s="165"/>
      <c r="AN421" s="491"/>
      <c r="AO421" s="508"/>
      <c r="AP421" s="510"/>
      <c r="AQ421" s="509"/>
      <c r="AR421" s="509"/>
      <c r="AS421" s="509"/>
      <c r="AT421" s="509"/>
      <c r="AU421" s="509"/>
      <c r="AV421" s="509"/>
      <c r="AW421" s="509"/>
      <c r="AX421" s="509"/>
      <c r="AY421" s="509"/>
      <c r="AZ421" s="509"/>
      <c r="BA421" s="509"/>
      <c r="BB421" s="164"/>
      <c r="BC421" s="164"/>
      <c r="BD421" s="164"/>
      <c r="BE421" s="164"/>
      <c r="BF421" s="164"/>
      <c r="BG421" s="164"/>
      <c r="BH421" s="164"/>
      <c r="BI421" s="164"/>
      <c r="BJ421" s="164"/>
      <c r="BK421" s="164"/>
      <c r="BL421" s="164"/>
      <c r="BM421" s="164"/>
      <c r="BN421" s="164"/>
      <c r="BO421" s="164"/>
    </row>
    <row r="422" spans="1:67" s="180" customFormat="1">
      <c r="A422" s="593"/>
      <c r="B422" s="593"/>
      <c r="C422" s="638"/>
      <c r="D422" s="609"/>
      <c r="E422" s="629"/>
      <c r="F422" s="629"/>
      <c r="G422" s="629"/>
      <c r="H422" s="629"/>
      <c r="I422" s="629"/>
      <c r="J422" s="629"/>
      <c r="K422" s="629"/>
      <c r="L422" s="629"/>
      <c r="M422" s="629"/>
      <c r="N422" s="629"/>
      <c r="O422" s="629"/>
      <c r="P422" s="629"/>
      <c r="Q422" s="629"/>
      <c r="R422" s="629"/>
      <c r="S422" s="629"/>
      <c r="T422" s="629"/>
      <c r="U422" s="629"/>
      <c r="V422" s="629"/>
      <c r="W422" s="629"/>
      <c r="X422" s="629"/>
      <c r="Y422" s="629"/>
      <c r="Z422" s="629"/>
      <c r="AA422" s="629"/>
      <c r="AB422" s="629"/>
      <c r="AC422" s="629"/>
      <c r="AD422" s="629"/>
      <c r="AE422" s="629"/>
      <c r="AF422" s="629"/>
      <c r="AG422" s="629"/>
      <c r="AH422" s="629"/>
      <c r="AI422" s="509"/>
      <c r="AJ422" s="165"/>
      <c r="AK422" s="165"/>
      <c r="AL422" s="165"/>
      <c r="AM422" s="165"/>
      <c r="AN422" s="491"/>
      <c r="AO422" s="508"/>
      <c r="AP422" s="510"/>
      <c r="AQ422" s="509"/>
      <c r="AR422" s="509"/>
      <c r="AS422" s="509"/>
      <c r="AT422" s="509"/>
      <c r="AU422" s="509"/>
      <c r="AV422" s="509"/>
      <c r="AW422" s="509"/>
      <c r="AX422" s="509"/>
      <c r="AY422" s="509"/>
      <c r="AZ422" s="509"/>
      <c r="BA422" s="509"/>
      <c r="BB422" s="164"/>
      <c r="BC422" s="164"/>
      <c r="BD422" s="164"/>
      <c r="BE422" s="164"/>
      <c r="BF422" s="164"/>
      <c r="BG422" s="164"/>
      <c r="BH422" s="164"/>
      <c r="BI422" s="164"/>
      <c r="BJ422" s="164"/>
      <c r="BK422" s="164"/>
      <c r="BL422" s="164"/>
      <c r="BM422" s="164"/>
      <c r="BN422" s="164"/>
      <c r="BO422" s="164"/>
    </row>
    <row r="423" spans="1:67" s="180" customFormat="1">
      <c r="A423" s="593"/>
      <c r="B423" s="593"/>
      <c r="C423" s="638" t="s">
        <v>333</v>
      </c>
      <c r="D423" s="609"/>
      <c r="E423" s="629"/>
      <c r="F423" s="629"/>
      <c r="G423" s="629"/>
      <c r="H423" s="629"/>
      <c r="I423" s="629"/>
      <c r="J423" s="629"/>
      <c r="K423" s="629"/>
      <c r="L423" s="629"/>
      <c r="M423" s="629"/>
      <c r="N423" s="629"/>
      <c r="O423" s="629"/>
      <c r="P423" s="629"/>
      <c r="Q423" s="629"/>
      <c r="R423" s="629"/>
      <c r="S423" s="629"/>
      <c r="T423" s="629"/>
      <c r="U423" s="629"/>
      <c r="V423" s="629"/>
      <c r="W423" s="629"/>
      <c r="X423" s="629"/>
      <c r="Y423" s="629"/>
      <c r="Z423" s="629"/>
      <c r="AA423" s="629"/>
      <c r="AB423" s="629"/>
      <c r="AC423" s="629"/>
      <c r="AD423" s="629"/>
      <c r="AE423" s="629"/>
      <c r="AF423" s="629"/>
      <c r="AG423" s="629"/>
      <c r="AH423" s="629"/>
      <c r="AI423" s="509"/>
      <c r="AJ423" s="165"/>
      <c r="AK423" s="165"/>
      <c r="AL423" s="165"/>
      <c r="AM423" s="165"/>
      <c r="AN423" s="491"/>
      <c r="AO423" s="508"/>
      <c r="AP423" s="510"/>
      <c r="AQ423" s="509"/>
      <c r="AR423" s="509"/>
      <c r="AS423" s="509"/>
      <c r="AT423" s="509"/>
      <c r="AU423" s="509"/>
      <c r="AV423" s="509"/>
      <c r="AW423" s="509"/>
      <c r="AX423" s="509"/>
      <c r="AY423" s="509"/>
      <c r="AZ423" s="509"/>
      <c r="BA423" s="509"/>
      <c r="BB423" s="164"/>
      <c r="BC423" s="164"/>
      <c r="BD423" s="164"/>
      <c r="BE423" s="164"/>
      <c r="BF423" s="164"/>
      <c r="BG423" s="164"/>
      <c r="BH423" s="164"/>
      <c r="BI423" s="164"/>
      <c r="BJ423" s="164"/>
      <c r="BK423" s="164"/>
      <c r="BL423" s="164"/>
      <c r="BM423" s="164"/>
      <c r="BN423" s="164"/>
      <c r="BO423" s="164"/>
    </row>
    <row r="424" spans="1:67" s="180" customFormat="1">
      <c r="A424" s="593"/>
      <c r="B424" s="593"/>
      <c r="C424" s="631" t="s">
        <v>149</v>
      </c>
      <c r="D424" s="609"/>
      <c r="E424" s="629">
        <f>E417</f>
        <v>0.38931954062827012</v>
      </c>
      <c r="F424" s="629">
        <f t="shared" ref="F424:AH424" si="322">F417</f>
        <v>0.12318642211880589</v>
      </c>
      <c r="G424" s="629">
        <f t="shared" si="322"/>
        <v>0.90000000000000013</v>
      </c>
      <c r="H424" s="629">
        <f t="shared" si="322"/>
        <v>0</v>
      </c>
      <c r="I424" s="629">
        <f t="shared" si="322"/>
        <v>7.896751201839157E-2</v>
      </c>
      <c r="J424" s="629">
        <f t="shared" si="322"/>
        <v>0.87832211637624813</v>
      </c>
      <c r="K424" s="629">
        <f t="shared" si="322"/>
        <v>3.7000470146621969E-3</v>
      </c>
      <c r="L424" s="629">
        <f t="shared" si="322"/>
        <v>0.72670769523059919</v>
      </c>
      <c r="M424" s="629">
        <f t="shared" si="322"/>
        <v>5.8315704178110994E-2</v>
      </c>
      <c r="N424" s="629">
        <f t="shared" si="322"/>
        <v>0.2136703558114415</v>
      </c>
      <c r="O424" s="629">
        <f t="shared" si="322"/>
        <v>0.25391442754382687</v>
      </c>
      <c r="P424" s="629">
        <f t="shared" si="322"/>
        <v>0.20306440239468654</v>
      </c>
      <c r="Q424" s="629">
        <f t="shared" si="322"/>
        <v>0.89999999999995273</v>
      </c>
      <c r="R424" s="629">
        <f t="shared" si="322"/>
        <v>0</v>
      </c>
      <c r="S424" s="629">
        <f t="shared" si="322"/>
        <v>5.5422087515098924E-2</v>
      </c>
      <c r="T424" s="629">
        <f t="shared" si="322"/>
        <v>0</v>
      </c>
      <c r="U424" s="629">
        <f t="shared" si="322"/>
        <v>0</v>
      </c>
      <c r="V424" s="629">
        <f t="shared" si="322"/>
        <v>9.5818206034055699E-3</v>
      </c>
      <c r="W424" s="629">
        <f t="shared" si="322"/>
        <v>0</v>
      </c>
      <c r="X424" s="629">
        <f t="shared" si="322"/>
        <v>0.18160241152535175</v>
      </c>
      <c r="Y424" s="629">
        <f t="shared" si="322"/>
        <v>0</v>
      </c>
      <c r="Z424" s="629">
        <f t="shared" si="322"/>
        <v>0.10725261878571532</v>
      </c>
      <c r="AA424" s="629">
        <f t="shared" si="322"/>
        <v>4.2795061522434313E-2</v>
      </c>
      <c r="AB424" s="629">
        <f t="shared" si="322"/>
        <v>0.69446722880234524</v>
      </c>
      <c r="AC424" s="629">
        <f t="shared" si="322"/>
        <v>9.6540368623307532E-3</v>
      </c>
      <c r="AD424" s="629">
        <f t="shared" si="322"/>
        <v>1.44688988126243E-3</v>
      </c>
      <c r="AE424" s="629">
        <f t="shared" si="322"/>
        <v>0.3509959768204487</v>
      </c>
      <c r="AF424" s="629">
        <f t="shared" si="322"/>
        <v>2.3591605985405145E-2</v>
      </c>
      <c r="AG424" s="629">
        <f t="shared" si="322"/>
        <v>4.0923646706157984E-3</v>
      </c>
      <c r="AH424" s="629">
        <f t="shared" si="322"/>
        <v>7.5597455954949003E-2</v>
      </c>
      <c r="AI424" s="509"/>
      <c r="AJ424" s="165"/>
      <c r="AK424" s="165"/>
      <c r="AL424" s="165"/>
      <c r="AM424" s="165"/>
      <c r="AN424" s="491"/>
      <c r="AO424" s="508"/>
      <c r="AP424" s="510"/>
      <c r="AQ424" s="509"/>
      <c r="AR424" s="509"/>
      <c r="AS424" s="509"/>
      <c r="AT424" s="509"/>
      <c r="AU424" s="509"/>
      <c r="AV424" s="509"/>
      <c r="AW424" s="509"/>
      <c r="AX424" s="509"/>
      <c r="AY424" s="509"/>
      <c r="AZ424" s="509"/>
      <c r="BA424" s="509"/>
      <c r="BB424" s="164"/>
      <c r="BC424" s="164"/>
      <c r="BD424" s="164"/>
      <c r="BE424" s="164"/>
      <c r="BF424" s="164"/>
      <c r="BG424" s="164"/>
      <c r="BH424" s="164"/>
      <c r="BI424" s="164"/>
      <c r="BJ424" s="164"/>
      <c r="BK424" s="164"/>
      <c r="BL424" s="164"/>
      <c r="BM424" s="164"/>
      <c r="BN424" s="164"/>
      <c r="BO424" s="164"/>
    </row>
    <row r="425" spans="1:67" s="180" customFormat="1">
      <c r="A425" s="593"/>
      <c r="B425" s="593"/>
      <c r="C425" s="631" t="s">
        <v>320</v>
      </c>
      <c r="D425" s="609">
        <f t="shared" ref="D425" si="323">SUM(E425:AH425)</f>
        <v>7.1997003305454337</v>
      </c>
      <c r="E425" s="629">
        <f>IF(E$379&gt;0,E$362*E386/E$379,0)</f>
        <v>3.9859308129653916E-2</v>
      </c>
      <c r="F425" s="629">
        <f t="shared" ref="F425:AH425" si="324">IF(F$379&gt;0,F$362*F386/F$379,0)</f>
        <v>2.468033017208956E-6</v>
      </c>
      <c r="G425" s="629">
        <f t="shared" si="324"/>
        <v>0</v>
      </c>
      <c r="H425" s="629">
        <f t="shared" si="324"/>
        <v>0</v>
      </c>
      <c r="I425" s="629">
        <f t="shared" si="324"/>
        <v>4.9240000000000006E-2</v>
      </c>
      <c r="J425" s="629">
        <f t="shared" si="324"/>
        <v>0</v>
      </c>
      <c r="K425" s="629">
        <f t="shared" si="324"/>
        <v>6.000215199999992E-2</v>
      </c>
      <c r="L425" s="629">
        <f t="shared" si="324"/>
        <v>4.4436680380039638E-4</v>
      </c>
      <c r="M425" s="629">
        <f t="shared" si="324"/>
        <v>1.8763939504461566</v>
      </c>
      <c r="N425" s="629">
        <f t="shared" si="324"/>
        <v>0</v>
      </c>
      <c r="O425" s="629">
        <f t="shared" si="324"/>
        <v>0.85875670347079691</v>
      </c>
      <c r="P425" s="629">
        <f t="shared" si="324"/>
        <v>0</v>
      </c>
      <c r="Q425" s="629">
        <f t="shared" si="324"/>
        <v>0</v>
      </c>
      <c r="R425" s="629">
        <f t="shared" si="324"/>
        <v>0</v>
      </c>
      <c r="S425" s="629">
        <f t="shared" si="324"/>
        <v>2.9131793574619987E-2</v>
      </c>
      <c r="T425" s="629">
        <f t="shared" si="324"/>
        <v>0</v>
      </c>
      <c r="U425" s="629">
        <f t="shared" si="324"/>
        <v>0</v>
      </c>
      <c r="V425" s="629">
        <f t="shared" si="324"/>
        <v>1.324E-2</v>
      </c>
      <c r="W425" s="629">
        <f t="shared" si="324"/>
        <v>0</v>
      </c>
      <c r="X425" s="629">
        <f t="shared" si="324"/>
        <v>1.244272758148282</v>
      </c>
      <c r="Y425" s="629">
        <f t="shared" si="324"/>
        <v>0</v>
      </c>
      <c r="Z425" s="629">
        <f t="shared" si="324"/>
        <v>0.66063503189777406</v>
      </c>
      <c r="AA425" s="629">
        <f t="shared" si="324"/>
        <v>0</v>
      </c>
      <c r="AB425" s="629">
        <f t="shared" si="324"/>
        <v>0</v>
      </c>
      <c r="AC425" s="629">
        <f t="shared" si="324"/>
        <v>7.8072757763640394E-2</v>
      </c>
      <c r="AD425" s="629">
        <f t="shared" si="324"/>
        <v>8.7679999999999911E-2</v>
      </c>
      <c r="AE425" s="629">
        <f t="shared" si="324"/>
        <v>1.9245375244888865</v>
      </c>
      <c r="AF425" s="629">
        <f t="shared" si="324"/>
        <v>0.27743151578880643</v>
      </c>
      <c r="AG425" s="629">
        <f t="shared" si="324"/>
        <v>0</v>
      </c>
      <c r="AH425" s="629">
        <f t="shared" si="324"/>
        <v>0</v>
      </c>
      <c r="AI425" s="509"/>
      <c r="AJ425" s="165"/>
      <c r="AK425" s="165"/>
      <c r="AL425" s="165"/>
      <c r="AM425" s="165"/>
      <c r="AN425" s="491"/>
      <c r="AO425" s="508"/>
      <c r="AP425" s="510"/>
      <c r="AQ425" s="509"/>
      <c r="AR425" s="509"/>
      <c r="AS425" s="509"/>
      <c r="AT425" s="509"/>
      <c r="AU425" s="509"/>
      <c r="AV425" s="509"/>
      <c r="AW425" s="509"/>
      <c r="AX425" s="509"/>
      <c r="AY425" s="509"/>
      <c r="AZ425" s="509"/>
      <c r="BA425" s="509"/>
      <c r="BB425" s="164"/>
      <c r="BC425" s="164"/>
      <c r="BD425" s="164"/>
      <c r="BE425" s="164"/>
      <c r="BF425" s="164"/>
      <c r="BG425" s="164"/>
      <c r="BH425" s="164"/>
      <c r="BI425" s="164"/>
      <c r="BJ425" s="164"/>
      <c r="BK425" s="164"/>
      <c r="BL425" s="164"/>
      <c r="BM425" s="164"/>
      <c r="BN425" s="164"/>
      <c r="BO425" s="164"/>
    </row>
    <row r="426" spans="1:67" s="180" customFormat="1">
      <c r="A426" s="593"/>
      <c r="B426" s="593"/>
      <c r="C426" s="631" t="s">
        <v>328</v>
      </c>
      <c r="D426" s="609"/>
      <c r="E426" s="629">
        <f>E419</f>
        <v>0.41276234895060421</v>
      </c>
      <c r="F426" s="629">
        <f t="shared" ref="F426:AH426" si="325">F419</f>
        <v>0.64285714285714279</v>
      </c>
      <c r="G426" s="629">
        <f t="shared" si="325"/>
        <v>0.4024707412223667</v>
      </c>
      <c r="H426" s="629">
        <f t="shared" si="325"/>
        <v>0</v>
      </c>
      <c r="I426" s="629">
        <f t="shared" si="325"/>
        <v>0.2748878923766816</v>
      </c>
      <c r="J426" s="629">
        <f t="shared" si="325"/>
        <v>0.35539241729050952</v>
      </c>
      <c r="K426" s="629">
        <f t="shared" si="325"/>
        <v>0.35</v>
      </c>
      <c r="L426" s="629">
        <f t="shared" si="325"/>
        <v>0.58620689655172409</v>
      </c>
      <c r="M426" s="629">
        <f t="shared" si="325"/>
        <v>0.22408932618429053</v>
      </c>
      <c r="N426" s="629">
        <f t="shared" si="325"/>
        <v>0.32361668703089547</v>
      </c>
      <c r="O426" s="629">
        <f t="shared" si="325"/>
        <v>0.27894556729682363</v>
      </c>
      <c r="P426" s="629">
        <f t="shared" si="325"/>
        <v>0.40375586854460094</v>
      </c>
      <c r="Q426" s="629">
        <f t="shared" si="325"/>
        <v>0.4375</v>
      </c>
      <c r="R426" s="629">
        <f t="shared" si="325"/>
        <v>0</v>
      </c>
      <c r="S426" s="629">
        <f t="shared" si="325"/>
        <v>0.1195655795049472</v>
      </c>
      <c r="T426" s="629">
        <f t="shared" si="325"/>
        <v>0</v>
      </c>
      <c r="U426" s="629">
        <f t="shared" si="325"/>
        <v>0</v>
      </c>
      <c r="V426" s="629">
        <f t="shared" si="325"/>
        <v>0.2105263157894737</v>
      </c>
      <c r="W426" s="629">
        <f t="shared" si="325"/>
        <v>0</v>
      </c>
      <c r="X426" s="629">
        <f t="shared" si="325"/>
        <v>0.23330710091409895</v>
      </c>
      <c r="Y426" s="629">
        <f t="shared" si="325"/>
        <v>0</v>
      </c>
      <c r="Z426" s="629">
        <f t="shared" si="325"/>
        <v>0.24364164849994813</v>
      </c>
      <c r="AA426" s="629">
        <f t="shared" si="325"/>
        <v>0.5</v>
      </c>
      <c r="AB426" s="629">
        <f t="shared" si="325"/>
        <v>0.28668171557562078</v>
      </c>
      <c r="AC426" s="629">
        <f t="shared" si="325"/>
        <v>0.31683168316831684</v>
      </c>
      <c r="AD426" s="629">
        <f t="shared" si="325"/>
        <v>0.66666666666666663</v>
      </c>
      <c r="AE426" s="629">
        <f t="shared" si="325"/>
        <v>0.28529666582823282</v>
      </c>
      <c r="AF426" s="629">
        <f t="shared" si="325"/>
        <v>0.22821100917431195</v>
      </c>
      <c r="AG426" s="629" t="e">
        <f t="shared" si="325"/>
        <v>#DIV/0!</v>
      </c>
      <c r="AH426" s="629">
        <f t="shared" si="325"/>
        <v>0.6767813600650231</v>
      </c>
      <c r="AI426" s="509"/>
      <c r="AJ426" s="165"/>
      <c r="AK426" s="165"/>
      <c r="AL426" s="165"/>
      <c r="AM426" s="165"/>
      <c r="AN426" s="491"/>
      <c r="AO426" s="508"/>
      <c r="AP426" s="510"/>
      <c r="AQ426" s="509"/>
      <c r="AR426" s="509"/>
      <c r="AS426" s="509"/>
      <c r="AT426" s="509"/>
      <c r="AU426" s="509"/>
      <c r="AV426" s="509"/>
      <c r="AW426" s="509"/>
      <c r="AX426" s="509"/>
      <c r="AY426" s="509"/>
      <c r="AZ426" s="509"/>
      <c r="BA426" s="509"/>
      <c r="BB426" s="164"/>
      <c r="BC426" s="164"/>
      <c r="BD426" s="164"/>
      <c r="BE426" s="164"/>
      <c r="BF426" s="164"/>
      <c r="BG426" s="164"/>
      <c r="BH426" s="164"/>
      <c r="BI426" s="164"/>
      <c r="BJ426" s="164"/>
      <c r="BK426" s="164"/>
      <c r="BL426" s="164"/>
      <c r="BM426" s="164"/>
      <c r="BN426" s="164"/>
      <c r="BO426" s="164"/>
    </row>
    <row r="427" spans="1:67" s="180" customFormat="1">
      <c r="A427" s="593"/>
      <c r="B427" s="593"/>
      <c r="C427" s="631" t="s">
        <v>319</v>
      </c>
      <c r="D427" s="609" t="e">
        <f>SUM(E427:AH427)</f>
        <v>#DIV/0!</v>
      </c>
      <c r="E427" s="629">
        <f>E428*E426</f>
        <v>0.40533262666949332</v>
      </c>
      <c r="F427" s="629">
        <f t="shared" ref="F427:AH427" si="326">F428*F426</f>
        <v>1.2214285714285712E-2</v>
      </c>
      <c r="G427" s="629">
        <f t="shared" si="326"/>
        <v>0</v>
      </c>
      <c r="H427" s="629">
        <f t="shared" si="326"/>
        <v>0</v>
      </c>
      <c r="I427" s="629">
        <f t="shared" si="326"/>
        <v>0.1226</v>
      </c>
      <c r="J427" s="629">
        <f t="shared" si="326"/>
        <v>0</v>
      </c>
      <c r="K427" s="629">
        <f t="shared" si="326"/>
        <v>6.9999999999999993E-3</v>
      </c>
      <c r="L427" s="629">
        <f t="shared" si="326"/>
        <v>9.379310344827585E-3</v>
      </c>
      <c r="M427" s="629">
        <f t="shared" si="326"/>
        <v>2.5131617931568182</v>
      </c>
      <c r="N427" s="629">
        <f t="shared" si="326"/>
        <v>0</v>
      </c>
      <c r="O427" s="629">
        <f t="shared" si="326"/>
        <v>5.2475240119878466</v>
      </c>
      <c r="P427" s="629">
        <f t="shared" si="326"/>
        <v>0</v>
      </c>
      <c r="Q427" s="629">
        <f t="shared" si="326"/>
        <v>0</v>
      </c>
      <c r="R427" s="629">
        <f t="shared" si="326"/>
        <v>0</v>
      </c>
      <c r="S427" s="629">
        <f t="shared" si="326"/>
        <v>7.1739347702968317E-2</v>
      </c>
      <c r="T427" s="629">
        <f t="shared" si="326"/>
        <v>0</v>
      </c>
      <c r="U427" s="629">
        <f t="shared" si="326"/>
        <v>0</v>
      </c>
      <c r="V427" s="629">
        <f t="shared" si="326"/>
        <v>4.0000000000000001E-3</v>
      </c>
      <c r="W427" s="629">
        <f t="shared" si="326"/>
        <v>0</v>
      </c>
      <c r="X427" s="629">
        <f t="shared" si="326"/>
        <v>3.5672655729765728</v>
      </c>
      <c r="Y427" s="629">
        <f t="shared" si="326"/>
        <v>0</v>
      </c>
      <c r="Z427" s="629">
        <f t="shared" si="326"/>
        <v>1.1373192151977578</v>
      </c>
      <c r="AA427" s="629">
        <f t="shared" si="326"/>
        <v>0</v>
      </c>
      <c r="AB427" s="629">
        <f t="shared" si="326"/>
        <v>0</v>
      </c>
      <c r="AC427" s="629">
        <f t="shared" si="326"/>
        <v>3.2000000000000001E-2</v>
      </c>
      <c r="AD427" s="629">
        <f t="shared" si="326"/>
        <v>4.0000000000000001E-3</v>
      </c>
      <c r="AE427" s="629">
        <f t="shared" si="326"/>
        <v>18.692066951734159</v>
      </c>
      <c r="AF427" s="629">
        <f t="shared" si="326"/>
        <v>0.36445298165137618</v>
      </c>
      <c r="AG427" s="629" t="e">
        <f t="shared" si="326"/>
        <v>#DIV/0!</v>
      </c>
      <c r="AH427" s="629">
        <f t="shared" si="326"/>
        <v>0</v>
      </c>
      <c r="AI427" s="509"/>
      <c r="AJ427" s="165"/>
      <c r="AK427" s="165"/>
      <c r="AL427" s="165"/>
      <c r="AM427" s="165"/>
      <c r="AN427" s="491"/>
      <c r="AO427" s="508"/>
      <c r="AP427" s="510"/>
      <c r="AQ427" s="509"/>
      <c r="AR427" s="509"/>
      <c r="AS427" s="509"/>
      <c r="AT427" s="509"/>
      <c r="AU427" s="509"/>
      <c r="AV427" s="509"/>
      <c r="AW427" s="509"/>
      <c r="AX427" s="509"/>
      <c r="AY427" s="509"/>
      <c r="AZ427" s="509"/>
      <c r="BA427" s="509"/>
      <c r="BB427" s="164"/>
      <c r="BC427" s="164"/>
      <c r="BD427" s="164"/>
      <c r="BE427" s="164"/>
      <c r="BF427" s="164"/>
      <c r="BG427" s="164"/>
      <c r="BH427" s="164"/>
      <c r="BI427" s="164"/>
      <c r="BJ427" s="164"/>
      <c r="BK427" s="164"/>
      <c r="BL427" s="164"/>
      <c r="BM427" s="164"/>
      <c r="BN427" s="164"/>
      <c r="BO427" s="164"/>
    </row>
    <row r="428" spans="1:67" s="180" customFormat="1">
      <c r="A428" s="593"/>
      <c r="B428" s="593"/>
      <c r="C428" s="631" t="s">
        <v>321</v>
      </c>
      <c r="D428" s="609">
        <f>SUM(E428:AH428)</f>
        <v>119.30899999999998</v>
      </c>
      <c r="E428" s="629">
        <f>E386</f>
        <v>0.98199999999999998</v>
      </c>
      <c r="F428" s="629">
        <f t="shared" ref="F428:AH428" si="327">F386</f>
        <v>1.9E-2</v>
      </c>
      <c r="G428" s="629">
        <f t="shared" si="327"/>
        <v>0</v>
      </c>
      <c r="H428" s="629">
        <f t="shared" si="327"/>
        <v>0</v>
      </c>
      <c r="I428" s="629">
        <f t="shared" si="327"/>
        <v>0.44600000000000001</v>
      </c>
      <c r="J428" s="629">
        <f t="shared" si="327"/>
        <v>0</v>
      </c>
      <c r="K428" s="629">
        <f t="shared" si="327"/>
        <v>0.02</v>
      </c>
      <c r="L428" s="629">
        <f t="shared" si="327"/>
        <v>1.6E-2</v>
      </c>
      <c r="M428" s="629">
        <f t="shared" si="327"/>
        <v>11.215</v>
      </c>
      <c r="N428" s="629">
        <f t="shared" si="327"/>
        <v>0</v>
      </c>
      <c r="O428" s="629">
        <f t="shared" si="327"/>
        <v>18.812000000000001</v>
      </c>
      <c r="P428" s="629">
        <f t="shared" si="327"/>
        <v>0</v>
      </c>
      <c r="Q428" s="629">
        <f t="shared" si="327"/>
        <v>0</v>
      </c>
      <c r="R428" s="629">
        <f t="shared" si="327"/>
        <v>0</v>
      </c>
      <c r="S428" s="629">
        <f t="shared" si="327"/>
        <v>0.6</v>
      </c>
      <c r="T428" s="629">
        <f t="shared" si="327"/>
        <v>0</v>
      </c>
      <c r="U428" s="629">
        <f t="shared" si="327"/>
        <v>0</v>
      </c>
      <c r="V428" s="629">
        <f t="shared" si="327"/>
        <v>1.9E-2</v>
      </c>
      <c r="W428" s="629">
        <f t="shared" si="327"/>
        <v>0</v>
      </c>
      <c r="X428" s="629">
        <f t="shared" si="327"/>
        <v>15.29</v>
      </c>
      <c r="Y428" s="629">
        <f t="shared" si="327"/>
        <v>0</v>
      </c>
      <c r="Z428" s="629">
        <f t="shared" si="327"/>
        <v>4.6680000000000001</v>
      </c>
      <c r="AA428" s="629">
        <f t="shared" si="327"/>
        <v>0</v>
      </c>
      <c r="AB428" s="629">
        <f t="shared" si="327"/>
        <v>0</v>
      </c>
      <c r="AC428" s="629">
        <f t="shared" si="327"/>
        <v>0.10100000000000001</v>
      </c>
      <c r="AD428" s="629">
        <f t="shared" si="327"/>
        <v>6.0000000000000001E-3</v>
      </c>
      <c r="AE428" s="629">
        <f t="shared" si="327"/>
        <v>65.518000000000001</v>
      </c>
      <c r="AF428" s="629">
        <f t="shared" si="327"/>
        <v>1.597</v>
      </c>
      <c r="AG428" s="629">
        <f t="shared" si="327"/>
        <v>0</v>
      </c>
      <c r="AH428" s="629">
        <f t="shared" si="327"/>
        <v>0</v>
      </c>
      <c r="AI428" s="509"/>
      <c r="AJ428" s="165"/>
      <c r="AK428" s="165"/>
      <c r="AL428" s="165"/>
      <c r="AM428" s="165"/>
      <c r="AN428" s="491"/>
      <c r="AO428" s="508"/>
      <c r="AP428" s="510"/>
      <c r="AQ428" s="509"/>
      <c r="AR428" s="509"/>
      <c r="AS428" s="509"/>
      <c r="AT428" s="509"/>
      <c r="AU428" s="509"/>
      <c r="AV428" s="509"/>
      <c r="AW428" s="509"/>
      <c r="AX428" s="509"/>
      <c r="AY428" s="509"/>
      <c r="AZ428" s="509"/>
      <c r="BA428" s="509"/>
      <c r="BB428" s="164"/>
      <c r="BC428" s="164"/>
      <c r="BD428" s="164"/>
      <c r="BE428" s="164"/>
      <c r="BF428" s="164"/>
      <c r="BG428" s="164"/>
      <c r="BH428" s="164"/>
      <c r="BI428" s="164"/>
      <c r="BJ428" s="164"/>
      <c r="BK428" s="164"/>
      <c r="BL428" s="164"/>
      <c r="BM428" s="164"/>
      <c r="BN428" s="164"/>
      <c r="BO428" s="164"/>
    </row>
    <row r="429" spans="1:67">
      <c r="C429" s="96"/>
      <c r="D429" s="611"/>
    </row>
    <row r="430" spans="1:67">
      <c r="C430" s="97"/>
      <c r="D430" s="612"/>
    </row>
    <row r="431" spans="1:67">
      <c r="C431" s="97"/>
      <c r="D431" s="612"/>
    </row>
    <row r="432" spans="1:67">
      <c r="C432" s="97"/>
      <c r="D432" s="612"/>
    </row>
    <row r="433" spans="3:4">
      <c r="C433" s="97"/>
      <c r="D433" s="612"/>
    </row>
    <row r="434" spans="3:4">
      <c r="C434" s="97"/>
      <c r="D434" s="612"/>
    </row>
    <row r="435" spans="3:4">
      <c r="C435" s="97"/>
      <c r="D435" s="612"/>
    </row>
    <row r="436" spans="3:4">
      <c r="C436" s="97"/>
      <c r="D436" s="612"/>
    </row>
    <row r="437" spans="3:4">
      <c r="C437" s="97"/>
      <c r="D437" s="612"/>
    </row>
    <row r="438" spans="3:4">
      <c r="C438" s="97"/>
      <c r="D438" s="612"/>
    </row>
    <row r="439" spans="3:4">
      <c r="C439" s="96"/>
      <c r="D439" s="612"/>
    </row>
    <row r="440" spans="3:4">
      <c r="C440" s="96"/>
      <c r="D440" s="611"/>
    </row>
    <row r="441" spans="3:4">
      <c r="C441" s="97"/>
      <c r="D441" s="612"/>
    </row>
    <row r="442" spans="3:4">
      <c r="C442" s="97"/>
      <c r="D442" s="612"/>
    </row>
    <row r="443" spans="3:4">
      <c r="C443" s="97"/>
      <c r="D443" s="612"/>
    </row>
    <row r="444" spans="3:4">
      <c r="C444" s="97"/>
      <c r="D444" s="612"/>
    </row>
    <row r="445" spans="3:4">
      <c r="C445" s="97"/>
      <c r="D445" s="612"/>
    </row>
    <row r="446" spans="3:4">
      <c r="C446" s="97"/>
      <c r="D446" s="612"/>
    </row>
    <row r="447" spans="3:4">
      <c r="C447" s="97"/>
      <c r="D447" s="612"/>
    </row>
    <row r="448" spans="3:4">
      <c r="C448" s="97"/>
      <c r="D448" s="612"/>
    </row>
    <row r="449" spans="3:4">
      <c r="C449" s="97"/>
      <c r="D449" s="612"/>
    </row>
    <row r="450" spans="3:4">
      <c r="C450" s="97"/>
      <c r="D450" s="612"/>
    </row>
    <row r="451" spans="3:4">
      <c r="C451" s="96"/>
      <c r="D451" s="611"/>
    </row>
    <row r="452" spans="3:4">
      <c r="C452" s="97"/>
      <c r="D452" s="612"/>
    </row>
    <row r="453" spans="3:4">
      <c r="C453" s="97"/>
      <c r="D453" s="612"/>
    </row>
    <row r="454" spans="3:4">
      <c r="C454" s="97"/>
      <c r="D454" s="612"/>
    </row>
    <row r="455" spans="3:4">
      <c r="C455" s="97"/>
      <c r="D455" s="612"/>
    </row>
    <row r="456" spans="3:4">
      <c r="C456" s="97"/>
      <c r="D456" s="612"/>
    </row>
    <row r="457" spans="3:4">
      <c r="C457" s="97"/>
      <c r="D457" s="612"/>
    </row>
    <row r="458" spans="3:4">
      <c r="C458" s="97"/>
      <c r="D458" s="612"/>
    </row>
    <row r="459" spans="3:4">
      <c r="C459" s="97"/>
      <c r="D459" s="612"/>
    </row>
    <row r="460" spans="3:4">
      <c r="C460" s="97"/>
      <c r="D460" s="612"/>
    </row>
    <row r="461" spans="3:4">
      <c r="C461" s="97"/>
      <c r="D461" s="612"/>
    </row>
    <row r="462" spans="3:4">
      <c r="C462" s="96"/>
      <c r="D462" s="611"/>
    </row>
    <row r="463" spans="3:4">
      <c r="C463" s="97"/>
      <c r="D463" s="612"/>
    </row>
    <row r="464" spans="3:4">
      <c r="C464" s="97"/>
      <c r="D464" s="612"/>
    </row>
    <row r="465" spans="3:4">
      <c r="C465" s="97"/>
      <c r="D465" s="612"/>
    </row>
    <row r="466" spans="3:4">
      <c r="C466" s="97"/>
      <c r="D466" s="612"/>
    </row>
    <row r="467" spans="3:4">
      <c r="C467" s="97"/>
      <c r="D467" s="612"/>
    </row>
    <row r="468" spans="3:4">
      <c r="C468" s="97"/>
      <c r="D468" s="612"/>
    </row>
    <row r="469" spans="3:4">
      <c r="C469" s="97"/>
      <c r="D469" s="612"/>
    </row>
    <row r="470" spans="3:4">
      <c r="C470" s="97"/>
      <c r="D470" s="612"/>
    </row>
    <row r="471" spans="3:4">
      <c r="C471" s="97"/>
      <c r="D471" s="612"/>
    </row>
    <row r="472" spans="3:4">
      <c r="C472" s="96"/>
      <c r="D472" s="612"/>
    </row>
    <row r="473" spans="3:4">
      <c r="C473" s="96"/>
      <c r="D473" s="611"/>
    </row>
    <row r="474" spans="3:4">
      <c r="C474" s="97"/>
      <c r="D474" s="612"/>
    </row>
    <row r="475" spans="3:4">
      <c r="C475" s="97"/>
      <c r="D475" s="612"/>
    </row>
    <row r="476" spans="3:4">
      <c r="C476" s="97"/>
      <c r="D476" s="612"/>
    </row>
    <row r="477" spans="3:4">
      <c r="C477" s="97"/>
      <c r="D477" s="612"/>
    </row>
    <row r="478" spans="3:4">
      <c r="C478" s="97"/>
      <c r="D478" s="612"/>
    </row>
    <row r="479" spans="3:4">
      <c r="C479" s="97"/>
      <c r="D479" s="612"/>
    </row>
    <row r="480" spans="3:4">
      <c r="C480" s="97"/>
      <c r="D480" s="612"/>
    </row>
    <row r="481" spans="3:4">
      <c r="C481" s="97"/>
      <c r="D481" s="612"/>
    </row>
    <row r="482" spans="3:4">
      <c r="C482" s="97"/>
      <c r="D482" s="612"/>
    </row>
    <row r="483" spans="3:4">
      <c r="C483" s="97"/>
      <c r="D483" s="612"/>
    </row>
    <row r="484" spans="3:4">
      <c r="C484" s="96"/>
      <c r="D484" s="611"/>
    </row>
    <row r="485" spans="3:4">
      <c r="C485" s="97"/>
      <c r="D485" s="612"/>
    </row>
    <row r="486" spans="3:4">
      <c r="C486" s="97"/>
      <c r="D486" s="612"/>
    </row>
    <row r="487" spans="3:4">
      <c r="C487" s="97"/>
      <c r="D487" s="612"/>
    </row>
    <row r="488" spans="3:4">
      <c r="C488" s="97"/>
      <c r="D488" s="612"/>
    </row>
    <row r="489" spans="3:4">
      <c r="C489" s="97"/>
      <c r="D489" s="612"/>
    </row>
    <row r="490" spans="3:4">
      <c r="C490" s="97"/>
      <c r="D490" s="612"/>
    </row>
    <row r="491" spans="3:4">
      <c r="C491" s="97"/>
      <c r="D491" s="612"/>
    </row>
    <row r="492" spans="3:4">
      <c r="C492" s="97"/>
      <c r="D492" s="612"/>
    </row>
    <row r="493" spans="3:4">
      <c r="C493" s="97"/>
      <c r="D493" s="612"/>
    </row>
    <row r="494" spans="3:4">
      <c r="C494" s="97"/>
      <c r="D494" s="612"/>
    </row>
    <row r="495" spans="3:4">
      <c r="C495" s="96"/>
      <c r="D495" s="611"/>
    </row>
    <row r="496" spans="3:4">
      <c r="C496" s="97"/>
      <c r="D496" s="612"/>
    </row>
    <row r="497" spans="3:4">
      <c r="C497" s="97"/>
      <c r="D497" s="612"/>
    </row>
    <row r="498" spans="3:4">
      <c r="C498" s="97"/>
      <c r="D498" s="612"/>
    </row>
    <row r="499" spans="3:4">
      <c r="C499" s="97"/>
      <c r="D499" s="612"/>
    </row>
    <row r="500" spans="3:4">
      <c r="C500" s="97"/>
      <c r="D500" s="612"/>
    </row>
    <row r="501" spans="3:4">
      <c r="C501" s="97"/>
      <c r="D501" s="612"/>
    </row>
    <row r="502" spans="3:4">
      <c r="C502" s="97"/>
      <c r="D502" s="612"/>
    </row>
    <row r="503" spans="3:4">
      <c r="C503" s="97"/>
      <c r="D503" s="612"/>
    </row>
    <row r="504" spans="3:4">
      <c r="C504" s="97"/>
      <c r="D504" s="612"/>
    </row>
    <row r="505" spans="3:4">
      <c r="C505" s="96"/>
      <c r="D505" s="612"/>
    </row>
    <row r="506" spans="3:4">
      <c r="C506" s="96"/>
      <c r="D506" s="611"/>
    </row>
    <row r="507" spans="3:4">
      <c r="C507" s="97"/>
      <c r="D507" s="612"/>
    </row>
    <row r="508" spans="3:4">
      <c r="C508" s="97"/>
      <c r="D508" s="612"/>
    </row>
    <row r="509" spans="3:4">
      <c r="C509" s="97"/>
      <c r="D509" s="612"/>
    </row>
    <row r="510" spans="3:4">
      <c r="C510" s="97"/>
      <c r="D510" s="612"/>
    </row>
    <row r="511" spans="3:4">
      <c r="C511" s="97"/>
      <c r="D511" s="612"/>
    </row>
    <row r="512" spans="3:4">
      <c r="C512" s="97"/>
      <c r="D512" s="612"/>
    </row>
    <row r="513" spans="3:17">
      <c r="C513" s="97"/>
      <c r="D513" s="612"/>
    </row>
    <row r="514" spans="3:17">
      <c r="C514" s="97"/>
      <c r="D514" s="612"/>
      <c r="Q514" s="95"/>
    </row>
    <row r="515" spans="3:17">
      <c r="C515" s="97"/>
      <c r="D515" s="612"/>
      <c r="Q515" s="95"/>
    </row>
    <row r="516" spans="3:17">
      <c r="C516" s="97"/>
      <c r="D516" s="612"/>
      <c r="Q516" s="95"/>
    </row>
    <row r="517" spans="3:17">
      <c r="C517" s="96"/>
      <c r="D517" s="611"/>
      <c r="Q517" s="95"/>
    </row>
    <row r="518" spans="3:17">
      <c r="C518" s="97"/>
      <c r="D518" s="612"/>
      <c r="Q518" s="95"/>
    </row>
    <row r="519" spans="3:17">
      <c r="C519" s="97"/>
      <c r="D519" s="612"/>
      <c r="Q519" s="95"/>
    </row>
    <row r="520" spans="3:17">
      <c r="C520" s="97"/>
      <c r="D520" s="612"/>
      <c r="Q520" s="95"/>
    </row>
    <row r="521" spans="3:17">
      <c r="C521" s="97"/>
      <c r="D521" s="612"/>
      <c r="Q521" s="95"/>
    </row>
    <row r="522" spans="3:17">
      <c r="C522" s="97"/>
      <c r="D522" s="612"/>
      <c r="Q522" s="95"/>
    </row>
    <row r="523" spans="3:17">
      <c r="C523" s="97"/>
      <c r="D523" s="612"/>
      <c r="Q523" s="95"/>
    </row>
    <row r="524" spans="3:17">
      <c r="C524" s="97"/>
      <c r="D524" s="612"/>
      <c r="Q524" s="64"/>
    </row>
    <row r="525" spans="3:17">
      <c r="C525" s="97"/>
      <c r="D525" s="612"/>
      <c r="Q525" s="95"/>
    </row>
    <row r="526" spans="3:17">
      <c r="C526" s="97"/>
      <c r="D526" s="612"/>
      <c r="Q526" s="95"/>
    </row>
    <row r="527" spans="3:17">
      <c r="C527" s="97"/>
      <c r="D527" s="612"/>
      <c r="Q527" s="95"/>
    </row>
    <row r="528" spans="3:17">
      <c r="C528" s="96"/>
      <c r="D528" s="611"/>
      <c r="Q528" s="95"/>
    </row>
    <row r="529" spans="3:17">
      <c r="C529" s="97"/>
      <c r="D529" s="612"/>
      <c r="Q529" s="95"/>
    </row>
    <row r="530" spans="3:17">
      <c r="C530" s="97"/>
      <c r="D530" s="612"/>
      <c r="Q530" s="95"/>
    </row>
    <row r="531" spans="3:17">
      <c r="C531" s="97"/>
      <c r="D531" s="612"/>
      <c r="Q531" s="95"/>
    </row>
    <row r="532" spans="3:17">
      <c r="C532" s="97"/>
      <c r="D532" s="612"/>
      <c r="Q532" s="95"/>
    </row>
    <row r="533" spans="3:17">
      <c r="C533" s="97"/>
      <c r="D533" s="612"/>
      <c r="Q533" s="95"/>
    </row>
    <row r="534" spans="3:17">
      <c r="C534" s="97"/>
      <c r="D534" s="612"/>
      <c r="Q534" s="95"/>
    </row>
    <row r="535" spans="3:17">
      <c r="C535" s="97"/>
      <c r="D535" s="612"/>
      <c r="Q535" s="64"/>
    </row>
    <row r="536" spans="3:17">
      <c r="C536" s="97"/>
      <c r="D536" s="612"/>
      <c r="Q536" s="95"/>
    </row>
    <row r="537" spans="3:17">
      <c r="C537" s="97"/>
      <c r="D537" s="612"/>
      <c r="Q537" s="95"/>
    </row>
    <row r="538" spans="3:17">
      <c r="C538" s="96"/>
      <c r="D538" s="612"/>
      <c r="Q538" s="95"/>
    </row>
    <row r="539" spans="3:17">
      <c r="C539" s="96"/>
      <c r="D539" s="611"/>
      <c r="Q539" s="95"/>
    </row>
    <row r="540" spans="3:17">
      <c r="C540" s="97"/>
      <c r="D540" s="612"/>
      <c r="Q540" s="95"/>
    </row>
    <row r="541" spans="3:17">
      <c r="C541" s="97"/>
      <c r="D541" s="612"/>
      <c r="Q541" s="95"/>
    </row>
    <row r="542" spans="3:17">
      <c r="C542" s="97"/>
      <c r="D542" s="612"/>
      <c r="Q542" s="95"/>
    </row>
    <row r="543" spans="3:17">
      <c r="C543" s="97"/>
      <c r="D543" s="612"/>
      <c r="Q543" s="95"/>
    </row>
    <row r="544" spans="3:17">
      <c r="C544" s="97"/>
      <c r="D544" s="612"/>
      <c r="Q544" s="95"/>
    </row>
    <row r="545" spans="3:17">
      <c r="C545" s="97"/>
      <c r="D545" s="612"/>
      <c r="Q545" s="95"/>
    </row>
    <row r="546" spans="3:17">
      <c r="C546" s="97"/>
      <c r="D546" s="612"/>
    </row>
    <row r="547" spans="3:17">
      <c r="C547" s="97"/>
      <c r="D547" s="612"/>
    </row>
    <row r="548" spans="3:17">
      <c r="C548" s="97"/>
      <c r="D548" s="612"/>
    </row>
    <row r="549" spans="3:17">
      <c r="C549" s="97"/>
      <c r="D549" s="612"/>
    </row>
    <row r="550" spans="3:17">
      <c r="C550" s="96"/>
      <c r="D550" s="611"/>
    </row>
    <row r="551" spans="3:17">
      <c r="C551" s="97"/>
      <c r="D551" s="612"/>
    </row>
    <row r="552" spans="3:17">
      <c r="C552" s="97"/>
      <c r="D552" s="612"/>
    </row>
    <row r="553" spans="3:17">
      <c r="C553" s="97"/>
      <c r="D553" s="612"/>
    </row>
    <row r="554" spans="3:17">
      <c r="C554" s="97"/>
      <c r="D554" s="612"/>
    </row>
    <row r="555" spans="3:17">
      <c r="C555" s="97"/>
      <c r="D555" s="612"/>
    </row>
    <row r="556" spans="3:17">
      <c r="C556" s="97"/>
      <c r="D556" s="612"/>
    </row>
    <row r="557" spans="3:17">
      <c r="C557" s="97"/>
      <c r="D557" s="612"/>
    </row>
    <row r="558" spans="3:17">
      <c r="C558" s="97"/>
      <c r="D558" s="612"/>
    </row>
    <row r="559" spans="3:17">
      <c r="C559" s="97"/>
      <c r="D559" s="612"/>
    </row>
    <row r="560" spans="3:17">
      <c r="C560" s="97"/>
      <c r="D560" s="612"/>
    </row>
    <row r="561" spans="3:4">
      <c r="C561" s="96"/>
      <c r="D561" s="611"/>
    </row>
    <row r="562" spans="3:4">
      <c r="C562" s="97"/>
      <c r="D562" s="612"/>
    </row>
    <row r="563" spans="3:4">
      <c r="C563" s="97"/>
      <c r="D563" s="612"/>
    </row>
    <row r="564" spans="3:4">
      <c r="C564" s="97"/>
      <c r="D564" s="612"/>
    </row>
    <row r="565" spans="3:4">
      <c r="C565" s="97"/>
      <c r="D565" s="612"/>
    </row>
    <row r="566" spans="3:4">
      <c r="C566" s="97"/>
      <c r="D566" s="612"/>
    </row>
    <row r="567" spans="3:4">
      <c r="C567" s="97"/>
      <c r="D567" s="612"/>
    </row>
    <row r="568" spans="3:4">
      <c r="C568" s="97"/>
      <c r="D568" s="612"/>
    </row>
    <row r="569" spans="3:4">
      <c r="C569" s="97"/>
      <c r="D569" s="612"/>
    </row>
    <row r="570" spans="3:4">
      <c r="C570" s="97"/>
      <c r="D570" s="612"/>
    </row>
    <row r="571" spans="3:4">
      <c r="C571" s="96"/>
      <c r="D571" s="612"/>
    </row>
    <row r="572" spans="3:4">
      <c r="C572" s="96"/>
      <c r="D572" s="611"/>
    </row>
    <row r="573" spans="3:4">
      <c r="C573" s="97"/>
      <c r="D573" s="612"/>
    </row>
    <row r="574" spans="3:4">
      <c r="C574" s="97"/>
      <c r="D574" s="612"/>
    </row>
    <row r="575" spans="3:4">
      <c r="C575" s="97"/>
      <c r="D575" s="612"/>
    </row>
    <row r="576" spans="3:4">
      <c r="C576" s="97"/>
      <c r="D576" s="612"/>
    </row>
    <row r="577" spans="3:4">
      <c r="C577" s="97"/>
      <c r="D577" s="612"/>
    </row>
    <row r="578" spans="3:4">
      <c r="C578" s="97"/>
      <c r="D578" s="612"/>
    </row>
    <row r="579" spans="3:4">
      <c r="C579" s="97"/>
      <c r="D579" s="612"/>
    </row>
    <row r="580" spans="3:4">
      <c r="C580" s="97"/>
      <c r="D580" s="612"/>
    </row>
    <row r="581" spans="3:4">
      <c r="C581" s="97"/>
      <c r="D581" s="612"/>
    </row>
    <row r="582" spans="3:4">
      <c r="C582" s="97"/>
      <c r="D582" s="612"/>
    </row>
    <row r="583" spans="3:4">
      <c r="C583" s="96"/>
      <c r="D583" s="611"/>
    </row>
    <row r="584" spans="3:4">
      <c r="C584" s="97"/>
      <c r="D584" s="612"/>
    </row>
    <row r="585" spans="3:4">
      <c r="C585" s="97"/>
      <c r="D585" s="612"/>
    </row>
    <row r="586" spans="3:4">
      <c r="C586" s="97"/>
      <c r="D586" s="612"/>
    </row>
    <row r="587" spans="3:4">
      <c r="C587" s="97"/>
      <c r="D587" s="612"/>
    </row>
    <row r="588" spans="3:4">
      <c r="C588" s="97"/>
      <c r="D588" s="612"/>
    </row>
    <row r="589" spans="3:4">
      <c r="C589" s="97"/>
      <c r="D589" s="612"/>
    </row>
    <row r="590" spans="3:4">
      <c r="C590" s="97"/>
      <c r="D590" s="612"/>
    </row>
    <row r="591" spans="3:4">
      <c r="C591" s="97"/>
      <c r="D591" s="612"/>
    </row>
    <row r="592" spans="3:4">
      <c r="C592" s="97"/>
      <c r="D592" s="612"/>
    </row>
    <row r="593" spans="3:4">
      <c r="C593" s="97"/>
      <c r="D593" s="612"/>
    </row>
    <row r="594" spans="3:4">
      <c r="C594" s="96"/>
      <c r="D594" s="611"/>
    </row>
    <row r="595" spans="3:4">
      <c r="C595" s="97"/>
      <c r="D595" s="612"/>
    </row>
    <row r="596" spans="3:4">
      <c r="C596" s="97"/>
      <c r="D596" s="612"/>
    </row>
    <row r="597" spans="3:4">
      <c r="C597" s="97"/>
      <c r="D597" s="612"/>
    </row>
    <row r="598" spans="3:4">
      <c r="C598" s="97"/>
      <c r="D598" s="612"/>
    </row>
    <row r="599" spans="3:4">
      <c r="C599" s="97"/>
      <c r="D599" s="612"/>
    </row>
    <row r="600" spans="3:4">
      <c r="C600" s="97"/>
      <c r="D600" s="612"/>
    </row>
    <row r="601" spans="3:4">
      <c r="C601" s="97"/>
      <c r="D601" s="612"/>
    </row>
    <row r="602" spans="3:4">
      <c r="C602" s="97"/>
      <c r="D602" s="612"/>
    </row>
    <row r="603" spans="3:4">
      <c r="C603" s="97"/>
      <c r="D603" s="612"/>
    </row>
    <row r="604" spans="3:4">
      <c r="C604" s="96"/>
      <c r="D604" s="612"/>
    </row>
    <row r="605" spans="3:4">
      <c r="C605" s="96"/>
      <c r="D605" s="611"/>
    </row>
    <row r="606" spans="3:4">
      <c r="C606" s="97"/>
      <c r="D606" s="612"/>
    </row>
    <row r="607" spans="3:4">
      <c r="C607" s="97"/>
      <c r="D607" s="612"/>
    </row>
    <row r="608" spans="3:4">
      <c r="C608" s="97"/>
      <c r="D608" s="612"/>
    </row>
    <row r="609" spans="3:4">
      <c r="C609" s="97"/>
      <c r="D609" s="612"/>
    </row>
    <row r="610" spans="3:4">
      <c r="C610" s="97"/>
      <c r="D610" s="612"/>
    </row>
    <row r="611" spans="3:4">
      <c r="C611" s="97"/>
      <c r="D611" s="612"/>
    </row>
    <row r="612" spans="3:4">
      <c r="C612" s="97"/>
      <c r="D612" s="612"/>
    </row>
    <row r="613" spans="3:4">
      <c r="C613" s="97"/>
      <c r="D613" s="612"/>
    </row>
    <row r="614" spans="3:4">
      <c r="C614" s="97"/>
      <c r="D614" s="612"/>
    </row>
    <row r="615" spans="3:4">
      <c r="C615" s="97"/>
      <c r="D615" s="612"/>
    </row>
    <row r="616" spans="3:4">
      <c r="C616" s="96"/>
      <c r="D616" s="611"/>
    </row>
    <row r="617" spans="3:4">
      <c r="C617" s="97"/>
      <c r="D617" s="612"/>
    </row>
    <row r="618" spans="3:4">
      <c r="C618" s="97"/>
      <c r="D618" s="612"/>
    </row>
    <row r="619" spans="3:4">
      <c r="C619" s="97"/>
      <c r="D619" s="612"/>
    </row>
    <row r="620" spans="3:4">
      <c r="C620" s="97"/>
      <c r="D620" s="612"/>
    </row>
    <row r="621" spans="3:4">
      <c r="C621" s="97"/>
      <c r="D621" s="612"/>
    </row>
    <row r="622" spans="3:4">
      <c r="C622" s="97"/>
      <c r="D622" s="612"/>
    </row>
    <row r="623" spans="3:4">
      <c r="C623" s="97"/>
      <c r="D623" s="612"/>
    </row>
    <row r="624" spans="3:4">
      <c r="C624" s="97"/>
      <c r="D624" s="612"/>
    </row>
    <row r="625" spans="3:4">
      <c r="C625" s="97"/>
      <c r="D625" s="612"/>
    </row>
    <row r="626" spans="3:4">
      <c r="C626" s="96"/>
      <c r="D626" s="612"/>
    </row>
    <row r="627" spans="3:4">
      <c r="C627" s="96"/>
      <c r="D627" s="612"/>
    </row>
  </sheetData>
  <mergeCells count="5">
    <mergeCell ref="C310:D311"/>
    <mergeCell ref="C3:C4"/>
    <mergeCell ref="C59:C60"/>
    <mergeCell ref="C21:C22"/>
    <mergeCell ref="C41:C42"/>
  </mergeCells>
  <phoneticPr fontId="5" type="noConversion"/>
  <conditionalFormatting sqref="E290:AH290">
    <cfRule type="cellIs" dxfId="12" priority="24" stopIfTrue="1" operator="lessThan">
      <formula>0</formula>
    </cfRule>
  </conditionalFormatting>
  <conditionalFormatting sqref="E279:AH279 E275:AH275 E271:AH271 E267:AH267 E288:AH288">
    <cfRule type="cellIs" dxfId="11" priority="25" stopIfTrue="1" operator="greaterThan">
      <formula>0</formula>
    </cfRule>
  </conditionalFormatting>
  <conditionalFormatting sqref="E335:AH342 E368:AH371 E123:AH123 E106:AH106">
    <cfRule type="cellIs" dxfId="10" priority="19" stopIfTrue="1" operator="greaterThan">
      <formula>1</formula>
    </cfRule>
  </conditionalFormatting>
  <conditionalFormatting sqref="E343:AH347">
    <cfRule type="cellIs" dxfId="9" priority="17" stopIfTrue="1" operator="notEqual">
      <formula>0</formula>
    </cfRule>
  </conditionalFormatting>
  <conditionalFormatting sqref="E125:AH125">
    <cfRule type="cellIs" dxfId="8" priority="15" stopIfTrue="1" operator="notEqual">
      <formula>0</formula>
    </cfRule>
  </conditionalFormatting>
  <conditionalFormatting sqref="G48:AH49 E45:AE49">
    <cfRule type="cellIs" dxfId="7" priority="12" stopIfTrue="1" operator="lessThan">
      <formula>0</formula>
    </cfRule>
  </conditionalFormatting>
  <conditionalFormatting sqref="E44:AE44">
    <cfRule type="cellIs" dxfId="6" priority="11" stopIfTrue="1" operator="lessThan">
      <formula>0</formula>
    </cfRule>
  </conditionalFormatting>
  <conditionalFormatting sqref="D290">
    <cfRule type="cellIs" dxfId="5" priority="9" stopIfTrue="1" operator="lessThan">
      <formula>0</formula>
    </cfRule>
  </conditionalFormatting>
  <conditionalFormatting sqref="D275 D271 D267 D288 D279:D282">
    <cfRule type="cellIs" dxfId="4" priority="10" stopIfTrue="1" operator="greaterThan">
      <formula>0</formula>
    </cfRule>
  </conditionalFormatting>
  <conditionalFormatting sqref="E109:AH110">
    <cfRule type="colorScale" priority="7">
      <colorScale>
        <cfvo type="min"/>
        <cfvo type="percentile" val="50"/>
        <cfvo type="max"/>
        <color rgb="FF63BE7B"/>
        <color rgb="FFFFEB84"/>
        <color rgb="FFF8696B"/>
      </colorScale>
    </cfRule>
  </conditionalFormatting>
  <conditionalFormatting sqref="E283:AH285">
    <cfRule type="cellIs" dxfId="3" priority="6" operator="lessThan">
      <formula>0</formula>
    </cfRule>
  </conditionalFormatting>
  <conditionalFormatting sqref="D261:AH290">
    <cfRule type="cellIs" dxfId="2" priority="5" operator="lessThan">
      <formula>0</formula>
    </cfRule>
  </conditionalFormatting>
  <conditionalFormatting sqref="E51:AE55">
    <cfRule type="cellIs" dxfId="1" priority="2" stopIfTrue="1" operator="lessThan">
      <formula>0</formula>
    </cfRule>
  </conditionalFormatting>
  <conditionalFormatting sqref="AJ280:AJ282">
    <cfRule type="cellIs" dxfId="0" priority="1" operator="lessThan">
      <formula>0</formula>
    </cfRule>
  </conditionalFormatting>
  <pageMargins left="0.75" right="0.75" top="1" bottom="1" header="0.5" footer="0.5"/>
  <pageSetup paperSize="9" orientation="portrait" r:id="rId1"/>
  <headerFooter alignWithMargins="0"/>
  <ignoredErrors>
    <ignoredError sqref="AF74"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sheetPr>
  <dimension ref="A1:AG121"/>
  <sheetViews>
    <sheetView workbookViewId="0">
      <pane xSplit="2" ySplit="5" topLeftCell="C6" activePane="bottomRight" state="frozen"/>
      <selection pane="topRight" activeCell="B1" sqref="B1"/>
      <selection pane="bottomLeft" activeCell="A2" sqref="A2"/>
      <selection pane="bottomRight" activeCell="K28" sqref="K28"/>
    </sheetView>
  </sheetViews>
  <sheetFormatPr defaultRowHeight="12.75"/>
  <cols>
    <col min="1" max="1" width="14" customWidth="1"/>
    <col min="2" max="3" width="23.28515625" customWidth="1"/>
  </cols>
  <sheetData>
    <row r="1" spans="1:33">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row>
    <row r="5" spans="1:33">
      <c r="C5" s="159" t="s">
        <v>433</v>
      </c>
      <c r="D5" t="str">
        <f>'IND_CONS Sector all'!$A7</f>
        <v>Austria</v>
      </c>
      <c r="E5" t="str">
        <f>'IND_CONS Sector all'!$A18</f>
        <v>Belgium</v>
      </c>
      <c r="F5" t="str">
        <f>'IND_CONS Sector all'!$A29</f>
        <v>Bulgaria</v>
      </c>
      <c r="G5" t="str">
        <f>'IND_CONS Sector all'!$A40</f>
        <v>Cyprus</v>
      </c>
      <c r="H5" t="str">
        <f>'IND_CONS Sector all'!$A51</f>
        <v>Czech Republic</v>
      </c>
      <c r="I5" t="str">
        <f>'IND_CONS Sector all'!$A62</f>
        <v>Germany (including ex-GDR from 1991)</v>
      </c>
      <c r="J5" t="str">
        <f>'IND_CONS Sector all'!$A73</f>
        <v>Denmark</v>
      </c>
      <c r="K5" t="str">
        <f>'IND_CONS Sector all'!$A84</f>
        <v>Estonia</v>
      </c>
      <c r="L5" t="str">
        <f>'IND_CONS Sector all'!$A95</f>
        <v>Spain</v>
      </c>
      <c r="M5" t="str">
        <f>'IND_CONS Sector all'!$A106</f>
        <v>Finland</v>
      </c>
      <c r="N5" t="str">
        <f>'IND_CONS Sector all'!$A117</f>
        <v>France</v>
      </c>
      <c r="O5" t="str">
        <f>'IND_CONS Sector all'!$A128</f>
        <v>Greece</v>
      </c>
      <c r="P5" t="str">
        <f>'IND_CONS Sector all'!$A139</f>
        <v>Hungary</v>
      </c>
      <c r="Q5" t="str">
        <f>'IND_CONS Sector all'!$A150</f>
        <v>Ireland</v>
      </c>
      <c r="R5" t="str">
        <f>'IND_CONS Sector all'!$A161</f>
        <v>Italy</v>
      </c>
      <c r="S5" t="str">
        <f>'IND_CONS Sector all'!$A172</f>
        <v>Lithuania</v>
      </c>
      <c r="T5" t="str">
        <f>'IND_CONS Sector all'!$A183</f>
        <v>Luxembourg (Grand-Duché)</v>
      </c>
      <c r="U5" t="str">
        <f>'IND_CONS Sector all'!$A194</f>
        <v>Latvia</v>
      </c>
      <c r="V5" t="str">
        <f>'IND_CONS Sector all'!$A205</f>
        <v>Malta</v>
      </c>
      <c r="W5" t="str">
        <f>'IND_CONS Sector all'!$A216</f>
        <v>Netherlands</v>
      </c>
      <c r="X5" t="str">
        <f>'IND_CONS Sector all'!$A227</f>
        <v>Poland</v>
      </c>
      <c r="Y5" t="str">
        <f>'IND_CONS Sector all'!$A238</f>
        <v>Portugal</v>
      </c>
      <c r="Z5" t="str">
        <f>'IND_CONS Sector all'!$A249</f>
        <v>Romania</v>
      </c>
      <c r="AA5" t="str">
        <f>'IND_CONS Sector all'!$A260</f>
        <v>Sweden</v>
      </c>
      <c r="AB5" t="str">
        <f>'IND_CONS Sector all'!$A271</f>
        <v>Slovenia</v>
      </c>
      <c r="AC5" t="str">
        <f>'IND_CONS Sector all'!$A282</f>
        <v>Slovakia</v>
      </c>
      <c r="AD5" t="str">
        <f>'IND_CONS Sector all'!$A293</f>
        <v>United Kingdom</v>
      </c>
      <c r="AE5" t="str">
        <f>'IND_CONS Sector all'!$A304</f>
        <v>Switzerland</v>
      </c>
      <c r="AF5" t="str">
        <f>'IND_CONS Sector all'!$A315</f>
        <v>Iceland</v>
      </c>
      <c r="AG5" t="str">
        <f>'IND_CONS Sector all'!$A326</f>
        <v>Norway</v>
      </c>
    </row>
    <row r="7" spans="1:33">
      <c r="A7" t="s">
        <v>104</v>
      </c>
      <c r="B7" t="str">
        <f>'IND_CONS Sector all'!C$6</f>
        <v>Hard Coal &amp; Patent Fuels</v>
      </c>
      <c r="C7" s="64">
        <f>SUM(D7:AD7)</f>
        <v>838.21843599999988</v>
      </c>
      <c r="D7" s="64">
        <f>SUM('IND_CONS Sector all'!$C$7:$C$17)</f>
        <v>7.4088320000000003</v>
      </c>
      <c r="E7" s="64">
        <f>SUM('IND_CONS Sector all'!$C$18:$C$28)</f>
        <v>24.640471999999999</v>
      </c>
      <c r="F7" s="64">
        <f>SUM('IND_CONS Sector all'!$C$29:$C$39)</f>
        <v>11.559000000000001</v>
      </c>
      <c r="G7" s="64">
        <f>SUM('IND_CONS Sector all'!$C$40:$C$50)</f>
        <v>1.488</v>
      </c>
      <c r="H7" s="64">
        <f>SUM('IND_CONS Sector all'!$C$51:$C$61)</f>
        <v>29.184876000000003</v>
      </c>
      <c r="I7" s="64">
        <f>SUM('IND_CONS Sector all'!$C$62:$C$72)</f>
        <v>156.20100000000002</v>
      </c>
      <c r="J7" s="64">
        <f>SUM('IND_CONS Sector all'!$C$73:$C$83)</f>
        <v>7.9770000000000003</v>
      </c>
      <c r="K7" s="64">
        <f>SUM('IND_CONS Sector all'!$C$84:$C$94)</f>
        <v>0.32500000000000007</v>
      </c>
      <c r="L7" s="64">
        <f>SUM('IND_CONS Sector all'!$C$95:$C$105)</f>
        <v>35.07</v>
      </c>
      <c r="M7" s="64">
        <f>SUM('IND_CONS Sector all'!$C$106:$C$116)</f>
        <v>7.0390000000000006</v>
      </c>
      <c r="N7" s="64">
        <f>SUM('IND_CONS Sector all'!$C$117:$C$127)</f>
        <v>120.89494800000001</v>
      </c>
      <c r="O7" s="64">
        <f>SUM('IND_CONS Sector all'!$C$128:$C$138)</f>
        <v>14.347</v>
      </c>
      <c r="P7" s="64">
        <f>SUM('IND_CONS Sector all'!$C$139:$C$149)</f>
        <v>4.5750000000000002</v>
      </c>
      <c r="Q7" s="64">
        <f>SUM('IND_CONS Sector all'!$C$150:$C$160)</f>
        <v>6.8489999999999993</v>
      </c>
      <c r="R7" s="64">
        <f>SUM('IND_CONS Sector all'!$C$161:$C$171)</f>
        <v>69.125999999999991</v>
      </c>
      <c r="S7" s="64">
        <f>SUM('IND_CONS Sector all'!$C$172:$C$182)</f>
        <v>3.3899999999999997</v>
      </c>
      <c r="T7" s="64">
        <f>SUM('IND_CONS Sector all'!$C$183:$C$193)</f>
        <v>3.2519999999999998</v>
      </c>
      <c r="U7" s="64">
        <f>SUM('IND_CONS Sector all'!$C$194:$C$204)</f>
        <v>0.91700000000000015</v>
      </c>
      <c r="V7" s="64">
        <f>SUM('IND_CONS Sector all'!$C$205:$C$215)</f>
        <v>0</v>
      </c>
      <c r="W7" s="64">
        <f>SUM('IND_CONS Sector all'!$C$216:$C$226)</f>
        <v>44.442999999999998</v>
      </c>
      <c r="X7" s="64">
        <f>SUM('IND_CONS Sector all'!$C$227:$C$237)</f>
        <v>137.06800000000001</v>
      </c>
      <c r="Y7" s="64">
        <f>SUM('IND_CONS Sector all'!$C$238:$C$248)</f>
        <v>0.51</v>
      </c>
      <c r="Z7" s="64">
        <f>SUM('IND_CONS Sector all'!$C$249:$C$259)</f>
        <v>15.786</v>
      </c>
      <c r="AA7" s="64">
        <f>SUM('IND_CONS Sector all'!$C$260:$C$270)</f>
        <v>26.457000000000004</v>
      </c>
      <c r="AB7" s="64">
        <f>SUM('IND_CONS Sector all'!$C$271:$C$281)</f>
        <v>2.464</v>
      </c>
      <c r="AC7" s="64">
        <f>SUM('IND_CONS Sector all'!$C$271:$C$292)</f>
        <v>30.835000000000001</v>
      </c>
      <c r="AD7" s="64">
        <f>SUM('IND_CONS Sector all'!$C$293:$C$303)</f>
        <v>76.411307999999991</v>
      </c>
      <c r="AE7" s="64">
        <f>SUM('IND_CONS Sector all'!$C$304:$C$314)</f>
        <v>5.1429999999999998</v>
      </c>
      <c r="AF7" s="64">
        <f>SUM('IND_CONS Sector all'!$C$315:$C$325)</f>
        <v>3.282</v>
      </c>
      <c r="AG7" s="64">
        <f>SUM('IND_CONS Sector all'!$C$326:$C$336)</f>
        <v>19.417000000000002</v>
      </c>
    </row>
    <row r="8" spans="1:33">
      <c r="B8" t="str">
        <f>'IND_CONS Sector all'!E$6</f>
        <v>Lignite &amp; Derivatives</v>
      </c>
      <c r="C8" s="64">
        <f t="shared" ref="C8:C71" si="0">SUM(D8:AD8)</f>
        <v>124.08028400000002</v>
      </c>
      <c r="D8" s="64">
        <f>SUM('IND_CONS Sector all'!$E$7:$E$17)</f>
        <v>0.6100000000000001</v>
      </c>
      <c r="E8" s="64">
        <f>SUM('IND_CONS Sector all'!$E$18:$E$28)</f>
        <v>3.4026040000000002</v>
      </c>
      <c r="F8" s="64">
        <f>SUM('IND_CONS Sector all'!$E$29:$E$39)</f>
        <v>1.0760000000000001</v>
      </c>
      <c r="G8" s="64">
        <f>SUM('IND_CONS Sector all'!$E$40:$E$50)</f>
        <v>0</v>
      </c>
      <c r="H8" s="64">
        <f>SUM('IND_CONS Sector all'!$E$51:$E$61)</f>
        <v>40.818680000000001</v>
      </c>
      <c r="I8" s="64">
        <f>SUM('IND_CONS Sector all'!$E$62:$E$72)</f>
        <v>54.106000000000002</v>
      </c>
      <c r="J8" s="64">
        <f>SUM('IND_CONS Sector all'!$E$73:$E$83)</f>
        <v>0</v>
      </c>
      <c r="K8" s="64">
        <f>SUM('IND_CONS Sector all'!$E$84:$E$94)</f>
        <v>2.4659999999999997</v>
      </c>
      <c r="L8" s="64">
        <f>SUM('IND_CONS Sector all'!$E$95:$E$105)</f>
        <v>0</v>
      </c>
      <c r="M8" s="64">
        <f>SUM('IND_CONS Sector all'!$E$106:$E$116)</f>
        <v>9.8320000000000007</v>
      </c>
      <c r="N8" s="64">
        <f>SUM('IND_CONS Sector all'!$E$117:$E$127)</f>
        <v>0</v>
      </c>
      <c r="O8" s="64">
        <f>SUM('IND_CONS Sector all'!$E$128:$E$138)</f>
        <v>3.7650000000000001</v>
      </c>
      <c r="P8" s="64">
        <f>SUM('IND_CONS Sector all'!$E$139:$E$149)</f>
        <v>3.5999999999999997E-2</v>
      </c>
      <c r="Q8" s="64">
        <f>SUM('IND_CONS Sector all'!$E$150:$E$160)</f>
        <v>0</v>
      </c>
      <c r="R8" s="64">
        <f>SUM('IND_CONS Sector all'!$E$161:$E$171)</f>
        <v>8.4000000000000005E-2</v>
      </c>
      <c r="S8" s="64">
        <f>SUM('IND_CONS Sector all'!$E$172:$E$182)</f>
        <v>1.4999999999999999E-2</v>
      </c>
      <c r="T8" s="64">
        <f>SUM('IND_CONS Sector all'!$E$183:$E$193)</f>
        <v>0.14099999999999999</v>
      </c>
      <c r="U8" s="64">
        <f>SUM('IND_CONS Sector all'!$E$194:$E$204)</f>
        <v>0</v>
      </c>
      <c r="V8" s="64">
        <f>SUM('IND_CONS Sector all'!$E$205:$E$215)</f>
        <v>0</v>
      </c>
      <c r="W8" s="64">
        <f>SUM('IND_CONS Sector all'!$E$216:$E$226)</f>
        <v>0.55999999999999994</v>
      </c>
      <c r="X8" s="64">
        <f>SUM('IND_CONS Sector all'!$E$227:$E$237)</f>
        <v>0.13600000000000001</v>
      </c>
      <c r="Y8" s="64">
        <f>SUM('IND_CONS Sector all'!$E$238:$E$248)</f>
        <v>0</v>
      </c>
      <c r="Z8" s="64">
        <f>SUM('IND_CONS Sector all'!$E$249:$E$259)</f>
        <v>4.6790000000000003</v>
      </c>
      <c r="AA8" s="64">
        <f>SUM('IND_CONS Sector all'!$E$260:$E$270)</f>
        <v>0.248</v>
      </c>
      <c r="AB8" s="64">
        <f>SUM('IND_CONS Sector all'!$E$271:$E$281)</f>
        <v>0</v>
      </c>
      <c r="AC8" s="64">
        <f>SUM('IND_CONS Sector all'!$E$271:$E$292)</f>
        <v>2.105</v>
      </c>
      <c r="AD8" s="64">
        <f>SUM('IND_CONS Sector all'!$E$293:$E$303)</f>
        <v>0</v>
      </c>
      <c r="AE8" s="64">
        <f>SUM('IND_CONS Sector all'!$E$304:$E$314)</f>
        <v>0.78400000000000003</v>
      </c>
      <c r="AF8" s="64">
        <f>SUM('IND_CONS Sector all'!$E$315:$E$325)</f>
        <v>0</v>
      </c>
      <c r="AG8" s="64">
        <f>SUM('IND_CONS Sector all'!$E$326:$E$336)</f>
        <v>0</v>
      </c>
    </row>
    <row r="9" spans="1:33">
      <c r="B9" t="str">
        <f>'IND_CONS Sector all'!G$6</f>
        <v>Refinery Gas</v>
      </c>
      <c r="C9" s="64">
        <f t="shared" si="0"/>
        <v>1120.2919999999997</v>
      </c>
      <c r="D9" s="64">
        <f>SUM('IND_CONS Sector all'!$G$7:$G$17)</f>
        <v>16.88</v>
      </c>
      <c r="E9" s="64">
        <f>SUM('IND_CONS Sector all'!$G$18:$G$28)</f>
        <v>22.670999999999999</v>
      </c>
      <c r="F9" s="64">
        <f>SUM('IND_CONS Sector all'!$G$29:$G$39)</f>
        <v>10.692</v>
      </c>
      <c r="G9" s="64">
        <f>SUM('IND_CONS Sector all'!$G$40:$G$50)</f>
        <v>0</v>
      </c>
      <c r="H9" s="64">
        <f>SUM('IND_CONS Sector all'!$G$51:$G$61)</f>
        <v>6.0890000000000004</v>
      </c>
      <c r="I9" s="64">
        <f>SUM('IND_CONS Sector all'!$G$62:$G$72)</f>
        <v>204.238</v>
      </c>
      <c r="J9" s="64">
        <f>SUM('IND_CONS Sector all'!$G$73:$G$83)</f>
        <v>13.118</v>
      </c>
      <c r="K9" s="64">
        <f>SUM('IND_CONS Sector all'!$G$84:$G$94)</f>
        <v>0</v>
      </c>
      <c r="L9" s="64">
        <f>SUM('IND_CONS Sector all'!$G$95:$G$105)</f>
        <v>105.386</v>
      </c>
      <c r="M9" s="64">
        <f>SUM('IND_CONS Sector all'!$G$106:$G$116)</f>
        <v>20.690999999999999</v>
      </c>
      <c r="N9" s="64">
        <f>SUM('IND_CONS Sector all'!$G$117:$G$127)</f>
        <v>110.88</v>
      </c>
      <c r="O9" s="64">
        <f>SUM('IND_CONS Sector all'!$G$128:$G$138)</f>
        <v>21.928999999999998</v>
      </c>
      <c r="P9" s="64">
        <f>SUM('IND_CONS Sector all'!$G$139:$G$149)</f>
        <v>8.3659999999999997</v>
      </c>
      <c r="Q9" s="64">
        <f>SUM('IND_CONS Sector all'!$G$150:$G$160)</f>
        <v>4.5049999999999999</v>
      </c>
      <c r="R9" s="64">
        <f>SUM('IND_CONS Sector all'!$G$161:$G$171)</f>
        <v>116.82</v>
      </c>
      <c r="S9" s="64">
        <f>SUM('IND_CONS Sector all'!$G$172:$G$182)</f>
        <v>15.444000000000001</v>
      </c>
      <c r="T9" s="64">
        <f>SUM('IND_CONS Sector all'!$G$183:$G$193)</f>
        <v>0</v>
      </c>
      <c r="U9" s="64">
        <f>SUM('IND_CONS Sector all'!$G$194:$G$204)</f>
        <v>0</v>
      </c>
      <c r="V9" s="64">
        <f>SUM('IND_CONS Sector all'!$G$205:$G$215)</f>
        <v>0</v>
      </c>
      <c r="W9" s="64">
        <f>SUM('IND_CONS Sector all'!$G$216:$G$226)</f>
        <v>192.506</v>
      </c>
      <c r="X9" s="64">
        <f>SUM('IND_CONS Sector all'!$G$227:$G$237)</f>
        <v>28.611999999999998</v>
      </c>
      <c r="Y9" s="64">
        <f>SUM('IND_CONS Sector all'!$G$238:$G$248)</f>
        <v>0</v>
      </c>
      <c r="Z9" s="64">
        <f>SUM('IND_CONS Sector all'!$G$249:$G$259)</f>
        <v>37.174999999999997</v>
      </c>
      <c r="AA9" s="64">
        <f>SUM('IND_CONS Sector all'!$G$260:$G$270)</f>
        <v>24.206</v>
      </c>
      <c r="AB9" s="64">
        <f>SUM('IND_CONS Sector all'!$G$271:$G$281)</f>
        <v>0</v>
      </c>
      <c r="AC9" s="64">
        <f>SUM('IND_CONS Sector all'!$G$271:$G$292)</f>
        <v>20.146999999999998</v>
      </c>
      <c r="AD9" s="64">
        <f>SUM('IND_CONS Sector all'!$G$293:$G$303)</f>
        <v>139.93699999999998</v>
      </c>
      <c r="AE9" s="64">
        <f>SUM('IND_CONS Sector all'!$G$304:$G$314)</f>
        <v>11.93</v>
      </c>
      <c r="AF9" s="64">
        <f>SUM('IND_CONS Sector all'!$G$315:$G$325)</f>
        <v>0</v>
      </c>
      <c r="AG9" s="64">
        <f>SUM('IND_CONS Sector all'!$G$326:$G$336)</f>
        <v>20.097000000000001</v>
      </c>
    </row>
    <row r="10" spans="1:33">
      <c r="B10" t="str">
        <f>'IND_CONS Sector all'!K$6</f>
        <v>Gas / Diesel Oil</v>
      </c>
      <c r="C10" s="64">
        <f t="shared" si="0"/>
        <v>613.50268000000005</v>
      </c>
      <c r="D10" s="64">
        <f>SUM('IND_CONS Sector all'!$K$7:$K$17)</f>
        <v>14.784000000000001</v>
      </c>
      <c r="E10" s="64">
        <f>SUM('IND_CONS Sector all'!$K$18:$K$28)</f>
        <v>12.055</v>
      </c>
      <c r="F10" s="64">
        <f>SUM('IND_CONS Sector all'!$K$29:$K$39)</f>
        <v>3.4089999999999998</v>
      </c>
      <c r="G10" s="64">
        <f>SUM('IND_CONS Sector all'!$K$40:$K$50)</f>
        <v>2.0019999999999998</v>
      </c>
      <c r="H10" s="64">
        <f>SUM('IND_CONS Sector all'!$K$51:$K$61)</f>
        <v>4.6859999999999999</v>
      </c>
      <c r="I10" s="64">
        <f>SUM('IND_CONS Sector all'!$K$62:$K$72)</f>
        <v>94.87</v>
      </c>
      <c r="J10" s="64">
        <f>SUM('IND_CONS Sector all'!$K$73:$K$83)</f>
        <v>16.308680000000003</v>
      </c>
      <c r="K10" s="64">
        <f>SUM('IND_CONS Sector all'!$K$84:$K$94)</f>
        <v>2.13</v>
      </c>
      <c r="L10" s="64">
        <f>SUM('IND_CONS Sector all'!$K$95:$K$105)</f>
        <v>72.420999999999992</v>
      </c>
      <c r="M10" s="64">
        <f>SUM('IND_CONS Sector all'!$K$106:$K$116)</f>
        <v>24.878</v>
      </c>
      <c r="N10" s="64">
        <f>SUM('IND_CONS Sector all'!$K$117:$K$127)</f>
        <v>54.444000000000003</v>
      </c>
      <c r="O10" s="64">
        <f>SUM('IND_CONS Sector all'!$K$128:$K$138)</f>
        <v>18.701000000000001</v>
      </c>
      <c r="P10" s="64">
        <f>SUM('IND_CONS Sector all'!$K$139:$K$149)</f>
        <v>1.5350000000000001</v>
      </c>
      <c r="Q10" s="64">
        <f>SUM('IND_CONS Sector all'!$K$150:$K$160)</f>
        <v>8.1460000000000008</v>
      </c>
      <c r="R10" s="64">
        <f>SUM('IND_CONS Sector all'!$K$161:$K$171)</f>
        <v>32.757999999999996</v>
      </c>
      <c r="S10" s="64">
        <f>SUM('IND_CONS Sector all'!$K$172:$K$182)</f>
        <v>1.5760000000000001</v>
      </c>
      <c r="T10" s="64">
        <f>SUM('IND_CONS Sector all'!$K$183:$K$193)</f>
        <v>2.641</v>
      </c>
      <c r="U10" s="64">
        <f>SUM('IND_CONS Sector all'!$K$194:$K$204)</f>
        <v>1.407</v>
      </c>
      <c r="V10" s="64">
        <f>SUM('IND_CONS Sector all'!$K$205:$K$215)</f>
        <v>0</v>
      </c>
      <c r="W10" s="64">
        <f>SUM('IND_CONS Sector all'!$K$216:$K$226)</f>
        <v>7.157</v>
      </c>
      <c r="X10" s="64">
        <f>SUM('IND_CONS Sector all'!$K$227:$K$237)</f>
        <v>22.579000000000001</v>
      </c>
      <c r="Y10" s="64">
        <f>SUM('IND_CONS Sector all'!$K$238:$K$248)</f>
        <v>15.762</v>
      </c>
      <c r="Z10" s="64">
        <f>SUM('IND_CONS Sector all'!$K$249:$K$259)</f>
        <v>15.780000000000001</v>
      </c>
      <c r="AA10" s="64">
        <f>SUM('IND_CONS Sector all'!$K$260:$K$270)</f>
        <v>18.104000000000003</v>
      </c>
      <c r="AB10" s="64">
        <f>SUM('IND_CONS Sector all'!$K$271:$K$281)</f>
        <v>4.7290000000000001</v>
      </c>
      <c r="AC10" s="64">
        <f>SUM('IND_CONS Sector all'!$K$271:$K$292)</f>
        <v>5.5329999999999995</v>
      </c>
      <c r="AD10" s="64">
        <f>SUM('IND_CONS Sector all'!$K$293:$K$303)</f>
        <v>155.107</v>
      </c>
      <c r="AE10" s="64">
        <f>SUM('IND_CONS Sector all'!$K$304:$K$314)</f>
        <v>31.012</v>
      </c>
      <c r="AF10" s="64">
        <f>SUM('IND_CONS Sector all'!$K$315:$K$325)</f>
        <v>3.6640000000000001</v>
      </c>
      <c r="AG10" s="64">
        <f>SUM('IND_CONS Sector all'!$K$326:$K$336)</f>
        <v>13.419</v>
      </c>
    </row>
    <row r="11" spans="1:33">
      <c r="B11" t="str">
        <f>'IND_CONS Sector all'!L$6</f>
        <v>Residual Fuel Oil</v>
      </c>
      <c r="C11" s="64">
        <f t="shared" si="0"/>
        <v>953.92154800000003</v>
      </c>
      <c r="D11" s="64">
        <f>SUM('IND_CONS Sector all'!$L$7:$L$17)</f>
        <v>10.64</v>
      </c>
      <c r="E11" s="64">
        <f>SUM('IND_CONS Sector all'!$L$18:$L$28)</f>
        <v>44.120000000000005</v>
      </c>
      <c r="F11" s="64">
        <f>SUM('IND_CONS Sector all'!$L$29:$L$39)</f>
        <v>8.2000000000000011</v>
      </c>
      <c r="G11" s="64">
        <f>SUM('IND_CONS Sector all'!$L$40:$L$50)</f>
        <v>0.8</v>
      </c>
      <c r="H11" s="64">
        <f>SUM('IND_CONS Sector all'!$L$51:$L$61)</f>
        <v>17.759999999999998</v>
      </c>
      <c r="I11" s="64">
        <f>SUM('IND_CONS Sector all'!$L$62:$L$72)</f>
        <v>141.88000000000005</v>
      </c>
      <c r="J11" s="64">
        <f>SUM('IND_CONS Sector all'!$L$73:$L$83)</f>
        <v>6.6205480000000003</v>
      </c>
      <c r="K11" s="64">
        <f>SUM('IND_CONS Sector all'!$L$84:$L$94)</f>
        <v>1.64</v>
      </c>
      <c r="L11" s="64">
        <f>SUM('IND_CONS Sector all'!$L$95:$L$105)</f>
        <v>47.039999999999992</v>
      </c>
      <c r="M11" s="64">
        <f>SUM('IND_CONS Sector all'!$L$106:$L$116)</f>
        <v>36.76</v>
      </c>
      <c r="N11" s="64">
        <f>SUM('IND_CONS Sector all'!$L$117:$L$127)</f>
        <v>91.359999999999985</v>
      </c>
      <c r="O11" s="64">
        <f>SUM('IND_CONS Sector all'!$L$128:$L$138)</f>
        <v>44.360000000000007</v>
      </c>
      <c r="P11" s="64">
        <f>SUM('IND_CONS Sector all'!$L$139:$L$149)</f>
        <v>4.8000000000000007</v>
      </c>
      <c r="Q11" s="64">
        <f>SUM('IND_CONS Sector all'!$L$150:$L$160)</f>
        <v>20.741000000000003</v>
      </c>
      <c r="R11" s="64">
        <f>SUM('IND_CONS Sector all'!$L$161:$L$171)</f>
        <v>203.04000000000002</v>
      </c>
      <c r="S11" s="64">
        <f>SUM('IND_CONS Sector all'!$L$172:$L$182)</f>
        <v>8.5599999999999987</v>
      </c>
      <c r="T11" s="64">
        <f>SUM('IND_CONS Sector all'!$L$183:$L$193)</f>
        <v>0.08</v>
      </c>
      <c r="U11" s="64">
        <f>SUM('IND_CONS Sector all'!$L$194:$L$204)</f>
        <v>0.47999999999999993</v>
      </c>
      <c r="V11" s="64">
        <f>SUM('IND_CONS Sector all'!$L$205:$L$215)</f>
        <v>0</v>
      </c>
      <c r="W11" s="64">
        <f>SUM('IND_CONS Sector all'!$L$216:$L$226)</f>
        <v>8.2799999999999994</v>
      </c>
      <c r="X11" s="64">
        <f>SUM('IND_CONS Sector all'!$L$227:$L$237)</f>
        <v>58.640000000000008</v>
      </c>
      <c r="Y11" s="64">
        <f>SUM('IND_CONS Sector all'!$L$238:$L$248)</f>
        <v>15.160000000000002</v>
      </c>
      <c r="Z11" s="64">
        <f>SUM('IND_CONS Sector all'!$L$249:$L$259)</f>
        <v>17.999999999999996</v>
      </c>
      <c r="AA11" s="64">
        <f>SUM('IND_CONS Sector all'!$L$260:$L$270)</f>
        <v>37.879999999999995</v>
      </c>
      <c r="AB11" s="64">
        <f>SUM('IND_CONS Sector all'!$L$271:$L$281)</f>
        <v>2.3600000000000003</v>
      </c>
      <c r="AC11" s="64">
        <f>SUM('IND_CONS Sector all'!$L$271:$L$292)</f>
        <v>13.879999999999997</v>
      </c>
      <c r="AD11" s="64">
        <f>SUM('IND_CONS Sector all'!$L$293:$L$303)</f>
        <v>110.84</v>
      </c>
      <c r="AE11" s="64">
        <f>SUM('IND_CONS Sector all'!$L$304:$L$314)</f>
        <v>5.36</v>
      </c>
      <c r="AF11" s="64">
        <f>SUM('IND_CONS Sector all'!$L$315:$L$325)</f>
        <v>1.4</v>
      </c>
      <c r="AG11" s="64">
        <f>SUM('IND_CONS Sector all'!$L$326:$L$336)</f>
        <v>8.76</v>
      </c>
    </row>
    <row r="12" spans="1:33">
      <c r="B12" t="str">
        <f>'IND_CONS Sector all'!O$6</f>
        <v>Wood &amp; Wood Waste</v>
      </c>
      <c r="C12" s="64">
        <f t="shared" si="0"/>
        <v>710.25573599999996</v>
      </c>
      <c r="D12" s="64">
        <f>SUM('IND_CONS Sector all'!$O$7:$O$17)</f>
        <v>26.925000000000001</v>
      </c>
      <c r="E12" s="64">
        <f>SUM('IND_CONS Sector all'!$O$18:$O$28)</f>
        <v>17.733999999999998</v>
      </c>
      <c r="F12" s="64">
        <f>SUM('IND_CONS Sector all'!$O$29:$O$39)</f>
        <v>3.9419999999999993</v>
      </c>
      <c r="G12" s="64">
        <f>SUM('IND_CONS Sector all'!$O$40:$O$50)</f>
        <v>3.7999999999999999E-2</v>
      </c>
      <c r="H12" s="64">
        <f>SUM('IND_CONS Sector all'!$O$51:$O$61)</f>
        <v>16.018999999999998</v>
      </c>
      <c r="I12" s="64">
        <f>SUM('IND_CONS Sector all'!$O$62:$O$72)</f>
        <v>59.765000000000001</v>
      </c>
      <c r="J12" s="64">
        <f>SUM('IND_CONS Sector all'!$O$73:$O$83)</f>
        <v>3.597</v>
      </c>
      <c r="K12" s="64">
        <f>SUM('IND_CONS Sector all'!$O$84:$O$94)</f>
        <v>5.450736</v>
      </c>
      <c r="L12" s="64">
        <f>SUM('IND_CONS Sector all'!$O$95:$O$105)</f>
        <v>56.561</v>
      </c>
      <c r="M12" s="64">
        <f>SUM('IND_CONS Sector all'!$O$106:$O$116)</f>
        <v>139.79399999999998</v>
      </c>
      <c r="N12" s="64">
        <f>SUM('IND_CONS Sector all'!$O$117:$O$127)</f>
        <v>68.364000000000004</v>
      </c>
      <c r="O12" s="64">
        <f>SUM('IND_CONS Sector all'!$O$128:$O$138)</f>
        <v>10.187999999999999</v>
      </c>
      <c r="P12" s="64">
        <f>SUM('IND_CONS Sector all'!$O$139:$O$149)</f>
        <v>3.23</v>
      </c>
      <c r="Q12" s="64">
        <f>SUM('IND_CONS Sector all'!$O$150:$O$160)</f>
        <v>6.6760000000000002</v>
      </c>
      <c r="R12" s="64">
        <f>SUM('IND_CONS Sector all'!$O$161:$O$171)</f>
        <v>8.3000000000000007</v>
      </c>
      <c r="S12" s="64">
        <f>SUM('IND_CONS Sector all'!$O$172:$O$182)</f>
        <v>4.2330000000000005</v>
      </c>
      <c r="T12" s="64">
        <f>SUM('IND_CONS Sector all'!$O$183:$O$193)</f>
        <v>0</v>
      </c>
      <c r="U12" s="64">
        <f>SUM('IND_CONS Sector all'!$O$194:$O$204)</f>
        <v>5.1999999999999993</v>
      </c>
      <c r="V12" s="64">
        <f>SUM('IND_CONS Sector all'!$O$205:$O$215)</f>
        <v>0</v>
      </c>
      <c r="W12" s="64">
        <f>SUM('IND_CONS Sector all'!$O$216:$O$226)</f>
        <v>3.7330000000000001</v>
      </c>
      <c r="X12" s="64">
        <f>SUM('IND_CONS Sector all'!$O$227:$O$237)</f>
        <v>31.02</v>
      </c>
      <c r="Y12" s="64">
        <f>SUM('IND_CONS Sector all'!$O$238:$O$248)</f>
        <v>56.138000000000005</v>
      </c>
      <c r="Z12" s="64">
        <f>SUM('IND_CONS Sector all'!$O$249:$O$259)</f>
        <v>10.280000000000001</v>
      </c>
      <c r="AA12" s="64">
        <f>SUM('IND_CONS Sector all'!$O$260:$O$270)</f>
        <v>148.673</v>
      </c>
      <c r="AB12" s="64">
        <f>SUM('IND_CONS Sector all'!$O$271:$O$281)</f>
        <v>4.7330000000000005</v>
      </c>
      <c r="AC12" s="64">
        <f>SUM('IND_CONS Sector all'!$O$271:$O$292)</f>
        <v>16.331000000000003</v>
      </c>
      <c r="AD12" s="64">
        <f>SUM('IND_CONS Sector all'!$O$293:$O$303)</f>
        <v>3.331</v>
      </c>
      <c r="AE12" s="64">
        <f>SUM('IND_CONS Sector all'!$O$304:$O$314)</f>
        <v>10.100000000000001</v>
      </c>
      <c r="AF12" s="64">
        <f>SUM('IND_CONS Sector all'!$O$315:$O$325)</f>
        <v>0</v>
      </c>
      <c r="AG12" s="64">
        <f>SUM('IND_CONS Sector all'!$O$326:$O$336)</f>
        <v>15.532</v>
      </c>
    </row>
    <row r="13" spans="1:33">
      <c r="B13" t="str">
        <f>'IND_CONS Sector all'!Q$6</f>
        <v>MSW</v>
      </c>
      <c r="C13" s="64">
        <f t="shared" si="0"/>
        <v>5.1627960000000002</v>
      </c>
      <c r="D13" s="64">
        <f>SUM('IND_CONS Sector all'!$Q$7:$Q$17)</f>
        <v>0</v>
      </c>
      <c r="E13" s="64">
        <f>SUM('IND_CONS Sector all'!$Q$18:$Q$28)</f>
        <v>0</v>
      </c>
      <c r="F13" s="64">
        <f>SUM('IND_CONS Sector all'!$Q$29:$Q$39)</f>
        <v>0</v>
      </c>
      <c r="G13" s="64">
        <f>SUM('IND_CONS Sector all'!$Q$40:$Q$50)</f>
        <v>0</v>
      </c>
      <c r="H13" s="64">
        <f>SUM('IND_CONS Sector all'!$Q$51:$Q$61)</f>
        <v>1.4E-2</v>
      </c>
      <c r="I13" s="64">
        <f>SUM('IND_CONS Sector all'!$Q$62:$Q$72)</f>
        <v>0</v>
      </c>
      <c r="J13" s="64">
        <f>SUM('IND_CONS Sector all'!$Q$73:$Q$83)</f>
        <v>1.2389999999999999</v>
      </c>
      <c r="K13" s="64">
        <f>SUM('IND_CONS Sector all'!$Q$84:$Q$94)</f>
        <v>0</v>
      </c>
      <c r="L13" s="64">
        <f>SUM('IND_CONS Sector all'!$Q$95:$Q$105)</f>
        <v>0</v>
      </c>
      <c r="M13" s="64">
        <f>SUM('IND_CONS Sector all'!$Q$106:$Q$116)</f>
        <v>1.2250000000000001</v>
      </c>
      <c r="N13" s="64">
        <f>SUM('IND_CONS Sector all'!$Q$117:$Q$127)</f>
        <v>0</v>
      </c>
      <c r="O13" s="64">
        <f>SUM('IND_CONS Sector all'!$Q$128:$Q$138)</f>
        <v>0</v>
      </c>
      <c r="P13" s="64">
        <f>SUM('IND_CONS Sector all'!$Q$139:$Q$149)</f>
        <v>0</v>
      </c>
      <c r="Q13" s="64">
        <f>SUM('IND_CONS Sector all'!$Q$150:$Q$160)</f>
        <v>0</v>
      </c>
      <c r="R13" s="64">
        <f>SUM('IND_CONS Sector all'!$Q$161:$Q$171)</f>
        <v>0</v>
      </c>
      <c r="S13" s="64">
        <f>SUM('IND_CONS Sector all'!$Q$172:$Q$182)</f>
        <v>0</v>
      </c>
      <c r="T13" s="64">
        <f>SUM('IND_CONS Sector all'!$Q$183:$Q$193)</f>
        <v>0</v>
      </c>
      <c r="U13" s="64">
        <f>SUM('IND_CONS Sector all'!$Q$194:$Q$204)</f>
        <v>0</v>
      </c>
      <c r="V13" s="64">
        <f>SUM('IND_CONS Sector all'!$Q$205:$Q$215)</f>
        <v>0</v>
      </c>
      <c r="W13" s="64">
        <f>SUM('IND_CONS Sector all'!$Q$216:$Q$226)</f>
        <v>0</v>
      </c>
      <c r="X13" s="64">
        <f>SUM('IND_CONS Sector all'!$Q$227:$Q$237)</f>
        <v>0.71699999999999997</v>
      </c>
      <c r="Y13" s="64">
        <f>SUM('IND_CONS Sector all'!$Q$238:$Q$248)</f>
        <v>0</v>
      </c>
      <c r="Z13" s="64">
        <f>SUM('IND_CONS Sector all'!$Q$249:$Q$259)</f>
        <v>0</v>
      </c>
      <c r="AA13" s="64">
        <f>SUM('IND_CONS Sector all'!$Q$260:$Q$270)</f>
        <v>0</v>
      </c>
      <c r="AB13" s="64">
        <f>SUM('IND_CONS Sector all'!$Q$271:$Q$281)</f>
        <v>0</v>
      </c>
      <c r="AC13" s="64">
        <f>SUM('IND_CONS Sector all'!$Q$271:$Q$292)</f>
        <v>0</v>
      </c>
      <c r="AD13" s="64">
        <f>SUM('IND_CONS Sector all'!$Q$293:$Q$303)</f>
        <v>1.9677960000000001</v>
      </c>
      <c r="AE13" s="64">
        <f>SUM('IND_CONS Sector all'!$Q$304:$Q$314)</f>
        <v>0</v>
      </c>
      <c r="AF13" s="64">
        <f>SUM('IND_CONS Sector all'!$Q$315:$Q$325)</f>
        <v>0</v>
      </c>
      <c r="AG13" s="64">
        <f>SUM('IND_CONS Sector all'!$Q$326:$Q$336)</f>
        <v>1.3919999999999999</v>
      </c>
    </row>
    <row r="14" spans="1:33">
      <c r="B14" t="str">
        <f>'IND_CONS Sector all'!S$6</f>
        <v>Industrial Wastes</v>
      </c>
      <c r="C14" s="64">
        <f t="shared" si="0"/>
        <v>117.52200000000001</v>
      </c>
      <c r="D14" s="64">
        <f>SUM('IND_CONS Sector all'!$S$7:$S$17)</f>
        <v>10.039999999999999</v>
      </c>
      <c r="E14" s="64">
        <f>SUM('IND_CONS Sector all'!$S$18:$S$28)</f>
        <v>77.561000000000007</v>
      </c>
      <c r="F14" s="64">
        <f>SUM('IND_CONS Sector all'!$S$29:$S$39)</f>
        <v>2.2709999999999999</v>
      </c>
      <c r="G14" s="64">
        <f>SUM('IND_CONS Sector all'!$S$40:$S$50)</f>
        <v>0.13800000000000001</v>
      </c>
      <c r="H14" s="64">
        <f>SUM('IND_CONS Sector all'!$S$51:$S$61)</f>
        <v>4.6210000000000004</v>
      </c>
      <c r="I14" s="64">
        <f>SUM('IND_CONS Sector all'!$S$62:$S$72)</f>
        <v>0</v>
      </c>
      <c r="J14" s="64">
        <f>SUM('IND_CONS Sector all'!$S$73:$S$83)</f>
        <v>0</v>
      </c>
      <c r="K14" s="64">
        <f>SUM('IND_CONS Sector all'!$S$84:$S$94)</f>
        <v>0</v>
      </c>
      <c r="L14" s="64">
        <f>SUM('IND_CONS Sector all'!$S$95:$S$105)</f>
        <v>0</v>
      </c>
      <c r="M14" s="64">
        <f>SUM('IND_CONS Sector all'!$S$106:$S$116)</f>
        <v>0.30100000000000005</v>
      </c>
      <c r="N14" s="64">
        <f>SUM('IND_CONS Sector all'!$S$117:$S$127)</f>
        <v>0</v>
      </c>
      <c r="O14" s="64">
        <f>SUM('IND_CONS Sector all'!$S$128:$S$138)</f>
        <v>0</v>
      </c>
      <c r="P14" s="64">
        <f>SUM('IND_CONS Sector all'!$S$139:$S$149)</f>
        <v>1.1960000000000002</v>
      </c>
      <c r="Q14" s="64">
        <f>SUM('IND_CONS Sector all'!$S$150:$S$160)</f>
        <v>0</v>
      </c>
      <c r="R14" s="64">
        <f>SUM('IND_CONS Sector all'!$S$161:$S$171)</f>
        <v>2.6</v>
      </c>
      <c r="S14" s="64">
        <f>SUM('IND_CONS Sector all'!$S$172:$S$182)</f>
        <v>0</v>
      </c>
      <c r="T14" s="64">
        <f>SUM('IND_CONS Sector all'!$S$183:$S$193)</f>
        <v>0</v>
      </c>
      <c r="U14" s="64">
        <f>SUM('IND_CONS Sector all'!$S$194:$S$204)</f>
        <v>0.183</v>
      </c>
      <c r="V14" s="64">
        <f>SUM('IND_CONS Sector all'!$S$205:$S$215)</f>
        <v>0</v>
      </c>
      <c r="W14" s="64">
        <f>SUM('IND_CONS Sector all'!$S$216:$S$226)</f>
        <v>0</v>
      </c>
      <c r="X14" s="64">
        <f>SUM('IND_CONS Sector all'!$S$227:$S$237)</f>
        <v>13.529</v>
      </c>
      <c r="Y14" s="64">
        <f>SUM('IND_CONS Sector all'!$S$238:$S$248)</f>
        <v>0</v>
      </c>
      <c r="Z14" s="64">
        <f>SUM('IND_CONS Sector all'!$S$249:$S$259)</f>
        <v>3.3899999999999997</v>
      </c>
      <c r="AA14" s="64">
        <f>SUM('IND_CONS Sector all'!$S$260:$S$270)</f>
        <v>0</v>
      </c>
      <c r="AB14" s="64">
        <f>SUM('IND_CONS Sector all'!$S$271:$S$281)</f>
        <v>0.51600000000000001</v>
      </c>
      <c r="AC14" s="64">
        <f>SUM('IND_CONS Sector all'!$S$271:$S$292)</f>
        <v>1.1759999999999999</v>
      </c>
      <c r="AD14" s="64">
        <f>SUM('IND_CONS Sector all'!$S$293:$S$303)</f>
        <v>0</v>
      </c>
      <c r="AE14" s="64">
        <f>SUM('IND_CONS Sector all'!$S$304:$S$314)</f>
        <v>10.475044</v>
      </c>
      <c r="AF14" s="64">
        <f>SUM('IND_CONS Sector all'!$S$315:$S$325)</f>
        <v>0</v>
      </c>
      <c r="AG14" s="64">
        <f>SUM('IND_CONS Sector all'!$S$326:$S$336)</f>
        <v>0</v>
      </c>
    </row>
    <row r="15" spans="1:33">
      <c r="B15" t="str">
        <f>'IND_CONS Sector all'!T$6</f>
        <v>Natural Gas</v>
      </c>
      <c r="C15" s="64">
        <f t="shared" si="0"/>
        <v>4209.6149840000007</v>
      </c>
      <c r="D15" s="64">
        <f>SUM('IND_CONS Sector all'!$T$7:$T$17)</f>
        <v>106.82661600000002</v>
      </c>
      <c r="E15" s="64">
        <f>SUM('IND_CONS Sector all'!$T$18:$T$28)</f>
        <v>169.96200000000002</v>
      </c>
      <c r="F15" s="64">
        <f>SUM('IND_CONS Sector all'!$T$29:$T$39)</f>
        <v>37.365000000000002</v>
      </c>
      <c r="G15" s="64">
        <f>SUM('IND_CONS Sector all'!$T$40:$T$50)</f>
        <v>0</v>
      </c>
      <c r="H15" s="64">
        <f>SUM('IND_CONS Sector all'!$T$51:$T$61)</f>
        <v>106.18742399999998</v>
      </c>
      <c r="I15" s="64">
        <f>SUM('IND_CONS Sector all'!$T$62:$T$72)</f>
        <v>729.20800000000008</v>
      </c>
      <c r="J15" s="64">
        <f>SUM('IND_CONS Sector all'!$T$73:$T$83)</f>
        <v>29.933816</v>
      </c>
      <c r="K15" s="64">
        <f>SUM('IND_CONS Sector all'!$T$84:$T$94)</f>
        <v>4.58</v>
      </c>
      <c r="L15" s="64">
        <f>SUM('IND_CONS Sector all'!$T$95:$T$105)</f>
        <v>547.70454400000006</v>
      </c>
      <c r="M15" s="64">
        <f>SUM('IND_CONS Sector all'!$T$106:$T$116)</f>
        <v>40.677624000000002</v>
      </c>
      <c r="N15" s="64">
        <f>SUM('IND_CONS Sector all'!$T$117:$T$127)</f>
        <v>406.80799999999999</v>
      </c>
      <c r="O15" s="64">
        <f>SUM('IND_CONS Sector all'!$T$128:$T$138)</f>
        <v>17.822000000000003</v>
      </c>
      <c r="P15" s="64">
        <f>SUM('IND_CONS Sector all'!$T$139:$T$149)</f>
        <v>67.435000000000002</v>
      </c>
      <c r="Q15" s="64">
        <f>SUM('IND_CONS Sector all'!$T$150:$T$160)</f>
        <v>22.088547999999999</v>
      </c>
      <c r="R15" s="64">
        <f>SUM('IND_CONS Sector all'!$T$161:$T$171)</f>
        <v>633.71699999999998</v>
      </c>
      <c r="S15" s="64">
        <f>SUM('IND_CONS Sector all'!$T$172:$T$182)</f>
        <v>12.148664</v>
      </c>
      <c r="T15" s="64">
        <f>SUM('IND_CONS Sector all'!$T$183:$T$193)</f>
        <v>17.625</v>
      </c>
      <c r="U15" s="64">
        <f>SUM('IND_CONS Sector all'!$T$194:$T$204)</f>
        <v>12.344000000000001</v>
      </c>
      <c r="V15" s="64">
        <f>SUM('IND_CONS Sector all'!$T$205:$T$215)</f>
        <v>0</v>
      </c>
      <c r="W15" s="64">
        <f>SUM('IND_CONS Sector all'!$T$216:$T$226)</f>
        <v>272.34699999999998</v>
      </c>
      <c r="X15" s="64">
        <f>SUM('IND_CONS Sector all'!$T$227:$T$237)</f>
        <v>139.636</v>
      </c>
      <c r="Y15" s="64">
        <f>SUM('IND_CONS Sector all'!$T$238:$T$248)</f>
        <v>43.330536000000009</v>
      </c>
      <c r="Z15" s="64">
        <f>SUM('IND_CONS Sector all'!$T$249:$T$259)</f>
        <v>181.46899999999999</v>
      </c>
      <c r="AA15" s="64">
        <f>SUM('IND_CONS Sector all'!$T$260:$T$270)</f>
        <v>14.168999999999999</v>
      </c>
      <c r="AB15" s="64">
        <f>SUM('IND_CONS Sector all'!$T$271:$T$281)</f>
        <v>22.642999999999997</v>
      </c>
      <c r="AC15" s="64">
        <f>SUM('IND_CONS Sector all'!$T$271:$T$292)</f>
        <v>69.24199999999999</v>
      </c>
      <c r="AD15" s="64">
        <f>SUM('IND_CONS Sector all'!$T$293:$T$303)</f>
        <v>504.345212</v>
      </c>
      <c r="AE15" s="64">
        <f>SUM('IND_CONS Sector all'!$T$304:$T$314)</f>
        <v>34.831916</v>
      </c>
      <c r="AF15" s="64">
        <f>SUM('IND_CONS Sector all'!$T$315:$T$325)</f>
        <v>0</v>
      </c>
      <c r="AG15" s="64">
        <f>SUM('IND_CONS Sector all'!$T$326:$T$336)</f>
        <v>7.7119999999999997</v>
      </c>
    </row>
    <row r="16" spans="1:33">
      <c r="B16" t="str">
        <f>'IND_CONS Sector all'!U$6</f>
        <v>Coke-Oven Gas</v>
      </c>
      <c r="C16" s="64">
        <f t="shared" si="0"/>
        <v>132.11699999999999</v>
      </c>
      <c r="D16" s="64">
        <f>SUM('IND_CONS Sector all'!$U$7:$U$17)</f>
        <v>2.2709999999999999</v>
      </c>
      <c r="E16" s="64">
        <f>SUM('IND_CONS Sector all'!$U$18:$U$28)</f>
        <v>8.0869999999999997</v>
      </c>
      <c r="F16" s="64">
        <f>SUM('IND_CONS Sector all'!$U$29:$U$39)</f>
        <v>1.395</v>
      </c>
      <c r="G16" s="64">
        <f>SUM('IND_CONS Sector all'!$U$40:$U$50)</f>
        <v>0</v>
      </c>
      <c r="H16" s="64">
        <f>SUM('IND_CONS Sector all'!$U$51:$U$61)</f>
        <v>6.915</v>
      </c>
      <c r="I16" s="64">
        <f>SUM('IND_CONS Sector all'!$U$62:$U$72)</f>
        <v>39.234999999999999</v>
      </c>
      <c r="J16" s="64">
        <f>SUM('IND_CONS Sector all'!$U$73:$U$83)</f>
        <v>0</v>
      </c>
      <c r="K16" s="64">
        <f>SUM('IND_CONS Sector all'!$U$84:$U$94)</f>
        <v>0</v>
      </c>
      <c r="L16" s="64">
        <f>SUM('IND_CONS Sector all'!$U$95:$U$105)</f>
        <v>4.9350000000000005</v>
      </c>
      <c r="M16" s="64">
        <f>SUM('IND_CONS Sector all'!$U$106:$U$116)</f>
        <v>5.9080000000000004</v>
      </c>
      <c r="N16" s="64">
        <f>SUM('IND_CONS Sector all'!$U$117:$U$127)</f>
        <v>15.755000000000001</v>
      </c>
      <c r="O16" s="64">
        <f>SUM('IND_CONS Sector all'!$U$128:$U$138)</f>
        <v>0</v>
      </c>
      <c r="P16" s="64">
        <f>SUM('IND_CONS Sector all'!$U$139:$U$149)</f>
        <v>1.5820000000000001</v>
      </c>
      <c r="Q16" s="64">
        <f>SUM('IND_CONS Sector all'!$U$150:$U$160)</f>
        <v>0</v>
      </c>
      <c r="R16" s="64">
        <f>SUM('IND_CONS Sector all'!$U$161:$U$171)</f>
        <v>0</v>
      </c>
      <c r="S16" s="64">
        <f>SUM('IND_CONS Sector all'!$U$172:$U$182)</f>
        <v>0</v>
      </c>
      <c r="T16" s="64">
        <f>SUM('IND_CONS Sector all'!$U$183:$U$193)</f>
        <v>0</v>
      </c>
      <c r="U16" s="64">
        <f>SUM('IND_CONS Sector all'!$U$194:$U$204)</f>
        <v>0</v>
      </c>
      <c r="V16" s="64">
        <f>SUM('IND_CONS Sector all'!$U$205:$U$215)</f>
        <v>0</v>
      </c>
      <c r="W16" s="64">
        <f>SUM('IND_CONS Sector all'!$U$216:$U$226)</f>
        <v>8.1720000000000006</v>
      </c>
      <c r="X16" s="64">
        <f>SUM('IND_CONS Sector all'!$U$227:$U$237)</f>
        <v>13.983000000000001</v>
      </c>
      <c r="Y16" s="64">
        <f>SUM('IND_CONS Sector all'!$U$238:$U$248)</f>
        <v>0</v>
      </c>
      <c r="Z16" s="64">
        <f>SUM('IND_CONS Sector all'!$U$249:$U$259)</f>
        <v>5.0449999999999999</v>
      </c>
      <c r="AA16" s="64">
        <f>SUM('IND_CONS Sector all'!$U$260:$U$270)</f>
        <v>3.6740000000000004</v>
      </c>
      <c r="AB16" s="64">
        <f>SUM('IND_CONS Sector all'!$U$271:$U$281)</f>
        <v>0</v>
      </c>
      <c r="AC16" s="64">
        <f>SUM('IND_CONS Sector all'!$U$271:$U$292)</f>
        <v>9.0299999999999994</v>
      </c>
      <c r="AD16" s="64">
        <f>SUM('IND_CONS Sector all'!$U$293:$U$303)</f>
        <v>6.13</v>
      </c>
      <c r="AE16" s="64">
        <f>SUM('IND_CONS Sector all'!$U$304:$U$314)</f>
        <v>0</v>
      </c>
      <c r="AF16" s="64">
        <f>SUM('IND_CONS Sector all'!$U$315:$U$325)</f>
        <v>0</v>
      </c>
      <c r="AG16" s="64">
        <f>SUM('IND_CONS Sector all'!$U$326:$U$336)</f>
        <v>0</v>
      </c>
    </row>
    <row r="17" spans="1:33">
      <c r="B17" t="str">
        <f>'IND_CONS Sector all'!V$6</f>
        <v>Blast-Furnace Gas</v>
      </c>
      <c r="C17" s="64">
        <f t="shared" si="0"/>
        <v>237.648</v>
      </c>
      <c r="D17" s="64">
        <f>SUM('IND_CONS Sector all'!$V$7:$V$17)</f>
        <v>12.644</v>
      </c>
      <c r="E17" s="64">
        <f>SUM('IND_CONS Sector all'!$V$18:$V$28)</f>
        <v>12.673999999999999</v>
      </c>
      <c r="F17" s="64">
        <f>SUM('IND_CONS Sector all'!$V$29:$V$39)</f>
        <v>2.536</v>
      </c>
      <c r="G17" s="64">
        <f>SUM('IND_CONS Sector all'!$V$40:$V$50)</f>
        <v>0</v>
      </c>
      <c r="H17" s="64">
        <f>SUM('IND_CONS Sector all'!$V$51:$V$61)</f>
        <v>10.922000000000001</v>
      </c>
      <c r="I17" s="64">
        <f>SUM('IND_CONS Sector all'!$V$62:$V$72)</f>
        <v>77.034000000000006</v>
      </c>
      <c r="J17" s="64">
        <f>SUM('IND_CONS Sector all'!$V$73:$V$83)</f>
        <v>0</v>
      </c>
      <c r="K17" s="64">
        <f>SUM('IND_CONS Sector all'!$V$84:$V$94)</f>
        <v>0</v>
      </c>
      <c r="L17" s="64">
        <f>SUM('IND_CONS Sector all'!$V$95:$V$105)</f>
        <v>6.9470000000000001</v>
      </c>
      <c r="M17" s="64">
        <f>SUM('IND_CONS Sector all'!$V$106:$V$116)</f>
        <v>9.1760000000000002</v>
      </c>
      <c r="N17" s="64">
        <f>SUM('IND_CONS Sector all'!$V$117:$V$127)</f>
        <v>25.721</v>
      </c>
      <c r="O17" s="64">
        <f>SUM('IND_CONS Sector all'!$V$128:$V$138)</f>
        <v>0</v>
      </c>
      <c r="P17" s="64">
        <f>SUM('IND_CONS Sector all'!$V$139:$V$149)</f>
        <v>3.27</v>
      </c>
      <c r="Q17" s="64">
        <f>SUM('IND_CONS Sector all'!$V$150:$V$160)</f>
        <v>0</v>
      </c>
      <c r="R17" s="64">
        <f>SUM('IND_CONS Sector all'!$V$161:$V$171)</f>
        <v>0.80100000000000005</v>
      </c>
      <c r="S17" s="64">
        <f>SUM('IND_CONS Sector all'!$V$172:$V$182)</f>
        <v>0</v>
      </c>
      <c r="T17" s="64">
        <f>SUM('IND_CONS Sector all'!$V$183:$V$193)</f>
        <v>0</v>
      </c>
      <c r="U17" s="64">
        <f>SUM('IND_CONS Sector all'!$V$194:$V$204)</f>
        <v>0</v>
      </c>
      <c r="V17" s="64">
        <f>SUM('IND_CONS Sector all'!$V$205:$V$215)</f>
        <v>0</v>
      </c>
      <c r="W17" s="64">
        <f>SUM('IND_CONS Sector all'!$V$216:$V$226)</f>
        <v>12.385999999999999</v>
      </c>
      <c r="X17" s="64">
        <f>SUM('IND_CONS Sector all'!$V$227:$V$237)</f>
        <v>14.572000000000001</v>
      </c>
      <c r="Y17" s="64">
        <f>SUM('IND_CONS Sector all'!$V$238:$V$248)</f>
        <v>0</v>
      </c>
      <c r="Z17" s="64">
        <f>SUM('IND_CONS Sector all'!$V$249:$V$259)</f>
        <v>18.721</v>
      </c>
      <c r="AA17" s="64">
        <f>SUM('IND_CONS Sector all'!$V$260:$V$270)</f>
        <v>5.5090000000000003</v>
      </c>
      <c r="AB17" s="64">
        <f>SUM('IND_CONS Sector all'!$V$271:$V$281)</f>
        <v>0</v>
      </c>
      <c r="AC17" s="64">
        <f>SUM('IND_CONS Sector all'!$V$271:$V$292)</f>
        <v>8.4809999999999999</v>
      </c>
      <c r="AD17" s="64">
        <f>SUM('IND_CONS Sector all'!$V$293:$V$303)</f>
        <v>16.254000000000001</v>
      </c>
      <c r="AE17" s="64">
        <f>SUM('IND_CONS Sector all'!$V$304:$V$314)</f>
        <v>0</v>
      </c>
      <c r="AF17" s="64">
        <f>SUM('IND_CONS Sector all'!$V$315:$V$325)</f>
        <v>0</v>
      </c>
      <c r="AG17" s="64">
        <f>SUM('IND_CONS Sector all'!$V$326:$V$336)</f>
        <v>0.91500000000000004</v>
      </c>
    </row>
    <row r="18" spans="1:33">
      <c r="B18" s="167" t="e">
        <f>#REF!</f>
        <v>#REF!</v>
      </c>
      <c r="C18" s="64" t="e">
        <f t="shared" si="0"/>
        <v>#REF!</v>
      </c>
      <c r="D18" s="64" t="e">
        <f>SUM(#REF!)/1000</f>
        <v>#REF!</v>
      </c>
      <c r="E18" s="64" t="e">
        <f>SUM(#REF!)/1000</f>
        <v>#REF!</v>
      </c>
      <c r="F18" s="64" t="e">
        <f>SUM(#REF!)/1000</f>
        <v>#REF!</v>
      </c>
      <c r="G18" s="64" t="e">
        <f>SUM(#REF!)/1000</f>
        <v>#REF!</v>
      </c>
      <c r="H18" s="64" t="e">
        <f>SUM(#REF!)/1000</f>
        <v>#REF!</v>
      </c>
      <c r="I18" s="64" t="e">
        <f>SUM(#REF!)/1000</f>
        <v>#REF!</v>
      </c>
      <c r="J18" s="64" t="e">
        <f>SUM(#REF!)/1000</f>
        <v>#REF!</v>
      </c>
      <c r="K18" s="64" t="e">
        <f>SUM(#REF!)/1000</f>
        <v>#REF!</v>
      </c>
      <c r="L18" s="64" t="e">
        <f>SUM(#REF!)/1000</f>
        <v>#REF!</v>
      </c>
      <c r="M18" s="64" t="e">
        <f>SUM(#REF!)/1000</f>
        <v>#REF!</v>
      </c>
      <c r="N18" s="64" t="e">
        <f>SUM(#REF!)/1000</f>
        <v>#REF!</v>
      </c>
      <c r="O18" s="64" t="e">
        <f>SUM(#REF!)/1000</f>
        <v>#REF!</v>
      </c>
      <c r="P18" s="64" t="e">
        <f>SUM(#REF!)/1000</f>
        <v>#REF!</v>
      </c>
      <c r="Q18" s="64" t="e">
        <f>SUM(#REF!)/1000</f>
        <v>#REF!</v>
      </c>
      <c r="R18" s="64" t="e">
        <f>SUM(#REF!)/1000</f>
        <v>#REF!</v>
      </c>
      <c r="S18" s="64" t="e">
        <f>SUM(#REF!)/1000</f>
        <v>#REF!</v>
      </c>
      <c r="T18" s="64" t="e">
        <f>SUM(#REF!)/1000</f>
        <v>#REF!</v>
      </c>
      <c r="U18" s="64" t="e">
        <f>SUM(#REF!)/1000</f>
        <v>#REF!</v>
      </c>
      <c r="V18" s="64" t="e">
        <f>SUM(#REF!)/1000</f>
        <v>#REF!</v>
      </c>
      <c r="W18" s="64" t="e">
        <f>SUM(#REF!)/1000</f>
        <v>#REF!</v>
      </c>
      <c r="X18" s="64" t="e">
        <f>SUM(#REF!)/1000</f>
        <v>#REF!</v>
      </c>
      <c r="Y18" s="64" t="e">
        <f>SUM(#REF!)/1000</f>
        <v>#REF!</v>
      </c>
      <c r="Z18" s="64" t="e">
        <f>SUM(#REF!)/1000</f>
        <v>#REF!</v>
      </c>
      <c r="AA18" s="64" t="e">
        <f>SUM(#REF!)/1000</f>
        <v>#REF!</v>
      </c>
      <c r="AB18" s="64" t="e">
        <f>SUM(#REF!)/1000</f>
        <v>#REF!</v>
      </c>
      <c r="AC18" s="64" t="e">
        <f>SUM(#REF!)/1000</f>
        <v>#REF!</v>
      </c>
      <c r="AD18" s="64" t="e">
        <f>SUM(#REF!)/1000</f>
        <v>#REF!</v>
      </c>
      <c r="AE18" s="64" t="e">
        <f>SUM(#REF!)/1000</f>
        <v>#REF!</v>
      </c>
      <c r="AF18" s="64" t="e">
        <f>SUM(#REF!)/1000</f>
        <v>#REF!</v>
      </c>
      <c r="AG18" s="64" t="e">
        <f>SUM(#REF!)/1000</f>
        <v>#REF!</v>
      </c>
    </row>
    <row r="19" spans="1:33">
      <c r="A19" t="s">
        <v>155</v>
      </c>
      <c r="B19" t="str">
        <f>'IND_CONS Sector all'!C$6</f>
        <v>Hard Coal &amp; Patent Fuels</v>
      </c>
      <c r="C19" s="64">
        <f t="shared" si="0"/>
        <v>0</v>
      </c>
      <c r="D19" s="64">
        <f>'IND_CONS Sector all'!$C$7</f>
        <v>0</v>
      </c>
      <c r="E19" s="64">
        <f>'IND_CONS Sector all'!$C$18</f>
        <v>0</v>
      </c>
      <c r="F19" s="64">
        <f>'IND_CONS Sector all'!$C$29</f>
        <v>0</v>
      </c>
      <c r="G19" s="64">
        <f>'IND_CONS Sector all'!$C$40</f>
        <v>0</v>
      </c>
      <c r="H19" s="64">
        <f>'IND_CONS Sector all'!$C$51</f>
        <v>0</v>
      </c>
      <c r="I19" s="64">
        <f>'IND_CONS Sector all'!$C$62</f>
        <v>0</v>
      </c>
      <c r="J19" s="64">
        <f>'IND_CONS Sector all'!$C$73</f>
        <v>0</v>
      </c>
      <c r="K19" s="64">
        <f>'IND_CONS Sector all'!$C$84</f>
        <v>0</v>
      </c>
      <c r="L19" s="64">
        <f>'IND_CONS Sector all'!$C$95</f>
        <v>0</v>
      </c>
      <c r="M19" s="64">
        <f>'IND_CONS Sector all'!$C$106</f>
        <v>0</v>
      </c>
      <c r="N19" s="64">
        <f>'IND_CONS Sector all'!$C$117</f>
        <v>0</v>
      </c>
      <c r="O19" s="64">
        <f>'IND_CONS Sector all'!$C$128</f>
        <v>0</v>
      </c>
      <c r="P19" s="64">
        <f>'IND_CONS Sector all'!$C$139</f>
        <v>0</v>
      </c>
      <c r="Q19" s="64">
        <f>'IND_CONS Sector all'!$C$150</f>
        <v>0</v>
      </c>
      <c r="R19" s="64">
        <f>'IND_CONS Sector all'!$C$161</f>
        <v>0</v>
      </c>
      <c r="S19" s="64">
        <f>'IND_CONS Sector all'!$C$172</f>
        <v>0</v>
      </c>
      <c r="T19" s="64">
        <f>'IND_CONS Sector all'!$C$183</f>
        <v>0</v>
      </c>
      <c r="U19" s="64">
        <f>'IND_CONS Sector all'!$C$194</f>
        <v>0</v>
      </c>
      <c r="V19" s="64">
        <f>'IND_CONS Sector all'!$C$205</f>
        <v>0</v>
      </c>
      <c r="W19" s="64">
        <f>'IND_CONS Sector all'!$C$216</f>
        <v>0</v>
      </c>
      <c r="X19" s="64">
        <f>'IND_CONS Sector all'!$C$227</f>
        <v>0</v>
      </c>
      <c r="Y19" s="64">
        <f>'IND_CONS Sector all'!$C$238</f>
        <v>0</v>
      </c>
      <c r="Z19" s="64">
        <f>'IND_CONS Sector all'!$C$249</f>
        <v>0</v>
      </c>
      <c r="AA19" s="64">
        <f>'IND_CONS Sector all'!$C$260</f>
        <v>0</v>
      </c>
      <c r="AB19" s="64">
        <f>'IND_CONS Sector all'!$C$271</f>
        <v>0</v>
      </c>
      <c r="AC19" s="64">
        <f>'IND_CONS Sector all'!$C$282</f>
        <v>0</v>
      </c>
      <c r="AD19" s="64">
        <f>'IND_CONS Sector all'!$C$293</f>
        <v>0</v>
      </c>
      <c r="AE19" s="64">
        <f>'IND_CONS Sector all'!$C$304</f>
        <v>0</v>
      </c>
      <c r="AF19" s="64">
        <f>'IND_CONS Sector all'!$C$315</f>
        <v>0</v>
      </c>
      <c r="AG19" s="64">
        <f>'IND_CONS Sector all'!$C$326</f>
        <v>0</v>
      </c>
    </row>
    <row r="20" spans="1:33">
      <c r="B20" t="str">
        <f>'IND_CONS Sector all'!E$6</f>
        <v>Lignite &amp; Derivatives</v>
      </c>
      <c r="C20" s="64">
        <f t="shared" si="0"/>
        <v>0</v>
      </c>
      <c r="D20" s="64">
        <f>'IND_CONS Sector all'!$E$7</f>
        <v>0</v>
      </c>
      <c r="E20" s="64">
        <f>'IND_CONS Sector all'!$E$18</f>
        <v>0</v>
      </c>
      <c r="F20" s="64">
        <f>'IND_CONS Sector all'!$E$29</f>
        <v>0</v>
      </c>
      <c r="G20" s="64">
        <f>'IND_CONS Sector all'!$E$40</f>
        <v>0</v>
      </c>
      <c r="H20" s="64">
        <f>'IND_CONS Sector all'!$E$51</f>
        <v>0</v>
      </c>
      <c r="I20" s="64">
        <f>'IND_CONS Sector all'!$E$62</f>
        <v>0</v>
      </c>
      <c r="J20" s="64">
        <f>'IND_CONS Sector all'!$E$73</f>
        <v>0</v>
      </c>
      <c r="K20" s="64">
        <f>'IND_CONS Sector all'!$E$84</f>
        <v>0</v>
      </c>
      <c r="L20" s="64">
        <f>'IND_CONS Sector all'!$E$95</f>
        <v>0</v>
      </c>
      <c r="M20" s="64">
        <f>'IND_CONS Sector all'!$E$106</f>
        <v>0</v>
      </c>
      <c r="N20" s="64">
        <f>'IND_CONS Sector all'!$E$117</f>
        <v>0</v>
      </c>
      <c r="O20" s="64">
        <f>'IND_CONS Sector all'!$E$128</f>
        <v>0</v>
      </c>
      <c r="P20" s="64">
        <f>'IND_CONS Sector all'!$E$139</f>
        <v>0</v>
      </c>
      <c r="Q20" s="64">
        <f>'IND_CONS Sector all'!$E$150</f>
        <v>0</v>
      </c>
      <c r="R20" s="64">
        <f>'IND_CONS Sector all'!$E$161</f>
        <v>0</v>
      </c>
      <c r="S20" s="64">
        <f>'IND_CONS Sector all'!$E$172</f>
        <v>0</v>
      </c>
      <c r="T20" s="64">
        <f>'IND_CONS Sector all'!$E$183</f>
        <v>0</v>
      </c>
      <c r="U20" s="64">
        <f>'IND_CONS Sector all'!$E$194</f>
        <v>0</v>
      </c>
      <c r="V20" s="64">
        <f>'IND_CONS Sector all'!$E$205</f>
        <v>0</v>
      </c>
      <c r="W20" s="64">
        <f>'IND_CONS Sector all'!$E$216</f>
        <v>0</v>
      </c>
      <c r="X20" s="64">
        <f>'IND_CONS Sector all'!$E$227</f>
        <v>0</v>
      </c>
      <c r="Y20" s="64">
        <f>'IND_CONS Sector all'!$E$238</f>
        <v>0</v>
      </c>
      <c r="Z20" s="64">
        <f>'IND_CONS Sector all'!$E$249</f>
        <v>0</v>
      </c>
      <c r="AA20" s="64">
        <f>'IND_CONS Sector all'!$E$260</f>
        <v>0</v>
      </c>
      <c r="AB20" s="64">
        <f>'IND_CONS Sector all'!$E$271</f>
        <v>0</v>
      </c>
      <c r="AC20" s="64">
        <f>'IND_CONS Sector all'!$E$282</f>
        <v>0</v>
      </c>
      <c r="AD20" s="64">
        <f>'IND_CONS Sector all'!$E$293</f>
        <v>0</v>
      </c>
      <c r="AE20" s="64">
        <f>'IND_CONS Sector all'!$E$304</f>
        <v>0</v>
      </c>
      <c r="AF20" s="64">
        <f>'IND_CONS Sector all'!$E$315</f>
        <v>0</v>
      </c>
      <c r="AG20" s="64">
        <f>'IND_CONS Sector all'!$E$326</f>
        <v>0</v>
      </c>
    </row>
    <row r="21" spans="1:33">
      <c r="B21" t="str">
        <f>'IND_CONS Sector all'!G$6</f>
        <v>Refinery Gas</v>
      </c>
      <c r="C21" s="64">
        <f t="shared" si="0"/>
        <v>1024.4079999999999</v>
      </c>
      <c r="D21" s="64">
        <f>'IND_CONS Sector all'!$G$7</f>
        <v>16.88</v>
      </c>
      <c r="E21" s="64">
        <f>'IND_CONS Sector all'!$G$18</f>
        <v>22.670999999999999</v>
      </c>
      <c r="F21" s="64">
        <f>'IND_CONS Sector all'!$G$29</f>
        <v>5.1479999999999997</v>
      </c>
      <c r="G21" s="64">
        <f>'IND_CONS Sector all'!$G$40</f>
        <v>0</v>
      </c>
      <c r="H21" s="64">
        <f>'IND_CONS Sector all'!$G$51</f>
        <v>6.0890000000000004</v>
      </c>
      <c r="I21" s="64">
        <f>'IND_CONS Sector all'!$G$62</f>
        <v>203.39599999999999</v>
      </c>
      <c r="J21" s="64">
        <f>'IND_CONS Sector all'!$G$73</f>
        <v>13.118</v>
      </c>
      <c r="K21" s="64">
        <f>'IND_CONS Sector all'!$G$84</f>
        <v>0</v>
      </c>
      <c r="L21" s="64">
        <f>'IND_CONS Sector all'!$G$95</f>
        <v>105.386</v>
      </c>
      <c r="M21" s="64">
        <f>'IND_CONS Sector all'!$G$106</f>
        <v>20.393999999999998</v>
      </c>
      <c r="N21" s="64">
        <f>'IND_CONS Sector all'!$G$117</f>
        <v>110.88</v>
      </c>
      <c r="O21" s="64">
        <f>'IND_CONS Sector all'!$G$128</f>
        <v>21.928999999999998</v>
      </c>
      <c r="P21" s="64">
        <f>'IND_CONS Sector all'!$G$139</f>
        <v>7.4749999999999996</v>
      </c>
      <c r="Q21" s="64">
        <f>'IND_CONS Sector all'!$G$150</f>
        <v>4.5049999999999999</v>
      </c>
      <c r="R21" s="64">
        <f>'IND_CONS Sector all'!$G$161</f>
        <v>116.82</v>
      </c>
      <c r="S21" s="64">
        <f>'IND_CONS Sector all'!$G$172</f>
        <v>15.444000000000001</v>
      </c>
      <c r="T21" s="64">
        <f>'IND_CONS Sector all'!$G$183</f>
        <v>0</v>
      </c>
      <c r="U21" s="64">
        <f>'IND_CONS Sector all'!$G$194</f>
        <v>0</v>
      </c>
      <c r="V21" s="64">
        <f>'IND_CONS Sector all'!$G$205</f>
        <v>0</v>
      </c>
      <c r="W21" s="64">
        <f>'IND_CONS Sector all'!$G$216</f>
        <v>138.798</v>
      </c>
      <c r="X21" s="64">
        <f>'IND_CONS Sector all'!$G$227</f>
        <v>10.346</v>
      </c>
      <c r="Y21" s="64">
        <f>'IND_CONS Sector all'!$G$238</f>
        <v>0</v>
      </c>
      <c r="Z21" s="64">
        <f>'IND_CONS Sector all'!$G$249</f>
        <v>26.234999999999999</v>
      </c>
      <c r="AA21" s="64">
        <f>'IND_CONS Sector all'!$G$260</f>
        <v>24.206</v>
      </c>
      <c r="AB21" s="64">
        <f>'IND_CONS Sector all'!$G$271</f>
        <v>0</v>
      </c>
      <c r="AC21" s="64">
        <f>'IND_CONS Sector all'!$G$282</f>
        <v>18.265999999999998</v>
      </c>
      <c r="AD21" s="64">
        <f>'IND_CONS Sector all'!$G$293</f>
        <v>136.422</v>
      </c>
      <c r="AE21" s="64">
        <f>'IND_CONS Sector all'!$G$304</f>
        <v>11.93</v>
      </c>
      <c r="AF21" s="64">
        <f>'IND_CONS Sector all'!$G$315</f>
        <v>0</v>
      </c>
      <c r="AG21" s="64">
        <f>'IND_CONS Sector all'!$G$326</f>
        <v>20.097000000000001</v>
      </c>
    </row>
    <row r="22" spans="1:33">
      <c r="B22" t="str">
        <f>'IND_CONS Sector all'!K$6</f>
        <v>Gas / Diesel Oil</v>
      </c>
      <c r="C22" s="64">
        <f t="shared" si="0"/>
        <v>25.216000000000001</v>
      </c>
      <c r="D22" s="64">
        <f>'IND_CONS Sector all'!$K$7</f>
        <v>0</v>
      </c>
      <c r="E22" s="64">
        <f>'IND_CONS Sector all'!$K$18</f>
        <v>0</v>
      </c>
      <c r="F22" s="64">
        <f>'IND_CONS Sector all'!$K$29</f>
        <v>0</v>
      </c>
      <c r="G22" s="64">
        <f>'IND_CONS Sector all'!$K$40</f>
        <v>0</v>
      </c>
      <c r="H22" s="64">
        <f>'IND_CONS Sector all'!$K$51</f>
        <v>0</v>
      </c>
      <c r="I22" s="64">
        <f>'IND_CONS Sector all'!$K$62</f>
        <v>2.2999999999999998</v>
      </c>
      <c r="J22" s="64">
        <f>'IND_CONS Sector all'!$K$73</f>
        <v>0</v>
      </c>
      <c r="K22" s="64">
        <f>'IND_CONS Sector all'!$K$84</f>
        <v>0</v>
      </c>
      <c r="L22" s="64">
        <f>'IND_CONS Sector all'!$K$95</f>
        <v>0</v>
      </c>
      <c r="M22" s="64">
        <f>'IND_CONS Sector all'!$K$106</f>
        <v>0</v>
      </c>
      <c r="N22" s="64">
        <f>'IND_CONS Sector all'!$K$117</f>
        <v>0.68200000000000005</v>
      </c>
      <c r="O22" s="64">
        <f>'IND_CONS Sector all'!$K$128</f>
        <v>0</v>
      </c>
      <c r="P22" s="64">
        <f>'IND_CONS Sector all'!$K$139</f>
        <v>0</v>
      </c>
      <c r="Q22" s="64">
        <f>'IND_CONS Sector all'!$K$150</f>
        <v>0.25600000000000001</v>
      </c>
      <c r="R22" s="64">
        <f>'IND_CONS Sector all'!$K$161</f>
        <v>11.289</v>
      </c>
      <c r="S22" s="64">
        <f>'IND_CONS Sector all'!$K$172</f>
        <v>0</v>
      </c>
      <c r="T22" s="64">
        <f>'IND_CONS Sector all'!$K$183</f>
        <v>0</v>
      </c>
      <c r="U22" s="64">
        <f>'IND_CONS Sector all'!$K$194</f>
        <v>0</v>
      </c>
      <c r="V22" s="64">
        <f>'IND_CONS Sector all'!$K$205</f>
        <v>0</v>
      </c>
      <c r="W22" s="64">
        <f>'IND_CONS Sector all'!$K$216</f>
        <v>0</v>
      </c>
      <c r="X22" s="64">
        <f>'IND_CONS Sector all'!$K$227</f>
        <v>0.29799999999999999</v>
      </c>
      <c r="Y22" s="64">
        <f>'IND_CONS Sector all'!$K$238</f>
        <v>0</v>
      </c>
      <c r="Z22" s="64">
        <f>'IND_CONS Sector all'!$K$249</f>
        <v>0.55000000000000004</v>
      </c>
      <c r="AA22" s="64">
        <f>'IND_CONS Sector all'!$K$260</f>
        <v>1.0649999999999999</v>
      </c>
      <c r="AB22" s="64">
        <f>'IND_CONS Sector all'!$K$271</f>
        <v>0</v>
      </c>
      <c r="AC22" s="64">
        <f>'IND_CONS Sector all'!$K$282</f>
        <v>0</v>
      </c>
      <c r="AD22" s="64">
        <f>'IND_CONS Sector all'!$K$293</f>
        <v>8.7759999999999998</v>
      </c>
      <c r="AE22" s="64">
        <f>'IND_CONS Sector all'!$K$304</f>
        <v>0</v>
      </c>
      <c r="AF22" s="64">
        <f>'IND_CONS Sector all'!$K$315</f>
        <v>0</v>
      </c>
      <c r="AG22" s="64">
        <f>'IND_CONS Sector all'!$K$326</f>
        <v>0</v>
      </c>
    </row>
    <row r="23" spans="1:33">
      <c r="B23" t="str">
        <f>'IND_CONS Sector all'!L$6</f>
        <v>Residual Fuel Oil</v>
      </c>
      <c r="C23" s="64">
        <f t="shared" si="0"/>
        <v>384.64</v>
      </c>
      <c r="D23" s="64">
        <f>'IND_CONS Sector all'!$L$7</f>
        <v>1.04</v>
      </c>
      <c r="E23" s="64">
        <f>'IND_CONS Sector all'!$L$18</f>
        <v>18.079999999999998</v>
      </c>
      <c r="F23" s="64">
        <f>'IND_CONS Sector all'!$L$29</f>
        <v>0</v>
      </c>
      <c r="G23" s="64">
        <f>'IND_CONS Sector all'!$L$40</f>
        <v>0</v>
      </c>
      <c r="H23" s="64">
        <f>'IND_CONS Sector all'!$L$51</f>
        <v>1.6</v>
      </c>
      <c r="I23" s="64">
        <f>'IND_CONS Sector all'!$L$62</f>
        <v>75.400000000000006</v>
      </c>
      <c r="J23" s="64">
        <f>'IND_CONS Sector all'!$L$73</f>
        <v>0.68</v>
      </c>
      <c r="K23" s="64">
        <f>'IND_CONS Sector all'!$L$84</f>
        <v>0</v>
      </c>
      <c r="L23" s="64">
        <f>'IND_CONS Sector all'!$L$95</f>
        <v>18.64</v>
      </c>
      <c r="M23" s="64">
        <f>'IND_CONS Sector all'!$L$106</f>
        <v>4.5599999999999996</v>
      </c>
      <c r="N23" s="64">
        <f>'IND_CONS Sector all'!$L$117</f>
        <v>33.479999999999997</v>
      </c>
      <c r="O23" s="64">
        <f>'IND_CONS Sector all'!$L$128</f>
        <v>17.68</v>
      </c>
      <c r="P23" s="64">
        <f>'IND_CONS Sector all'!$L$139</f>
        <v>2.12</v>
      </c>
      <c r="Q23" s="64">
        <f>'IND_CONS Sector all'!$L$150</f>
        <v>1.2</v>
      </c>
      <c r="R23" s="64">
        <f>'IND_CONS Sector all'!$L$161</f>
        <v>73.28</v>
      </c>
      <c r="S23" s="64">
        <f>'IND_CONS Sector all'!$L$172</f>
        <v>6.72</v>
      </c>
      <c r="T23" s="64">
        <f>'IND_CONS Sector all'!$L$183</f>
        <v>0</v>
      </c>
      <c r="U23" s="64">
        <f>'IND_CONS Sector all'!$L$194</f>
        <v>0</v>
      </c>
      <c r="V23" s="64">
        <f>'IND_CONS Sector all'!$L$205</f>
        <v>0</v>
      </c>
      <c r="W23" s="64">
        <f>'IND_CONS Sector all'!$L$216</f>
        <v>7.56</v>
      </c>
      <c r="X23" s="64">
        <f>'IND_CONS Sector all'!$L$227</f>
        <v>42.56</v>
      </c>
      <c r="Y23" s="64">
        <f>'IND_CONS Sector all'!$L$238</f>
        <v>0</v>
      </c>
      <c r="Z23" s="64">
        <f>'IND_CONS Sector all'!$L$249</f>
        <v>6.24</v>
      </c>
      <c r="AA23" s="64">
        <f>'IND_CONS Sector all'!$L$260</f>
        <v>1.32</v>
      </c>
      <c r="AB23" s="64">
        <f>'IND_CONS Sector all'!$L$271</f>
        <v>0</v>
      </c>
      <c r="AC23" s="64">
        <f>'IND_CONS Sector all'!$L$282</f>
        <v>3.84</v>
      </c>
      <c r="AD23" s="64">
        <f>'IND_CONS Sector all'!$L$293</f>
        <v>68.64</v>
      </c>
      <c r="AE23" s="64">
        <f>'IND_CONS Sector all'!$L$304</f>
        <v>0.88</v>
      </c>
      <c r="AF23" s="64">
        <f>'IND_CONS Sector all'!$L$315</f>
        <v>0</v>
      </c>
      <c r="AG23" s="64">
        <f>'IND_CONS Sector all'!$L$326</f>
        <v>0</v>
      </c>
    </row>
    <row r="24" spans="1:33">
      <c r="B24" t="str">
        <f>'IND_CONS Sector all'!O$6</f>
        <v>Wood &amp; Wood Waste</v>
      </c>
      <c r="C24" s="64">
        <f t="shared" si="0"/>
        <v>0</v>
      </c>
      <c r="D24" s="64">
        <f>'IND_CONS Sector all'!$O$7</f>
        <v>0</v>
      </c>
      <c r="E24" s="64">
        <f>'IND_CONS Sector all'!$O$18</f>
        <v>0</v>
      </c>
      <c r="F24" s="64">
        <f>'IND_CONS Sector all'!$O$29</f>
        <v>0</v>
      </c>
      <c r="G24" s="64">
        <f>'IND_CONS Sector all'!$O$40</f>
        <v>0</v>
      </c>
      <c r="H24" s="64">
        <f>'IND_CONS Sector all'!$O$51</f>
        <v>0</v>
      </c>
      <c r="I24" s="64">
        <f>'IND_CONS Sector all'!$O$62</f>
        <v>0</v>
      </c>
      <c r="J24" s="64">
        <f>'IND_CONS Sector all'!$O$73</f>
        <v>0</v>
      </c>
      <c r="K24" s="64">
        <f>'IND_CONS Sector all'!$O$84</f>
        <v>0</v>
      </c>
      <c r="L24" s="64">
        <f>'IND_CONS Sector all'!$O$95</f>
        <v>0</v>
      </c>
      <c r="M24" s="64">
        <f>'IND_CONS Sector all'!$O$106</f>
        <v>0</v>
      </c>
      <c r="N24" s="64">
        <f>'IND_CONS Sector all'!$O$117</f>
        <v>0</v>
      </c>
      <c r="O24" s="64">
        <f>'IND_CONS Sector all'!$O$128</f>
        <v>0</v>
      </c>
      <c r="P24" s="64">
        <f>'IND_CONS Sector all'!$O$139</f>
        <v>0</v>
      </c>
      <c r="Q24" s="64">
        <f>'IND_CONS Sector all'!$O$150</f>
        <v>0</v>
      </c>
      <c r="R24" s="64">
        <f>'IND_CONS Sector all'!$O$161</f>
        <v>0</v>
      </c>
      <c r="S24" s="64">
        <f>'IND_CONS Sector all'!$O$172</f>
        <v>0</v>
      </c>
      <c r="T24" s="64">
        <f>'IND_CONS Sector all'!$O$183</f>
        <v>0</v>
      </c>
      <c r="U24" s="64">
        <f>'IND_CONS Sector all'!$O$194</f>
        <v>0</v>
      </c>
      <c r="V24" s="64">
        <f>'IND_CONS Sector all'!$O$205</f>
        <v>0</v>
      </c>
      <c r="W24" s="64">
        <f>'IND_CONS Sector all'!$O$216</f>
        <v>0</v>
      </c>
      <c r="X24" s="64">
        <f>'IND_CONS Sector all'!$O$227</f>
        <v>0</v>
      </c>
      <c r="Y24" s="64">
        <f>'IND_CONS Sector all'!$O$238</f>
        <v>0</v>
      </c>
      <c r="Z24" s="64">
        <f>'IND_CONS Sector all'!$O$249</f>
        <v>0</v>
      </c>
      <c r="AA24" s="64">
        <f>'IND_CONS Sector all'!$O$260</f>
        <v>0</v>
      </c>
      <c r="AB24" s="64">
        <f>'IND_CONS Sector all'!$O$271</f>
        <v>0</v>
      </c>
      <c r="AC24" s="64">
        <f>'IND_CONS Sector all'!$O$282</f>
        <v>0</v>
      </c>
      <c r="AD24" s="64">
        <f>'IND_CONS Sector all'!$O$293</f>
        <v>0</v>
      </c>
      <c r="AE24" s="64">
        <f>'IND_CONS Sector all'!$O$304</f>
        <v>0</v>
      </c>
      <c r="AF24" s="64">
        <f>'IND_CONS Sector all'!$O$315</f>
        <v>0</v>
      </c>
      <c r="AG24" s="64">
        <f>'IND_CONS Sector all'!$O$326</f>
        <v>0</v>
      </c>
    </row>
    <row r="25" spans="1:33">
      <c r="B25" t="str">
        <f>'IND_CONS Sector all'!Q$6</f>
        <v>MSW</v>
      </c>
      <c r="C25" s="64">
        <f t="shared" si="0"/>
        <v>0</v>
      </c>
      <c r="D25" s="64">
        <f>'IND_CONS Sector all'!$Q$7</f>
        <v>0</v>
      </c>
      <c r="E25" s="64">
        <f>'IND_CONS Sector all'!$Q$18</f>
        <v>0</v>
      </c>
      <c r="F25" s="64">
        <f>'IND_CONS Sector all'!$Q$29</f>
        <v>0</v>
      </c>
      <c r="G25" s="64">
        <f>'IND_CONS Sector all'!$Q$40</f>
        <v>0</v>
      </c>
      <c r="H25" s="64">
        <f>'IND_CONS Sector all'!$Q$51</f>
        <v>0</v>
      </c>
      <c r="I25" s="64">
        <f>'IND_CONS Sector all'!$Q$62</f>
        <v>0</v>
      </c>
      <c r="J25" s="64">
        <f>'IND_CONS Sector all'!$Q$73</f>
        <v>0</v>
      </c>
      <c r="K25" s="64">
        <f>'IND_CONS Sector all'!$Q$84</f>
        <v>0</v>
      </c>
      <c r="L25" s="64">
        <f>'IND_CONS Sector all'!$Q$95</f>
        <v>0</v>
      </c>
      <c r="M25" s="64">
        <f>'IND_CONS Sector all'!$Q$106</f>
        <v>0</v>
      </c>
      <c r="N25" s="64">
        <f>'IND_CONS Sector all'!$Q$117</f>
        <v>0</v>
      </c>
      <c r="O25" s="64">
        <f>'IND_CONS Sector all'!$Q$128</f>
        <v>0</v>
      </c>
      <c r="P25" s="64">
        <f>'IND_CONS Sector all'!$Q$139</f>
        <v>0</v>
      </c>
      <c r="Q25" s="64">
        <f>'IND_CONS Sector all'!$Q$150</f>
        <v>0</v>
      </c>
      <c r="R25" s="64">
        <f>'IND_CONS Sector all'!$Q$161</f>
        <v>0</v>
      </c>
      <c r="S25" s="64">
        <f>'IND_CONS Sector all'!$Q$172</f>
        <v>0</v>
      </c>
      <c r="T25" s="64">
        <f>'IND_CONS Sector all'!$Q$183</f>
        <v>0</v>
      </c>
      <c r="U25" s="64">
        <f>'IND_CONS Sector all'!$Q$194</f>
        <v>0</v>
      </c>
      <c r="V25" s="64">
        <f>'IND_CONS Sector all'!$Q$205</f>
        <v>0</v>
      </c>
      <c r="W25" s="64">
        <f>'IND_CONS Sector all'!$Q$216</f>
        <v>0</v>
      </c>
      <c r="X25" s="64">
        <f>'IND_CONS Sector all'!$Q$227</f>
        <v>0</v>
      </c>
      <c r="Y25" s="64">
        <f>'IND_CONS Sector all'!$Q$238</f>
        <v>0</v>
      </c>
      <c r="Z25" s="64">
        <f>'IND_CONS Sector all'!$Q$249</f>
        <v>0</v>
      </c>
      <c r="AA25" s="64">
        <f>'IND_CONS Sector all'!$Q$260</f>
        <v>0</v>
      </c>
      <c r="AB25" s="64">
        <f>'IND_CONS Sector all'!$Q$271</f>
        <v>0</v>
      </c>
      <c r="AC25" s="64">
        <f>'IND_CONS Sector all'!$Q$282</f>
        <v>0</v>
      </c>
      <c r="AD25" s="64">
        <f>'IND_CONS Sector all'!$Q$293</f>
        <v>0</v>
      </c>
      <c r="AE25" s="64">
        <f>'IND_CONS Sector all'!$Q$304</f>
        <v>0</v>
      </c>
      <c r="AF25" s="64">
        <f>'IND_CONS Sector all'!$Q$315</f>
        <v>0</v>
      </c>
      <c r="AG25" s="64">
        <f>'IND_CONS Sector all'!$Q$326</f>
        <v>0</v>
      </c>
    </row>
    <row r="26" spans="1:33">
      <c r="B26" t="str">
        <f>'IND_CONS Sector all'!S$6</f>
        <v>Industrial Wastes</v>
      </c>
      <c r="C26" s="64">
        <f t="shared" si="0"/>
        <v>1.204</v>
      </c>
      <c r="D26" s="64">
        <f>'IND_CONS Sector all'!$S$7</f>
        <v>0</v>
      </c>
      <c r="E26" s="64">
        <f>'IND_CONS Sector all'!$S$18</f>
        <v>0</v>
      </c>
      <c r="F26" s="64">
        <f>'IND_CONS Sector all'!$S$29</f>
        <v>0</v>
      </c>
      <c r="G26" s="64">
        <f>'IND_CONS Sector all'!$S$40</f>
        <v>0</v>
      </c>
      <c r="H26" s="64">
        <f>'IND_CONS Sector all'!$S$51</f>
        <v>0</v>
      </c>
      <c r="I26" s="64">
        <f>'IND_CONS Sector all'!$S$62</f>
        <v>0</v>
      </c>
      <c r="J26" s="64">
        <f>'IND_CONS Sector all'!$S$73</f>
        <v>0</v>
      </c>
      <c r="K26" s="64">
        <f>'IND_CONS Sector all'!$S$84</f>
        <v>0</v>
      </c>
      <c r="L26" s="64">
        <f>'IND_CONS Sector all'!$S$95</f>
        <v>0</v>
      </c>
      <c r="M26" s="64">
        <f>'IND_CONS Sector all'!$S$106</f>
        <v>0</v>
      </c>
      <c r="N26" s="64">
        <f>'IND_CONS Sector all'!$S$117</f>
        <v>0</v>
      </c>
      <c r="O26" s="64">
        <f>'IND_CONS Sector all'!$S$128</f>
        <v>0</v>
      </c>
      <c r="P26" s="64">
        <f>'IND_CONS Sector all'!$S$139</f>
        <v>0</v>
      </c>
      <c r="Q26" s="64">
        <f>'IND_CONS Sector all'!$S$150</f>
        <v>0</v>
      </c>
      <c r="R26" s="64">
        <f>'IND_CONS Sector all'!$S$161</f>
        <v>0</v>
      </c>
      <c r="S26" s="64">
        <f>'IND_CONS Sector all'!$S$172</f>
        <v>0</v>
      </c>
      <c r="T26" s="64">
        <f>'IND_CONS Sector all'!$S$183</f>
        <v>0</v>
      </c>
      <c r="U26" s="64">
        <f>'IND_CONS Sector all'!$S$194</f>
        <v>0</v>
      </c>
      <c r="V26" s="64">
        <f>'IND_CONS Sector all'!$S$205</f>
        <v>0</v>
      </c>
      <c r="W26" s="64">
        <f>'IND_CONS Sector all'!$S$216</f>
        <v>0</v>
      </c>
      <c r="X26" s="64">
        <f>'IND_CONS Sector all'!$S$227</f>
        <v>0.28499999999999998</v>
      </c>
      <c r="Y26" s="64">
        <f>'IND_CONS Sector all'!$S$238</f>
        <v>0</v>
      </c>
      <c r="Z26" s="64">
        <f>'IND_CONS Sector all'!$S$249</f>
        <v>0.91900000000000004</v>
      </c>
      <c r="AA26" s="64">
        <f>'IND_CONS Sector all'!$S$260</f>
        <v>0</v>
      </c>
      <c r="AB26" s="64">
        <f>'IND_CONS Sector all'!$S$271</f>
        <v>0</v>
      </c>
      <c r="AC26" s="64">
        <f>'IND_CONS Sector all'!$S$282</f>
        <v>0</v>
      </c>
      <c r="AD26" s="64">
        <f>'IND_CONS Sector all'!$S$293</f>
        <v>0</v>
      </c>
      <c r="AE26" s="64">
        <f>'IND_CONS Sector all'!$S$304</f>
        <v>0</v>
      </c>
      <c r="AF26" s="64">
        <f>'IND_CONS Sector all'!$S$315</f>
        <v>0</v>
      </c>
      <c r="AG26" s="64">
        <f>'IND_CONS Sector all'!$S$326</f>
        <v>0</v>
      </c>
    </row>
    <row r="27" spans="1:33">
      <c r="B27" t="str">
        <f>'IND_CONS Sector all'!T$6</f>
        <v>Natural Gas</v>
      </c>
      <c r="C27" s="64">
        <f t="shared" si="0"/>
        <v>137.27003999999999</v>
      </c>
      <c r="D27" s="64">
        <f>'IND_CONS Sector all'!$T$7</f>
        <v>6.782616</v>
      </c>
      <c r="E27" s="64">
        <f>'IND_CONS Sector all'!$T$18</f>
        <v>2.58</v>
      </c>
      <c r="F27" s="64">
        <f>'IND_CONS Sector all'!$T$29</f>
        <v>2.6179999999999999</v>
      </c>
      <c r="G27" s="64">
        <f>'IND_CONS Sector all'!$T$40</f>
        <v>0</v>
      </c>
      <c r="H27" s="64">
        <f>'IND_CONS Sector all'!$T$51</f>
        <v>4.9404240000000001</v>
      </c>
      <c r="I27" s="64">
        <f>'IND_CONS Sector all'!$T$62</f>
        <v>7.218</v>
      </c>
      <c r="J27" s="64">
        <f>'IND_CONS Sector all'!$T$73</f>
        <v>0</v>
      </c>
      <c r="K27" s="64">
        <f>'IND_CONS Sector all'!$T$84</f>
        <v>0</v>
      </c>
      <c r="L27" s="64">
        <f>'IND_CONS Sector all'!$T$95</f>
        <v>0</v>
      </c>
      <c r="M27" s="64">
        <f>'IND_CONS Sector all'!$T$106</f>
        <v>10.574</v>
      </c>
      <c r="N27" s="64">
        <f>'IND_CONS Sector all'!$T$117</f>
        <v>0</v>
      </c>
      <c r="O27" s="64">
        <f>'IND_CONS Sector all'!$T$128</f>
        <v>0</v>
      </c>
      <c r="P27" s="64">
        <f>'IND_CONS Sector all'!$T$139</f>
        <v>12.182</v>
      </c>
      <c r="Q27" s="64">
        <f>'IND_CONS Sector all'!$T$150</f>
        <v>0</v>
      </c>
      <c r="R27" s="64">
        <f>'IND_CONS Sector all'!$T$161</f>
        <v>0</v>
      </c>
      <c r="S27" s="64">
        <f>'IND_CONS Sector all'!$T$172</f>
        <v>2.8000000000000001E-2</v>
      </c>
      <c r="T27" s="64">
        <f>'IND_CONS Sector all'!$T$183</f>
        <v>0</v>
      </c>
      <c r="U27" s="64">
        <f>'IND_CONS Sector all'!$T$194</f>
        <v>0</v>
      </c>
      <c r="V27" s="64">
        <f>'IND_CONS Sector all'!$T$205</f>
        <v>0</v>
      </c>
      <c r="W27" s="64">
        <f>'IND_CONS Sector all'!$T$216</f>
        <v>31.56</v>
      </c>
      <c r="X27" s="64">
        <f>'IND_CONS Sector all'!$T$227</f>
        <v>23.04</v>
      </c>
      <c r="Y27" s="64">
        <f>'IND_CONS Sector all'!$T$238</f>
        <v>3.3260000000000001</v>
      </c>
      <c r="Z27" s="64">
        <f>'IND_CONS Sector all'!$T$249</f>
        <v>12.55</v>
      </c>
      <c r="AA27" s="64">
        <f>'IND_CONS Sector all'!$T$260</f>
        <v>0</v>
      </c>
      <c r="AB27" s="64">
        <f>'IND_CONS Sector all'!$T$271</f>
        <v>0</v>
      </c>
      <c r="AC27" s="64">
        <f>'IND_CONS Sector all'!$T$282</f>
        <v>6.0229999999999997</v>
      </c>
      <c r="AD27" s="64">
        <f>'IND_CONS Sector all'!$T$293</f>
        <v>13.848000000000001</v>
      </c>
      <c r="AE27" s="64">
        <f>'IND_CONS Sector all'!$T$304</f>
        <v>0</v>
      </c>
      <c r="AF27" s="64">
        <f>'IND_CONS Sector all'!$T$315</f>
        <v>0</v>
      </c>
      <c r="AG27" s="64">
        <f>'IND_CONS Sector all'!$T$326</f>
        <v>0</v>
      </c>
    </row>
    <row r="28" spans="1:33">
      <c r="B28" t="str">
        <f>'IND_CONS Sector all'!U$6</f>
        <v>Coke-Oven Gas</v>
      </c>
      <c r="C28" s="64">
        <f t="shared" si="0"/>
        <v>4.7679999999999998</v>
      </c>
      <c r="D28" s="64">
        <f>'IND_CONS Sector all'!$U$7</f>
        <v>0</v>
      </c>
      <c r="E28" s="64">
        <f>'IND_CONS Sector all'!$U$18</f>
        <v>0</v>
      </c>
      <c r="F28" s="64">
        <f>'IND_CONS Sector all'!$U$29</f>
        <v>0</v>
      </c>
      <c r="G28" s="64">
        <f>'IND_CONS Sector all'!$U$40</f>
        <v>0</v>
      </c>
      <c r="H28" s="64">
        <f>'IND_CONS Sector all'!$U$51</f>
        <v>0</v>
      </c>
      <c r="I28" s="64">
        <f>'IND_CONS Sector all'!$U$62</f>
        <v>4.7679999999999998</v>
      </c>
      <c r="J28" s="64">
        <f>'IND_CONS Sector all'!$U$73</f>
        <v>0</v>
      </c>
      <c r="K28" s="64">
        <f>'IND_CONS Sector all'!$U$84</f>
        <v>0</v>
      </c>
      <c r="L28" s="64">
        <f>'IND_CONS Sector all'!$U$95</f>
        <v>0</v>
      </c>
      <c r="M28" s="64">
        <f>'IND_CONS Sector all'!$U$106</f>
        <v>0</v>
      </c>
      <c r="N28" s="64">
        <f>'IND_CONS Sector all'!$U$117</f>
        <v>0</v>
      </c>
      <c r="O28" s="64">
        <f>'IND_CONS Sector all'!$U$128</f>
        <v>0</v>
      </c>
      <c r="P28" s="64">
        <f>'IND_CONS Sector all'!$U$139</f>
        <v>0</v>
      </c>
      <c r="Q28" s="64">
        <f>'IND_CONS Sector all'!$U$150</f>
        <v>0</v>
      </c>
      <c r="R28" s="64">
        <f>'IND_CONS Sector all'!$U$161</f>
        <v>0</v>
      </c>
      <c r="S28" s="64">
        <f>'IND_CONS Sector all'!$U$172</f>
        <v>0</v>
      </c>
      <c r="T28" s="64">
        <f>'IND_CONS Sector all'!$U$183</f>
        <v>0</v>
      </c>
      <c r="U28" s="64">
        <f>'IND_CONS Sector all'!$U$194</f>
        <v>0</v>
      </c>
      <c r="V28" s="64">
        <f>'IND_CONS Sector all'!$U$205</f>
        <v>0</v>
      </c>
      <c r="W28" s="64">
        <f>'IND_CONS Sector all'!$U$216</f>
        <v>0</v>
      </c>
      <c r="X28" s="64">
        <f>'IND_CONS Sector all'!$U$227</f>
        <v>0</v>
      </c>
      <c r="Y28" s="64">
        <f>'IND_CONS Sector all'!$U$238</f>
        <v>0</v>
      </c>
      <c r="Z28" s="64">
        <f>'IND_CONS Sector all'!$U$249</f>
        <v>0</v>
      </c>
      <c r="AA28" s="64">
        <f>'IND_CONS Sector all'!$U$260</f>
        <v>0</v>
      </c>
      <c r="AB28" s="64">
        <f>'IND_CONS Sector all'!$U$271</f>
        <v>0</v>
      </c>
      <c r="AC28" s="64">
        <f>'IND_CONS Sector all'!$U$282</f>
        <v>0</v>
      </c>
      <c r="AD28" s="64">
        <f>'IND_CONS Sector all'!$U$293</f>
        <v>0</v>
      </c>
      <c r="AE28" s="64">
        <f>'IND_CONS Sector all'!$U$304</f>
        <v>0</v>
      </c>
      <c r="AF28" s="64">
        <f>'IND_CONS Sector all'!$U$315</f>
        <v>0</v>
      </c>
      <c r="AG28" s="64">
        <f>'IND_CONS Sector all'!$U$326</f>
        <v>0</v>
      </c>
    </row>
    <row r="29" spans="1:33">
      <c r="B29" t="str">
        <f>'IND_CONS Sector all'!V$6</f>
        <v>Blast-Furnace Gas</v>
      </c>
      <c r="C29" s="64">
        <f t="shared" si="0"/>
        <v>0</v>
      </c>
      <c r="D29" s="64">
        <f>'IND_CONS Sector all'!$V$7</f>
        <v>0</v>
      </c>
      <c r="E29" s="64">
        <f>'IND_CONS Sector all'!$V$18</f>
        <v>0</v>
      </c>
      <c r="F29" s="64">
        <f>'IND_CONS Sector all'!$V$29</f>
        <v>0</v>
      </c>
      <c r="G29" s="64">
        <f>'IND_CONS Sector all'!$V$40</f>
        <v>0</v>
      </c>
      <c r="H29" s="64">
        <f>'IND_CONS Sector all'!$V$51</f>
        <v>0</v>
      </c>
      <c r="I29" s="64">
        <f>'IND_CONS Sector all'!$V$62</f>
        <v>0</v>
      </c>
      <c r="J29" s="64">
        <f>'IND_CONS Sector all'!$V$73</f>
        <v>0</v>
      </c>
      <c r="K29" s="64">
        <f>'IND_CONS Sector all'!$V$84</f>
        <v>0</v>
      </c>
      <c r="L29" s="64">
        <f>'IND_CONS Sector all'!$V$95</f>
        <v>0</v>
      </c>
      <c r="M29" s="64">
        <f>'IND_CONS Sector all'!$V$106</f>
        <v>0</v>
      </c>
      <c r="N29" s="64">
        <f>'IND_CONS Sector all'!$V$117</f>
        <v>0</v>
      </c>
      <c r="O29" s="64">
        <f>'IND_CONS Sector all'!$V$128</f>
        <v>0</v>
      </c>
      <c r="P29" s="64">
        <f>'IND_CONS Sector all'!$V$139</f>
        <v>0</v>
      </c>
      <c r="Q29" s="64">
        <f>'IND_CONS Sector all'!$V$150</f>
        <v>0</v>
      </c>
      <c r="R29" s="64">
        <f>'IND_CONS Sector all'!$V$161</f>
        <v>0</v>
      </c>
      <c r="S29" s="64">
        <f>'IND_CONS Sector all'!$V$172</f>
        <v>0</v>
      </c>
      <c r="T29" s="64">
        <f>'IND_CONS Sector all'!$V$183</f>
        <v>0</v>
      </c>
      <c r="U29" s="64">
        <f>'IND_CONS Sector all'!$V$194</f>
        <v>0</v>
      </c>
      <c r="V29" s="64">
        <f>'IND_CONS Sector all'!$V$205</f>
        <v>0</v>
      </c>
      <c r="W29" s="64">
        <f>'IND_CONS Sector all'!$V$216</f>
        <v>0</v>
      </c>
      <c r="X29" s="64">
        <f>'IND_CONS Sector all'!$V$227</f>
        <v>0</v>
      </c>
      <c r="Y29" s="64">
        <f>'IND_CONS Sector all'!$V$238</f>
        <v>0</v>
      </c>
      <c r="Z29" s="64">
        <f>'IND_CONS Sector all'!$V$249</f>
        <v>0</v>
      </c>
      <c r="AA29" s="64">
        <f>'IND_CONS Sector all'!$V$260</f>
        <v>0</v>
      </c>
      <c r="AB29" s="64">
        <f>'IND_CONS Sector all'!$V$271</f>
        <v>0</v>
      </c>
      <c r="AC29" s="64">
        <f>'IND_CONS Sector all'!$V$282</f>
        <v>0</v>
      </c>
      <c r="AD29" s="64">
        <f>'IND_CONS Sector all'!$V$293</f>
        <v>0</v>
      </c>
      <c r="AE29" s="64">
        <f>'IND_CONS Sector all'!$V$304</f>
        <v>0</v>
      </c>
      <c r="AF29" s="64">
        <f>'IND_CONS Sector all'!$V$315</f>
        <v>0</v>
      </c>
      <c r="AG29" s="64">
        <f>'IND_CONS Sector all'!$V$326</f>
        <v>0</v>
      </c>
    </row>
    <row r="30" spans="1:33">
      <c r="B30" t="e">
        <f>#REF!</f>
        <v>#REF!</v>
      </c>
      <c r="C30" s="64" t="e">
        <f t="shared" si="0"/>
        <v>#REF!</v>
      </c>
      <c r="D30" s="64" t="e">
        <f>#REF!/1000</f>
        <v>#REF!</v>
      </c>
      <c r="E30" s="64" t="e">
        <f>#REF!/1000</f>
        <v>#REF!</v>
      </c>
      <c r="F30" s="64" t="e">
        <f>#REF!/1000</f>
        <v>#REF!</v>
      </c>
      <c r="G30" s="64" t="e">
        <f>#REF!/1000</f>
        <v>#REF!</v>
      </c>
      <c r="H30" s="64" t="e">
        <f>#REF!/1000</f>
        <v>#REF!</v>
      </c>
      <c r="I30" s="64" t="e">
        <f>#REF!/1000</f>
        <v>#REF!</v>
      </c>
      <c r="J30" s="64" t="e">
        <f>#REF!/1000</f>
        <v>#REF!</v>
      </c>
      <c r="K30" s="64" t="e">
        <f>#REF!/1000</f>
        <v>#REF!</v>
      </c>
      <c r="L30" s="64" t="e">
        <f>#REF!/1000</f>
        <v>#REF!</v>
      </c>
      <c r="M30" s="64" t="e">
        <f>#REF!/1000</f>
        <v>#REF!</v>
      </c>
      <c r="N30" s="64" t="e">
        <f>#REF!/1000</f>
        <v>#REF!</v>
      </c>
      <c r="O30" s="64" t="e">
        <f>#REF!/1000</f>
        <v>#REF!</v>
      </c>
      <c r="P30" s="64" t="e">
        <f>#REF!/1000</f>
        <v>#REF!</v>
      </c>
      <c r="Q30" s="64" t="e">
        <f>#REF!/1000</f>
        <v>#REF!</v>
      </c>
      <c r="R30" s="64" t="e">
        <f>#REF!/1000</f>
        <v>#REF!</v>
      </c>
      <c r="S30" s="64" t="e">
        <f>#REF!/1000</f>
        <v>#REF!</v>
      </c>
      <c r="T30" s="64" t="e">
        <f>#REF!/1000</f>
        <v>#REF!</v>
      </c>
      <c r="U30" s="64" t="e">
        <f>#REF!/1000</f>
        <v>#REF!</v>
      </c>
      <c r="V30" s="64" t="e">
        <f>#REF!/1000</f>
        <v>#REF!</v>
      </c>
      <c r="W30" s="64" t="e">
        <f>#REF!/1000</f>
        <v>#REF!</v>
      </c>
      <c r="X30" s="64" t="e">
        <f>#REF!/1000</f>
        <v>#REF!</v>
      </c>
      <c r="Y30" s="64" t="e">
        <f>#REF!/1000</f>
        <v>#REF!</v>
      </c>
      <c r="Z30" s="64" t="e">
        <f>#REF!/1000</f>
        <v>#REF!</v>
      </c>
      <c r="AA30" s="64" t="e">
        <f>#REF!/1000</f>
        <v>#REF!</v>
      </c>
      <c r="AB30" s="64" t="e">
        <f>#REF!/1000</f>
        <v>#REF!</v>
      </c>
      <c r="AC30" s="64" t="e">
        <f>#REF!/1000</f>
        <v>#REF!</v>
      </c>
      <c r="AD30" s="64" t="e">
        <f>#REF!/1000</f>
        <v>#REF!</v>
      </c>
      <c r="AE30" s="64" t="e">
        <f>#REF!/1000</f>
        <v>#REF!</v>
      </c>
      <c r="AF30" s="64" t="e">
        <f>#REF!/1000</f>
        <v>#REF!</v>
      </c>
      <c r="AG30" s="64" t="e">
        <f>#REF!/1000</f>
        <v>#REF!</v>
      </c>
    </row>
    <row r="31" spans="1:33">
      <c r="A31" t="s">
        <v>313</v>
      </c>
      <c r="B31" t="str">
        <f>'IND_CONS Sector all'!C$6</f>
        <v>Hard Coal &amp; Patent Fuels</v>
      </c>
      <c r="C31" s="64">
        <f t="shared" si="0"/>
        <v>417.84100000000001</v>
      </c>
      <c r="D31" s="64">
        <f>'IND_CONS Sector all'!$C$8</f>
        <v>0</v>
      </c>
      <c r="E31" s="64">
        <f>'IND_CONS Sector all'!$C$19</f>
        <v>17.497</v>
      </c>
      <c r="F31" s="64">
        <f>'IND_CONS Sector all'!$C$30</f>
        <v>1.0009999999999999</v>
      </c>
      <c r="G31" s="64">
        <f>'IND_CONS Sector all'!$C$41</f>
        <v>0</v>
      </c>
      <c r="H31" s="64">
        <f>'IND_CONS Sector all'!$C$52</f>
        <v>18.510999999999999</v>
      </c>
      <c r="I31" s="64">
        <f>'IND_CONS Sector all'!$C$63</f>
        <v>105.703</v>
      </c>
      <c r="J31" s="64">
        <f>'IND_CONS Sector all'!$C$74</f>
        <v>0</v>
      </c>
      <c r="K31" s="64">
        <f>'IND_CONS Sector all'!$C$85</f>
        <v>0</v>
      </c>
      <c r="L31" s="64">
        <f>'IND_CONS Sector all'!$C$96</f>
        <v>22.408000000000001</v>
      </c>
      <c r="M31" s="64">
        <f>'IND_CONS Sector all'!$C$107</f>
        <v>0</v>
      </c>
      <c r="N31" s="64">
        <f>'IND_CONS Sector all'!$C$118</f>
        <v>76.335999999999999</v>
      </c>
      <c r="O31" s="64">
        <f>'IND_CONS Sector all'!$C$129</f>
        <v>0</v>
      </c>
      <c r="P31" s="64">
        <f>'IND_CONS Sector all'!$C$140</f>
        <v>0</v>
      </c>
      <c r="Q31" s="64">
        <f>'IND_CONS Sector all'!$C$151</f>
        <v>0</v>
      </c>
      <c r="R31" s="64">
        <f>'IND_CONS Sector all'!$C$162</f>
        <v>44.613</v>
      </c>
      <c r="S31" s="64">
        <f>'IND_CONS Sector all'!$C$8</f>
        <v>0</v>
      </c>
      <c r="T31" s="64">
        <f>'IND_CONS Sector all'!$C$184</f>
        <v>0.996</v>
      </c>
      <c r="U31" s="64">
        <f>'IND_CONS Sector all'!$C$195</f>
        <v>0</v>
      </c>
      <c r="V31" s="64">
        <f>'IND_CONS Sector all'!$C$206</f>
        <v>0</v>
      </c>
      <c r="W31" s="64">
        <f>'IND_CONS Sector all'!$C$217</f>
        <v>43.783999999999999</v>
      </c>
      <c r="X31" s="64">
        <f>'IND_CONS Sector all'!$C$228</f>
        <v>6.3220000000000001</v>
      </c>
      <c r="Y31" s="64">
        <f>'IND_CONS Sector all'!$C$239</f>
        <v>0</v>
      </c>
      <c r="Z31" s="64">
        <f>'IND_CONS Sector all'!$C$250</f>
        <v>14.129</v>
      </c>
      <c r="AA31" s="64">
        <f>'IND_CONS Sector all'!$C$261</f>
        <v>14.128</v>
      </c>
      <c r="AB31" s="64">
        <f>'IND_CONS Sector all'!$C$272</f>
        <v>0</v>
      </c>
      <c r="AC31" s="64">
        <f>'IND_CONS Sector all'!$C$283</f>
        <v>22.030999999999999</v>
      </c>
      <c r="AD31" s="64">
        <f>'IND_CONS Sector all'!$C$294</f>
        <v>30.382000000000001</v>
      </c>
      <c r="AE31" s="64">
        <f>'IND_CONS Sector all'!$C$305</f>
        <v>0</v>
      </c>
      <c r="AF31" s="64">
        <f>'IND_CONS Sector all'!$C$316</f>
        <v>2.8889999999999998</v>
      </c>
      <c r="AG31" s="64">
        <f>'IND_CONS Sector all'!$C$327</f>
        <v>8.8230000000000004</v>
      </c>
    </row>
    <row r="32" spans="1:33">
      <c r="B32" t="str">
        <f>'IND_CONS Sector all'!E$6</f>
        <v>Lignite &amp; Derivatives</v>
      </c>
      <c r="C32" s="64">
        <f t="shared" si="0"/>
        <v>1.883</v>
      </c>
      <c r="D32" s="64">
        <f>'IND_CONS Sector all'!$E$8</f>
        <v>0</v>
      </c>
      <c r="E32" s="64">
        <f>'IND_CONS Sector all'!$E$19</f>
        <v>0</v>
      </c>
      <c r="F32" s="64">
        <f>'IND_CONS Sector all'!$E$30</f>
        <v>0</v>
      </c>
      <c r="G32" s="64">
        <f>'IND_CONS Sector all'!$E$41</f>
        <v>0</v>
      </c>
      <c r="H32" s="64">
        <f>'IND_CONS Sector all'!$E$52</f>
        <v>1.0920000000000001</v>
      </c>
      <c r="I32" s="64">
        <f>'IND_CONS Sector all'!$E$63</f>
        <v>0.78</v>
      </c>
      <c r="J32" s="64">
        <f>'IND_CONS Sector all'!$E$74</f>
        <v>0</v>
      </c>
      <c r="K32" s="64">
        <f>'IND_CONS Sector all'!$E$85</f>
        <v>0</v>
      </c>
      <c r="L32" s="64">
        <f>'IND_CONS Sector all'!$E$96</f>
        <v>0</v>
      </c>
      <c r="M32" s="64">
        <f>'IND_CONS Sector all'!$E$107</f>
        <v>0</v>
      </c>
      <c r="N32" s="64">
        <f>'IND_CONS Sector all'!$E$118</f>
        <v>0</v>
      </c>
      <c r="O32" s="64">
        <f>'IND_CONS Sector all'!$E$129</f>
        <v>0</v>
      </c>
      <c r="P32" s="64">
        <f>'IND_CONS Sector all'!$E$140</f>
        <v>0</v>
      </c>
      <c r="Q32" s="64">
        <f>'IND_CONS Sector all'!$E$151</f>
        <v>0</v>
      </c>
      <c r="R32" s="64">
        <f>'IND_CONS Sector all'!$E$162</f>
        <v>0</v>
      </c>
      <c r="S32" s="64">
        <f>'IND_CONS Sector all'!$E$173</f>
        <v>0</v>
      </c>
      <c r="T32" s="64">
        <f>'IND_CONS Sector all'!$E$184</f>
        <v>0</v>
      </c>
      <c r="U32" s="64">
        <f>'IND_CONS Sector all'!$E$195</f>
        <v>0</v>
      </c>
      <c r="V32" s="64">
        <f>'IND_CONS Sector all'!$E$206</f>
        <v>0</v>
      </c>
      <c r="W32" s="64">
        <f>'IND_CONS Sector all'!$E$217</f>
        <v>0</v>
      </c>
      <c r="X32" s="64">
        <f>'IND_CONS Sector all'!$E$228</f>
        <v>0</v>
      </c>
      <c r="Y32" s="64">
        <f>'IND_CONS Sector all'!$E$239</f>
        <v>0</v>
      </c>
      <c r="Z32" s="64">
        <f>'IND_CONS Sector all'!$E$250</f>
        <v>0</v>
      </c>
      <c r="AA32" s="64">
        <f>'IND_CONS Sector all'!$E$261</f>
        <v>0</v>
      </c>
      <c r="AB32" s="64">
        <f>'IND_CONS Sector all'!$E$272</f>
        <v>0</v>
      </c>
      <c r="AC32" s="64">
        <f>'IND_CONS Sector all'!$E$283</f>
        <v>1.0999999999999999E-2</v>
      </c>
      <c r="AD32" s="64">
        <f>'IND_CONS Sector all'!$E$294</f>
        <v>0</v>
      </c>
      <c r="AE32" s="64">
        <f>'IND_CONS Sector all'!$E$305</f>
        <v>0</v>
      </c>
      <c r="AF32" s="64">
        <f>'IND_CONS Sector all'!$E$316</f>
        <v>0</v>
      </c>
      <c r="AG32" s="64">
        <f>'IND_CONS Sector all'!$E$327</f>
        <v>0</v>
      </c>
    </row>
    <row r="33" spans="1:33">
      <c r="B33" t="str">
        <f>'IND_CONS Sector all'!G$6</f>
        <v>Refinery Gas</v>
      </c>
      <c r="C33" s="64">
        <f t="shared" si="0"/>
        <v>0</v>
      </c>
      <c r="D33" s="64">
        <f>'IND_CONS Sector all'!$G$8</f>
        <v>0</v>
      </c>
      <c r="E33" s="64">
        <f>'IND_CONS Sector all'!$G$19</f>
        <v>0</v>
      </c>
      <c r="F33" s="64">
        <f>'IND_CONS Sector all'!$G$30</f>
        <v>0</v>
      </c>
      <c r="G33" s="64">
        <f>'IND_CONS Sector all'!$G$41</f>
        <v>0</v>
      </c>
      <c r="H33" s="64">
        <f>'IND_CONS Sector all'!$G$52</f>
        <v>0</v>
      </c>
      <c r="I33" s="64">
        <f>'IND_CONS Sector all'!$G$63</f>
        <v>0</v>
      </c>
      <c r="J33" s="64">
        <f>'IND_CONS Sector all'!$G$74</f>
        <v>0</v>
      </c>
      <c r="K33" s="64">
        <f>'IND_CONS Sector all'!$G$85</f>
        <v>0</v>
      </c>
      <c r="L33" s="64">
        <f>'IND_CONS Sector all'!$G$96</f>
        <v>0</v>
      </c>
      <c r="M33" s="64">
        <f>'IND_CONS Sector all'!$G$107</f>
        <v>0</v>
      </c>
      <c r="N33" s="64">
        <f>'IND_CONS Sector all'!$G$118</f>
        <v>0</v>
      </c>
      <c r="O33" s="64">
        <f>'IND_CONS Sector all'!$G$129</f>
        <v>0</v>
      </c>
      <c r="P33" s="64">
        <f>'IND_CONS Sector all'!$G$140</f>
        <v>0</v>
      </c>
      <c r="Q33" s="64">
        <f>'IND_CONS Sector all'!$G$151</f>
        <v>0</v>
      </c>
      <c r="R33" s="64">
        <f>'IND_CONS Sector all'!$G$162</f>
        <v>0</v>
      </c>
      <c r="S33" s="64">
        <f>'IND_CONS Sector all'!$G$173</f>
        <v>0</v>
      </c>
      <c r="T33" s="64">
        <f>'IND_CONS Sector all'!$G$184</f>
        <v>0</v>
      </c>
      <c r="U33" s="64">
        <f>'IND_CONS Sector all'!$G$195</f>
        <v>0</v>
      </c>
      <c r="V33" s="64">
        <f>'IND_CONS Sector all'!$G$206</f>
        <v>0</v>
      </c>
      <c r="W33" s="64">
        <f>'IND_CONS Sector all'!$G$217</f>
        <v>0</v>
      </c>
      <c r="X33" s="64">
        <f>'IND_CONS Sector all'!$G$228</f>
        <v>0</v>
      </c>
      <c r="Y33" s="64">
        <f>'IND_CONS Sector all'!$G$239</f>
        <v>0</v>
      </c>
      <c r="Z33" s="64">
        <f>'IND_CONS Sector all'!$G$250</f>
        <v>0</v>
      </c>
      <c r="AA33" s="64">
        <f>'IND_CONS Sector all'!$G$261</f>
        <v>0</v>
      </c>
      <c r="AB33" s="64">
        <f>'IND_CONS Sector all'!$G$272</f>
        <v>0</v>
      </c>
      <c r="AC33" s="64">
        <f>'IND_CONS Sector all'!$G$283</f>
        <v>0</v>
      </c>
      <c r="AD33" s="64">
        <f>'IND_CONS Sector all'!$G$294</f>
        <v>0</v>
      </c>
      <c r="AE33" s="64">
        <f>'IND_CONS Sector all'!$G$305</f>
        <v>0</v>
      </c>
      <c r="AF33" s="64">
        <f>'IND_CONS Sector all'!$G$316</f>
        <v>0</v>
      </c>
      <c r="AG33" s="64">
        <f>'IND_CONS Sector all'!$G$327</f>
        <v>0</v>
      </c>
    </row>
    <row r="34" spans="1:33">
      <c r="B34" t="str">
        <f>'IND_CONS Sector all'!K$6</f>
        <v>Gas / Diesel Oil</v>
      </c>
      <c r="C34" s="64">
        <f t="shared" si="0"/>
        <v>8.0079999999999991</v>
      </c>
      <c r="D34" s="64">
        <f>'IND_CONS Sector all'!$K$8</f>
        <v>0</v>
      </c>
      <c r="E34" s="64">
        <f>'IND_CONS Sector all'!$K$19</f>
        <v>0.55400000000000005</v>
      </c>
      <c r="F34" s="64">
        <f>'IND_CONS Sector all'!$K$30</f>
        <v>8.5000000000000006E-2</v>
      </c>
      <c r="G34" s="64">
        <f>'IND_CONS Sector all'!$K$41</f>
        <v>0</v>
      </c>
      <c r="H34" s="64">
        <f>'IND_CONS Sector all'!$K$52</f>
        <v>8.5000000000000006E-2</v>
      </c>
      <c r="I34" s="64">
        <f>'IND_CONS Sector all'!$K$63</f>
        <v>1.022</v>
      </c>
      <c r="J34" s="64">
        <f>'IND_CONS Sector all'!$K$74</f>
        <v>8.5000000000000006E-2</v>
      </c>
      <c r="K34" s="64">
        <f>'IND_CONS Sector all'!$K$85</f>
        <v>0</v>
      </c>
      <c r="L34" s="64">
        <f>'IND_CONS Sector all'!$K$96</f>
        <v>3.8769999999999998</v>
      </c>
      <c r="M34" s="64">
        <f>'IND_CONS Sector all'!$K$107</f>
        <v>0</v>
      </c>
      <c r="N34" s="64">
        <f>'IND_CONS Sector all'!$K$118</f>
        <v>0.21299999999999999</v>
      </c>
      <c r="O34" s="64">
        <f>'IND_CONS Sector all'!$K$129</f>
        <v>4.2999999999999997E-2</v>
      </c>
      <c r="P34" s="64">
        <f>'IND_CONS Sector all'!$K$140</f>
        <v>0</v>
      </c>
      <c r="Q34" s="64">
        <f>'IND_CONS Sector all'!$K$151</f>
        <v>0</v>
      </c>
      <c r="R34" s="64">
        <f>'IND_CONS Sector all'!$K$162</f>
        <v>0.38300000000000001</v>
      </c>
      <c r="S34" s="64">
        <f>'IND_CONS Sector all'!$K$173</f>
        <v>0</v>
      </c>
      <c r="T34" s="64">
        <f>'IND_CONS Sector all'!$K$184</f>
        <v>8.5000000000000006E-2</v>
      </c>
      <c r="U34" s="64">
        <f>'IND_CONS Sector all'!$K$195</f>
        <v>4.2999999999999997E-2</v>
      </c>
      <c r="V34" s="64">
        <f>'IND_CONS Sector all'!$K$206</f>
        <v>0</v>
      </c>
      <c r="W34" s="64">
        <f>'IND_CONS Sector all'!$K$217</f>
        <v>0.128</v>
      </c>
      <c r="X34" s="64">
        <f>'IND_CONS Sector all'!$K$228</f>
        <v>8.5000000000000006E-2</v>
      </c>
      <c r="Y34" s="64">
        <f>'IND_CONS Sector all'!$K$239</f>
        <v>0.17</v>
      </c>
      <c r="Z34" s="64">
        <f>'IND_CONS Sector all'!$K$250</f>
        <v>0.21199999999999999</v>
      </c>
      <c r="AA34" s="64">
        <f>'IND_CONS Sector all'!$K$261</f>
        <v>0.89500000000000002</v>
      </c>
      <c r="AB34" s="64">
        <f>'IND_CONS Sector all'!$K$272</f>
        <v>4.2999999999999997E-2</v>
      </c>
      <c r="AC34" s="64">
        <f>'IND_CONS Sector all'!$K$283</f>
        <v>0</v>
      </c>
      <c r="AD34" s="64">
        <f>'IND_CONS Sector all'!$K$294</f>
        <v>0</v>
      </c>
      <c r="AE34" s="64">
        <f>'IND_CONS Sector all'!$K$305</f>
        <v>0.51100000000000001</v>
      </c>
      <c r="AF34" s="64">
        <f>'IND_CONS Sector all'!$K$316</f>
        <v>0</v>
      </c>
      <c r="AG34" s="64">
        <f>'IND_CONS Sector all'!$K$327</f>
        <v>0.46899999999999997</v>
      </c>
    </row>
    <row r="35" spans="1:33">
      <c r="B35" t="str">
        <f>'IND_CONS Sector all'!L$6</f>
        <v>Residual Fuel Oil</v>
      </c>
      <c r="C35" s="64">
        <f t="shared" si="0"/>
        <v>80.919999999999987</v>
      </c>
      <c r="D35" s="64">
        <f>'IND_CONS Sector all'!$L$8</f>
        <v>0.4</v>
      </c>
      <c r="E35" s="64">
        <f>'IND_CONS Sector all'!$L$19</f>
        <v>0.48</v>
      </c>
      <c r="F35" s="64">
        <f>'IND_CONS Sector all'!$L$30</f>
        <v>0</v>
      </c>
      <c r="G35" s="64">
        <f>'IND_CONS Sector all'!$L$41</f>
        <v>0</v>
      </c>
      <c r="H35" s="64">
        <f>'IND_CONS Sector all'!$L$52</f>
        <v>4.04</v>
      </c>
      <c r="I35" s="64">
        <f>'IND_CONS Sector all'!$L$63</f>
        <v>29.84</v>
      </c>
      <c r="J35" s="64">
        <f>'IND_CONS Sector all'!$L$74</f>
        <v>0</v>
      </c>
      <c r="K35" s="64">
        <f>'IND_CONS Sector all'!$L$85</f>
        <v>0</v>
      </c>
      <c r="L35" s="64">
        <f>'IND_CONS Sector all'!$L$96</f>
        <v>2.08</v>
      </c>
      <c r="M35" s="64">
        <f>'IND_CONS Sector all'!$L$107</f>
        <v>15</v>
      </c>
      <c r="N35" s="64">
        <f>'IND_CONS Sector all'!$L$118</f>
        <v>0</v>
      </c>
      <c r="O35" s="64">
        <f>'IND_CONS Sector all'!$L$129</f>
        <v>0.16</v>
      </c>
      <c r="P35" s="64">
        <f>'IND_CONS Sector all'!$L$140</f>
        <v>0</v>
      </c>
      <c r="Q35" s="64">
        <f>'IND_CONS Sector all'!$L$151</f>
        <v>0</v>
      </c>
      <c r="R35" s="64">
        <f>'IND_CONS Sector all'!$L$162</f>
        <v>3.08</v>
      </c>
      <c r="S35" s="64">
        <f>'IND_CONS Sector all'!$L$173</f>
        <v>0</v>
      </c>
      <c r="T35" s="64">
        <f>'IND_CONS Sector all'!$L$184</f>
        <v>0</v>
      </c>
      <c r="U35" s="64">
        <f>'IND_CONS Sector all'!$L$195</f>
        <v>0</v>
      </c>
      <c r="V35" s="64">
        <f>'IND_CONS Sector all'!$L$206</f>
        <v>0</v>
      </c>
      <c r="W35" s="64">
        <f>'IND_CONS Sector all'!$L$217</f>
        <v>0</v>
      </c>
      <c r="X35" s="64">
        <f>'IND_CONS Sector all'!$L$228</f>
        <v>0</v>
      </c>
      <c r="Y35" s="64">
        <f>'IND_CONS Sector all'!$L$239</f>
        <v>1.1599999999999999</v>
      </c>
      <c r="Z35" s="64">
        <f>'IND_CONS Sector all'!$L$250</f>
        <v>8.2799999999999994</v>
      </c>
      <c r="AA35" s="64">
        <f>'IND_CONS Sector all'!$L$261</f>
        <v>5</v>
      </c>
      <c r="AB35" s="64">
        <f>'IND_CONS Sector all'!$L$272</f>
        <v>0</v>
      </c>
      <c r="AC35" s="64">
        <f>'IND_CONS Sector all'!$L$283</f>
        <v>0.08</v>
      </c>
      <c r="AD35" s="64">
        <f>'IND_CONS Sector all'!$L$294</f>
        <v>11.32</v>
      </c>
      <c r="AE35" s="64">
        <f>'IND_CONS Sector all'!$L$305</f>
        <v>0.04</v>
      </c>
      <c r="AF35" s="64">
        <f>'IND_CONS Sector all'!$L$316</f>
        <v>0</v>
      </c>
      <c r="AG35" s="64">
        <f>'IND_CONS Sector all'!$L$327</f>
        <v>0</v>
      </c>
    </row>
    <row r="36" spans="1:33">
      <c r="B36" t="str">
        <f>'IND_CONS Sector all'!O$6</f>
        <v>Wood &amp; Wood Waste</v>
      </c>
      <c r="C36" s="64">
        <f t="shared" si="0"/>
        <v>0.113</v>
      </c>
      <c r="D36" s="64">
        <f>'IND_CONS Sector all'!$O$8</f>
        <v>0</v>
      </c>
      <c r="E36" s="64">
        <f>'IND_CONS Sector all'!$O$19</f>
        <v>0</v>
      </c>
      <c r="F36" s="64">
        <f>'IND_CONS Sector all'!$O$30</f>
        <v>5.0000000000000001E-3</v>
      </c>
      <c r="G36" s="64">
        <f>'IND_CONS Sector all'!$O$41</f>
        <v>0</v>
      </c>
      <c r="H36" s="64">
        <f>'IND_CONS Sector all'!$O$52</f>
        <v>8.9999999999999993E-3</v>
      </c>
      <c r="I36" s="64">
        <f>'IND_CONS Sector all'!$O$63</f>
        <v>0</v>
      </c>
      <c r="J36" s="64">
        <f>'IND_CONS Sector all'!$O$74</f>
        <v>0</v>
      </c>
      <c r="K36" s="64">
        <f>'IND_CONS Sector all'!$O$85</f>
        <v>0</v>
      </c>
      <c r="L36" s="64">
        <f>'IND_CONS Sector all'!$O$96</f>
        <v>3.3000000000000002E-2</v>
      </c>
      <c r="M36" s="64">
        <f>'IND_CONS Sector all'!$O$107</f>
        <v>0</v>
      </c>
      <c r="N36" s="64">
        <f>'IND_CONS Sector all'!$O$118</f>
        <v>0</v>
      </c>
      <c r="O36" s="64">
        <f>'IND_CONS Sector all'!$O$129</f>
        <v>0</v>
      </c>
      <c r="P36" s="64">
        <f>'IND_CONS Sector all'!$O$140</f>
        <v>0</v>
      </c>
      <c r="Q36" s="64">
        <f>'IND_CONS Sector all'!$O$151</f>
        <v>0</v>
      </c>
      <c r="R36" s="64">
        <f>'IND_CONS Sector all'!$O$162</f>
        <v>0</v>
      </c>
      <c r="S36" s="64">
        <f>'IND_CONS Sector all'!$O$173</f>
        <v>0</v>
      </c>
      <c r="T36" s="64">
        <f>'IND_CONS Sector all'!$O$184</f>
        <v>0</v>
      </c>
      <c r="U36" s="64">
        <f>'IND_CONS Sector all'!$O$195</f>
        <v>0</v>
      </c>
      <c r="V36" s="64">
        <f>'IND_CONS Sector all'!$O$206</f>
        <v>0</v>
      </c>
      <c r="W36" s="64">
        <f>'IND_CONS Sector all'!$O$217</f>
        <v>0</v>
      </c>
      <c r="X36" s="64">
        <f>'IND_CONS Sector all'!$O$228</f>
        <v>2E-3</v>
      </c>
      <c r="Y36" s="64">
        <f>'IND_CONS Sector all'!$O$239</f>
        <v>0</v>
      </c>
      <c r="Z36" s="64">
        <f>'IND_CONS Sector all'!$O$250</f>
        <v>0</v>
      </c>
      <c r="AA36" s="64">
        <f>'IND_CONS Sector all'!$O$261</f>
        <v>0</v>
      </c>
      <c r="AB36" s="64">
        <f>'IND_CONS Sector all'!$O$272</f>
        <v>0</v>
      </c>
      <c r="AC36" s="64">
        <f>'IND_CONS Sector all'!$O$283</f>
        <v>6.4000000000000001E-2</v>
      </c>
      <c r="AD36" s="64">
        <f>'IND_CONS Sector all'!$O$294</f>
        <v>0</v>
      </c>
      <c r="AE36" s="64">
        <f>'IND_CONS Sector all'!$O$305</f>
        <v>0.129</v>
      </c>
      <c r="AF36" s="64">
        <f>'IND_CONS Sector all'!$O$316</f>
        <v>0</v>
      </c>
      <c r="AG36" s="64">
        <f>'IND_CONS Sector all'!$O$327</f>
        <v>8.6999999999999994E-2</v>
      </c>
    </row>
    <row r="37" spans="1:33">
      <c r="B37" t="str">
        <f>'IND_CONS Sector all'!Q$6</f>
        <v>MSW</v>
      </c>
      <c r="C37" s="64">
        <f t="shared" si="0"/>
        <v>0</v>
      </c>
      <c r="D37" s="64">
        <f>'IND_CONS Sector all'!$Q$8</f>
        <v>0</v>
      </c>
      <c r="E37" s="64">
        <f>'IND_CONS Sector all'!$Q$19</f>
        <v>0</v>
      </c>
      <c r="F37" s="64">
        <f>'IND_CONS Sector all'!$Q$30</f>
        <v>0</v>
      </c>
      <c r="G37" s="64">
        <f>'IND_CONS Sector all'!$Q$41</f>
        <v>0</v>
      </c>
      <c r="H37" s="64">
        <f>'IND_CONS Sector all'!$Q$52</f>
        <v>0</v>
      </c>
      <c r="I37" s="64">
        <f>'IND_CONS Sector all'!$Q$63</f>
        <v>0</v>
      </c>
      <c r="J37" s="64">
        <f>'IND_CONS Sector all'!$Q$74</f>
        <v>0</v>
      </c>
      <c r="K37" s="64">
        <f>'IND_CONS Sector all'!$Q$85</f>
        <v>0</v>
      </c>
      <c r="L37" s="64">
        <f>'IND_CONS Sector all'!$Q$96</f>
        <v>0</v>
      </c>
      <c r="M37" s="64">
        <f>'IND_CONS Sector all'!$Q$107</f>
        <v>0</v>
      </c>
      <c r="N37" s="64">
        <f>'IND_CONS Sector all'!$Q$118</f>
        <v>0</v>
      </c>
      <c r="O37" s="64">
        <f>'IND_CONS Sector all'!$Q$129</f>
        <v>0</v>
      </c>
      <c r="P37" s="64">
        <f>'IND_CONS Sector all'!$Q$140</f>
        <v>0</v>
      </c>
      <c r="Q37" s="64">
        <f>'IND_CONS Sector all'!$Q$151</f>
        <v>0</v>
      </c>
      <c r="R37" s="64">
        <f>'IND_CONS Sector all'!$Q$162</f>
        <v>0</v>
      </c>
      <c r="S37" s="64">
        <f>'IND_CONS Sector all'!$Q$173</f>
        <v>0</v>
      </c>
      <c r="T37" s="64">
        <f>'IND_CONS Sector all'!$Q$184</f>
        <v>0</v>
      </c>
      <c r="U37" s="64">
        <f>'IND_CONS Sector all'!$Q$195</f>
        <v>0</v>
      </c>
      <c r="V37" s="64">
        <f>'IND_CONS Sector all'!$Q$206</f>
        <v>0</v>
      </c>
      <c r="W37" s="64">
        <f>'IND_CONS Sector all'!$Q$217</f>
        <v>0</v>
      </c>
      <c r="X37" s="64">
        <f>'IND_CONS Sector all'!$Q$228</f>
        <v>0</v>
      </c>
      <c r="Y37" s="64">
        <f>'IND_CONS Sector all'!$Q$239</f>
        <v>0</v>
      </c>
      <c r="Z37" s="64">
        <f>'IND_CONS Sector all'!$Q$250</f>
        <v>0</v>
      </c>
      <c r="AA37" s="64">
        <f>'IND_CONS Sector all'!$Q$261</f>
        <v>0</v>
      </c>
      <c r="AB37" s="64">
        <f>'IND_CONS Sector all'!$Q$272</f>
        <v>0</v>
      </c>
      <c r="AC37" s="64">
        <f>'IND_CONS Sector all'!$Q$283</f>
        <v>0</v>
      </c>
      <c r="AD37" s="64">
        <f>'IND_CONS Sector all'!$Q$294</f>
        <v>0</v>
      </c>
      <c r="AE37" s="64">
        <f>'IND_CONS Sector all'!$Q$305</f>
        <v>0</v>
      </c>
      <c r="AF37" s="64">
        <f>'IND_CONS Sector all'!$Q$316</f>
        <v>0</v>
      </c>
      <c r="AG37" s="64">
        <f>'IND_CONS Sector all'!$Q$327</f>
        <v>0</v>
      </c>
    </row>
    <row r="38" spans="1:33">
      <c r="B38" t="str">
        <f>'IND_CONS Sector all'!S$6</f>
        <v>Industrial Wastes</v>
      </c>
      <c r="C38" s="64">
        <f t="shared" si="0"/>
        <v>1.077</v>
      </c>
      <c r="D38" s="64">
        <f>'IND_CONS Sector all'!$S$8</f>
        <v>0</v>
      </c>
      <c r="E38" s="64">
        <f>'IND_CONS Sector all'!$S$19</f>
        <v>0</v>
      </c>
      <c r="F38" s="64">
        <f>'IND_CONS Sector all'!$S$30</f>
        <v>0</v>
      </c>
      <c r="G38" s="64">
        <f>'IND_CONS Sector all'!$S$41</f>
        <v>0</v>
      </c>
      <c r="H38" s="64">
        <f>'IND_CONS Sector all'!$S$52</f>
        <v>0</v>
      </c>
      <c r="I38" s="64">
        <f>'IND_CONS Sector all'!$S$63</f>
        <v>0</v>
      </c>
      <c r="J38" s="64">
        <f>'IND_CONS Sector all'!$S$74</f>
        <v>0</v>
      </c>
      <c r="K38" s="64">
        <f>'IND_CONS Sector all'!$S$85</f>
        <v>0</v>
      </c>
      <c r="L38" s="64">
        <f>'IND_CONS Sector all'!$S$96</f>
        <v>0</v>
      </c>
      <c r="M38" s="64">
        <f>'IND_CONS Sector all'!$S$107</f>
        <v>0</v>
      </c>
      <c r="N38" s="64">
        <f>'IND_CONS Sector all'!$S$118</f>
        <v>0</v>
      </c>
      <c r="O38" s="64">
        <f>'IND_CONS Sector all'!$S$129</f>
        <v>0</v>
      </c>
      <c r="P38" s="64">
        <f>'IND_CONS Sector all'!$S$140</f>
        <v>0</v>
      </c>
      <c r="Q38" s="64">
        <f>'IND_CONS Sector all'!$S$151</f>
        <v>0</v>
      </c>
      <c r="R38" s="64">
        <f>'IND_CONS Sector all'!$S$162</f>
        <v>0</v>
      </c>
      <c r="S38" s="64">
        <f>'IND_CONS Sector all'!$S$173</f>
        <v>0</v>
      </c>
      <c r="T38" s="64">
        <f>'IND_CONS Sector all'!$S$184</f>
        <v>0</v>
      </c>
      <c r="U38" s="64">
        <f>'IND_CONS Sector all'!$S$195</f>
        <v>0</v>
      </c>
      <c r="V38" s="64">
        <f>'IND_CONS Sector all'!$S$206</f>
        <v>0</v>
      </c>
      <c r="W38" s="64">
        <f>'IND_CONS Sector all'!$S$217</f>
        <v>0</v>
      </c>
      <c r="X38" s="64">
        <f>'IND_CONS Sector all'!$S$228</f>
        <v>0.80600000000000005</v>
      </c>
      <c r="Y38" s="64">
        <f>'IND_CONS Sector all'!$S$239</f>
        <v>0</v>
      </c>
      <c r="Z38" s="64">
        <f>'IND_CONS Sector all'!$S$250</f>
        <v>0.27100000000000002</v>
      </c>
      <c r="AA38" s="64">
        <f>'IND_CONS Sector all'!$S$261</f>
        <v>0</v>
      </c>
      <c r="AB38" s="64">
        <f>'IND_CONS Sector all'!$S$272</f>
        <v>0</v>
      </c>
      <c r="AC38" s="64">
        <f>'IND_CONS Sector all'!$S$283</f>
        <v>0</v>
      </c>
      <c r="AD38" s="64">
        <f>'IND_CONS Sector all'!$S$294</f>
        <v>0</v>
      </c>
      <c r="AE38" s="64">
        <f>'IND_CONS Sector all'!$S$305</f>
        <v>0</v>
      </c>
      <c r="AF38" s="64">
        <f>'IND_CONS Sector all'!$S$316</f>
        <v>0</v>
      </c>
      <c r="AG38" s="64">
        <f>'IND_CONS Sector all'!$S$327</f>
        <v>0</v>
      </c>
    </row>
    <row r="39" spans="1:33">
      <c r="B39" t="str">
        <f>'IND_CONS Sector all'!T$6</f>
        <v>Natural Gas</v>
      </c>
      <c r="C39" s="64">
        <f t="shared" si="0"/>
        <v>435.13900000000001</v>
      </c>
      <c r="D39" s="64">
        <f>'IND_CONS Sector all'!$T$8</f>
        <v>16.024999999999999</v>
      </c>
      <c r="E39" s="64">
        <f>'IND_CONS Sector all'!$T$19</f>
        <v>30.452000000000002</v>
      </c>
      <c r="F39" s="64">
        <f>'IND_CONS Sector all'!$T$30</f>
        <v>10.869</v>
      </c>
      <c r="G39" s="64">
        <f>'IND_CONS Sector all'!$T$41</f>
        <v>0</v>
      </c>
      <c r="H39" s="64">
        <f>'IND_CONS Sector all'!$T$52</f>
        <v>11.613</v>
      </c>
      <c r="I39" s="64">
        <f>'IND_CONS Sector all'!$T$63</f>
        <v>81.545000000000002</v>
      </c>
      <c r="J39" s="64">
        <f>'IND_CONS Sector all'!$T$74</f>
        <v>1.4510000000000001</v>
      </c>
      <c r="K39" s="64">
        <f>'IND_CONS Sector all'!$T$85</f>
        <v>2.3E-2</v>
      </c>
      <c r="L39" s="64">
        <f>'IND_CONS Sector all'!$T$96</f>
        <v>46.802</v>
      </c>
      <c r="M39" s="64">
        <f>'IND_CONS Sector all'!$T$107</f>
        <v>2.2610000000000001</v>
      </c>
      <c r="N39" s="64">
        <f>'IND_CONS Sector all'!$T$118</f>
        <v>33.404000000000003</v>
      </c>
      <c r="O39" s="64">
        <f>'IND_CONS Sector all'!$T$129</f>
        <v>2.927</v>
      </c>
      <c r="P39" s="64">
        <f>'IND_CONS Sector all'!$T$140</f>
        <v>5.774</v>
      </c>
      <c r="Q39" s="64">
        <f>'IND_CONS Sector all'!$T$151</f>
        <v>0</v>
      </c>
      <c r="R39" s="64">
        <f>'IND_CONS Sector all'!$T$162</f>
        <v>81.733000000000004</v>
      </c>
      <c r="S39" s="64">
        <f>'IND_CONS Sector all'!$T$173</f>
        <v>0.05</v>
      </c>
      <c r="T39" s="64">
        <f>'IND_CONS Sector all'!$T$184</f>
        <v>7.1150000000000002</v>
      </c>
      <c r="U39" s="64">
        <f>'IND_CONS Sector all'!$T$195</f>
        <v>4.125</v>
      </c>
      <c r="V39" s="64">
        <f>'IND_CONS Sector all'!$T$206</f>
        <v>0</v>
      </c>
      <c r="W39" s="64">
        <f>'IND_CONS Sector all'!$T$217</f>
        <v>12.254</v>
      </c>
      <c r="X39" s="64">
        <f>'IND_CONS Sector all'!$T$228</f>
        <v>19.991</v>
      </c>
      <c r="Y39" s="64">
        <f>'IND_CONS Sector all'!$T$239</f>
        <v>1.7270000000000001</v>
      </c>
      <c r="Z39" s="64">
        <f>'IND_CONS Sector all'!$T$250</f>
        <v>27.122</v>
      </c>
      <c r="AA39" s="64">
        <f>'IND_CONS Sector all'!$T$261</f>
        <v>1.135</v>
      </c>
      <c r="AB39" s="64">
        <f>'IND_CONS Sector all'!$T$272</f>
        <v>3.1989999999999998</v>
      </c>
      <c r="AC39" s="64">
        <f>'IND_CONS Sector all'!$T$283</f>
        <v>6.1020000000000003</v>
      </c>
      <c r="AD39" s="64">
        <f>'IND_CONS Sector all'!$T$294</f>
        <v>27.44</v>
      </c>
      <c r="AE39" s="64">
        <f>'IND_CONS Sector all'!$T$305</f>
        <v>2.6059999999999999</v>
      </c>
      <c r="AF39" s="64">
        <f>'IND_CONS Sector all'!$T$316</f>
        <v>0</v>
      </c>
      <c r="AG39" s="64">
        <f>'IND_CONS Sector all'!$T$327</f>
        <v>6.7000000000000004E-2</v>
      </c>
    </row>
    <row r="40" spans="1:33">
      <c r="B40" t="str">
        <f>'IND_CONS Sector all'!U$6</f>
        <v>Coke-Oven Gas</v>
      </c>
      <c r="C40" s="64">
        <f t="shared" si="0"/>
        <v>111.59999999999997</v>
      </c>
      <c r="D40" s="64">
        <f>'IND_CONS Sector all'!$U$8</f>
        <v>2.2709999999999999</v>
      </c>
      <c r="E40" s="64">
        <f>'IND_CONS Sector all'!$U$19</f>
        <v>8.0869999999999997</v>
      </c>
      <c r="F40" s="64">
        <f>'IND_CONS Sector all'!$U$30</f>
        <v>1.395</v>
      </c>
      <c r="G40" s="64">
        <f>'IND_CONS Sector all'!$U$41</f>
        <v>0</v>
      </c>
      <c r="H40" s="64">
        <f>'IND_CONS Sector all'!$U$52</f>
        <v>6.0289999999999999</v>
      </c>
      <c r="I40" s="64">
        <f>'IND_CONS Sector all'!$U$63</f>
        <v>24.972999999999999</v>
      </c>
      <c r="J40" s="64">
        <f>'IND_CONS Sector all'!$U$74</f>
        <v>0</v>
      </c>
      <c r="K40" s="64">
        <f>'IND_CONS Sector all'!$U$85</f>
        <v>0</v>
      </c>
      <c r="L40" s="64">
        <f>'IND_CONS Sector all'!$U$96</f>
        <v>4.9050000000000002</v>
      </c>
      <c r="M40" s="64">
        <f>'IND_CONS Sector all'!$U$107</f>
        <v>5.9080000000000004</v>
      </c>
      <c r="N40" s="64">
        <f>'IND_CONS Sector all'!$U$118</f>
        <v>15.755000000000001</v>
      </c>
      <c r="O40" s="64">
        <f>'IND_CONS Sector all'!$U$129</f>
        <v>0</v>
      </c>
      <c r="P40" s="64">
        <f>'IND_CONS Sector all'!$U$140</f>
        <v>1.5820000000000001</v>
      </c>
      <c r="Q40" s="64">
        <f>'IND_CONS Sector all'!$U$151</f>
        <v>0</v>
      </c>
      <c r="R40" s="64">
        <f>'IND_CONS Sector all'!$U$162</f>
        <v>0</v>
      </c>
      <c r="S40" s="64">
        <f>'IND_CONS Sector all'!$U$173</f>
        <v>0</v>
      </c>
      <c r="T40" s="64">
        <f>'IND_CONS Sector all'!$U$184</f>
        <v>0</v>
      </c>
      <c r="U40" s="64">
        <f>'IND_CONS Sector all'!$U$195</f>
        <v>0</v>
      </c>
      <c r="V40" s="64">
        <f>'IND_CONS Sector all'!$U$206</f>
        <v>0</v>
      </c>
      <c r="W40" s="64">
        <f>'IND_CONS Sector all'!$U$217</f>
        <v>8.1720000000000006</v>
      </c>
      <c r="X40" s="64">
        <f>'IND_CONS Sector all'!$U$228</f>
        <v>11.895</v>
      </c>
      <c r="Y40" s="64">
        <f>'IND_CONS Sector all'!$U$239</f>
        <v>0</v>
      </c>
      <c r="Z40" s="64">
        <f>'IND_CONS Sector all'!$U$250</f>
        <v>4.9690000000000003</v>
      </c>
      <c r="AA40" s="64">
        <f>'IND_CONS Sector all'!$U$261</f>
        <v>3.3650000000000002</v>
      </c>
      <c r="AB40" s="64">
        <f>'IND_CONS Sector all'!$U$272</f>
        <v>0</v>
      </c>
      <c r="AC40" s="64">
        <f>'IND_CONS Sector all'!$U$283</f>
        <v>6.9279999999999999</v>
      </c>
      <c r="AD40" s="64">
        <f>'IND_CONS Sector all'!$U$294</f>
        <v>5.3659999999999997</v>
      </c>
      <c r="AE40" s="64">
        <f>'IND_CONS Sector all'!$U$305</f>
        <v>0</v>
      </c>
      <c r="AF40" s="64">
        <f>'IND_CONS Sector all'!$U$316</f>
        <v>0</v>
      </c>
      <c r="AG40" s="64">
        <f>'IND_CONS Sector all'!$U$327</f>
        <v>0</v>
      </c>
    </row>
    <row r="41" spans="1:33">
      <c r="B41" t="str">
        <f>'IND_CONS Sector all'!V$6</f>
        <v>Blast-Furnace Gas</v>
      </c>
      <c r="C41" s="64">
        <f t="shared" si="0"/>
        <v>237.49799999999996</v>
      </c>
      <c r="D41" s="64">
        <f>'IND_CONS Sector all'!$V$8</f>
        <v>12.644</v>
      </c>
      <c r="E41" s="64">
        <f>'IND_CONS Sector all'!$V$19</f>
        <v>12.673999999999999</v>
      </c>
      <c r="F41" s="64">
        <f>'IND_CONS Sector all'!$V$30</f>
        <v>2.536</v>
      </c>
      <c r="G41" s="64">
        <f>'IND_CONS Sector all'!$V$41</f>
        <v>0</v>
      </c>
      <c r="H41" s="64">
        <f>'IND_CONS Sector all'!$V$52</f>
        <v>10.922000000000001</v>
      </c>
      <c r="I41" s="64">
        <f>'IND_CONS Sector all'!$V$63</f>
        <v>77.034000000000006</v>
      </c>
      <c r="J41" s="64">
        <f>'IND_CONS Sector all'!$V$74</f>
        <v>0</v>
      </c>
      <c r="K41" s="64">
        <f>'IND_CONS Sector all'!$V$85</f>
        <v>0</v>
      </c>
      <c r="L41" s="64">
        <f>'IND_CONS Sector all'!$V$96</f>
        <v>6.9470000000000001</v>
      </c>
      <c r="M41" s="64">
        <f>'IND_CONS Sector all'!$V$107</f>
        <v>9.1760000000000002</v>
      </c>
      <c r="N41" s="64">
        <f>'IND_CONS Sector all'!$V$118</f>
        <v>25.721</v>
      </c>
      <c r="O41" s="64">
        <f>'IND_CONS Sector all'!$V$129</f>
        <v>0</v>
      </c>
      <c r="P41" s="64">
        <f>'IND_CONS Sector all'!$V$140</f>
        <v>3.27</v>
      </c>
      <c r="Q41" s="64">
        <f>'IND_CONS Sector all'!$V$151</f>
        <v>0</v>
      </c>
      <c r="R41" s="64">
        <f>'IND_CONS Sector all'!$V$162</f>
        <v>0.80100000000000005</v>
      </c>
      <c r="S41" s="64">
        <f>'IND_CONS Sector all'!$V$173</f>
        <v>0</v>
      </c>
      <c r="T41" s="64">
        <f>'IND_CONS Sector all'!$V$184</f>
        <v>0</v>
      </c>
      <c r="U41" s="64">
        <f>'IND_CONS Sector all'!$V$195</f>
        <v>0</v>
      </c>
      <c r="V41" s="64">
        <f>'IND_CONS Sector all'!$V$206</f>
        <v>0</v>
      </c>
      <c r="W41" s="64">
        <f>'IND_CONS Sector all'!$V$217</f>
        <v>12.385999999999999</v>
      </c>
      <c r="X41" s="64">
        <f>'IND_CONS Sector all'!$V$228</f>
        <v>14.566000000000001</v>
      </c>
      <c r="Y41" s="64">
        <f>'IND_CONS Sector all'!$V$239</f>
        <v>0</v>
      </c>
      <c r="Z41" s="64">
        <f>'IND_CONS Sector all'!$V$250</f>
        <v>18.577000000000002</v>
      </c>
      <c r="AA41" s="64">
        <f>'IND_CONS Sector all'!$V$261</f>
        <v>5.5090000000000003</v>
      </c>
      <c r="AB41" s="64">
        <f>'IND_CONS Sector all'!$V$272</f>
        <v>0</v>
      </c>
      <c r="AC41" s="64">
        <f>'IND_CONS Sector all'!$V$283</f>
        <v>8.4809999999999999</v>
      </c>
      <c r="AD41" s="64">
        <f>'IND_CONS Sector all'!$V$294</f>
        <v>16.254000000000001</v>
      </c>
      <c r="AE41" s="64">
        <f>'IND_CONS Sector all'!$V$305</f>
        <v>0</v>
      </c>
      <c r="AF41" s="64">
        <f>'IND_CONS Sector all'!$V$316</f>
        <v>0</v>
      </c>
      <c r="AG41" s="64">
        <f>'IND_CONS Sector all'!$V$327</f>
        <v>0.309</v>
      </c>
    </row>
    <row r="42" spans="1:33">
      <c r="B42" t="e">
        <f>#REF!</f>
        <v>#REF!</v>
      </c>
      <c r="C42" s="64" t="e">
        <f t="shared" si="0"/>
        <v>#REF!</v>
      </c>
      <c r="D42" s="64" t="e">
        <f>#REF!/1000</f>
        <v>#REF!</v>
      </c>
      <c r="E42" s="64" t="e">
        <f>#REF!/1000</f>
        <v>#REF!</v>
      </c>
      <c r="F42" s="64" t="e">
        <f>#REF!/1000</f>
        <v>#REF!</v>
      </c>
      <c r="G42" s="64" t="e">
        <f>#REF!/1000</f>
        <v>#REF!</v>
      </c>
      <c r="H42" s="64" t="e">
        <f>#REF!/1000</f>
        <v>#REF!</v>
      </c>
      <c r="I42" s="64" t="e">
        <f>#REF!/1000</f>
        <v>#REF!</v>
      </c>
      <c r="J42" s="64" t="e">
        <f>#REF!/1000</f>
        <v>#REF!</v>
      </c>
      <c r="K42" s="64" t="e">
        <f>#REF!/1000</f>
        <v>#REF!</v>
      </c>
      <c r="L42" s="64" t="e">
        <f>#REF!/1000</f>
        <v>#REF!</v>
      </c>
      <c r="M42" s="64" t="e">
        <f>#REF!/1000</f>
        <v>#REF!</v>
      </c>
      <c r="N42" s="64" t="e">
        <f>#REF!/1000</f>
        <v>#REF!</v>
      </c>
      <c r="O42" s="64" t="e">
        <f>#REF!/1000</f>
        <v>#REF!</v>
      </c>
      <c r="P42" s="64" t="e">
        <f>#REF!/1000</f>
        <v>#REF!</v>
      </c>
      <c r="Q42" s="64" t="e">
        <f>#REF!/1000</f>
        <v>#REF!</v>
      </c>
      <c r="R42" s="64" t="e">
        <f>#REF!/1000</f>
        <v>#REF!</v>
      </c>
      <c r="S42" s="64" t="e">
        <f>#REF!/1000</f>
        <v>#REF!</v>
      </c>
      <c r="T42" s="64" t="e">
        <f>#REF!/1000</f>
        <v>#REF!</v>
      </c>
      <c r="U42" s="64" t="e">
        <f>#REF!/1000</f>
        <v>#REF!</v>
      </c>
      <c r="V42" s="64" t="e">
        <f>#REF!/1000</f>
        <v>#REF!</v>
      </c>
      <c r="W42" s="64" t="e">
        <f>#REF!/1000</f>
        <v>#REF!</v>
      </c>
      <c r="X42" s="64" t="e">
        <f>#REF!/1000</f>
        <v>#REF!</v>
      </c>
      <c r="Y42" s="64" t="e">
        <f>#REF!/1000</f>
        <v>#REF!</v>
      </c>
      <c r="Z42" s="64" t="e">
        <f>#REF!/1000</f>
        <v>#REF!</v>
      </c>
      <c r="AA42" s="64" t="e">
        <f>#REF!/1000</f>
        <v>#REF!</v>
      </c>
      <c r="AB42" s="64" t="e">
        <f>#REF!/1000</f>
        <v>#REF!</v>
      </c>
      <c r="AC42" s="64" t="e">
        <f>#REF!/1000</f>
        <v>#REF!</v>
      </c>
      <c r="AD42" s="64" t="e">
        <f>#REF!/1000</f>
        <v>#REF!</v>
      </c>
      <c r="AE42" s="64" t="e">
        <f>#REF!/1000</f>
        <v>#REF!</v>
      </c>
      <c r="AF42" s="64" t="e">
        <f>#REF!/1000</f>
        <v>#REF!</v>
      </c>
      <c r="AG42" s="64" t="e">
        <f>#REF!/1000</f>
        <v>#REF!</v>
      </c>
    </row>
    <row r="43" spans="1:33">
      <c r="A43" t="s">
        <v>314</v>
      </c>
      <c r="B43" t="str">
        <f>'IND_CONS Sector all'!C$6</f>
        <v>Hard Coal &amp; Patent Fuels</v>
      </c>
      <c r="C43" s="64">
        <f t="shared" si="0"/>
        <v>84.302436</v>
      </c>
      <c r="D43" s="64">
        <f>'IND_CONS Sector all'!$C$10</f>
        <v>1.0048319999999999</v>
      </c>
      <c r="E43" s="64">
        <f>'IND_CONS Sector all'!$C$21</f>
        <v>0.16747200000000001</v>
      </c>
      <c r="F43" s="64">
        <f>'IND_CONS Sector all'!$C$32</f>
        <v>2.7770000000000001</v>
      </c>
      <c r="G43" s="64">
        <f>'IND_CONS Sector all'!$C$43</f>
        <v>0</v>
      </c>
      <c r="H43" s="64">
        <f>'IND_CONS Sector all'!$C$54</f>
        <v>4.479876</v>
      </c>
      <c r="I43" s="64">
        <f>'IND_CONS Sector all'!$C$65</f>
        <v>18.289000000000001</v>
      </c>
      <c r="J43" s="64">
        <f>'IND_CONS Sector all'!$C$76</f>
        <v>0.53</v>
      </c>
      <c r="K43" s="64">
        <f>'IND_CONS Sector all'!$C$87</f>
        <v>0</v>
      </c>
      <c r="L43" s="64">
        <f>'IND_CONS Sector all'!$C$98</f>
        <v>6.0039999999999996</v>
      </c>
      <c r="M43" s="64">
        <f>'IND_CONS Sector all'!$C$109</f>
        <v>2.27</v>
      </c>
      <c r="N43" s="64">
        <f>'IND_CONS Sector all'!$C$120</f>
        <v>13.020948000000001</v>
      </c>
      <c r="O43" s="64">
        <f>'IND_CONS Sector all'!$C$131</f>
        <v>0</v>
      </c>
      <c r="P43" s="64">
        <f>'IND_CONS Sector all'!$C$142</f>
        <v>0</v>
      </c>
      <c r="Q43" s="64">
        <f>'IND_CONS Sector all'!$C$153</f>
        <v>0</v>
      </c>
      <c r="R43" s="64">
        <f>'IND_CONS Sector all'!$C$164</f>
        <v>0.08</v>
      </c>
      <c r="S43" s="64">
        <f>'IND_CONS Sector all'!$C$175</f>
        <v>0</v>
      </c>
      <c r="T43" s="64">
        <f>'IND_CONS Sector all'!$C$186</f>
        <v>0</v>
      </c>
      <c r="U43" s="64">
        <f>'IND_CONS Sector all'!$C$197</f>
        <v>0</v>
      </c>
      <c r="V43" s="64">
        <f>'IND_CONS Sector all'!$C$208</f>
        <v>0</v>
      </c>
      <c r="W43" s="64">
        <f>'IND_CONS Sector all'!$C$219</f>
        <v>0</v>
      </c>
      <c r="X43" s="64">
        <f>'IND_CONS Sector all'!$C$230</f>
        <v>30.120999999999999</v>
      </c>
      <c r="Y43" s="64">
        <f>'IND_CONS Sector all'!$C$241</f>
        <v>0.51</v>
      </c>
      <c r="Z43" s="64">
        <f>'IND_CONS Sector all'!$C$252</f>
        <v>1.657</v>
      </c>
      <c r="AA43" s="64">
        <f>'IND_CONS Sector all'!$C$263</f>
        <v>0</v>
      </c>
      <c r="AB43" s="64">
        <f>'IND_CONS Sector all'!$C$274</f>
        <v>0</v>
      </c>
      <c r="AC43" s="64">
        <f>'IND_CONS Sector all'!$C$285</f>
        <v>0</v>
      </c>
      <c r="AD43" s="64">
        <f>'IND_CONS Sector all'!$C$296</f>
        <v>3.391308</v>
      </c>
      <c r="AE43" s="64">
        <f>'IND_CONS Sector all'!$C$307</f>
        <v>0</v>
      </c>
      <c r="AF43" s="64">
        <f>'IND_CONS Sector all'!$C$318</f>
        <v>0</v>
      </c>
      <c r="AG43" s="64">
        <f>'IND_CONS Sector all'!$C$329</f>
        <v>5.1989999999999998</v>
      </c>
    </row>
    <row r="44" spans="1:33">
      <c r="B44" t="str">
        <f>'IND_CONS Sector all'!E$6</f>
        <v>Lignite &amp; Derivatives</v>
      </c>
      <c r="C44" s="64">
        <f t="shared" si="0"/>
        <v>44.884284000000001</v>
      </c>
      <c r="D44" s="64">
        <f>'IND_CONS Sector all'!$E$10</f>
        <v>0</v>
      </c>
      <c r="E44" s="64">
        <f>'IND_CONS Sector all'!$E$21</f>
        <v>0.12560399999999999</v>
      </c>
      <c r="F44" s="64">
        <f>'IND_CONS Sector all'!$E$32</f>
        <v>0</v>
      </c>
      <c r="G44" s="64">
        <f>'IND_CONS Sector all'!$E$43</f>
        <v>0</v>
      </c>
      <c r="H44" s="64">
        <f>'IND_CONS Sector all'!$E$54</f>
        <v>31.819680000000002</v>
      </c>
      <c r="I44" s="64">
        <f>'IND_CONS Sector all'!$E$65</f>
        <v>7.0060000000000002</v>
      </c>
      <c r="J44" s="64">
        <f>'IND_CONS Sector all'!$E$76</f>
        <v>0</v>
      </c>
      <c r="K44" s="64">
        <f>'IND_CONS Sector all'!$E$87</f>
        <v>0</v>
      </c>
      <c r="L44" s="64">
        <f>'IND_CONS Sector all'!$E$98</f>
        <v>0</v>
      </c>
      <c r="M44" s="64">
        <f>'IND_CONS Sector all'!$E$109</f>
        <v>1.581</v>
      </c>
      <c r="N44" s="64">
        <f>'IND_CONS Sector all'!$E$120</f>
        <v>0</v>
      </c>
      <c r="O44" s="64">
        <f>'IND_CONS Sector all'!$E$131</f>
        <v>0</v>
      </c>
      <c r="P44" s="64">
        <f>'IND_CONS Sector all'!$E$142</f>
        <v>0</v>
      </c>
      <c r="Q44" s="64">
        <f>'IND_CONS Sector all'!$E$153</f>
        <v>0</v>
      </c>
      <c r="R44" s="64">
        <f>'IND_CONS Sector all'!$E$164</f>
        <v>0</v>
      </c>
      <c r="S44" s="64">
        <f>'IND_CONS Sector all'!$E$175</f>
        <v>0</v>
      </c>
      <c r="T44" s="64">
        <f>'IND_CONS Sector all'!$E$186</f>
        <v>0</v>
      </c>
      <c r="U44" s="64">
        <f>'IND_CONS Sector all'!$E$197</f>
        <v>0</v>
      </c>
      <c r="V44" s="64">
        <f>'IND_CONS Sector all'!$E$208</f>
        <v>0</v>
      </c>
      <c r="W44" s="64">
        <f>'IND_CONS Sector all'!$E$219</f>
        <v>0</v>
      </c>
      <c r="X44" s="64">
        <f>'IND_CONS Sector all'!$E$230</f>
        <v>0</v>
      </c>
      <c r="Y44" s="64">
        <f>'IND_CONS Sector all'!$E$241</f>
        <v>0</v>
      </c>
      <c r="Z44" s="64">
        <f>'IND_CONS Sector all'!$E$252</f>
        <v>3.6150000000000002</v>
      </c>
      <c r="AA44" s="64">
        <f>'IND_CONS Sector all'!$E$263</f>
        <v>0.248</v>
      </c>
      <c r="AB44" s="64">
        <f>'IND_CONS Sector all'!$E$274</f>
        <v>0</v>
      </c>
      <c r="AC44" s="64">
        <f>'IND_CONS Sector all'!$E$285</f>
        <v>0.48899999999999999</v>
      </c>
      <c r="AD44" s="64">
        <f>'IND_CONS Sector all'!$E$296</f>
        <v>0</v>
      </c>
      <c r="AE44" s="64">
        <f>'IND_CONS Sector all'!$E$307</f>
        <v>0</v>
      </c>
      <c r="AF44" s="64">
        <f>'IND_CONS Sector all'!$E$318</f>
        <v>0</v>
      </c>
      <c r="AG44" s="64">
        <f>'IND_CONS Sector all'!$E$329</f>
        <v>0</v>
      </c>
    </row>
    <row r="45" spans="1:33">
      <c r="B45" t="str">
        <f>'IND_CONS Sector all'!G$6</f>
        <v>Refinery Gas</v>
      </c>
      <c r="C45" s="64">
        <f t="shared" si="0"/>
        <v>91.328999999999994</v>
      </c>
      <c r="D45" s="64">
        <f>'IND_CONS Sector all'!$G$10</f>
        <v>0</v>
      </c>
      <c r="E45" s="64">
        <f>'IND_CONS Sector all'!$G$21</f>
        <v>0</v>
      </c>
      <c r="F45" s="64">
        <f>'IND_CONS Sector all'!$G$32</f>
        <v>5.5439999999999996</v>
      </c>
      <c r="G45" s="64">
        <f>'IND_CONS Sector all'!$G$43</f>
        <v>0</v>
      </c>
      <c r="H45" s="64">
        <f>'IND_CONS Sector all'!$G$54</f>
        <v>0</v>
      </c>
      <c r="I45" s="64">
        <f>'IND_CONS Sector all'!$G$65</f>
        <v>0</v>
      </c>
      <c r="J45" s="64">
        <f>'IND_CONS Sector all'!$G$76</f>
        <v>0</v>
      </c>
      <c r="K45" s="64">
        <f>'IND_CONS Sector all'!$G$87</f>
        <v>0</v>
      </c>
      <c r="L45" s="64">
        <f>'IND_CONS Sector all'!$G$98</f>
        <v>0</v>
      </c>
      <c r="M45" s="64">
        <f>'IND_CONS Sector all'!$G$109</f>
        <v>0.29699999999999999</v>
      </c>
      <c r="N45" s="64">
        <f>'IND_CONS Sector all'!$G$120</f>
        <v>0</v>
      </c>
      <c r="O45" s="64">
        <f>'IND_CONS Sector all'!$G$131</f>
        <v>0</v>
      </c>
      <c r="P45" s="64">
        <f>'IND_CONS Sector all'!$G$142</f>
        <v>0.89100000000000001</v>
      </c>
      <c r="Q45" s="64">
        <f>'IND_CONS Sector all'!$G$153</f>
        <v>0</v>
      </c>
      <c r="R45" s="64">
        <f>'IND_CONS Sector all'!$G$164</f>
        <v>0</v>
      </c>
      <c r="S45" s="64">
        <f>'IND_CONS Sector all'!$G$175</f>
        <v>0</v>
      </c>
      <c r="T45" s="64">
        <f>'IND_CONS Sector all'!$G$186</f>
        <v>0</v>
      </c>
      <c r="U45" s="64">
        <f>'IND_CONS Sector all'!$G$197</f>
        <v>0</v>
      </c>
      <c r="V45" s="64">
        <f>'IND_CONS Sector all'!$G$208</f>
        <v>0</v>
      </c>
      <c r="W45" s="64">
        <f>'IND_CONS Sector all'!$G$219</f>
        <v>53.51</v>
      </c>
      <c r="X45" s="64">
        <f>'IND_CONS Sector all'!$G$230</f>
        <v>18.265999999999998</v>
      </c>
      <c r="Y45" s="64">
        <f>'IND_CONS Sector all'!$G$241</f>
        <v>0</v>
      </c>
      <c r="Z45" s="64">
        <f>'IND_CONS Sector all'!$G$252</f>
        <v>10.94</v>
      </c>
      <c r="AA45" s="64">
        <f>'IND_CONS Sector all'!$G$263</f>
        <v>0</v>
      </c>
      <c r="AB45" s="64">
        <f>'IND_CONS Sector all'!$G$274</f>
        <v>0</v>
      </c>
      <c r="AC45" s="64">
        <f>'IND_CONS Sector all'!$G$285</f>
        <v>1.881</v>
      </c>
      <c r="AD45" s="64">
        <f>'IND_CONS Sector all'!$G$296</f>
        <v>0</v>
      </c>
      <c r="AE45" s="64">
        <f>'IND_CONS Sector all'!$G$307</f>
        <v>0</v>
      </c>
      <c r="AF45" s="64">
        <f>'IND_CONS Sector all'!$G$318</f>
        <v>0</v>
      </c>
      <c r="AG45" s="64">
        <f>'IND_CONS Sector all'!$G$329</f>
        <v>0</v>
      </c>
    </row>
    <row r="46" spans="1:33">
      <c r="B46" t="str">
        <f>'IND_CONS Sector all'!K$6</f>
        <v>Gas / Diesel Oil</v>
      </c>
      <c r="C46" s="64">
        <f t="shared" si="0"/>
        <v>21.377679999999998</v>
      </c>
      <c r="D46" s="64">
        <f>'IND_CONS Sector all'!$K$10</f>
        <v>4.2999999999999997E-2</v>
      </c>
      <c r="E46" s="64">
        <f>'IND_CONS Sector all'!$K$21</f>
        <v>1.0649999999999999</v>
      </c>
      <c r="F46" s="64">
        <f>'IND_CONS Sector all'!$K$32</f>
        <v>0.128</v>
      </c>
      <c r="G46" s="64">
        <f>'IND_CONS Sector all'!$K$43</f>
        <v>0</v>
      </c>
      <c r="H46" s="64">
        <f>'IND_CONS Sector all'!$K$54</f>
        <v>0</v>
      </c>
      <c r="I46" s="64">
        <f>'IND_CONS Sector all'!$K$65</f>
        <v>0</v>
      </c>
      <c r="J46" s="64">
        <f>'IND_CONS Sector all'!$K$76</f>
        <v>0.41868000000000005</v>
      </c>
      <c r="K46" s="64">
        <f>'IND_CONS Sector all'!$K$87</f>
        <v>0</v>
      </c>
      <c r="L46" s="64">
        <f>'IND_CONS Sector all'!$K$98</f>
        <v>6.0490000000000004</v>
      </c>
      <c r="M46" s="64">
        <f>'IND_CONS Sector all'!$K$109</f>
        <v>8.5000000000000006E-2</v>
      </c>
      <c r="N46" s="64">
        <f>'IND_CONS Sector all'!$K$120</f>
        <v>0</v>
      </c>
      <c r="O46" s="64">
        <f>'IND_CONS Sector all'!$K$131</f>
        <v>0.42599999999999999</v>
      </c>
      <c r="P46" s="64">
        <f>'IND_CONS Sector all'!$K$142</f>
        <v>0</v>
      </c>
      <c r="Q46" s="64">
        <f>'IND_CONS Sector all'!$K$153</f>
        <v>0.63900000000000001</v>
      </c>
      <c r="R46" s="64">
        <f>'IND_CONS Sector all'!$K$164</f>
        <v>1.661</v>
      </c>
      <c r="S46" s="64">
        <f>'IND_CONS Sector all'!$K$175</f>
        <v>0</v>
      </c>
      <c r="T46" s="64">
        <f>'IND_CONS Sector all'!$K$186</f>
        <v>4.2999999999999997E-2</v>
      </c>
      <c r="U46" s="64">
        <f>'IND_CONS Sector all'!$K$197</f>
        <v>0</v>
      </c>
      <c r="V46" s="64">
        <f>'IND_CONS Sector all'!$K$208</f>
        <v>0</v>
      </c>
      <c r="W46" s="64">
        <f>'IND_CONS Sector all'!$K$219</f>
        <v>8.5000000000000006E-2</v>
      </c>
      <c r="X46" s="64">
        <f>'IND_CONS Sector all'!$K$230</f>
        <v>3.7490000000000001</v>
      </c>
      <c r="Y46" s="64">
        <f>'IND_CONS Sector all'!$K$241</f>
        <v>0.98</v>
      </c>
      <c r="Z46" s="64">
        <f>'IND_CONS Sector all'!$K$252</f>
        <v>0.127</v>
      </c>
      <c r="AA46" s="64">
        <f>'IND_CONS Sector all'!$K$263</f>
        <v>1.022</v>
      </c>
      <c r="AB46" s="64">
        <f>'IND_CONS Sector all'!$K$274</f>
        <v>0.128</v>
      </c>
      <c r="AC46" s="64">
        <f>'IND_CONS Sector all'!$K$285</f>
        <v>0</v>
      </c>
      <c r="AD46" s="64">
        <f>'IND_CONS Sector all'!$K$296</f>
        <v>4.7290000000000001</v>
      </c>
      <c r="AE46" s="64">
        <f>'IND_CONS Sector all'!$K$307</f>
        <v>3.7909999999999999</v>
      </c>
      <c r="AF46" s="64">
        <f>'IND_CONS Sector all'!$K$318</f>
        <v>0</v>
      </c>
      <c r="AG46" s="64">
        <f>'IND_CONS Sector all'!$K$329</f>
        <v>0.38300000000000001</v>
      </c>
    </row>
    <row r="47" spans="1:33">
      <c r="B47" t="str">
        <f>'IND_CONS Sector all'!L$6</f>
        <v>Residual Fuel Oil</v>
      </c>
      <c r="C47" s="64">
        <f t="shared" si="0"/>
        <v>93.900548000000001</v>
      </c>
      <c r="D47" s="64">
        <f>'IND_CONS Sector all'!$L$10</f>
        <v>0.44</v>
      </c>
      <c r="E47" s="64">
        <f>'IND_CONS Sector all'!$L$21</f>
        <v>5.8</v>
      </c>
      <c r="F47" s="64">
        <f>'IND_CONS Sector all'!$L$32</f>
        <v>0.48</v>
      </c>
      <c r="G47" s="64">
        <f>'IND_CONS Sector all'!$L$43</f>
        <v>0</v>
      </c>
      <c r="H47" s="64">
        <f>'IND_CONS Sector all'!$L$54</f>
        <v>6</v>
      </c>
      <c r="I47" s="64">
        <f>'IND_CONS Sector all'!$L$65</f>
        <v>3.8</v>
      </c>
      <c r="J47" s="64">
        <f>'IND_CONS Sector all'!$L$76</f>
        <v>0.46054800000000001</v>
      </c>
      <c r="K47" s="64">
        <f>'IND_CONS Sector all'!$L$87</f>
        <v>0</v>
      </c>
      <c r="L47" s="64">
        <f>'IND_CONS Sector all'!$L$98</f>
        <v>5.16</v>
      </c>
      <c r="M47" s="64">
        <f>'IND_CONS Sector all'!$L$109</f>
        <v>2.4</v>
      </c>
      <c r="N47" s="64">
        <f>'IND_CONS Sector all'!$L$120</f>
        <v>13.44</v>
      </c>
      <c r="O47" s="64">
        <f>'IND_CONS Sector all'!$L$131</f>
        <v>4.24</v>
      </c>
      <c r="P47" s="64">
        <f>'IND_CONS Sector all'!$L$142</f>
        <v>1.28</v>
      </c>
      <c r="Q47" s="64">
        <f>'IND_CONS Sector all'!$L$153</f>
        <v>1</v>
      </c>
      <c r="R47" s="64">
        <f>'IND_CONS Sector all'!$L$164</f>
        <v>32.28</v>
      </c>
      <c r="S47" s="64">
        <f>'IND_CONS Sector all'!$L$175</f>
        <v>0</v>
      </c>
      <c r="T47" s="64">
        <f>'IND_CONS Sector all'!$L$186</f>
        <v>0</v>
      </c>
      <c r="U47" s="64">
        <f>'IND_CONS Sector all'!$L$197</f>
        <v>0</v>
      </c>
      <c r="V47" s="64">
        <f>'IND_CONS Sector all'!$L$208</f>
        <v>0</v>
      </c>
      <c r="W47" s="64">
        <f>'IND_CONS Sector all'!$L$219</f>
        <v>0</v>
      </c>
      <c r="X47" s="64">
        <f>'IND_CONS Sector all'!$L$230</f>
        <v>3.92</v>
      </c>
      <c r="Y47" s="64">
        <f>'IND_CONS Sector all'!$L$241</f>
        <v>0.48</v>
      </c>
      <c r="Z47" s="64">
        <f>'IND_CONS Sector all'!$L$252</f>
        <v>0.36</v>
      </c>
      <c r="AA47" s="64">
        <f>'IND_CONS Sector all'!$L$263</f>
        <v>2.88</v>
      </c>
      <c r="AB47" s="64">
        <f>'IND_CONS Sector all'!$L$274</f>
        <v>0.32</v>
      </c>
      <c r="AC47" s="64">
        <f>'IND_CONS Sector all'!$L$285</f>
        <v>6.28</v>
      </c>
      <c r="AD47" s="64">
        <f>'IND_CONS Sector all'!$L$296</f>
        <v>2.88</v>
      </c>
      <c r="AE47" s="64">
        <f>'IND_CONS Sector all'!$L$307</f>
        <v>0.04</v>
      </c>
      <c r="AF47" s="64">
        <f>'IND_CONS Sector all'!$L$318</f>
        <v>0</v>
      </c>
      <c r="AG47" s="64">
        <f>'IND_CONS Sector all'!$L$329</f>
        <v>2.16</v>
      </c>
    </row>
    <row r="48" spans="1:33">
      <c r="B48" t="str">
        <f>'IND_CONS Sector all'!O$6</f>
        <v>Wood &amp; Wood Waste</v>
      </c>
      <c r="C48" s="64">
        <f t="shared" si="0"/>
        <v>6.907</v>
      </c>
      <c r="D48" s="64">
        <f>'IND_CONS Sector all'!$O$10</f>
        <v>1.353</v>
      </c>
      <c r="E48" s="64">
        <f>'IND_CONS Sector all'!$O$21</f>
        <v>0</v>
      </c>
      <c r="F48" s="64">
        <f>'IND_CONS Sector all'!$O$32</f>
        <v>1.6910000000000001</v>
      </c>
      <c r="G48" s="64">
        <f>'IND_CONS Sector all'!$O$43</f>
        <v>0</v>
      </c>
      <c r="H48" s="64">
        <f>'IND_CONS Sector all'!$O$54</f>
        <v>0</v>
      </c>
      <c r="I48" s="64">
        <f>'IND_CONS Sector all'!$O$65</f>
        <v>0</v>
      </c>
      <c r="J48" s="64">
        <f>'IND_CONS Sector all'!$O$76</f>
        <v>0</v>
      </c>
      <c r="K48" s="64">
        <f>'IND_CONS Sector all'!$O$87</f>
        <v>3.5999999999999997E-2</v>
      </c>
      <c r="L48" s="64">
        <f>'IND_CONS Sector all'!$O$98</f>
        <v>0.624</v>
      </c>
      <c r="M48" s="64">
        <f>'IND_CONS Sector all'!$O$109</f>
        <v>0.41699999999999998</v>
      </c>
      <c r="N48" s="64">
        <f>'IND_CONS Sector all'!$O$120</f>
        <v>0</v>
      </c>
      <c r="O48" s="64">
        <f>'IND_CONS Sector all'!$O$131</f>
        <v>0</v>
      </c>
      <c r="P48" s="64">
        <f>'IND_CONS Sector all'!$O$142</f>
        <v>0</v>
      </c>
      <c r="Q48" s="64">
        <f>'IND_CONS Sector all'!$O$153</f>
        <v>0</v>
      </c>
      <c r="R48" s="64">
        <f>'IND_CONS Sector all'!$O$164</f>
        <v>0</v>
      </c>
      <c r="S48" s="64">
        <f>'IND_CONS Sector all'!$O$175</f>
        <v>0</v>
      </c>
      <c r="T48" s="64">
        <f>'IND_CONS Sector all'!$O$186</f>
        <v>0</v>
      </c>
      <c r="U48" s="64">
        <f>'IND_CONS Sector all'!$O$197</f>
        <v>2.9000000000000001E-2</v>
      </c>
      <c r="V48" s="64">
        <f>'IND_CONS Sector all'!$O$208</f>
        <v>0</v>
      </c>
      <c r="W48" s="64">
        <f>'IND_CONS Sector all'!$O$219</f>
        <v>0</v>
      </c>
      <c r="X48" s="64">
        <f>'IND_CONS Sector all'!$O$230</f>
        <v>0.16500000000000001</v>
      </c>
      <c r="Y48" s="64">
        <f>'IND_CONS Sector all'!$O$241</f>
        <v>1.472</v>
      </c>
      <c r="Z48" s="64">
        <f>'IND_CONS Sector all'!$O$252</f>
        <v>4.0000000000000001E-3</v>
      </c>
      <c r="AA48" s="64">
        <f>'IND_CONS Sector all'!$O$263</f>
        <v>0.754</v>
      </c>
      <c r="AB48" s="64">
        <f>'IND_CONS Sector all'!$O$274</f>
        <v>0.36199999999999999</v>
      </c>
      <c r="AC48" s="64">
        <f>'IND_CONS Sector all'!$O$285</f>
        <v>0</v>
      </c>
      <c r="AD48" s="64">
        <f>'IND_CONS Sector all'!$O$296</f>
        <v>0</v>
      </c>
      <c r="AE48" s="64">
        <f>'IND_CONS Sector all'!$O$307</f>
        <v>0</v>
      </c>
      <c r="AF48" s="64">
        <f>'IND_CONS Sector all'!$O$318</f>
        <v>0</v>
      </c>
      <c r="AG48" s="64">
        <f>'IND_CONS Sector all'!$O$329</f>
        <v>0.25700000000000001</v>
      </c>
    </row>
    <row r="49" spans="1:33">
      <c r="B49" t="str">
        <f>'IND_CONS Sector all'!Q$6</f>
        <v>MSW</v>
      </c>
      <c r="C49" s="64">
        <f t="shared" si="0"/>
        <v>1.7000000000000001E-2</v>
      </c>
      <c r="D49" s="64">
        <f>'IND_CONS Sector all'!$Q$10</f>
        <v>0</v>
      </c>
      <c r="E49" s="64">
        <f>'IND_CONS Sector all'!$Q$21</f>
        <v>0</v>
      </c>
      <c r="F49" s="64">
        <f>'IND_CONS Sector all'!$Q$32</f>
        <v>0</v>
      </c>
      <c r="G49" s="64">
        <f>'IND_CONS Sector all'!$Q$43</f>
        <v>0</v>
      </c>
      <c r="H49" s="64">
        <f>'IND_CONS Sector all'!$Q$54</f>
        <v>1.4E-2</v>
      </c>
      <c r="I49" s="64">
        <f>'IND_CONS Sector all'!$Q$65</f>
        <v>0</v>
      </c>
      <c r="J49" s="64">
        <f>'IND_CONS Sector all'!$Q$76</f>
        <v>3.0000000000000001E-3</v>
      </c>
      <c r="K49" s="64">
        <f>'IND_CONS Sector all'!$Q$87</f>
        <v>0</v>
      </c>
      <c r="L49" s="64">
        <f>'IND_CONS Sector all'!$Q$98</f>
        <v>0</v>
      </c>
      <c r="M49" s="64">
        <f>'IND_CONS Sector all'!$Q$109</f>
        <v>0</v>
      </c>
      <c r="N49" s="64">
        <f>'IND_CONS Sector all'!$Q$120</f>
        <v>0</v>
      </c>
      <c r="O49" s="64">
        <f>'IND_CONS Sector all'!$Q$131</f>
        <v>0</v>
      </c>
      <c r="P49" s="64">
        <f>'IND_CONS Sector all'!$Q$142</f>
        <v>0</v>
      </c>
      <c r="Q49" s="64">
        <f>'IND_CONS Sector all'!$Q$153</f>
        <v>0</v>
      </c>
      <c r="R49" s="64">
        <f>'IND_CONS Sector all'!$Q$164</f>
        <v>0</v>
      </c>
      <c r="S49" s="64">
        <f>'IND_CONS Sector all'!$Q$175</f>
        <v>0</v>
      </c>
      <c r="T49" s="64">
        <f>'IND_CONS Sector all'!$Q$186</f>
        <v>0</v>
      </c>
      <c r="U49" s="64">
        <f>'IND_CONS Sector all'!$Q$197</f>
        <v>0</v>
      </c>
      <c r="V49" s="64">
        <f>'IND_CONS Sector all'!$Q$208</f>
        <v>0</v>
      </c>
      <c r="W49" s="64">
        <f>'IND_CONS Sector all'!$Q$219</f>
        <v>0</v>
      </c>
      <c r="X49" s="64">
        <f>'IND_CONS Sector all'!$Q$230</f>
        <v>0</v>
      </c>
      <c r="Y49" s="64">
        <f>'IND_CONS Sector all'!$Q$241</f>
        <v>0</v>
      </c>
      <c r="Z49" s="64">
        <f>'IND_CONS Sector all'!$Q$252</f>
        <v>0</v>
      </c>
      <c r="AA49" s="64">
        <f>'IND_CONS Sector all'!$Q$263</f>
        <v>0</v>
      </c>
      <c r="AB49" s="64">
        <f>'IND_CONS Sector all'!$Q$274</f>
        <v>0</v>
      </c>
      <c r="AC49" s="64">
        <f>'IND_CONS Sector all'!$Q$285</f>
        <v>0</v>
      </c>
      <c r="AD49" s="64">
        <f>'IND_CONS Sector all'!$Q$296</f>
        <v>0</v>
      </c>
      <c r="AE49" s="64">
        <f>'IND_CONS Sector all'!$Q$307</f>
        <v>0</v>
      </c>
      <c r="AF49" s="64">
        <f>'IND_CONS Sector all'!$Q$318</f>
        <v>0</v>
      </c>
      <c r="AG49" s="64">
        <f>'IND_CONS Sector all'!$Q$329</f>
        <v>0</v>
      </c>
    </row>
    <row r="50" spans="1:33">
      <c r="B50" t="str">
        <f>'IND_CONS Sector all'!S$6</f>
        <v>Industrial Wastes</v>
      </c>
      <c r="C50" s="64">
        <f t="shared" si="0"/>
        <v>86.362000000000009</v>
      </c>
      <c r="D50" s="64">
        <f>'IND_CONS Sector all'!$S$10</f>
        <v>3.8090000000000002</v>
      </c>
      <c r="E50" s="64">
        <f>'IND_CONS Sector all'!$S$21</f>
        <v>72.619</v>
      </c>
      <c r="F50" s="64">
        <f>'IND_CONS Sector all'!$S$32</f>
        <v>0</v>
      </c>
      <c r="G50" s="64">
        <f>'IND_CONS Sector all'!$S$43</f>
        <v>0</v>
      </c>
      <c r="H50" s="64">
        <f>'IND_CONS Sector all'!$S$54</f>
        <v>0.15</v>
      </c>
      <c r="I50" s="64">
        <f>'IND_CONS Sector all'!$S$65</f>
        <v>0</v>
      </c>
      <c r="J50" s="64">
        <f>'IND_CONS Sector all'!$S$76</f>
        <v>0</v>
      </c>
      <c r="K50" s="64">
        <f>'IND_CONS Sector all'!$S$87</f>
        <v>0</v>
      </c>
      <c r="L50" s="64">
        <f>'IND_CONS Sector all'!$S$98</f>
        <v>0</v>
      </c>
      <c r="M50" s="64">
        <f>'IND_CONS Sector all'!$S$109</f>
        <v>0.114</v>
      </c>
      <c r="N50" s="64">
        <f>'IND_CONS Sector all'!$S$120</f>
        <v>0</v>
      </c>
      <c r="O50" s="64">
        <f>'IND_CONS Sector all'!$S$131</f>
        <v>0</v>
      </c>
      <c r="P50" s="64">
        <f>'IND_CONS Sector all'!$S$142</f>
        <v>0</v>
      </c>
      <c r="Q50" s="64">
        <f>'IND_CONS Sector all'!$S$153</f>
        <v>0</v>
      </c>
      <c r="R50" s="64">
        <f>'IND_CONS Sector all'!$S$164</f>
        <v>0</v>
      </c>
      <c r="S50" s="64">
        <f>'IND_CONS Sector all'!$S$175</f>
        <v>0</v>
      </c>
      <c r="T50" s="64">
        <f>'IND_CONS Sector all'!$S$186</f>
        <v>0</v>
      </c>
      <c r="U50" s="64">
        <f>'IND_CONS Sector all'!$S$197</f>
        <v>0</v>
      </c>
      <c r="V50" s="64">
        <f>'IND_CONS Sector all'!$S$208</f>
        <v>0</v>
      </c>
      <c r="W50" s="64">
        <f>'IND_CONS Sector all'!$S$219</f>
        <v>0</v>
      </c>
      <c r="X50" s="64">
        <f>'IND_CONS Sector all'!$S$230</f>
        <v>6.9009999999999998</v>
      </c>
      <c r="Y50" s="64">
        <f>'IND_CONS Sector all'!$S$241</f>
        <v>0</v>
      </c>
      <c r="Z50" s="64">
        <f>'IND_CONS Sector all'!$S$252</f>
        <v>2.0720000000000001</v>
      </c>
      <c r="AA50" s="64">
        <f>'IND_CONS Sector all'!$S$263</f>
        <v>0</v>
      </c>
      <c r="AB50" s="64">
        <f>'IND_CONS Sector all'!$S$274</f>
        <v>9.1999999999999998E-2</v>
      </c>
      <c r="AC50" s="64">
        <f>'IND_CONS Sector all'!$S$285</f>
        <v>0.60499999999999998</v>
      </c>
      <c r="AD50" s="64">
        <f>'IND_CONS Sector all'!$S$296</f>
        <v>0</v>
      </c>
      <c r="AE50" s="64">
        <f>'IND_CONS Sector all'!$S$307</f>
        <v>1.698</v>
      </c>
      <c r="AF50" s="64">
        <f>'IND_CONS Sector all'!$S$318</f>
        <v>0</v>
      </c>
      <c r="AG50" s="64">
        <f>'IND_CONS Sector all'!$S$329</f>
        <v>0</v>
      </c>
    </row>
    <row r="51" spans="1:33">
      <c r="B51" t="str">
        <f>'IND_CONS Sector all'!T$6</f>
        <v>Natural Gas</v>
      </c>
      <c r="C51" s="64">
        <f t="shared" si="0"/>
        <v>946.66683999999987</v>
      </c>
      <c r="D51" s="64">
        <f>'IND_CONS Sector all'!$T$10</f>
        <v>15.476000000000001</v>
      </c>
      <c r="E51" s="64">
        <f>'IND_CONS Sector all'!$T$21</f>
        <v>79.381</v>
      </c>
      <c r="F51" s="64">
        <f>'IND_CONS Sector all'!$T$32</f>
        <v>7.851</v>
      </c>
      <c r="G51" s="64">
        <f>'IND_CONS Sector all'!$T$43</f>
        <v>0</v>
      </c>
      <c r="H51" s="64">
        <f>'IND_CONS Sector all'!$T$54</f>
        <v>11.766999999999999</v>
      </c>
      <c r="I51" s="64">
        <f>'IND_CONS Sector all'!$T$65</f>
        <v>195.375</v>
      </c>
      <c r="J51" s="64">
        <f>'IND_CONS Sector all'!$T$76</f>
        <v>2.8780000000000001</v>
      </c>
      <c r="K51" s="64">
        <f>'IND_CONS Sector all'!$T$87</f>
        <v>0.113</v>
      </c>
      <c r="L51" s="64">
        <f>'IND_CONS Sector all'!$T$98</f>
        <v>114.777</v>
      </c>
      <c r="M51" s="64">
        <f>'IND_CONS Sector all'!$T$109</f>
        <v>0.75362400000000007</v>
      </c>
      <c r="N51" s="64">
        <f>'IND_CONS Sector all'!$T$120</f>
        <v>85.043999999999997</v>
      </c>
      <c r="O51" s="64">
        <f>'IND_CONS Sector all'!$T$131</f>
        <v>2.2160000000000002</v>
      </c>
      <c r="P51" s="64">
        <f>'IND_CONS Sector all'!$T$142</f>
        <v>8.2569999999999997</v>
      </c>
      <c r="Q51" s="64">
        <f>'IND_CONS Sector all'!$T$153</f>
        <v>5.6740000000000004</v>
      </c>
      <c r="R51" s="64">
        <f>'IND_CONS Sector all'!$T$164</f>
        <v>109.895</v>
      </c>
      <c r="S51" s="64">
        <f>'IND_CONS Sector all'!$T$175</f>
        <v>2.0096639999999999</v>
      </c>
      <c r="T51" s="64">
        <f>'IND_CONS Sector all'!$T$186</f>
        <v>0</v>
      </c>
      <c r="U51" s="64">
        <f>'IND_CONS Sector all'!$T$197</f>
        <v>0.437</v>
      </c>
      <c r="V51" s="64">
        <f>'IND_CONS Sector all'!$T$208</f>
        <v>0</v>
      </c>
      <c r="W51" s="64">
        <f>'IND_CONS Sector all'!$T$219</f>
        <v>85.781000000000006</v>
      </c>
      <c r="X51" s="64">
        <f>'IND_CONS Sector all'!$T$230</f>
        <v>8.1039999999999992</v>
      </c>
      <c r="Y51" s="64">
        <f>'IND_CONS Sector all'!$T$241</f>
        <v>2.6795520000000002</v>
      </c>
      <c r="Z51" s="64">
        <f>'IND_CONS Sector all'!$T$252</f>
        <v>64.441000000000003</v>
      </c>
      <c r="AA51" s="64">
        <f>'IND_CONS Sector all'!$T$263</f>
        <v>5.4119999999999999</v>
      </c>
      <c r="AB51" s="64">
        <f>'IND_CONS Sector all'!$T$274</f>
        <v>2.234</v>
      </c>
      <c r="AC51" s="64">
        <f>'IND_CONS Sector all'!$T$285</f>
        <v>3.036</v>
      </c>
      <c r="AD51" s="64">
        <f>'IND_CONS Sector all'!$T$296</f>
        <v>133.07499999999999</v>
      </c>
      <c r="AE51" s="64">
        <f>'IND_CONS Sector all'!$T$307</f>
        <v>12.238</v>
      </c>
      <c r="AF51" s="64">
        <f>'IND_CONS Sector all'!$T$318</f>
        <v>0</v>
      </c>
      <c r="AG51" s="64">
        <f>'IND_CONS Sector all'!$T$329</f>
        <v>4.2009999999999996</v>
      </c>
    </row>
    <row r="52" spans="1:33">
      <c r="B52" t="str">
        <f>'IND_CONS Sector all'!U$6</f>
        <v>Coke-Oven Gas</v>
      </c>
      <c r="C52" s="64">
        <f t="shared" si="0"/>
        <v>3.536</v>
      </c>
      <c r="D52" s="64">
        <f>'IND_CONS Sector all'!$U$10</f>
        <v>0</v>
      </c>
      <c r="E52" s="64">
        <f>'IND_CONS Sector all'!$U$21</f>
        <v>0</v>
      </c>
      <c r="F52" s="64">
        <f>'IND_CONS Sector all'!$U$32</f>
        <v>0</v>
      </c>
      <c r="G52" s="64">
        <f>'IND_CONS Sector all'!$U$43</f>
        <v>0</v>
      </c>
      <c r="H52" s="64">
        <f>'IND_CONS Sector all'!$U$54</f>
        <v>0</v>
      </c>
      <c r="I52" s="64">
        <f>'IND_CONS Sector all'!$U$65</f>
        <v>2.8980000000000001</v>
      </c>
      <c r="J52" s="64">
        <f>'IND_CONS Sector all'!$U$76</f>
        <v>0</v>
      </c>
      <c r="K52" s="64">
        <f>'IND_CONS Sector all'!$U$87</f>
        <v>0</v>
      </c>
      <c r="L52" s="64">
        <f>'IND_CONS Sector all'!$U$98</f>
        <v>0.03</v>
      </c>
      <c r="M52" s="64">
        <f>'IND_CONS Sector all'!$U$109</f>
        <v>0</v>
      </c>
      <c r="N52" s="64">
        <f>'IND_CONS Sector all'!$U$120</f>
        <v>0</v>
      </c>
      <c r="O52" s="64">
        <f>'IND_CONS Sector all'!$U$131</f>
        <v>0</v>
      </c>
      <c r="P52" s="64">
        <f>'IND_CONS Sector all'!$U$142</f>
        <v>0</v>
      </c>
      <c r="Q52" s="64">
        <f>'IND_CONS Sector all'!$U$153</f>
        <v>0</v>
      </c>
      <c r="R52" s="64">
        <f>'IND_CONS Sector all'!$U$164</f>
        <v>0</v>
      </c>
      <c r="S52" s="64">
        <f>'IND_CONS Sector all'!$U$175</f>
        <v>0</v>
      </c>
      <c r="T52" s="64">
        <f>'IND_CONS Sector all'!$U$186</f>
        <v>0</v>
      </c>
      <c r="U52" s="64">
        <f>'IND_CONS Sector all'!$U$197</f>
        <v>0</v>
      </c>
      <c r="V52" s="64">
        <f>'IND_CONS Sector all'!$U$208</f>
        <v>0</v>
      </c>
      <c r="W52" s="64">
        <f>'IND_CONS Sector all'!$U$219</f>
        <v>0</v>
      </c>
      <c r="X52" s="64">
        <f>'IND_CONS Sector all'!$U$230</f>
        <v>0.60799999999999998</v>
      </c>
      <c r="Y52" s="64">
        <f>'IND_CONS Sector all'!$U$241</f>
        <v>0</v>
      </c>
      <c r="Z52" s="64">
        <f>'IND_CONS Sector all'!$U$252</f>
        <v>0</v>
      </c>
      <c r="AA52" s="64">
        <f>'IND_CONS Sector all'!$U$263</f>
        <v>0</v>
      </c>
      <c r="AB52" s="64">
        <f>'IND_CONS Sector all'!$U$274</f>
        <v>0</v>
      </c>
      <c r="AC52" s="64">
        <f>'IND_CONS Sector all'!$U$285</f>
        <v>0</v>
      </c>
      <c r="AD52" s="64">
        <f>'IND_CONS Sector all'!$U$296</f>
        <v>0</v>
      </c>
      <c r="AE52" s="64">
        <f>'IND_CONS Sector all'!$U$307</f>
        <v>0</v>
      </c>
      <c r="AF52" s="64">
        <f>'IND_CONS Sector all'!$U$318</f>
        <v>0</v>
      </c>
      <c r="AG52" s="64">
        <f>'IND_CONS Sector all'!$U$329</f>
        <v>0</v>
      </c>
    </row>
    <row r="53" spans="1:33">
      <c r="B53" t="str">
        <f>'IND_CONS Sector all'!V$6</f>
        <v>Blast-Furnace Gas</v>
      </c>
      <c r="C53" s="64">
        <f t="shared" si="0"/>
        <v>6.0000000000000001E-3</v>
      </c>
      <c r="D53" s="64">
        <f>'IND_CONS Sector all'!$V$10</f>
        <v>0</v>
      </c>
      <c r="E53" s="64">
        <f>'IND_CONS Sector all'!$V$21</f>
        <v>0</v>
      </c>
      <c r="F53" s="64">
        <f>'IND_CONS Sector all'!$V$32</f>
        <v>0</v>
      </c>
      <c r="G53" s="64">
        <f>'IND_CONS Sector all'!$V$43</f>
        <v>0</v>
      </c>
      <c r="H53" s="64">
        <f>'IND_CONS Sector all'!$V$54</f>
        <v>0</v>
      </c>
      <c r="I53" s="64">
        <f>'IND_CONS Sector all'!$V$65</f>
        <v>0</v>
      </c>
      <c r="J53" s="64">
        <f>'IND_CONS Sector all'!$V$76</f>
        <v>0</v>
      </c>
      <c r="K53" s="64">
        <f>'IND_CONS Sector all'!$V$87</f>
        <v>0</v>
      </c>
      <c r="L53" s="64">
        <f>'IND_CONS Sector all'!$V$98</f>
        <v>0</v>
      </c>
      <c r="M53" s="64">
        <f>'IND_CONS Sector all'!$V$109</f>
        <v>0</v>
      </c>
      <c r="N53" s="64">
        <f>'IND_CONS Sector all'!$V$120</f>
        <v>0</v>
      </c>
      <c r="O53" s="64">
        <f>'IND_CONS Sector all'!$V$131</f>
        <v>0</v>
      </c>
      <c r="P53" s="64">
        <f>'IND_CONS Sector all'!$V$142</f>
        <v>0</v>
      </c>
      <c r="Q53" s="64">
        <f>'IND_CONS Sector all'!$V$153</f>
        <v>0</v>
      </c>
      <c r="R53" s="64">
        <f>'IND_CONS Sector all'!$V$164</f>
        <v>0</v>
      </c>
      <c r="S53" s="64">
        <f>'IND_CONS Sector all'!$V$175</f>
        <v>0</v>
      </c>
      <c r="T53" s="64">
        <f>'IND_CONS Sector all'!$V$186</f>
        <v>0</v>
      </c>
      <c r="U53" s="64">
        <f>'IND_CONS Sector all'!$V$197</f>
        <v>0</v>
      </c>
      <c r="V53" s="64">
        <f>'IND_CONS Sector all'!$V$208</f>
        <v>0</v>
      </c>
      <c r="W53" s="64">
        <f>'IND_CONS Sector all'!$V$219</f>
        <v>0</v>
      </c>
      <c r="X53" s="64">
        <f>'IND_CONS Sector all'!$V$230</f>
        <v>6.0000000000000001E-3</v>
      </c>
      <c r="Y53" s="64">
        <f>'IND_CONS Sector all'!$V$241</f>
        <v>0</v>
      </c>
      <c r="Z53" s="64">
        <f>'IND_CONS Sector all'!$V$252</f>
        <v>0</v>
      </c>
      <c r="AA53" s="64">
        <f>'IND_CONS Sector all'!$V$263</f>
        <v>0</v>
      </c>
      <c r="AB53" s="64">
        <f>'IND_CONS Sector all'!$V$274</f>
        <v>0</v>
      </c>
      <c r="AC53" s="64">
        <f>'IND_CONS Sector all'!$V$285</f>
        <v>0</v>
      </c>
      <c r="AD53" s="64">
        <f>'IND_CONS Sector all'!$V$296</f>
        <v>0</v>
      </c>
      <c r="AE53" s="64">
        <f>'IND_CONS Sector all'!$V$307</f>
        <v>0</v>
      </c>
      <c r="AF53" s="64">
        <f>'IND_CONS Sector all'!$V$318</f>
        <v>0</v>
      </c>
      <c r="AG53" s="64">
        <f>'IND_CONS Sector all'!$V$329</f>
        <v>0.47299999999999998</v>
      </c>
    </row>
    <row r="54" spans="1:33">
      <c r="B54" t="e">
        <f>#REF!</f>
        <v>#REF!</v>
      </c>
      <c r="C54" s="64" t="e">
        <f t="shared" si="0"/>
        <v>#REF!</v>
      </c>
      <c r="D54" s="64" t="e">
        <f>#REF!/1000</f>
        <v>#REF!</v>
      </c>
      <c r="E54" s="64" t="e">
        <f>#REF!/1000</f>
        <v>#REF!</v>
      </c>
      <c r="F54" s="64" t="e">
        <f>#REF!/1000</f>
        <v>#REF!</v>
      </c>
      <c r="G54" s="64" t="e">
        <f>#REF!/1000</f>
        <v>#REF!</v>
      </c>
      <c r="H54" s="64" t="e">
        <f>#REF!/1000</f>
        <v>#REF!</v>
      </c>
      <c r="I54" s="64" t="e">
        <f>#REF!/1000</f>
        <v>#REF!</v>
      </c>
      <c r="J54" s="64" t="e">
        <f>#REF!/1000</f>
        <v>#REF!</v>
      </c>
      <c r="K54" s="64" t="e">
        <f>#REF!/1000</f>
        <v>#REF!</v>
      </c>
      <c r="L54" s="64" t="e">
        <f>#REF!/1000</f>
        <v>#REF!</v>
      </c>
      <c r="M54" s="64" t="e">
        <f>#REF!/1000</f>
        <v>#REF!</v>
      </c>
      <c r="N54" s="64" t="e">
        <f>#REF!/1000</f>
        <v>#REF!</v>
      </c>
      <c r="O54" s="64" t="e">
        <f>#REF!/1000</f>
        <v>#REF!</v>
      </c>
      <c r="P54" s="64" t="e">
        <f>#REF!/1000</f>
        <v>#REF!</v>
      </c>
      <c r="Q54" s="64" t="e">
        <f>#REF!/1000</f>
        <v>#REF!</v>
      </c>
      <c r="R54" s="64" t="e">
        <f>#REF!/1000</f>
        <v>#REF!</v>
      </c>
      <c r="S54" s="64" t="e">
        <f>#REF!/1000</f>
        <v>#REF!</v>
      </c>
      <c r="T54" s="64" t="e">
        <f>#REF!/1000</f>
        <v>#REF!</v>
      </c>
      <c r="U54" s="64" t="e">
        <f>#REF!/1000</f>
        <v>#REF!</v>
      </c>
      <c r="V54" s="64" t="e">
        <f>#REF!/1000</f>
        <v>#REF!</v>
      </c>
      <c r="W54" s="64" t="e">
        <f>#REF!/1000</f>
        <v>#REF!</v>
      </c>
      <c r="X54" s="64" t="e">
        <f>#REF!/1000</f>
        <v>#REF!</v>
      </c>
      <c r="Y54" s="64" t="e">
        <f>#REF!/1000</f>
        <v>#REF!</v>
      </c>
      <c r="Z54" s="64" t="e">
        <f>#REF!/1000</f>
        <v>#REF!</v>
      </c>
      <c r="AA54" s="64" t="e">
        <f>#REF!/1000</f>
        <v>#REF!</v>
      </c>
      <c r="AB54" s="64" t="e">
        <f>#REF!/1000</f>
        <v>#REF!</v>
      </c>
      <c r="AC54" s="64" t="e">
        <f>#REF!/1000</f>
        <v>#REF!</v>
      </c>
      <c r="AD54" s="64" t="e">
        <f>#REF!/1000</f>
        <v>#REF!</v>
      </c>
      <c r="AE54" s="64" t="e">
        <f>#REF!/1000</f>
        <v>#REF!</v>
      </c>
      <c r="AF54" s="64" t="e">
        <f>#REF!/1000</f>
        <v>#REF!</v>
      </c>
      <c r="AG54" s="64" t="e">
        <f>#REF!/1000</f>
        <v>#REF!</v>
      </c>
    </row>
    <row r="55" spans="1:33">
      <c r="A55" t="s">
        <v>315</v>
      </c>
      <c r="B55" t="str">
        <f>'IND_CONS Sector all'!C$6</f>
        <v>Hard Coal &amp; Patent Fuels</v>
      </c>
      <c r="C55" s="64">
        <f t="shared" si="0"/>
        <v>42.729999999999983</v>
      </c>
      <c r="D55" s="64">
        <f>'IND_CONS Sector all'!$C$15</f>
        <v>2.5099999999999998</v>
      </c>
      <c r="E55" s="64">
        <f>'IND_CONS Sector all'!$C$26</f>
        <v>1.29</v>
      </c>
      <c r="F55" s="64">
        <f>'IND_CONS Sector all'!$C$37</f>
        <v>0</v>
      </c>
      <c r="G55" s="64">
        <f>'IND_CONS Sector all'!$C$48</f>
        <v>0</v>
      </c>
      <c r="H55" s="64">
        <f>'IND_CONS Sector all'!$C$59</f>
        <v>0.46800000000000003</v>
      </c>
      <c r="I55" s="675">
        <f>'IND_CONS Sector all'!$C$70</f>
        <v>11.815</v>
      </c>
      <c r="J55" s="64">
        <f>'IND_CONS Sector all'!$C$81</f>
        <v>0</v>
      </c>
      <c r="K55" s="64">
        <f>'IND_CONS Sector all'!$C$92</f>
        <v>0</v>
      </c>
      <c r="L55" s="64">
        <f>'IND_CONS Sector all'!$C$103</f>
        <v>0</v>
      </c>
      <c r="M55" s="64">
        <f>'IND_CONS Sector all'!$C$114</f>
        <v>0.48499999999999999</v>
      </c>
      <c r="N55" s="64">
        <f>'IND_CONS Sector all'!$C$125</f>
        <v>4.8879999999999999</v>
      </c>
      <c r="O55" s="64">
        <f>'IND_CONS Sector all'!$C$136</f>
        <v>0</v>
      </c>
      <c r="P55" s="64">
        <f>'IND_CONS Sector all'!$C$147</f>
        <v>0</v>
      </c>
      <c r="Q55" s="64">
        <f>'IND_CONS Sector all'!$C$158</f>
        <v>0</v>
      </c>
      <c r="R55" s="64">
        <f>'IND_CONS Sector all'!$C$169</f>
        <v>0</v>
      </c>
      <c r="S55" s="64">
        <f>'IND_CONS Sector all'!$C$180</f>
        <v>0</v>
      </c>
      <c r="T55" s="64">
        <f>'IND_CONS Sector all'!$C$191</f>
        <v>0</v>
      </c>
      <c r="U55" s="64">
        <f>'IND_CONS Sector all'!$C$202</f>
        <v>2.5999999999999999E-2</v>
      </c>
      <c r="V55" s="64">
        <f>'IND_CONS Sector all'!$C$213</f>
        <v>0</v>
      </c>
      <c r="W55" s="64">
        <f>'IND_CONS Sector all'!$C$224</f>
        <v>0</v>
      </c>
      <c r="X55" s="64">
        <f>'IND_CONS Sector all'!$C$235</f>
        <v>13.436</v>
      </c>
      <c r="Y55" s="64">
        <f>'IND_CONS Sector all'!$C$246</f>
        <v>0</v>
      </c>
      <c r="Z55" s="64">
        <f>'IND_CONS Sector all'!$C$257</f>
        <v>0</v>
      </c>
      <c r="AA55" s="64">
        <f>'IND_CONS Sector all'!$C$268</f>
        <v>0.94</v>
      </c>
      <c r="AB55" s="64">
        <f>'IND_CONS Sector all'!$C$279</f>
        <v>1.5920000000000001</v>
      </c>
      <c r="AC55" s="64">
        <f>'IND_CONS Sector all'!$C$290</f>
        <v>1.611</v>
      </c>
      <c r="AD55" s="64">
        <f>'IND_CONS Sector all'!$C$301</f>
        <v>3.669</v>
      </c>
      <c r="AE55" s="64">
        <f>'IND_CONS Sector all'!$C$312</f>
        <v>0</v>
      </c>
      <c r="AF55" s="64">
        <f>'IND_CONS Sector all'!$C$323</f>
        <v>0</v>
      </c>
      <c r="AG55" s="64">
        <f>'IND_CONS Sector all'!$C$334</f>
        <v>0</v>
      </c>
    </row>
    <row r="56" spans="1:33">
      <c r="B56" t="str">
        <f>'IND_CONS Sector all'!E$6</f>
        <v>Lignite &amp; Derivatives</v>
      </c>
      <c r="C56" s="64">
        <f t="shared" si="0"/>
        <v>14.936</v>
      </c>
      <c r="D56" s="64">
        <f>'IND_CONS Sector all'!$E$15</f>
        <v>0.56000000000000005</v>
      </c>
      <c r="E56" s="64">
        <f>'IND_CONS Sector all'!$E$26</f>
        <v>0</v>
      </c>
      <c r="F56" s="64">
        <f>'IND_CONS Sector all'!$E$37</f>
        <v>0</v>
      </c>
      <c r="G56" s="64">
        <f>'IND_CONS Sector all'!$E$48</f>
        <v>0</v>
      </c>
      <c r="H56" s="64">
        <f>'IND_CONS Sector all'!$E$59</f>
        <v>2.5640000000000001</v>
      </c>
      <c r="I56" s="675">
        <f>'IND_CONS Sector all'!$E$70</f>
        <v>2.6080000000000001</v>
      </c>
      <c r="J56" s="64">
        <f>'IND_CONS Sector all'!$E$81</f>
        <v>0</v>
      </c>
      <c r="K56" s="64">
        <f>'IND_CONS Sector all'!$E$92</f>
        <v>0</v>
      </c>
      <c r="L56" s="64">
        <f>'IND_CONS Sector all'!$E$103</f>
        <v>0</v>
      </c>
      <c r="M56" s="64">
        <f>'IND_CONS Sector all'!$E$114</f>
        <v>7.8230000000000004</v>
      </c>
      <c r="N56" s="64">
        <f>'IND_CONS Sector all'!$E$125</f>
        <v>0</v>
      </c>
      <c r="O56" s="64">
        <f>'IND_CONS Sector all'!$E$136</f>
        <v>0</v>
      </c>
      <c r="P56" s="64">
        <f>'IND_CONS Sector all'!$E$147</f>
        <v>0</v>
      </c>
      <c r="Q56" s="64">
        <f>'IND_CONS Sector all'!$E$158</f>
        <v>0</v>
      </c>
      <c r="R56" s="64">
        <f>'IND_CONS Sector all'!$E$169</f>
        <v>0</v>
      </c>
      <c r="S56" s="64">
        <f>'IND_CONS Sector all'!$E$180</f>
        <v>0</v>
      </c>
      <c r="T56" s="64">
        <f>'IND_CONS Sector all'!$E$191</f>
        <v>0</v>
      </c>
      <c r="U56" s="64">
        <f>'IND_CONS Sector all'!$E$202</f>
        <v>0</v>
      </c>
      <c r="V56" s="64">
        <f>'IND_CONS Sector all'!$E$213</f>
        <v>0</v>
      </c>
      <c r="W56" s="64">
        <f>'IND_CONS Sector all'!$E$224</f>
        <v>0</v>
      </c>
      <c r="X56" s="64">
        <f>'IND_CONS Sector all'!$E$235</f>
        <v>0</v>
      </c>
      <c r="Y56" s="64">
        <f>'IND_CONS Sector all'!$E$246</f>
        <v>0</v>
      </c>
      <c r="Z56" s="64">
        <f>'IND_CONS Sector all'!$E$257</f>
        <v>0</v>
      </c>
      <c r="AA56" s="64">
        <f>'IND_CONS Sector all'!$E$268</f>
        <v>0</v>
      </c>
      <c r="AB56" s="64">
        <f>'IND_CONS Sector all'!$E$279</f>
        <v>0</v>
      </c>
      <c r="AC56" s="64">
        <f>'IND_CONS Sector all'!$E$290</f>
        <v>1.381</v>
      </c>
      <c r="AD56" s="64">
        <f>'IND_CONS Sector all'!$E$301</f>
        <v>0</v>
      </c>
      <c r="AE56" s="64">
        <f>'IND_CONS Sector all'!$E$312</f>
        <v>0</v>
      </c>
      <c r="AF56" s="64">
        <f>'IND_CONS Sector all'!$E$323</f>
        <v>0</v>
      </c>
      <c r="AG56" s="64">
        <f>'IND_CONS Sector all'!$E$334</f>
        <v>0</v>
      </c>
    </row>
    <row r="57" spans="1:33">
      <c r="B57" t="str">
        <f>'IND_CONS Sector all'!G$6</f>
        <v>Refinery Gas</v>
      </c>
      <c r="C57" s="64">
        <f t="shared" si="0"/>
        <v>0</v>
      </c>
      <c r="D57" s="64">
        <f>'IND_CONS Sector all'!$G$15</f>
        <v>0</v>
      </c>
      <c r="E57" s="64">
        <f>'IND_CONS Sector all'!$G$26</f>
        <v>0</v>
      </c>
      <c r="F57" s="64">
        <f>'IND_CONS Sector all'!$G$37</f>
        <v>0</v>
      </c>
      <c r="G57" s="64">
        <f>'IND_CONS Sector all'!$G$48</f>
        <v>0</v>
      </c>
      <c r="H57" s="64">
        <f>'IND_CONS Sector all'!$G$59</f>
        <v>0</v>
      </c>
      <c r="I57" s="675">
        <f>'IND_CONS Sector all'!$G$70</f>
        <v>0</v>
      </c>
      <c r="J57" s="64">
        <f>'IND_CONS Sector all'!$G$81</f>
        <v>0</v>
      </c>
      <c r="K57" s="64">
        <f>'IND_CONS Sector all'!$G$92</f>
        <v>0</v>
      </c>
      <c r="L57" s="64">
        <f>'IND_CONS Sector all'!$G$103</f>
        <v>0</v>
      </c>
      <c r="M57" s="64">
        <f>'IND_CONS Sector all'!$G$114</f>
        <v>0</v>
      </c>
      <c r="N57" s="64">
        <f>'IND_CONS Sector all'!$G$125</f>
        <v>0</v>
      </c>
      <c r="O57" s="64">
        <f>'IND_CONS Sector all'!$G$136</f>
        <v>0</v>
      </c>
      <c r="P57" s="64">
        <f>'IND_CONS Sector all'!$G$147</f>
        <v>0</v>
      </c>
      <c r="Q57" s="64">
        <f>'IND_CONS Sector all'!$G$158</f>
        <v>0</v>
      </c>
      <c r="R57" s="64">
        <f>'IND_CONS Sector all'!$G$169</f>
        <v>0</v>
      </c>
      <c r="S57" s="64">
        <f>'IND_CONS Sector all'!$G$180</f>
        <v>0</v>
      </c>
      <c r="T57" s="64">
        <f>'IND_CONS Sector all'!$G$191</f>
        <v>0</v>
      </c>
      <c r="U57" s="64">
        <f>'IND_CONS Sector all'!$G$202</f>
        <v>0</v>
      </c>
      <c r="V57" s="64">
        <f>'IND_CONS Sector all'!$G$213</f>
        <v>0</v>
      </c>
      <c r="W57" s="64">
        <f>'IND_CONS Sector all'!$G$224</f>
        <v>0</v>
      </c>
      <c r="X57" s="64">
        <f>'IND_CONS Sector all'!$G$235</f>
        <v>0</v>
      </c>
      <c r="Y57" s="64">
        <f>'IND_CONS Sector all'!$G$246</f>
        <v>0</v>
      </c>
      <c r="Z57" s="64">
        <f>'IND_CONS Sector all'!$G$257</f>
        <v>0</v>
      </c>
      <c r="AA57" s="64">
        <f>'IND_CONS Sector all'!$G$268</f>
        <v>0</v>
      </c>
      <c r="AB57" s="64">
        <f>'IND_CONS Sector all'!$G$279</f>
        <v>0</v>
      </c>
      <c r="AC57" s="64">
        <f>'IND_CONS Sector all'!$G$290</f>
        <v>0</v>
      </c>
      <c r="AD57" s="64">
        <f>'IND_CONS Sector all'!$G$301</f>
        <v>0</v>
      </c>
      <c r="AE57" s="64">
        <f>'IND_CONS Sector all'!$G$312</f>
        <v>0</v>
      </c>
      <c r="AF57" s="64">
        <f>'IND_CONS Sector all'!$G$323</f>
        <v>0</v>
      </c>
      <c r="AG57" s="64">
        <f>'IND_CONS Sector all'!$G$334</f>
        <v>0</v>
      </c>
    </row>
    <row r="58" spans="1:33">
      <c r="B58" t="str">
        <f>'IND_CONS Sector all'!K$6</f>
        <v>Gas / Diesel Oil</v>
      </c>
      <c r="C58" s="64">
        <f t="shared" si="0"/>
        <v>13.193</v>
      </c>
      <c r="D58" s="64">
        <f>'IND_CONS Sector all'!$K$15</f>
        <v>0.128</v>
      </c>
      <c r="E58" s="64">
        <f>'IND_CONS Sector all'!$K$26</f>
        <v>8.5000000000000006E-2</v>
      </c>
      <c r="F58" s="64">
        <f>'IND_CONS Sector all'!$K$37</f>
        <v>4.2999999999999997E-2</v>
      </c>
      <c r="G58" s="64">
        <f>'IND_CONS Sector all'!$K$48</f>
        <v>0</v>
      </c>
      <c r="H58" s="64">
        <f>'IND_CONS Sector all'!$K$59</f>
        <v>0</v>
      </c>
      <c r="I58" s="675">
        <f>'IND_CONS Sector all'!$K$70</f>
        <v>3.6640000000000001</v>
      </c>
      <c r="J58" s="64">
        <f>'IND_CONS Sector all'!$K$81</f>
        <v>0.29799999999999999</v>
      </c>
      <c r="K58" s="64">
        <f>'IND_CONS Sector all'!$K$92</f>
        <v>4.2999999999999997E-2</v>
      </c>
      <c r="L58" s="64">
        <f>'IND_CONS Sector all'!$K$103</f>
        <v>2.8119999999999998</v>
      </c>
      <c r="M58" s="64">
        <f>'IND_CONS Sector all'!$K$114</f>
        <v>0.55400000000000005</v>
      </c>
      <c r="N58" s="64">
        <f>'IND_CONS Sector all'!$K$125</f>
        <v>0.55400000000000005</v>
      </c>
      <c r="O58" s="64">
        <f>'IND_CONS Sector all'!$K$136</f>
        <v>0.128</v>
      </c>
      <c r="P58" s="64">
        <f>'IND_CONS Sector all'!$K$147</f>
        <v>0</v>
      </c>
      <c r="Q58" s="64">
        <f>'IND_CONS Sector all'!$K$158</f>
        <v>0.155</v>
      </c>
      <c r="R58" s="64">
        <f>'IND_CONS Sector all'!$K$169</f>
        <v>1.1499999999999999</v>
      </c>
      <c r="S58" s="64">
        <f>'IND_CONS Sector all'!$K$180</f>
        <v>0</v>
      </c>
      <c r="T58" s="64">
        <f>'IND_CONS Sector all'!$K$191</f>
        <v>0</v>
      </c>
      <c r="U58" s="64">
        <f>'IND_CONS Sector all'!$K$202</f>
        <v>0</v>
      </c>
      <c r="V58" s="64">
        <f>'IND_CONS Sector all'!$K$213</f>
        <v>0</v>
      </c>
      <c r="W58" s="64">
        <f>'IND_CONS Sector all'!$K$224</f>
        <v>0</v>
      </c>
      <c r="X58" s="64">
        <f>'IND_CONS Sector all'!$K$235</f>
        <v>0.34100000000000003</v>
      </c>
      <c r="Y58" s="64">
        <f>'IND_CONS Sector all'!$K$246</f>
        <v>0.17</v>
      </c>
      <c r="Z58" s="64">
        <f>'IND_CONS Sector all'!$K$257</f>
        <v>0</v>
      </c>
      <c r="AA58" s="64">
        <f>'IND_CONS Sector all'!$K$268</f>
        <v>0.85199999999999998</v>
      </c>
      <c r="AB58" s="64">
        <f>'IND_CONS Sector all'!$K$279</f>
        <v>4.2999999999999997E-2</v>
      </c>
      <c r="AC58" s="64">
        <f>'IND_CONS Sector all'!$K$290</f>
        <v>0</v>
      </c>
      <c r="AD58" s="64">
        <f>'IND_CONS Sector all'!$K$301</f>
        <v>2.173</v>
      </c>
      <c r="AE58" s="64">
        <f>'IND_CONS Sector all'!$K$312</f>
        <v>1.7889999999999999</v>
      </c>
      <c r="AF58" s="64">
        <f>'IND_CONS Sector all'!$K$323</f>
        <v>0</v>
      </c>
      <c r="AG58" s="64">
        <f>'IND_CONS Sector all'!$K$334</f>
        <v>0.17</v>
      </c>
    </row>
    <row r="59" spans="1:33">
      <c r="B59" t="str">
        <f>'IND_CONS Sector all'!L$6</f>
        <v>Residual Fuel Oil</v>
      </c>
      <c r="C59" s="64">
        <f t="shared" si="0"/>
        <v>60.356999999999999</v>
      </c>
      <c r="D59" s="64">
        <f>'IND_CONS Sector all'!$L$15</f>
        <v>1.52</v>
      </c>
      <c r="E59" s="64">
        <f>'IND_CONS Sector all'!$L$26</f>
        <v>1.64</v>
      </c>
      <c r="F59" s="64">
        <f>'IND_CONS Sector all'!$L$37</f>
        <v>1.28</v>
      </c>
      <c r="G59" s="64">
        <f>'IND_CONS Sector all'!$L$48</f>
        <v>0</v>
      </c>
      <c r="H59" s="64">
        <f>'IND_CONS Sector all'!$L$59</f>
        <v>1</v>
      </c>
      <c r="I59" s="675">
        <f>'IND_CONS Sector all'!$L$70</f>
        <v>2.36</v>
      </c>
      <c r="J59" s="64">
        <f>'IND_CONS Sector all'!$L$81</f>
        <v>0.08</v>
      </c>
      <c r="K59" s="64">
        <f>'IND_CONS Sector all'!$L$92</f>
        <v>0</v>
      </c>
      <c r="L59" s="64">
        <f>'IND_CONS Sector all'!$L$103</f>
        <v>3.96</v>
      </c>
      <c r="M59" s="64">
        <f>'IND_CONS Sector all'!$L$114</f>
        <v>10</v>
      </c>
      <c r="N59" s="64">
        <f>'IND_CONS Sector all'!$L$125</f>
        <v>4.08</v>
      </c>
      <c r="O59" s="64">
        <f>'IND_CONS Sector all'!$L$136</f>
        <v>1.68</v>
      </c>
      <c r="P59" s="64">
        <f>'IND_CONS Sector all'!$L$147</f>
        <v>0.32</v>
      </c>
      <c r="Q59" s="64">
        <f>'IND_CONS Sector all'!$L$158</f>
        <v>0.11700000000000001</v>
      </c>
      <c r="R59" s="64">
        <f>'IND_CONS Sector all'!$L$169</f>
        <v>7.52</v>
      </c>
      <c r="S59" s="64">
        <f>'IND_CONS Sector all'!$L$180</f>
        <v>0</v>
      </c>
      <c r="T59" s="64">
        <f>'IND_CONS Sector all'!$L$191</f>
        <v>0</v>
      </c>
      <c r="U59" s="64">
        <f>'IND_CONS Sector all'!$L$202</f>
        <v>0</v>
      </c>
      <c r="V59" s="64">
        <f>'IND_CONS Sector all'!$L$213</f>
        <v>0</v>
      </c>
      <c r="W59" s="64">
        <f>'IND_CONS Sector all'!$L$224</f>
        <v>0</v>
      </c>
      <c r="X59" s="64">
        <f>'IND_CONS Sector all'!$L$235</f>
        <v>1.6</v>
      </c>
      <c r="Y59" s="64">
        <f>'IND_CONS Sector all'!$L$246</f>
        <v>2.96</v>
      </c>
      <c r="Z59" s="64">
        <f>'IND_CONS Sector all'!$L$257</f>
        <v>0.4</v>
      </c>
      <c r="AA59" s="64">
        <f>'IND_CONS Sector all'!$L$268</f>
        <v>17.36</v>
      </c>
      <c r="AB59" s="64">
        <f>'IND_CONS Sector all'!$L$279</f>
        <v>1.1200000000000001</v>
      </c>
      <c r="AC59" s="64">
        <f>'IND_CONS Sector all'!$L$290</f>
        <v>0.2</v>
      </c>
      <c r="AD59" s="64">
        <f>'IND_CONS Sector all'!$L$301</f>
        <v>1.1599999999999999</v>
      </c>
      <c r="AE59" s="64">
        <f>'IND_CONS Sector all'!$L$312</f>
        <v>1.92</v>
      </c>
      <c r="AF59" s="64">
        <f>'IND_CONS Sector all'!$L$323</f>
        <v>0</v>
      </c>
      <c r="AG59" s="64">
        <f>'IND_CONS Sector all'!$L$334</f>
        <v>4.5999999999999996</v>
      </c>
    </row>
    <row r="60" spans="1:33">
      <c r="B60" t="str">
        <f>'IND_CONS Sector all'!O$6</f>
        <v>Wood &amp; Wood Waste</v>
      </c>
      <c r="C60" s="64">
        <f t="shared" si="0"/>
        <v>408.81973600000003</v>
      </c>
      <c r="D60" s="64">
        <f>'IND_CONS Sector all'!$O$15</f>
        <v>16.437000000000001</v>
      </c>
      <c r="E60" s="64">
        <f>'IND_CONS Sector all'!$O$26</f>
        <v>9.3439999999999994</v>
      </c>
      <c r="F60" s="64">
        <f>'IND_CONS Sector all'!$O$37</f>
        <v>1.222</v>
      </c>
      <c r="G60" s="64">
        <f>'IND_CONS Sector all'!$O$48</f>
        <v>0</v>
      </c>
      <c r="H60" s="64">
        <f>'IND_CONS Sector all'!$O$59</f>
        <v>9.7530000000000001</v>
      </c>
      <c r="I60" s="675">
        <f>'IND_CONS Sector all'!$O$70</f>
        <v>0</v>
      </c>
      <c r="J60" s="64">
        <f>'IND_CONS Sector all'!$O$81</f>
        <v>0</v>
      </c>
      <c r="K60" s="64">
        <f>'IND_CONS Sector all'!$O$92</f>
        <v>8.3736000000000005E-2</v>
      </c>
      <c r="L60" s="64">
        <f>'IND_CONS Sector all'!$O$103</f>
        <v>19.131</v>
      </c>
      <c r="M60" s="64">
        <f>'IND_CONS Sector all'!$O$114</f>
        <v>134.047</v>
      </c>
      <c r="N60" s="64">
        <f>'IND_CONS Sector all'!$O$125</f>
        <v>23.231999999999999</v>
      </c>
      <c r="O60" s="64">
        <f>'IND_CONS Sector all'!$O$136</f>
        <v>0</v>
      </c>
      <c r="P60" s="64">
        <f>'IND_CONS Sector all'!$O$147</f>
        <v>0.22900000000000001</v>
      </c>
      <c r="Q60" s="64">
        <f>'IND_CONS Sector all'!$O$158</f>
        <v>0</v>
      </c>
      <c r="R60" s="64">
        <f>'IND_CONS Sector all'!$O$169</f>
        <v>0</v>
      </c>
      <c r="S60" s="64">
        <f>'IND_CONS Sector all'!$O$180</f>
        <v>0</v>
      </c>
      <c r="T60" s="64">
        <f>'IND_CONS Sector all'!$O$191</f>
        <v>0</v>
      </c>
      <c r="U60" s="64">
        <f>'IND_CONS Sector all'!$O$202</f>
        <v>2.7E-2</v>
      </c>
      <c r="V60" s="64">
        <f>'IND_CONS Sector all'!$O$213</f>
        <v>0</v>
      </c>
      <c r="W60" s="64">
        <f>'IND_CONS Sector all'!$O$224</f>
        <v>0</v>
      </c>
      <c r="X60" s="64">
        <f>'IND_CONS Sector all'!$O$235</f>
        <v>18.611000000000001</v>
      </c>
      <c r="Y60" s="64">
        <f>'IND_CONS Sector all'!$O$246</f>
        <v>32.192</v>
      </c>
      <c r="Z60" s="64">
        <f>'IND_CONS Sector all'!$O$257</f>
        <v>3.96</v>
      </c>
      <c r="AA60" s="64">
        <f>'IND_CONS Sector all'!$O$268</f>
        <v>128.733</v>
      </c>
      <c r="AB60" s="64">
        <f>'IND_CONS Sector all'!$O$279</f>
        <v>1.9339999999999999</v>
      </c>
      <c r="AC60" s="64">
        <f>'IND_CONS Sector all'!$O$290</f>
        <v>9.8840000000000003</v>
      </c>
      <c r="AD60" s="64">
        <f>'IND_CONS Sector all'!$O$301</f>
        <v>0</v>
      </c>
      <c r="AE60" s="64">
        <f>'IND_CONS Sector all'!$O$312</f>
        <v>1.411</v>
      </c>
      <c r="AF60" s="64">
        <f>'IND_CONS Sector all'!$O$323</f>
        <v>0</v>
      </c>
      <c r="AG60" s="64">
        <f>'IND_CONS Sector all'!$O$334</f>
        <v>11.548</v>
      </c>
    </row>
    <row r="61" spans="1:33">
      <c r="B61" t="str">
        <f>'IND_CONS Sector all'!Q$6</f>
        <v>MSW</v>
      </c>
      <c r="C61" s="64">
        <f t="shared" si="0"/>
        <v>0.79800000000000004</v>
      </c>
      <c r="D61" s="64">
        <f>'IND_CONS Sector all'!$Q$15</f>
        <v>0</v>
      </c>
      <c r="E61" s="64">
        <f>'IND_CONS Sector all'!$Q$26</f>
        <v>0</v>
      </c>
      <c r="F61" s="64">
        <f>'IND_CONS Sector all'!$Q$37</f>
        <v>0</v>
      </c>
      <c r="G61" s="64">
        <f>'IND_CONS Sector all'!$Q$48</f>
        <v>0</v>
      </c>
      <c r="H61" s="64">
        <f>'IND_CONS Sector all'!$Q$59</f>
        <v>0</v>
      </c>
      <c r="I61" s="675">
        <f>'IND_CONS Sector all'!$Q$70</f>
        <v>0</v>
      </c>
      <c r="J61" s="64">
        <f>'IND_CONS Sector all'!$Q$81</f>
        <v>3.4000000000000002E-2</v>
      </c>
      <c r="K61" s="64">
        <f>'IND_CONS Sector all'!$Q$92</f>
        <v>0</v>
      </c>
      <c r="L61" s="64">
        <f>'IND_CONS Sector all'!$Q$103</f>
        <v>0</v>
      </c>
      <c r="M61" s="64">
        <f>'IND_CONS Sector all'!$Q$114</f>
        <v>0.76400000000000001</v>
      </c>
      <c r="N61" s="64">
        <f>'IND_CONS Sector all'!$Q$125</f>
        <v>0</v>
      </c>
      <c r="O61" s="64">
        <f>'IND_CONS Sector all'!$Q$136</f>
        <v>0</v>
      </c>
      <c r="P61" s="64">
        <f>'IND_CONS Sector all'!$Q$147</f>
        <v>0</v>
      </c>
      <c r="Q61" s="64">
        <f>'IND_CONS Sector all'!$Q$158</f>
        <v>0</v>
      </c>
      <c r="R61" s="64">
        <f>'IND_CONS Sector all'!$Q$169</f>
        <v>0</v>
      </c>
      <c r="S61" s="64">
        <f>'IND_CONS Sector all'!$Q$180</f>
        <v>0</v>
      </c>
      <c r="T61" s="64">
        <f>'IND_CONS Sector all'!$Q$191</f>
        <v>0</v>
      </c>
      <c r="U61" s="64">
        <f>'IND_CONS Sector all'!$Q$202</f>
        <v>0</v>
      </c>
      <c r="V61" s="64">
        <f>'IND_CONS Sector all'!$Q$213</f>
        <v>0</v>
      </c>
      <c r="W61" s="64">
        <f>'IND_CONS Sector all'!$Q$224</f>
        <v>0</v>
      </c>
      <c r="X61" s="64">
        <f>'IND_CONS Sector all'!$Q$235</f>
        <v>0</v>
      </c>
      <c r="Y61" s="64">
        <f>'IND_CONS Sector all'!$Q$246</f>
        <v>0</v>
      </c>
      <c r="Z61" s="64">
        <f>'IND_CONS Sector all'!$Q$257</f>
        <v>0</v>
      </c>
      <c r="AA61" s="64">
        <f>'IND_CONS Sector all'!$Q$268</f>
        <v>0</v>
      </c>
      <c r="AB61" s="64">
        <f>'IND_CONS Sector all'!$Q$279</f>
        <v>0</v>
      </c>
      <c r="AC61" s="64">
        <f>'IND_CONS Sector all'!$Q$290</f>
        <v>0</v>
      </c>
      <c r="AD61" s="64">
        <f>'IND_CONS Sector all'!$Q$301</f>
        <v>0</v>
      </c>
      <c r="AE61" s="64">
        <f>'IND_CONS Sector all'!$Q$312</f>
        <v>0</v>
      </c>
      <c r="AF61" s="64">
        <f>'IND_CONS Sector all'!$Q$323</f>
        <v>0</v>
      </c>
      <c r="AG61" s="64">
        <f>'IND_CONS Sector all'!$Q$334</f>
        <v>0</v>
      </c>
    </row>
    <row r="62" spans="1:33">
      <c r="B62" t="str">
        <f>'IND_CONS Sector all'!S$6</f>
        <v>Industrial Wastes</v>
      </c>
      <c r="C62" s="64">
        <f t="shared" si="0"/>
        <v>2.3079999999999998</v>
      </c>
      <c r="D62" s="64">
        <f>'IND_CONS Sector all'!$S$15</f>
        <v>0.125</v>
      </c>
      <c r="E62" s="64">
        <f>'IND_CONS Sector all'!$S$26</f>
        <v>0</v>
      </c>
      <c r="F62" s="64">
        <f>'IND_CONS Sector all'!$S$37</f>
        <v>2.0579999999999998</v>
      </c>
      <c r="G62" s="64">
        <f>'IND_CONS Sector all'!$S$48</f>
        <v>0</v>
      </c>
      <c r="H62" s="64">
        <f>'IND_CONS Sector all'!$S$59</f>
        <v>0</v>
      </c>
      <c r="I62" s="675">
        <f>'IND_CONS Sector all'!$S$70</f>
        <v>0</v>
      </c>
      <c r="J62" s="64">
        <f>'IND_CONS Sector all'!$S$81</f>
        <v>0</v>
      </c>
      <c r="K62" s="64">
        <f>'IND_CONS Sector all'!$S$92</f>
        <v>0</v>
      </c>
      <c r="L62" s="64">
        <f>'IND_CONS Sector all'!$S$103</f>
        <v>0</v>
      </c>
      <c r="M62" s="64">
        <f>'IND_CONS Sector all'!$S$114</f>
        <v>0</v>
      </c>
      <c r="N62" s="64">
        <f>'IND_CONS Sector all'!$S$125</f>
        <v>0</v>
      </c>
      <c r="O62" s="64">
        <f>'IND_CONS Sector all'!$S$136</f>
        <v>0</v>
      </c>
      <c r="P62" s="64">
        <f>'IND_CONS Sector all'!$S$147</f>
        <v>0</v>
      </c>
      <c r="Q62" s="64">
        <f>'IND_CONS Sector all'!$S$158</f>
        <v>0</v>
      </c>
      <c r="R62" s="64">
        <f>'IND_CONS Sector all'!$S$169</f>
        <v>0</v>
      </c>
      <c r="S62" s="64">
        <f>'IND_CONS Sector all'!$S$180</f>
        <v>0</v>
      </c>
      <c r="T62" s="64">
        <f>'IND_CONS Sector all'!$S$191</f>
        <v>0</v>
      </c>
      <c r="U62" s="64">
        <f>'IND_CONS Sector all'!$S$202</f>
        <v>0</v>
      </c>
      <c r="V62" s="64">
        <f>'IND_CONS Sector all'!$S$213</f>
        <v>0</v>
      </c>
      <c r="W62" s="64">
        <f>'IND_CONS Sector all'!$S$224</f>
        <v>0</v>
      </c>
      <c r="X62" s="64">
        <f>'IND_CONS Sector all'!$S$235</f>
        <v>0.125</v>
      </c>
      <c r="Y62" s="64">
        <f>'IND_CONS Sector all'!$S$246</f>
        <v>0</v>
      </c>
      <c r="Z62" s="64">
        <f>'IND_CONS Sector all'!$S$257</f>
        <v>0</v>
      </c>
      <c r="AA62" s="64">
        <f>'IND_CONS Sector all'!$S$268</f>
        <v>0</v>
      </c>
      <c r="AB62" s="64">
        <f>'IND_CONS Sector all'!$S$279</f>
        <v>0</v>
      </c>
      <c r="AC62" s="64">
        <f>'IND_CONS Sector all'!$S$290</f>
        <v>0</v>
      </c>
      <c r="AD62" s="64">
        <f>'IND_CONS Sector all'!$S$301</f>
        <v>0</v>
      </c>
      <c r="AE62" s="64">
        <f>'IND_CONS Sector all'!$S$312</f>
        <v>3.475044</v>
      </c>
      <c r="AF62" s="64">
        <f>'IND_CONS Sector all'!$S$323</f>
        <v>0</v>
      </c>
      <c r="AG62" s="64">
        <f>'IND_CONS Sector all'!$S$334</f>
        <v>0</v>
      </c>
    </row>
    <row r="63" spans="1:33">
      <c r="B63" t="str">
        <f>'IND_CONS Sector all'!T$6</f>
        <v>Natural Gas</v>
      </c>
      <c r="C63" s="64">
        <f t="shared" si="0"/>
        <v>353.465104</v>
      </c>
      <c r="D63" s="64">
        <f>'IND_CONS Sector all'!$T$15</f>
        <v>20.545999999999999</v>
      </c>
      <c r="E63" s="64">
        <f>'IND_CONS Sector all'!$T$26</f>
        <v>3.8359999999999999</v>
      </c>
      <c r="F63" s="64">
        <f>'IND_CONS Sector all'!$T$37</f>
        <v>2.1560000000000001</v>
      </c>
      <c r="G63" s="64">
        <f>'IND_CONS Sector all'!$T$48</f>
        <v>0</v>
      </c>
      <c r="H63" s="64">
        <f>'IND_CONS Sector all'!$T$59</f>
        <v>4.0880000000000001</v>
      </c>
      <c r="I63" s="675">
        <f>'IND_CONS Sector all'!$T$70</f>
        <v>95.082999999999998</v>
      </c>
      <c r="J63" s="64">
        <f>'IND_CONS Sector all'!$T$81</f>
        <v>2.5958160000000001</v>
      </c>
      <c r="K63" s="64">
        <f>'IND_CONS Sector all'!$T$92</f>
        <v>0.58399999999999996</v>
      </c>
      <c r="L63" s="64">
        <f>'IND_CONS Sector all'!$T$103</f>
        <v>40.109544</v>
      </c>
      <c r="M63" s="64">
        <f>'IND_CONS Sector all'!$T$114</f>
        <v>21.981000000000002</v>
      </c>
      <c r="N63" s="64">
        <f>'IND_CONS Sector all'!$T$125</f>
        <v>39.69</v>
      </c>
      <c r="O63" s="64">
        <f>'IND_CONS Sector all'!$T$136</f>
        <v>1.121</v>
      </c>
      <c r="P63" s="64">
        <f>'IND_CONS Sector all'!$T$147</f>
        <v>2.5070000000000001</v>
      </c>
      <c r="Q63" s="64">
        <f>'IND_CONS Sector all'!$T$158</f>
        <v>0.46054800000000001</v>
      </c>
      <c r="R63" s="64">
        <f>'IND_CONS Sector all'!$T$169</f>
        <v>37.972999999999999</v>
      </c>
      <c r="S63" s="64">
        <f>'IND_CONS Sector all'!$T$180</f>
        <v>6.4000000000000001E-2</v>
      </c>
      <c r="T63" s="64">
        <f>'IND_CONS Sector all'!$T$191</f>
        <v>0</v>
      </c>
      <c r="U63" s="64">
        <f>'IND_CONS Sector all'!$T$202</f>
        <v>0.20200000000000001</v>
      </c>
      <c r="V63" s="64">
        <f>'IND_CONS Sector all'!$T$213</f>
        <v>0</v>
      </c>
      <c r="W63" s="64">
        <f>'IND_CONS Sector all'!$T$224</f>
        <v>19.661000000000001</v>
      </c>
      <c r="X63" s="64">
        <f>'IND_CONS Sector all'!$T$235</f>
        <v>2.2879999999999998</v>
      </c>
      <c r="Y63" s="64">
        <f>'IND_CONS Sector all'!$T$246</f>
        <v>1.5909840000000002</v>
      </c>
      <c r="Z63" s="64">
        <f>'IND_CONS Sector all'!$T$257</f>
        <v>4.6159999999999997</v>
      </c>
      <c r="AA63" s="64">
        <f>'IND_CONS Sector all'!$T$268</f>
        <v>1.135</v>
      </c>
      <c r="AB63" s="64">
        <f>'IND_CONS Sector all'!$T$279</f>
        <v>4.5179999999999998</v>
      </c>
      <c r="AC63" s="64">
        <f>'IND_CONS Sector all'!$T$290</f>
        <v>2.3210000000000002</v>
      </c>
      <c r="AD63" s="64">
        <f>'IND_CONS Sector all'!$T$301</f>
        <v>44.338212000000006</v>
      </c>
      <c r="AE63" s="64">
        <f>'IND_CONS Sector all'!$T$312</f>
        <v>5.7359160000000005</v>
      </c>
      <c r="AF63" s="64">
        <f>'IND_CONS Sector all'!$T$323</f>
        <v>0</v>
      </c>
      <c r="AG63" s="64">
        <f>'IND_CONS Sector all'!$T$334</f>
        <v>0.29699999999999999</v>
      </c>
    </row>
    <row r="64" spans="1:33">
      <c r="B64" t="str">
        <f>'IND_CONS Sector all'!U$6</f>
        <v>Coke-Oven Gas</v>
      </c>
      <c r="C64" s="64">
        <f t="shared" si="0"/>
        <v>0.85399999999999998</v>
      </c>
      <c r="D64" s="64">
        <f>'IND_CONS Sector all'!$U$15</f>
        <v>0</v>
      </c>
      <c r="E64" s="64">
        <f>'IND_CONS Sector all'!$U$26</f>
        <v>0</v>
      </c>
      <c r="F64" s="64">
        <f>'IND_CONS Sector all'!$U$37</f>
        <v>0</v>
      </c>
      <c r="G64" s="64">
        <f>'IND_CONS Sector all'!$U$48</f>
        <v>0</v>
      </c>
      <c r="H64" s="64">
        <f>'IND_CONS Sector all'!$U$59</f>
        <v>0</v>
      </c>
      <c r="I64" s="675">
        <f>'IND_CONS Sector all'!$U$70</f>
        <v>0.85399999999999998</v>
      </c>
      <c r="J64" s="64">
        <f>'IND_CONS Sector all'!$U$81</f>
        <v>0</v>
      </c>
      <c r="K64" s="64">
        <f>'IND_CONS Sector all'!$U$92</f>
        <v>0</v>
      </c>
      <c r="L64" s="64">
        <f>'IND_CONS Sector all'!$U$103</f>
        <v>0</v>
      </c>
      <c r="M64" s="64">
        <f>'IND_CONS Sector all'!$U$114</f>
        <v>0</v>
      </c>
      <c r="N64" s="64">
        <f>'IND_CONS Sector all'!$U$125</f>
        <v>0</v>
      </c>
      <c r="O64" s="64">
        <f>'IND_CONS Sector all'!$U$136</f>
        <v>0</v>
      </c>
      <c r="P64" s="64">
        <f>'IND_CONS Sector all'!$U$147</f>
        <v>0</v>
      </c>
      <c r="Q64" s="64">
        <f>'IND_CONS Sector all'!$U$158</f>
        <v>0</v>
      </c>
      <c r="R64" s="64">
        <f>'IND_CONS Sector all'!$U$169</f>
        <v>0</v>
      </c>
      <c r="S64" s="64">
        <f>'IND_CONS Sector all'!$U$180</f>
        <v>0</v>
      </c>
      <c r="T64" s="64">
        <f>'IND_CONS Sector all'!$U$191</f>
        <v>0</v>
      </c>
      <c r="U64" s="64">
        <f>'IND_CONS Sector all'!$U$202</f>
        <v>0</v>
      </c>
      <c r="V64" s="64">
        <f>'IND_CONS Sector all'!$U$213</f>
        <v>0</v>
      </c>
      <c r="W64" s="64">
        <f>'IND_CONS Sector all'!$U$224</f>
        <v>0</v>
      </c>
      <c r="X64" s="64">
        <f>'IND_CONS Sector all'!$U$235</f>
        <v>0</v>
      </c>
      <c r="Y64" s="64">
        <f>'IND_CONS Sector all'!$U$246</f>
        <v>0</v>
      </c>
      <c r="Z64" s="64">
        <f>'IND_CONS Sector all'!$U$257</f>
        <v>0</v>
      </c>
      <c r="AA64" s="64">
        <f>'IND_CONS Sector all'!$U$268</f>
        <v>0</v>
      </c>
      <c r="AB64" s="64">
        <f>'IND_CONS Sector all'!$U$279</f>
        <v>0</v>
      </c>
      <c r="AC64" s="64">
        <f>'IND_CONS Sector all'!$U$290</f>
        <v>0</v>
      </c>
      <c r="AD64" s="64">
        <f>'IND_CONS Sector all'!$U$301</f>
        <v>0</v>
      </c>
      <c r="AE64" s="64">
        <f>'IND_CONS Sector all'!$U$312</f>
        <v>0</v>
      </c>
      <c r="AF64" s="64">
        <f>'IND_CONS Sector all'!$U$323</f>
        <v>0</v>
      </c>
      <c r="AG64" s="64">
        <f>'IND_CONS Sector all'!$U$334</f>
        <v>0</v>
      </c>
    </row>
    <row r="65" spans="1:33">
      <c r="B65" t="str">
        <f>'IND_CONS Sector all'!V$6</f>
        <v>Blast-Furnace Gas</v>
      </c>
      <c r="C65" s="64">
        <f t="shared" si="0"/>
        <v>0</v>
      </c>
      <c r="D65" s="64">
        <f>'IND_CONS Sector all'!$V$15</f>
        <v>0</v>
      </c>
      <c r="E65" s="64">
        <f>'IND_CONS Sector all'!$V$26</f>
        <v>0</v>
      </c>
      <c r="F65" s="64">
        <f>'IND_CONS Sector all'!$V$37</f>
        <v>0</v>
      </c>
      <c r="G65" s="64">
        <f>'IND_CONS Sector all'!$V$48</f>
        <v>0</v>
      </c>
      <c r="H65" s="64">
        <f>'IND_CONS Sector all'!$V$59</f>
        <v>0</v>
      </c>
      <c r="I65" s="675">
        <f>'IND_CONS Sector all'!$V$70</f>
        <v>0</v>
      </c>
      <c r="J65" s="64">
        <f>'IND_CONS Sector all'!$V$81</f>
        <v>0</v>
      </c>
      <c r="K65" s="64">
        <f>'IND_CONS Sector all'!$V$92</f>
        <v>0</v>
      </c>
      <c r="L65" s="64">
        <f>'IND_CONS Sector all'!$V$103</f>
        <v>0</v>
      </c>
      <c r="M65" s="64">
        <f>'IND_CONS Sector all'!$V$114</f>
        <v>0</v>
      </c>
      <c r="N65" s="64">
        <f>'IND_CONS Sector all'!$V$125</f>
        <v>0</v>
      </c>
      <c r="O65" s="64">
        <f>'IND_CONS Sector all'!$V$136</f>
        <v>0</v>
      </c>
      <c r="P65" s="64">
        <f>'IND_CONS Sector all'!$V$147</f>
        <v>0</v>
      </c>
      <c r="Q65" s="64">
        <f>'IND_CONS Sector all'!$V$158</f>
        <v>0</v>
      </c>
      <c r="R65" s="64">
        <f>'IND_CONS Sector all'!$V$169</f>
        <v>0</v>
      </c>
      <c r="S65" s="64">
        <f>'IND_CONS Sector all'!$V$180</f>
        <v>0</v>
      </c>
      <c r="T65" s="64">
        <f>'IND_CONS Sector all'!$V$191</f>
        <v>0</v>
      </c>
      <c r="U65" s="64">
        <f>'IND_CONS Sector all'!$V$202</f>
        <v>0</v>
      </c>
      <c r="V65" s="64">
        <f>'IND_CONS Sector all'!$V$213</f>
        <v>0</v>
      </c>
      <c r="W65" s="64">
        <f>'IND_CONS Sector all'!$V$224</f>
        <v>0</v>
      </c>
      <c r="X65" s="64">
        <f>'IND_CONS Sector all'!$V$235</f>
        <v>0</v>
      </c>
      <c r="Y65" s="64">
        <f>'IND_CONS Sector all'!$V$246</f>
        <v>0</v>
      </c>
      <c r="Z65" s="64">
        <f>'IND_CONS Sector all'!$V$257</f>
        <v>0</v>
      </c>
      <c r="AA65" s="64">
        <f>'IND_CONS Sector all'!$V$268</f>
        <v>0</v>
      </c>
      <c r="AB65" s="64">
        <f>'IND_CONS Sector all'!$V$279</f>
        <v>0</v>
      </c>
      <c r="AC65" s="64">
        <f>'IND_CONS Sector all'!$V$290</f>
        <v>0</v>
      </c>
      <c r="AD65" s="64">
        <f>'IND_CONS Sector all'!$V$301</f>
        <v>0</v>
      </c>
      <c r="AE65" s="64">
        <f>'IND_CONS Sector all'!$V$312</f>
        <v>0</v>
      </c>
      <c r="AF65" s="64">
        <f>'IND_CONS Sector all'!$V$323</f>
        <v>0</v>
      </c>
      <c r="AG65" s="64">
        <f>'IND_CONS Sector all'!$V$334</f>
        <v>0</v>
      </c>
    </row>
    <row r="66" spans="1:33">
      <c r="B66" t="e">
        <f>#REF!</f>
        <v>#REF!</v>
      </c>
      <c r="C66" s="64" t="e">
        <f t="shared" si="0"/>
        <v>#REF!</v>
      </c>
      <c r="D66" s="64" t="e">
        <f>#REF!/1000</f>
        <v>#REF!</v>
      </c>
      <c r="E66" s="64" t="e">
        <f>#REF!/1000</f>
        <v>#REF!</v>
      </c>
      <c r="F66" s="64" t="e">
        <f>#REF!/1000</f>
        <v>#REF!</v>
      </c>
      <c r="G66" s="64" t="e">
        <f>#REF!/1000</f>
        <v>#REF!</v>
      </c>
      <c r="H66" s="64" t="e">
        <f>#REF!/1000</f>
        <v>#REF!</v>
      </c>
      <c r="I66" s="675" t="e">
        <f>#REF!/1000</f>
        <v>#REF!</v>
      </c>
      <c r="J66" s="64" t="e">
        <f>#REF!/1000</f>
        <v>#REF!</v>
      </c>
      <c r="K66" s="64" t="e">
        <f>#REF!/1000</f>
        <v>#REF!</v>
      </c>
      <c r="L66" s="64" t="e">
        <f>#REF!/1000</f>
        <v>#REF!</v>
      </c>
      <c r="M66" s="64" t="e">
        <f>#REF!/1000</f>
        <v>#REF!</v>
      </c>
      <c r="N66" s="64" t="e">
        <f>#REF!/1000</f>
        <v>#REF!</v>
      </c>
      <c r="O66" s="64" t="e">
        <f>#REF!/1000</f>
        <v>#REF!</v>
      </c>
      <c r="P66" s="64" t="e">
        <f>#REF!/1000</f>
        <v>#REF!</v>
      </c>
      <c r="Q66" s="64" t="e">
        <f>#REF!/1000</f>
        <v>#REF!</v>
      </c>
      <c r="R66" s="64" t="e">
        <f>#REF!/1000</f>
        <v>#REF!</v>
      </c>
      <c r="S66" s="64" t="e">
        <f>#REF!/1000</f>
        <v>#REF!</v>
      </c>
      <c r="T66" s="64" t="e">
        <f>#REF!/1000</f>
        <v>#REF!</v>
      </c>
      <c r="U66" s="64" t="e">
        <f>#REF!/1000</f>
        <v>#REF!</v>
      </c>
      <c r="V66" s="64" t="e">
        <f>#REF!/1000</f>
        <v>#REF!</v>
      </c>
      <c r="W66" s="64" t="e">
        <f>#REF!/1000</f>
        <v>#REF!</v>
      </c>
      <c r="X66" s="64" t="e">
        <f>#REF!/1000</f>
        <v>#REF!</v>
      </c>
      <c r="Y66" s="64" t="e">
        <f>#REF!/1000</f>
        <v>#REF!</v>
      </c>
      <c r="Z66" s="64" t="e">
        <f>#REF!/1000</f>
        <v>#REF!</v>
      </c>
      <c r="AA66" s="64" t="e">
        <f>#REF!/1000</f>
        <v>#REF!</v>
      </c>
      <c r="AB66" s="64" t="e">
        <f>#REF!/1000</f>
        <v>#REF!</v>
      </c>
      <c r="AC66" s="64" t="e">
        <f>#REF!/1000</f>
        <v>#REF!</v>
      </c>
      <c r="AD66" s="64" t="e">
        <f>#REF!/1000</f>
        <v>#REF!</v>
      </c>
      <c r="AE66" s="64" t="e">
        <f>#REF!/1000</f>
        <v>#REF!</v>
      </c>
      <c r="AF66" s="64" t="e">
        <f>#REF!/1000</f>
        <v>#REF!</v>
      </c>
      <c r="AG66" s="64" t="e">
        <f>#REF!/1000</f>
        <v>#REF!</v>
      </c>
    </row>
    <row r="67" spans="1:33">
      <c r="A67" t="s">
        <v>260</v>
      </c>
      <c r="B67" t="str">
        <f>'IND_CONS Sector all'!C$6</f>
        <v>Hard Coal &amp; Patent Fuels</v>
      </c>
      <c r="C67" s="64">
        <f t="shared" si="0"/>
        <v>104.11799999999999</v>
      </c>
      <c r="D67" s="64">
        <f>'IND_CONS Sector all'!$C$13+'IND_CONS Sector all'!$C$14+'IND_CONS Sector all'!$C$16+'IND_CONS Sector all'!$C$17</f>
        <v>0</v>
      </c>
      <c r="E67" s="64">
        <f>'IND_CONS Sector all'!$C$24+'IND_CONS Sector all'!$C$25+'IND_CONS Sector all'!$C$27+'IND_CONS Sector all'!$C$28</f>
        <v>2.286</v>
      </c>
      <c r="F67" s="64">
        <f>'IND_CONS Sector all'!$C$35+'IND_CONS Sector all'!$C$36+'IND_CONS Sector all'!$C$38+'IND_CONS Sector all'!$C$39</f>
        <v>2.5270000000000001</v>
      </c>
      <c r="G67" s="64">
        <f>'IND_CONS Sector all'!$C$46+'IND_CONS Sector all'!$C$47+'IND_CONS Sector all'!$C$49+'IND_CONS Sector all'!$C$50</f>
        <v>0</v>
      </c>
      <c r="H67" s="64">
        <f>'IND_CONS Sector all'!$C$57+'IND_CONS Sector all'!$C$58+'IND_CONS Sector all'!$C$60+'IND_CONS Sector all'!$C$61</f>
        <v>0.95900000000000007</v>
      </c>
      <c r="I67" s="64">
        <f>'IND_CONS Sector all'!$C$68+'IND_CONS Sector all'!$C$69+'IND_CONS Sector all'!$C$71+'IND_CONS Sector all'!$C$72</f>
        <v>3.5419999999999998</v>
      </c>
      <c r="J67" s="53">
        <f>'IND_CONS Sector all'!$C$79+'IND_CONS Sector all'!$C$80+'IND_CONS Sector all'!$C$82+'IND_CONS Sector all'!$C$83</f>
        <v>1.776</v>
      </c>
      <c r="K67" s="64">
        <f>'IND_CONS Sector all'!$C$90+'IND_CONS Sector all'!$C$91+'IND_CONS Sector all'!$C$93+'IND_CONS Sector all'!$C$94</f>
        <v>8.1000000000000003E-2</v>
      </c>
      <c r="L67" s="64">
        <f>'IND_CONS Sector all'!$C$101+'IND_CONS Sector all'!$C$102+'IND_CONS Sector all'!$C$104+'IND_CONS Sector all'!$C$105</f>
        <v>2.4209999999999998</v>
      </c>
      <c r="M67" s="64">
        <f>'IND_CONS Sector all'!$C$112+'IND_CONS Sector all'!$C$113+'IND_CONS Sector all'!$C$115+'IND_CONS Sector all'!$C$116</f>
        <v>0</v>
      </c>
      <c r="N67" s="64">
        <f>'IND_CONS Sector all'!$C$123+'IND_CONS Sector all'!$C$124+'IND_CONS Sector all'!$C$126+'IND_CONS Sector all'!$C$127</f>
        <v>19.63</v>
      </c>
      <c r="O67" s="64">
        <f>'IND_CONS Sector all'!$C$134+'IND_CONS Sector all'!$C$135+'IND_CONS Sector all'!$C$137+'IND_CONS Sector all'!$C$138</f>
        <v>0</v>
      </c>
      <c r="P67" s="64">
        <f>'IND_CONS Sector all'!$C$1320+'IND_CONS Sector all'!$C$1321+'IND_CONS Sector all'!$C$148+'IND_CONS Sector all'!$C$17</f>
        <v>0</v>
      </c>
      <c r="Q67" s="64">
        <f>'IND_CONS Sector all'!$C$154+'IND_CONS Sector all'!$C$155+'IND_CONS Sector all'!$C$157+'IND_CONS Sector all'!$C$158</f>
        <v>5.4569999999999999</v>
      </c>
      <c r="R67" s="64">
        <f>'IND_CONS Sector all'!$C$167+'IND_CONS Sector all'!$C$168+'IND_CONS Sector all'!$C$170+'IND_CONS Sector all'!$C$171</f>
        <v>0</v>
      </c>
      <c r="S67" s="64">
        <f>'IND_CONS Sector all'!$C$178+'IND_CONS Sector all'!$C$179+'IND_CONS Sector all'!$C$181+'IND_CONS Sector all'!$C$182</f>
        <v>0.15000000000000002</v>
      </c>
      <c r="T67" s="64">
        <f>'IND_CONS Sector all'!$C$189+'IND_CONS Sector all'!$C$190+'IND_CONS Sector all'!$C$192+'IND_CONS Sector all'!$C$193</f>
        <v>0</v>
      </c>
      <c r="U67" s="64">
        <f>'IND_CONS Sector all'!$C$200+'IND_CONS Sector all'!$C$201+'IND_CONS Sector all'!$C$203+'IND_CONS Sector all'!$C$204</f>
        <v>0.183</v>
      </c>
      <c r="V67" s="64">
        <f>'IND_CONS Sector all'!$C$211+'IND_CONS Sector all'!$C$212+'IND_CONS Sector all'!$C$214+'IND_CONS Sector all'!$C$215</f>
        <v>0</v>
      </c>
      <c r="W67" s="64">
        <f>'IND_CONS Sector all'!$C$222+'IND_CONS Sector all'!$C$223+'IND_CONS Sector all'!$C$225+'IND_CONS Sector all'!$C$226</f>
        <v>0.62999999999999989</v>
      </c>
      <c r="X67" s="64">
        <f>'IND_CONS Sector all'!$C$233+'IND_CONS Sector all'!$C$234+'IND_CONS Sector all'!$C$236+'IND_CONS Sector all'!$C$237</f>
        <v>55.407999999999994</v>
      </c>
      <c r="Y67" s="64">
        <f>'IND_CONS Sector all'!$C$244+'IND_CONS Sector all'!$C$245+'IND_CONS Sector all'!$C$247+'IND_CONS Sector all'!$C$248</f>
        <v>0</v>
      </c>
      <c r="Z67" s="64">
        <f>'IND_CONS Sector all'!$C$255+'IND_CONS Sector all'!$C$256+'IND_CONS Sector all'!$C$258+'IND_CONS Sector all'!$C$259</f>
        <v>0</v>
      </c>
      <c r="AA67" s="64">
        <f>'IND_CONS Sector all'!$C$266+'IND_CONS Sector all'!$C$267+'IND_CONS Sector all'!$C$269+'IND_CONS Sector all'!$C$270</f>
        <v>0</v>
      </c>
      <c r="AB67" s="64">
        <f>'IND_CONS Sector all'!$C$277+'IND_CONS Sector all'!$C$278+'IND_CONS Sector all'!$C$280+'IND_CONS Sector all'!$C$281</f>
        <v>2.1999999999999999E-2</v>
      </c>
      <c r="AC67" s="64">
        <f>'IND_CONS Sector all'!$C$288+'IND_CONS Sector all'!$C$289+'IND_CONS Sector all'!$C$291+'IND_CONS Sector all'!$C$292</f>
        <v>7.8E-2</v>
      </c>
      <c r="AD67" s="64">
        <f>'IND_CONS Sector all'!$C$299+'IND_CONS Sector all'!$C$300+'IND_CONS Sector all'!$C$302+'IND_CONS Sector all'!$C$303</f>
        <v>8.968</v>
      </c>
      <c r="AE67" s="64">
        <f>'IND_CONS Sector all'!$C$310+'IND_CONS Sector all'!$C$311+'IND_CONS Sector all'!$C$313+'IND_CONS Sector all'!$C$314</f>
        <v>0.19700000000000001</v>
      </c>
      <c r="AF67" s="64">
        <f>'IND_CONS Sector all'!$C$1441+'IND_CONS Sector all'!$C$1442+'IND_CONS Sector all'!$C$1444+'IND_CONS Sector all'!$C$325</f>
        <v>0</v>
      </c>
      <c r="AG67" s="64">
        <f>'IND_CONS Sector all'!$C$332+'IND_CONS Sector all'!$C$333+'IND_CONS Sector all'!$C$335+'IND_CONS Sector all'!$C$336</f>
        <v>0</v>
      </c>
    </row>
    <row r="68" spans="1:33">
      <c r="B68" t="str">
        <f>'IND_CONS Sector all'!E$6</f>
        <v>Lignite &amp; Derivatives</v>
      </c>
      <c r="C68" s="64">
        <f t="shared" si="0"/>
        <v>12.097000000000001</v>
      </c>
      <c r="D68" s="64">
        <f>'IND_CONS Sector all'!$E$13+'IND_CONS Sector all'!$E$14+'IND_CONS Sector all'!$E$16+'IND_CONS Sector all'!$E$17</f>
        <v>0</v>
      </c>
      <c r="E68" s="64">
        <f>'IND_CONS Sector all'!$E$24+'IND_CONS Sector all'!$E$25+'IND_CONS Sector all'!$E$27+'IND_CONS Sector all'!$E$28</f>
        <v>0</v>
      </c>
      <c r="F68" s="64">
        <f>'IND_CONS Sector all'!$E$35+'IND_CONS Sector all'!$E$36+'IND_CONS Sector all'!$E$38+'IND_CONS Sector all'!$E$39</f>
        <v>0.16200000000000001</v>
      </c>
      <c r="G68" s="64">
        <f>'IND_CONS Sector all'!$E$46+'IND_CONS Sector all'!$E$47+'IND_CONS Sector all'!$E$49+'IND_CONS Sector all'!$E$50</f>
        <v>0</v>
      </c>
      <c r="H68" s="64">
        <f>'IND_CONS Sector all'!$E$57+'IND_CONS Sector all'!$E$58+'IND_CONS Sector all'!$E$60+'IND_CONS Sector all'!$E$61</f>
        <v>4.8570000000000002</v>
      </c>
      <c r="I68" s="64">
        <f>'IND_CONS Sector all'!$E$68+'IND_CONS Sector all'!$E$69+'IND_CONS Sector all'!$E$71+'IND_CONS Sector all'!$E$72</f>
        <v>6.2789999999999999</v>
      </c>
      <c r="J68" s="64">
        <f>'IND_CONS Sector all'!$E$79+'IND_CONS Sector all'!$E$80+'IND_CONS Sector all'!$E$82+'IND_CONS Sector all'!$E$83</f>
        <v>0</v>
      </c>
      <c r="K68" s="64">
        <f>'IND_CONS Sector all'!$E$90+'IND_CONS Sector all'!$E$91+'IND_CONS Sector all'!$E$93+'IND_CONS Sector all'!$E$94</f>
        <v>8.9999999999999993E-3</v>
      </c>
      <c r="L68" s="64">
        <f>'IND_CONS Sector all'!$E$101+'IND_CONS Sector all'!$E$102+'IND_CONS Sector all'!$E$104+'IND_CONS Sector all'!$E$105</f>
        <v>0</v>
      </c>
      <c r="M68" s="64">
        <f>'IND_CONS Sector all'!$E$112+'IND_CONS Sector all'!$E$113+'IND_CONS Sector all'!$E$115+'IND_CONS Sector all'!$E$116</f>
        <v>0.42799999999999999</v>
      </c>
      <c r="N68" s="64">
        <f>'IND_CONS Sector all'!$E$123+'IND_CONS Sector all'!$E$124+'IND_CONS Sector all'!$E$126+'IND_CONS Sector all'!$E$127</f>
        <v>0</v>
      </c>
      <c r="O68" s="64">
        <f>'IND_CONS Sector all'!$E$134+'IND_CONS Sector all'!$E$135+'IND_CONS Sector all'!$E$137+'IND_CONS Sector all'!$E$138</f>
        <v>0</v>
      </c>
      <c r="P68" s="64">
        <f>'IND_CONS Sector all'!$E$1320+'IND_CONS Sector all'!$E$1321+'IND_CONS Sector all'!$E$148+'IND_CONS Sector all'!$E$17</f>
        <v>3.5999999999999997E-2</v>
      </c>
      <c r="Q68" s="64">
        <f>'IND_CONS Sector all'!$E$154+'IND_CONS Sector all'!$E$155+'IND_CONS Sector all'!$E$157+'IND_CONS Sector all'!$E$158</f>
        <v>0</v>
      </c>
      <c r="R68" s="64">
        <f>'IND_CONS Sector all'!$E$167+'IND_CONS Sector all'!$E$168+'IND_CONS Sector all'!$E$170+'IND_CONS Sector all'!$E$171</f>
        <v>0</v>
      </c>
      <c r="S68" s="64">
        <f>'IND_CONS Sector all'!$E$178+'IND_CONS Sector all'!$E$179+'IND_CONS Sector all'!$E$181+'IND_CONS Sector all'!$E$182</f>
        <v>1.4999999999999999E-2</v>
      </c>
      <c r="T68" s="64">
        <f>'IND_CONS Sector all'!$E$189+'IND_CONS Sector all'!$E$190+'IND_CONS Sector all'!$E$192+'IND_CONS Sector all'!$E$193</f>
        <v>0</v>
      </c>
      <c r="U68" s="64">
        <f>'IND_CONS Sector all'!$E$200+'IND_CONS Sector all'!$E$201+'IND_CONS Sector all'!$E$203+'IND_CONS Sector all'!$E$204</f>
        <v>0</v>
      </c>
      <c r="V68" s="64">
        <f>'IND_CONS Sector all'!$E$211+'IND_CONS Sector all'!$E$212+'IND_CONS Sector all'!$E$214+'IND_CONS Sector all'!$E$215</f>
        <v>0</v>
      </c>
      <c r="W68" s="64">
        <f>'IND_CONS Sector all'!$E$222+'IND_CONS Sector all'!$E$223+'IND_CONS Sector all'!$E$225+'IND_CONS Sector all'!$E$226</f>
        <v>0</v>
      </c>
      <c r="X68" s="64">
        <f>'IND_CONS Sector all'!$E$233+'IND_CONS Sector all'!$E$234+'IND_CONS Sector all'!$E$236+'IND_CONS Sector all'!$E$237</f>
        <v>0.10099999999999999</v>
      </c>
      <c r="Y68" s="64">
        <f>'IND_CONS Sector all'!$E$244+'IND_CONS Sector all'!$E$245+'IND_CONS Sector all'!$E$247+'IND_CONS Sector all'!$E$248</f>
        <v>0</v>
      </c>
      <c r="Z68" s="64">
        <f>'IND_CONS Sector all'!$E$255+'IND_CONS Sector all'!$E$256+'IND_CONS Sector all'!$E$258+'IND_CONS Sector all'!$E$259</f>
        <v>7.0000000000000001E-3</v>
      </c>
      <c r="AA68" s="64">
        <f>'IND_CONS Sector all'!$E$266+'IND_CONS Sector all'!$E$267+'IND_CONS Sector all'!$E$269+'IND_CONS Sector all'!$E$270</f>
        <v>0</v>
      </c>
      <c r="AB68" s="64">
        <f>'IND_CONS Sector all'!$E$277+'IND_CONS Sector all'!$E$278+'IND_CONS Sector all'!$E$280+'IND_CONS Sector all'!$E$281</f>
        <v>0</v>
      </c>
      <c r="AC68" s="64">
        <f>'IND_CONS Sector all'!$E$288+'IND_CONS Sector all'!$E$289+'IND_CONS Sector all'!$E$291+'IND_CONS Sector all'!$E$292</f>
        <v>0.20300000000000001</v>
      </c>
      <c r="AD68" s="64">
        <f>'IND_CONS Sector all'!$E$299+'IND_CONS Sector all'!$E$300+'IND_CONS Sector all'!$E$302+'IND_CONS Sector all'!$E$303</f>
        <v>0</v>
      </c>
      <c r="AE68" s="64">
        <f>'IND_CONS Sector all'!$E$310+'IND_CONS Sector all'!$E$311+'IND_CONS Sector all'!$E$313+'IND_CONS Sector all'!$E$314</f>
        <v>0</v>
      </c>
      <c r="AF68" s="64">
        <f>'IND_CONS Sector all'!$E$1441+'IND_CONS Sector all'!$E$1442+'IND_CONS Sector all'!$E$1444+'IND_CONS Sector all'!$E$325</f>
        <v>0</v>
      </c>
      <c r="AG68" s="64">
        <f>'IND_CONS Sector all'!$E$332+'IND_CONS Sector all'!$E$333+'IND_CONS Sector all'!$E$335+'IND_CONS Sector all'!$E$336</f>
        <v>0</v>
      </c>
    </row>
    <row r="69" spans="1:33">
      <c r="B69" t="str">
        <f>'IND_CONS Sector all'!G$6</f>
        <v>Refinery Gas</v>
      </c>
      <c r="C69" s="64">
        <f t="shared" si="0"/>
        <v>4.5549999999999997</v>
      </c>
      <c r="D69" s="64">
        <f>'IND_CONS Sector all'!$G$13+'IND_CONS Sector all'!$G$14+'IND_CONS Sector all'!$G$16+'IND_CONS Sector all'!$G$17</f>
        <v>0</v>
      </c>
      <c r="E69" s="64">
        <f>'IND_CONS Sector all'!$G$24+'IND_CONS Sector all'!$G$25+'IND_CONS Sector all'!$G$27+'IND_CONS Sector all'!$G$28</f>
        <v>0</v>
      </c>
      <c r="F69" s="64">
        <f>'IND_CONS Sector all'!$G$35+'IND_CONS Sector all'!$G$36+'IND_CONS Sector all'!$G$38+'IND_CONS Sector all'!$G$39</f>
        <v>0</v>
      </c>
      <c r="G69" s="64">
        <f>'IND_CONS Sector all'!$G$46+'IND_CONS Sector all'!$G$47+'IND_CONS Sector all'!$G$49+'IND_CONS Sector all'!$G$50</f>
        <v>0</v>
      </c>
      <c r="H69" s="64">
        <f>'IND_CONS Sector all'!$G$57+'IND_CONS Sector all'!$G$58+'IND_CONS Sector all'!$G$60+'IND_CONS Sector all'!$G$61</f>
        <v>0</v>
      </c>
      <c r="I69" s="64">
        <f>'IND_CONS Sector all'!$G$68+'IND_CONS Sector all'!$G$69+'IND_CONS Sector all'!$G$71+'IND_CONS Sector all'!$G$72</f>
        <v>0.84199999999999997</v>
      </c>
      <c r="J69" s="64">
        <f>'IND_CONS Sector all'!$G$79+'IND_CONS Sector all'!$G$80+'IND_CONS Sector all'!$G$82+'IND_CONS Sector all'!$G$83</f>
        <v>0</v>
      </c>
      <c r="K69" s="64">
        <f>'IND_CONS Sector all'!$G$90+'IND_CONS Sector all'!$G$91+'IND_CONS Sector all'!$G$93+'IND_CONS Sector all'!$G$94</f>
        <v>0</v>
      </c>
      <c r="L69" s="64">
        <f>'IND_CONS Sector all'!$G$101+'IND_CONS Sector all'!$G$102+'IND_CONS Sector all'!$G$104+'IND_CONS Sector all'!$G$105</f>
        <v>0</v>
      </c>
      <c r="M69" s="64">
        <f>'IND_CONS Sector all'!$G$112+'IND_CONS Sector all'!$G$113+'IND_CONS Sector all'!$G$115+'IND_CONS Sector all'!$G$116</f>
        <v>0</v>
      </c>
      <c r="N69" s="64">
        <f>'IND_CONS Sector all'!$G$123+'IND_CONS Sector all'!$G$124+'IND_CONS Sector all'!$G$126+'IND_CONS Sector all'!$G$127</f>
        <v>0</v>
      </c>
      <c r="O69" s="64">
        <f>'IND_CONS Sector all'!$G$134+'IND_CONS Sector all'!$G$135+'IND_CONS Sector all'!$G$137+'IND_CONS Sector all'!$G$138</f>
        <v>0</v>
      </c>
      <c r="P69" s="64">
        <f>'IND_CONS Sector all'!$G$1320+'IND_CONS Sector all'!$G$1321+'IND_CONS Sector all'!$G$148+'IND_CONS Sector all'!$G$17</f>
        <v>0</v>
      </c>
      <c r="Q69" s="64">
        <f>'IND_CONS Sector all'!$G$154+'IND_CONS Sector all'!$G$155+'IND_CONS Sector all'!$G$157+'IND_CONS Sector all'!$G$158</f>
        <v>0</v>
      </c>
      <c r="R69" s="64">
        <f>'IND_CONS Sector all'!$G$167+'IND_CONS Sector all'!$G$168+'IND_CONS Sector all'!$G$170+'IND_CONS Sector all'!$G$171</f>
        <v>0</v>
      </c>
      <c r="S69" s="64">
        <f>'IND_CONS Sector all'!$G$178+'IND_CONS Sector all'!$G$179+'IND_CONS Sector all'!$G$181+'IND_CONS Sector all'!$G$182</f>
        <v>0</v>
      </c>
      <c r="T69" s="64">
        <f>'IND_CONS Sector all'!$G$189+'IND_CONS Sector all'!$G$190+'IND_CONS Sector all'!$G$192+'IND_CONS Sector all'!$G$193</f>
        <v>0</v>
      </c>
      <c r="U69" s="64">
        <f>'IND_CONS Sector all'!$G$200+'IND_CONS Sector all'!$G$201+'IND_CONS Sector all'!$G$203+'IND_CONS Sector all'!$G$204</f>
        <v>0</v>
      </c>
      <c r="V69" s="64">
        <f>'IND_CONS Sector all'!$G$211+'IND_CONS Sector all'!$G$212+'IND_CONS Sector all'!$G$214+'IND_CONS Sector all'!$G$215</f>
        <v>0</v>
      </c>
      <c r="W69" s="64">
        <f>'IND_CONS Sector all'!$G$222+'IND_CONS Sector all'!$G$223+'IND_CONS Sector all'!$G$225+'IND_CONS Sector all'!$G$226</f>
        <v>0.19800000000000001</v>
      </c>
      <c r="X69" s="64">
        <f>'IND_CONS Sector all'!$G$233+'IND_CONS Sector all'!$G$234+'IND_CONS Sector all'!$G$236+'IND_CONS Sector all'!$G$237</f>
        <v>0</v>
      </c>
      <c r="Y69" s="64">
        <f>'IND_CONS Sector all'!$G$244+'IND_CONS Sector all'!$G$245+'IND_CONS Sector all'!$G$247+'IND_CONS Sector all'!$G$248</f>
        <v>0</v>
      </c>
      <c r="Z69" s="64">
        <f>'IND_CONS Sector all'!$G$255+'IND_CONS Sector all'!$G$256+'IND_CONS Sector all'!$G$258+'IND_CONS Sector all'!$G$259</f>
        <v>0</v>
      </c>
      <c r="AA69" s="64">
        <f>'IND_CONS Sector all'!$G$266+'IND_CONS Sector all'!$G$267+'IND_CONS Sector all'!$G$269+'IND_CONS Sector all'!$G$270</f>
        <v>0</v>
      </c>
      <c r="AB69" s="64">
        <f>'IND_CONS Sector all'!$G$277+'IND_CONS Sector all'!$G$278+'IND_CONS Sector all'!$G$280+'IND_CONS Sector all'!$G$281</f>
        <v>0</v>
      </c>
      <c r="AC69" s="64">
        <f>'IND_CONS Sector all'!$G$288+'IND_CONS Sector all'!$G$289+'IND_CONS Sector all'!$G$291+'IND_CONS Sector all'!$G$292</f>
        <v>0</v>
      </c>
      <c r="AD69" s="64">
        <f>'IND_CONS Sector all'!$G$299+'IND_CONS Sector all'!$G$300+'IND_CONS Sector all'!$G$302+'IND_CONS Sector all'!$G$303</f>
        <v>3.5150000000000001</v>
      </c>
      <c r="AE69" s="64">
        <f>'IND_CONS Sector all'!$G$310+'IND_CONS Sector all'!$G$311+'IND_CONS Sector all'!$G$313+'IND_CONS Sector all'!$G$314</f>
        <v>0</v>
      </c>
      <c r="AF69" s="64">
        <f>'IND_CONS Sector all'!$G$1441+'IND_CONS Sector all'!$G$1442+'IND_CONS Sector all'!$G$1444+'IND_CONS Sector all'!$G$325</f>
        <v>0</v>
      </c>
      <c r="AG69" s="64">
        <f>'IND_CONS Sector all'!$G$332+'IND_CONS Sector all'!$G$333+'IND_CONS Sector all'!$G$335+'IND_CONS Sector all'!$G$336</f>
        <v>0</v>
      </c>
    </row>
    <row r="70" spans="1:33">
      <c r="B70" t="str">
        <f>'IND_CONS Sector all'!K$6</f>
        <v>Gas / Diesel Oil</v>
      </c>
      <c r="C70" s="64">
        <f t="shared" si="0"/>
        <v>482.54899999999998</v>
      </c>
      <c r="D70" s="64">
        <f>'IND_CONS Sector all'!$K$13+'IND_CONS Sector all'!$K$14+'IND_CONS Sector all'!$K$16+'IND_CONS Sector all'!$K$17</f>
        <v>14.059000000000001</v>
      </c>
      <c r="E70" s="64">
        <f>'IND_CONS Sector all'!$K$24+'IND_CONS Sector all'!$K$25+'IND_CONS Sector all'!$K$27+'IND_CONS Sector all'!$K$28</f>
        <v>9.798</v>
      </c>
      <c r="F70" s="64">
        <f>'IND_CONS Sector all'!$K$35+'IND_CONS Sector all'!$K$36+'IND_CONS Sector all'!$K$38+'IND_CONS Sector all'!$K$39</f>
        <v>2.8120000000000003</v>
      </c>
      <c r="G70" s="64">
        <f>'IND_CONS Sector all'!$K$46+'IND_CONS Sector all'!$K$47+'IND_CONS Sector all'!$K$49+'IND_CONS Sector all'!$K$50</f>
        <v>2.0019999999999998</v>
      </c>
      <c r="H70" s="64">
        <f>'IND_CONS Sector all'!$K$57+'IND_CONS Sector all'!$K$58+'IND_CONS Sector all'!$K$60+'IND_CONS Sector all'!$K$61</f>
        <v>4.26</v>
      </c>
      <c r="I70" s="64">
        <f>'IND_CONS Sector all'!$K$68+'IND_CONS Sector all'!$K$69+'IND_CONS Sector all'!$K$71+'IND_CONS Sector all'!$K$72</f>
        <v>76.040999999999997</v>
      </c>
      <c r="J70" s="64">
        <f>'IND_CONS Sector all'!$K$79+'IND_CONS Sector all'!$K$80+'IND_CONS Sector all'!$K$82+'IND_CONS Sector all'!$K$83</f>
        <v>12.312000000000001</v>
      </c>
      <c r="K70" s="64">
        <f>'IND_CONS Sector all'!$K$90+'IND_CONS Sector all'!$K$91+'IND_CONS Sector all'!$K$93+'IND_CONS Sector all'!$K$94</f>
        <v>1.7890000000000001</v>
      </c>
      <c r="L70" s="64">
        <f>'IND_CONS Sector all'!$K$101+'IND_CONS Sector all'!$K$102+'IND_CONS Sector all'!$K$104+'IND_CONS Sector all'!$K$105</f>
        <v>47.585000000000001</v>
      </c>
      <c r="M70" s="64">
        <f>'IND_CONS Sector all'!$K$112+'IND_CONS Sector all'!$K$113+'IND_CONS Sector all'!$K$115+'IND_CONS Sector all'!$K$116</f>
        <v>22.876000000000001</v>
      </c>
      <c r="N70" s="64">
        <f>'IND_CONS Sector all'!$K$123+'IND_CONS Sector all'!$K$124+'IND_CONS Sector all'!$K$126+'IND_CONS Sector all'!$K$127</f>
        <v>47.711999999999996</v>
      </c>
      <c r="O70" s="64">
        <f>'IND_CONS Sector all'!$K$134+'IND_CONS Sector all'!$K$135+'IND_CONS Sector all'!$K$137+'IND_CONS Sector all'!$K$138</f>
        <v>16.145</v>
      </c>
      <c r="P70" s="64">
        <f>'IND_CONS Sector all'!$K$1320+'IND_CONS Sector all'!$K$1321+'IND_CONS Sector all'!$K$148+'IND_CONS Sector all'!$K$17</f>
        <v>12.61</v>
      </c>
      <c r="Q70" s="64">
        <f>'IND_CONS Sector all'!$K$154+'IND_CONS Sector all'!$K$155+'IND_CONS Sector all'!$K$157+'IND_CONS Sector all'!$K$158</f>
        <v>2.589</v>
      </c>
      <c r="R70" s="64">
        <f>'IND_CONS Sector all'!$K$167+'IND_CONS Sector all'!$K$168+'IND_CONS Sector all'!$K$170+'IND_CONS Sector all'!$K$171</f>
        <v>14.484000000000002</v>
      </c>
      <c r="S70" s="64">
        <f>'IND_CONS Sector all'!$K$178+'IND_CONS Sector all'!$K$179+'IND_CONS Sector all'!$K$181+'IND_CONS Sector all'!$K$182</f>
        <v>1.236</v>
      </c>
      <c r="T70" s="64">
        <f>'IND_CONS Sector all'!$K$189+'IND_CONS Sector all'!$K$190+'IND_CONS Sector all'!$K$192+'IND_CONS Sector all'!$K$193</f>
        <v>2.0870000000000002</v>
      </c>
      <c r="U70" s="64">
        <f>'IND_CONS Sector all'!$K$200+'IND_CONS Sector all'!$K$201+'IND_CONS Sector all'!$K$203+'IND_CONS Sector all'!$K$204</f>
        <v>1.0649999999999999</v>
      </c>
      <c r="V70" s="64">
        <f>'IND_CONS Sector all'!$K$211+'IND_CONS Sector all'!$K$212+'IND_CONS Sector all'!$K$214+'IND_CONS Sector all'!$K$215</f>
        <v>0</v>
      </c>
      <c r="W70" s="64">
        <f>'IND_CONS Sector all'!$K$222+'IND_CONS Sector all'!$K$223+'IND_CONS Sector all'!$K$225+'IND_CONS Sector all'!$K$226</f>
        <v>5.8789999999999996</v>
      </c>
      <c r="X70" s="64">
        <f>'IND_CONS Sector all'!$K$233+'IND_CONS Sector all'!$K$234+'IND_CONS Sector all'!$K$236+'IND_CONS Sector all'!$K$237</f>
        <v>13.420000000000002</v>
      </c>
      <c r="Y70" s="64">
        <f>'IND_CONS Sector all'!$K$244+'IND_CONS Sector all'!$K$245+'IND_CONS Sector all'!$K$247+'IND_CONS Sector all'!$K$248</f>
        <v>11.247</v>
      </c>
      <c r="Z70" s="64">
        <f>'IND_CONS Sector all'!$K$255+'IND_CONS Sector all'!$K$256+'IND_CONS Sector all'!$K$258+'IND_CONS Sector all'!$K$259</f>
        <v>13.917999999999999</v>
      </c>
      <c r="AA70" s="64">
        <f>'IND_CONS Sector all'!$K$266+'IND_CONS Sector all'!$K$267+'IND_CONS Sector all'!$K$269+'IND_CONS Sector all'!$K$270</f>
        <v>12.183</v>
      </c>
      <c r="AB70" s="64">
        <f>'IND_CONS Sector all'!$K$277+'IND_CONS Sector all'!$K$278+'IND_CONS Sector all'!$K$280+'IND_CONS Sector all'!$K$281</f>
        <v>4.0039999999999996</v>
      </c>
      <c r="AC70" s="64">
        <f>'IND_CONS Sector all'!$K$288+'IND_CONS Sector all'!$K$289+'IND_CONS Sector all'!$K$291+'IND_CONS Sector all'!$K$292</f>
        <v>0.59199999999999997</v>
      </c>
      <c r="AD70" s="64">
        <f>'IND_CONS Sector all'!$K$299+'IND_CONS Sector all'!$K$300+'IND_CONS Sector all'!$K$302+'IND_CONS Sector all'!$K$303</f>
        <v>129.84399999999999</v>
      </c>
      <c r="AE70" s="64">
        <f>'IND_CONS Sector all'!$K$310+'IND_CONS Sector all'!$K$311+'IND_CONS Sector all'!$K$313+'IND_CONS Sector all'!$K$314</f>
        <v>23.131999999999998</v>
      </c>
      <c r="AF70" s="64">
        <f>'IND_CONS Sector all'!$K$1441+'IND_CONS Sector all'!$K$1442+'IND_CONS Sector all'!$K$1444+'IND_CONS Sector all'!$K$325</f>
        <v>2.9820000000000002</v>
      </c>
      <c r="AG70" s="64">
        <f>'IND_CONS Sector all'!$K$332+'IND_CONS Sector all'!$K$333+'IND_CONS Sector all'!$K$335+'IND_CONS Sector all'!$K$336</f>
        <v>8.7330000000000005</v>
      </c>
    </row>
    <row r="71" spans="1:33">
      <c r="B71" t="str">
        <f>'IND_CONS Sector all'!L$6</f>
        <v>Residual Fuel Oil</v>
      </c>
      <c r="C71" s="64">
        <f t="shared" si="0"/>
        <v>195.52500000000003</v>
      </c>
      <c r="D71" s="64">
        <f>'IND_CONS Sector all'!$L$13+'IND_CONS Sector all'!$L$14+'IND_CONS Sector all'!$L$16+'IND_CONS Sector all'!$L$17</f>
        <v>4.8</v>
      </c>
      <c r="E71" s="64">
        <f>'IND_CONS Sector all'!$L$24+'IND_CONS Sector all'!$L$25+'IND_CONS Sector all'!$L$27+'IND_CONS Sector all'!$L$28</f>
        <v>10.600000000000001</v>
      </c>
      <c r="F71" s="64">
        <f>'IND_CONS Sector all'!$L$35+'IND_CONS Sector all'!$L$36+'IND_CONS Sector all'!$L$38+'IND_CONS Sector all'!$L$39</f>
        <v>4.08</v>
      </c>
      <c r="G71" s="64">
        <f>'IND_CONS Sector all'!$L$46+'IND_CONS Sector all'!$L$47+'IND_CONS Sector all'!$L$49+'IND_CONS Sector all'!$L$50</f>
        <v>0</v>
      </c>
      <c r="H71" s="64">
        <f>'IND_CONS Sector all'!$L$57+'IND_CONS Sector all'!$L$58+'IND_CONS Sector all'!$L$60+'IND_CONS Sector all'!$L$61</f>
        <v>3.0000000000000004</v>
      </c>
      <c r="I71" s="64">
        <f>'IND_CONS Sector all'!$L$68+'IND_CONS Sector all'!$L$69+'IND_CONS Sector all'!$L$71+'IND_CONS Sector all'!$L$72</f>
        <v>7.12</v>
      </c>
      <c r="J71" s="64">
        <f>'IND_CONS Sector all'!$L$79+'IND_CONS Sector all'!$L$80+'IND_CONS Sector all'!$L$82+'IND_CONS Sector all'!$L$83</f>
        <v>4.4800000000000004</v>
      </c>
      <c r="K71" s="64">
        <f>'IND_CONS Sector all'!$L$90+'IND_CONS Sector all'!$L$91+'IND_CONS Sector all'!$L$93+'IND_CONS Sector all'!$L$94</f>
        <v>1.56</v>
      </c>
      <c r="L71" s="64">
        <f>'IND_CONS Sector all'!$L$101+'IND_CONS Sector all'!$L$102+'IND_CONS Sector all'!$L$104+'IND_CONS Sector all'!$L$105</f>
        <v>11.440000000000001</v>
      </c>
      <c r="M71" s="64">
        <f>'IND_CONS Sector all'!$L$112+'IND_CONS Sector all'!$L$113+'IND_CONS Sector all'!$L$115+'IND_CONS Sector all'!$L$116</f>
        <v>3.7600000000000002</v>
      </c>
      <c r="N71" s="64">
        <f>'IND_CONS Sector all'!$L$123+'IND_CONS Sector all'!$L$124+'IND_CONS Sector all'!$L$126+'IND_CONS Sector all'!$L$127</f>
        <v>17.96</v>
      </c>
      <c r="O71" s="64">
        <f>'IND_CONS Sector all'!$L$134+'IND_CONS Sector all'!$L$135+'IND_CONS Sector all'!$L$137+'IND_CONS Sector all'!$L$138</f>
        <v>7.8800000000000008</v>
      </c>
      <c r="P71" s="64">
        <f>'IND_CONS Sector all'!$L$1320+'IND_CONS Sector all'!$L$1321+'IND_CONS Sector all'!$L$148+'IND_CONS Sector all'!$L$17</f>
        <v>1.6</v>
      </c>
      <c r="Q71" s="64">
        <f>'IND_CONS Sector all'!$L$154+'IND_CONS Sector all'!$L$155+'IND_CONS Sector all'!$L$157+'IND_CONS Sector all'!$L$158</f>
        <v>0.88500000000000001</v>
      </c>
      <c r="R71" s="64">
        <f>'IND_CONS Sector all'!$L$167+'IND_CONS Sector all'!$L$168+'IND_CONS Sector all'!$L$170+'IND_CONS Sector all'!$L$171</f>
        <v>67.64</v>
      </c>
      <c r="S71" s="64">
        <f>'IND_CONS Sector all'!$L$178+'IND_CONS Sector all'!$L$179+'IND_CONS Sector all'!$L$181+'IND_CONS Sector all'!$L$182</f>
        <v>0.67999999999999994</v>
      </c>
      <c r="T71" s="64">
        <f>'IND_CONS Sector all'!$L$189+'IND_CONS Sector all'!$L$190+'IND_CONS Sector all'!$L$192+'IND_CONS Sector all'!$L$193</f>
        <v>0.08</v>
      </c>
      <c r="U71" s="64">
        <f>'IND_CONS Sector all'!$L$200+'IND_CONS Sector all'!$L$201+'IND_CONS Sector all'!$L$203+'IND_CONS Sector all'!$L$204</f>
        <v>0.43999999999999995</v>
      </c>
      <c r="V71" s="64">
        <f>'IND_CONS Sector all'!$L$211+'IND_CONS Sector all'!$L$212+'IND_CONS Sector all'!$L$214+'IND_CONS Sector all'!$L$215</f>
        <v>0</v>
      </c>
      <c r="W71" s="64">
        <f>'IND_CONS Sector all'!$L$222+'IND_CONS Sector all'!$L$223+'IND_CONS Sector all'!$L$225+'IND_CONS Sector all'!$L$226</f>
        <v>0.2</v>
      </c>
      <c r="X71" s="64">
        <f>'IND_CONS Sector all'!$L$233+'IND_CONS Sector all'!$L$234+'IND_CONS Sector all'!$L$236+'IND_CONS Sector all'!$L$237</f>
        <v>6.08</v>
      </c>
      <c r="Y71" s="64">
        <f>'IND_CONS Sector all'!$L$244+'IND_CONS Sector all'!$L$245+'IND_CONS Sector all'!$L$247+'IND_CONS Sector all'!$L$248</f>
        <v>7.4</v>
      </c>
      <c r="Z71" s="64">
        <f>'IND_CONS Sector all'!$L$255+'IND_CONS Sector all'!$L$256+'IND_CONS Sector all'!$L$258+'IND_CONS Sector all'!$L$259</f>
        <v>1.68</v>
      </c>
      <c r="AA71" s="64">
        <f>'IND_CONS Sector all'!$L$266+'IND_CONS Sector all'!$L$267+'IND_CONS Sector all'!$L$269+'IND_CONS Sector all'!$L$270</f>
        <v>5.36</v>
      </c>
      <c r="AB71" s="64">
        <f>'IND_CONS Sector all'!$L$277+'IND_CONS Sector all'!$L$278+'IND_CONS Sector all'!$L$280+'IND_CONS Sector all'!$L$281</f>
        <v>0.72000000000000008</v>
      </c>
      <c r="AC71" s="64">
        <f>'IND_CONS Sector all'!$L$288+'IND_CONS Sector all'!$L$289+'IND_CONS Sector all'!$L$291+'IND_CONS Sector all'!$L$292</f>
        <v>0.16</v>
      </c>
      <c r="AD71" s="64">
        <f>'IND_CONS Sector all'!$L$299+'IND_CONS Sector all'!$L$300+'IND_CONS Sector all'!$L$302+'IND_CONS Sector all'!$L$303</f>
        <v>25.92</v>
      </c>
      <c r="AE71" s="64">
        <f>'IND_CONS Sector all'!$L$310+'IND_CONS Sector all'!$L$311+'IND_CONS Sector all'!$L$313+'IND_CONS Sector all'!$L$314</f>
        <v>0.08</v>
      </c>
      <c r="AF71" s="64">
        <f>'IND_CONS Sector all'!$L$1441+'IND_CONS Sector all'!$L$1442+'IND_CONS Sector all'!$L$1444+'IND_CONS Sector all'!$L$325</f>
        <v>0</v>
      </c>
      <c r="AG71" s="64">
        <f>'IND_CONS Sector all'!$L$332+'IND_CONS Sector all'!$L$333+'IND_CONS Sector all'!$L$335+'IND_CONS Sector all'!$L$336</f>
        <v>1.08</v>
      </c>
    </row>
    <row r="72" spans="1:33">
      <c r="B72" t="str">
        <f>'IND_CONS Sector all'!O$6</f>
        <v>Wood &amp; Wood Waste</v>
      </c>
      <c r="C72" s="64">
        <f t="shared" ref="C72:C119" si="1">SUM(D72:AD72)</f>
        <v>253.83500000000001</v>
      </c>
      <c r="D72" s="64">
        <f>'IND_CONS Sector all'!$O$13+'IND_CONS Sector all'!$O$14+'IND_CONS Sector all'!$O$16+'IND_CONS Sector all'!$O$17</f>
        <v>9.0539999999999985</v>
      </c>
      <c r="E72" s="64">
        <f>'IND_CONS Sector all'!$O$24+'IND_CONS Sector all'!$O$25+'IND_CONS Sector all'!$O$27+'IND_CONS Sector all'!$O$28</f>
        <v>3.9940000000000002</v>
      </c>
      <c r="F72" s="64">
        <f>'IND_CONS Sector all'!$O$35+'IND_CONS Sector all'!$O$36+'IND_CONS Sector all'!$O$38+'IND_CONS Sector all'!$O$39</f>
        <v>1.0070000000000001</v>
      </c>
      <c r="G72" s="64">
        <f>'IND_CONS Sector all'!$O$46+'IND_CONS Sector all'!$O$47+'IND_CONS Sector all'!$O$49+'IND_CONS Sector all'!$O$50</f>
        <v>0</v>
      </c>
      <c r="H72" s="64">
        <f>'IND_CONS Sector all'!$O$57+'IND_CONS Sector all'!$O$58+'IND_CONS Sector all'!$O$60+'IND_CONS Sector all'!$O$61</f>
        <v>6.1970000000000001</v>
      </c>
      <c r="I72" s="64">
        <f>'IND_CONS Sector all'!$O$68+'IND_CONS Sector all'!$O$69+'IND_CONS Sector all'!$O$71+'IND_CONS Sector all'!$O$72</f>
        <v>59.765000000000001</v>
      </c>
      <c r="J72" s="64">
        <f>'IND_CONS Sector all'!$O$79+'IND_CONS Sector all'!$O$80+'IND_CONS Sector all'!$O$82+'IND_CONS Sector all'!$O$83</f>
        <v>3.5920000000000001</v>
      </c>
      <c r="K72" s="64">
        <f>'IND_CONS Sector all'!$O$90+'IND_CONS Sector all'!$O$91+'IND_CONS Sector all'!$O$93+'IND_CONS Sector all'!$O$94</f>
        <v>5.306</v>
      </c>
      <c r="L72" s="64">
        <f>'IND_CONS Sector all'!$O$101+'IND_CONS Sector all'!$O$102+'IND_CONS Sector all'!$O$104+'IND_CONS Sector all'!$O$105</f>
        <v>31.371000000000002</v>
      </c>
      <c r="M72" s="64">
        <f>'IND_CONS Sector all'!$O$112+'IND_CONS Sector all'!$O$113+'IND_CONS Sector all'!$O$115+'IND_CONS Sector all'!$O$116</f>
        <v>5.28</v>
      </c>
      <c r="N72" s="64">
        <f>'IND_CONS Sector all'!$O$123+'IND_CONS Sector all'!$O$124+'IND_CONS Sector all'!$O$126+'IND_CONS Sector all'!$O$127</f>
        <v>45.132000000000005</v>
      </c>
      <c r="O72" s="64">
        <f>'IND_CONS Sector all'!$O$134+'IND_CONS Sector all'!$O$135+'IND_CONS Sector all'!$O$137+'IND_CONS Sector all'!$O$138</f>
        <v>10.155999999999999</v>
      </c>
      <c r="P72" s="64">
        <f>'IND_CONS Sector all'!$O$1320+'IND_CONS Sector all'!$O$1321+'IND_CONS Sector all'!$O$148+'IND_CONS Sector all'!$O$17</f>
        <v>8.5739999999999998</v>
      </c>
      <c r="Q72" s="64">
        <f>'IND_CONS Sector all'!$O$154+'IND_CONS Sector all'!$O$155+'IND_CONS Sector all'!$O$157+'IND_CONS Sector all'!$O$158</f>
        <v>0</v>
      </c>
      <c r="R72" s="64">
        <f>'IND_CONS Sector all'!$O$167+'IND_CONS Sector all'!$O$168+'IND_CONS Sector all'!$O$170+'IND_CONS Sector all'!$O$171</f>
        <v>0</v>
      </c>
      <c r="S72" s="64">
        <f>'IND_CONS Sector all'!$O$178+'IND_CONS Sector all'!$O$179+'IND_CONS Sector all'!$O$181+'IND_CONS Sector all'!$O$182</f>
        <v>3.6619999999999999</v>
      </c>
      <c r="T72" s="64">
        <f>'IND_CONS Sector all'!$O$189+'IND_CONS Sector all'!$O$190+'IND_CONS Sector all'!$O$192+'IND_CONS Sector all'!$O$193</f>
        <v>0</v>
      </c>
      <c r="U72" s="64">
        <f>'IND_CONS Sector all'!$O$200+'IND_CONS Sector all'!$O$201+'IND_CONS Sector all'!$O$203+'IND_CONS Sector all'!$O$204</f>
        <v>5.0419999999999998</v>
      </c>
      <c r="V72" s="64">
        <f>'IND_CONS Sector all'!$O$211+'IND_CONS Sector all'!$O$212+'IND_CONS Sector all'!$O$214+'IND_CONS Sector all'!$O$215</f>
        <v>0</v>
      </c>
      <c r="W72" s="64">
        <f>'IND_CONS Sector all'!$O$222+'IND_CONS Sector all'!$O$223+'IND_CONS Sector all'!$O$225+'IND_CONS Sector all'!$O$226</f>
        <v>3.7330000000000001</v>
      </c>
      <c r="X72" s="64">
        <f>'IND_CONS Sector all'!$O$233+'IND_CONS Sector all'!$O$234+'IND_CONS Sector all'!$O$236+'IND_CONS Sector all'!$O$237</f>
        <v>12.131</v>
      </c>
      <c r="Y72" s="64">
        <f>'IND_CONS Sector all'!$O$244+'IND_CONS Sector all'!$O$245+'IND_CONS Sector all'!$O$247+'IND_CONS Sector all'!$O$248</f>
        <v>7.6280000000000001</v>
      </c>
      <c r="Z72" s="64">
        <f>'IND_CONS Sector all'!$O$255+'IND_CONS Sector all'!$O$256+'IND_CONS Sector all'!$O$258+'IND_CONS Sector all'!$O$259</f>
        <v>5.7839999999999998</v>
      </c>
      <c r="AA72" s="64">
        <f>'IND_CONS Sector all'!$O$266+'IND_CONS Sector all'!$O$267+'IND_CONS Sector all'!$O$269+'IND_CONS Sector all'!$O$270</f>
        <v>19.186</v>
      </c>
      <c r="AB72" s="64">
        <f>'IND_CONS Sector all'!$O$277+'IND_CONS Sector all'!$O$278+'IND_CONS Sector all'!$O$280+'IND_CONS Sector all'!$O$281</f>
        <v>2.2610000000000001</v>
      </c>
      <c r="AC72" s="64">
        <f>'IND_CONS Sector all'!$O$288+'IND_CONS Sector all'!$O$289+'IND_CONS Sector all'!$O$291+'IND_CONS Sector all'!$O$292</f>
        <v>1.649</v>
      </c>
      <c r="AD72" s="64">
        <f>'IND_CONS Sector all'!$O$299+'IND_CONS Sector all'!$O$300+'IND_CONS Sector all'!$O$302+'IND_CONS Sector all'!$O$303</f>
        <v>3.331</v>
      </c>
      <c r="AE72" s="64">
        <f>'IND_CONS Sector all'!$O$310+'IND_CONS Sector all'!$O$311+'IND_CONS Sector all'!$O$313+'IND_CONS Sector all'!$O$314</f>
        <v>8.56</v>
      </c>
      <c r="AF72" s="64">
        <f>'IND_CONS Sector all'!$O$1441+'IND_CONS Sector all'!$O$1442+'IND_CONS Sector all'!$O$1444+'IND_CONS Sector all'!$O$325</f>
        <v>0</v>
      </c>
      <c r="AG72" s="64">
        <f>'IND_CONS Sector all'!$O$332+'IND_CONS Sector all'!$O$333+'IND_CONS Sector all'!$O$335+'IND_CONS Sector all'!$O$336</f>
        <v>3.4460000000000002</v>
      </c>
    </row>
    <row r="73" spans="1:33">
      <c r="B73" t="str">
        <f>'IND_CONS Sector all'!Q$6</f>
        <v>MSW</v>
      </c>
      <c r="C73" s="64">
        <f t="shared" si="1"/>
        <v>2.6307960000000001</v>
      </c>
      <c r="D73" s="64">
        <f>'IND_CONS Sector all'!$Q$13+'IND_CONS Sector all'!$Q$14+'IND_CONS Sector all'!$Q$16+'IND_CONS Sector all'!$Q$17</f>
        <v>0</v>
      </c>
      <c r="E73" s="64">
        <f>'IND_CONS Sector all'!$Q$24+'IND_CONS Sector all'!$Q$25+'IND_CONS Sector all'!$Q$27+'IND_CONS Sector all'!$Q$28</f>
        <v>0</v>
      </c>
      <c r="F73" s="64">
        <f>'IND_CONS Sector all'!$Q$35+'IND_CONS Sector all'!$Q$36+'IND_CONS Sector all'!$Q$38+'IND_CONS Sector all'!$Q$39</f>
        <v>0</v>
      </c>
      <c r="G73" s="64">
        <f>'IND_CONS Sector all'!$Q$46+'IND_CONS Sector all'!$Q$47+'IND_CONS Sector all'!$Q$49+'IND_CONS Sector all'!$Q$50</f>
        <v>0</v>
      </c>
      <c r="H73" s="64">
        <f>'IND_CONS Sector all'!$Q$57+'IND_CONS Sector all'!$Q$58+'IND_CONS Sector all'!$Q$60+'IND_CONS Sector all'!$Q$61</f>
        <v>0</v>
      </c>
      <c r="I73" s="64">
        <f>'IND_CONS Sector all'!$Q$68+'IND_CONS Sector all'!$Q$69+'IND_CONS Sector all'!$Q$71+'IND_CONS Sector all'!$Q$72</f>
        <v>0</v>
      </c>
      <c r="J73" s="64">
        <f>'IND_CONS Sector all'!$Q$79+'IND_CONS Sector all'!$Q$80+'IND_CONS Sector all'!$Q$82+'IND_CONS Sector all'!$Q$83</f>
        <v>0.20200000000000001</v>
      </c>
      <c r="K73" s="64">
        <f>'IND_CONS Sector all'!$Q$90+'IND_CONS Sector all'!$Q$91+'IND_CONS Sector all'!$Q$93+'IND_CONS Sector all'!$Q$94</f>
        <v>0</v>
      </c>
      <c r="L73" s="64">
        <f>'IND_CONS Sector all'!$Q$101+'IND_CONS Sector all'!$Q$102+'IND_CONS Sector all'!$Q$104+'IND_CONS Sector all'!$Q$105</f>
        <v>0</v>
      </c>
      <c r="M73" s="64">
        <f>'IND_CONS Sector all'!$Q$112+'IND_CONS Sector all'!$Q$113+'IND_CONS Sector all'!$Q$115+'IND_CONS Sector all'!$Q$116</f>
        <v>0.46100000000000002</v>
      </c>
      <c r="N73" s="64">
        <f>'IND_CONS Sector all'!$Q$123+'IND_CONS Sector all'!$Q$124+'IND_CONS Sector all'!$Q$126+'IND_CONS Sector all'!$Q$127</f>
        <v>0</v>
      </c>
      <c r="O73" s="64">
        <f>'IND_CONS Sector all'!$Q$134+'IND_CONS Sector all'!$Q$135+'IND_CONS Sector all'!$Q$137+'IND_CONS Sector all'!$Q$138</f>
        <v>0</v>
      </c>
      <c r="P73" s="64">
        <f>'IND_CONS Sector all'!$Q$1320+'IND_CONS Sector all'!$Q$1321+'IND_CONS Sector all'!$Q$148+'IND_CONS Sector all'!$Q$17</f>
        <v>0</v>
      </c>
      <c r="Q73" s="64">
        <f>'IND_CONS Sector all'!$Q$154+'IND_CONS Sector all'!$Q$155+'IND_CONS Sector all'!$Q$157+'IND_CONS Sector all'!$Q$158</f>
        <v>0</v>
      </c>
      <c r="R73" s="64">
        <f>'IND_CONS Sector all'!$Q$167+'IND_CONS Sector all'!$Q$168+'IND_CONS Sector all'!$Q$170+'IND_CONS Sector all'!$Q$171</f>
        <v>0</v>
      </c>
      <c r="S73" s="64">
        <f>'IND_CONS Sector all'!$Q$178+'IND_CONS Sector all'!$Q$179+'IND_CONS Sector all'!$Q$181+'IND_CONS Sector all'!$Q$182</f>
        <v>0</v>
      </c>
      <c r="T73" s="64">
        <f>'IND_CONS Sector all'!$Q$189+'IND_CONS Sector all'!$Q$190+'IND_CONS Sector all'!$Q$192+'IND_CONS Sector all'!$Q$193</f>
        <v>0</v>
      </c>
      <c r="U73" s="64">
        <f>'IND_CONS Sector all'!$Q$200+'IND_CONS Sector all'!$Q$201+'IND_CONS Sector all'!$Q$203+'IND_CONS Sector all'!$Q$204</f>
        <v>0</v>
      </c>
      <c r="V73" s="64">
        <f>'IND_CONS Sector all'!$Q$211+'IND_CONS Sector all'!$Q$212+'IND_CONS Sector all'!$Q$214+'IND_CONS Sector all'!$Q$215</f>
        <v>0</v>
      </c>
      <c r="W73" s="64">
        <f>'IND_CONS Sector all'!$Q$222+'IND_CONS Sector all'!$Q$223+'IND_CONS Sector all'!$Q$225+'IND_CONS Sector all'!$Q$226</f>
        <v>0</v>
      </c>
      <c r="X73" s="64">
        <f>'IND_CONS Sector all'!$Q$233+'IND_CONS Sector all'!$Q$234+'IND_CONS Sector all'!$Q$236+'IND_CONS Sector all'!$Q$237</f>
        <v>0</v>
      </c>
      <c r="Y73" s="64">
        <f>'IND_CONS Sector all'!$Q$244+'IND_CONS Sector all'!$Q$245+'IND_CONS Sector all'!$Q$247+'IND_CONS Sector all'!$Q$248</f>
        <v>0</v>
      </c>
      <c r="Z73" s="64">
        <f>'IND_CONS Sector all'!$Q$255+'IND_CONS Sector all'!$Q$256+'IND_CONS Sector all'!$Q$258+'IND_CONS Sector all'!$Q$259</f>
        <v>0</v>
      </c>
      <c r="AA73" s="64">
        <f>'IND_CONS Sector all'!$Q$266+'IND_CONS Sector all'!$Q$267+'IND_CONS Sector all'!$Q$269+'IND_CONS Sector all'!$Q$270</f>
        <v>0</v>
      </c>
      <c r="AB73" s="64">
        <f>'IND_CONS Sector all'!$Q$277+'IND_CONS Sector all'!$Q$278+'IND_CONS Sector all'!$Q$280+'IND_CONS Sector all'!$Q$281</f>
        <v>0</v>
      </c>
      <c r="AC73" s="64">
        <f>'IND_CONS Sector all'!$Q$288+'IND_CONS Sector all'!$Q$289+'IND_CONS Sector all'!$Q$291+'IND_CONS Sector all'!$Q$292</f>
        <v>0</v>
      </c>
      <c r="AD73" s="64">
        <f>'IND_CONS Sector all'!$Q$299+'IND_CONS Sector all'!$Q$300+'IND_CONS Sector all'!$Q$302+'IND_CONS Sector all'!$Q$303</f>
        <v>1.9677960000000001</v>
      </c>
      <c r="AE73" s="64">
        <f>'IND_CONS Sector all'!$Q$310+'IND_CONS Sector all'!$Q$311+'IND_CONS Sector all'!$Q$313+'IND_CONS Sector all'!$Q$314</f>
        <v>0</v>
      </c>
      <c r="AF73" s="64">
        <f>'IND_CONS Sector all'!$Q$1441+'IND_CONS Sector all'!$Q$1442+'IND_CONS Sector all'!$Q$1444+'IND_CONS Sector all'!$Q$325</f>
        <v>0</v>
      </c>
      <c r="AG73" s="64">
        <f>'IND_CONS Sector all'!$Q$332+'IND_CONS Sector all'!$Q$333+'IND_CONS Sector all'!$Q$335+'IND_CONS Sector all'!$Q$336</f>
        <v>0</v>
      </c>
    </row>
    <row r="74" spans="1:33">
      <c r="B74" t="str">
        <f>'IND_CONS Sector all'!S$6</f>
        <v>Industrial Wastes</v>
      </c>
      <c r="C74" s="64">
        <f t="shared" si="1"/>
        <v>6.8770000000000007</v>
      </c>
      <c r="D74" s="64">
        <f>'IND_CONS Sector all'!$S$13+'IND_CONS Sector all'!$S$14+'IND_CONS Sector all'!$S$16+'IND_CONS Sector all'!$S$17</f>
        <v>1.101</v>
      </c>
      <c r="E74" s="64">
        <f>'IND_CONS Sector all'!$S$24+'IND_CONS Sector all'!$S$25+'IND_CONS Sector all'!$S$27+'IND_CONS Sector all'!$S$28</f>
        <v>0</v>
      </c>
      <c r="F74" s="64">
        <f>'IND_CONS Sector all'!$S$35+'IND_CONS Sector all'!$S$36+'IND_CONS Sector all'!$S$38+'IND_CONS Sector all'!$S$39</f>
        <v>0.21299999999999999</v>
      </c>
      <c r="G74" s="64">
        <f>'IND_CONS Sector all'!$S$46+'IND_CONS Sector all'!$S$47+'IND_CONS Sector all'!$S$49+'IND_CONS Sector all'!$S$50</f>
        <v>0</v>
      </c>
      <c r="H74" s="64">
        <f>'IND_CONS Sector all'!$S$57+'IND_CONS Sector all'!$S$58+'IND_CONS Sector all'!$S$60+'IND_CONS Sector all'!$S$61</f>
        <v>2.3E-2</v>
      </c>
      <c r="I74" s="64">
        <f>'IND_CONS Sector all'!$S$68+'IND_CONS Sector all'!$S$69+'IND_CONS Sector all'!$S$71+'IND_CONS Sector all'!$S$72</f>
        <v>0</v>
      </c>
      <c r="J74" s="64">
        <f>'IND_CONS Sector all'!$S$79+'IND_CONS Sector all'!$S$80+'IND_CONS Sector all'!$S$82+'IND_CONS Sector all'!$S$83</f>
        <v>0</v>
      </c>
      <c r="K74" s="64">
        <f>'IND_CONS Sector all'!$S$90+'IND_CONS Sector all'!$S$91+'IND_CONS Sector all'!$S$93+'IND_CONS Sector all'!$S$94</f>
        <v>0</v>
      </c>
      <c r="L74" s="64">
        <f>'IND_CONS Sector all'!$S$101+'IND_CONS Sector all'!$S$102+'IND_CONS Sector all'!$S$104+'IND_CONS Sector all'!$S$105</f>
        <v>0</v>
      </c>
      <c r="M74" s="64">
        <f>'IND_CONS Sector all'!$S$112+'IND_CONS Sector all'!$S$113+'IND_CONS Sector all'!$S$115+'IND_CONS Sector all'!$S$116</f>
        <v>9.7000000000000003E-2</v>
      </c>
      <c r="N74" s="64">
        <f>'IND_CONS Sector all'!$S$123+'IND_CONS Sector all'!$S$124+'IND_CONS Sector all'!$S$126+'IND_CONS Sector all'!$S$127</f>
        <v>0</v>
      </c>
      <c r="O74" s="64">
        <f>'IND_CONS Sector all'!$S$134+'IND_CONS Sector all'!$S$135+'IND_CONS Sector all'!$S$137+'IND_CONS Sector all'!$S$138</f>
        <v>0</v>
      </c>
      <c r="P74" s="64">
        <f>'IND_CONS Sector all'!$S$1320+'IND_CONS Sector all'!$S$1321+'IND_CONS Sector all'!$S$148+'IND_CONS Sector all'!$S$17</f>
        <v>1.071</v>
      </c>
      <c r="Q74" s="64">
        <f>'IND_CONS Sector all'!$S$154+'IND_CONS Sector all'!$S$155+'IND_CONS Sector all'!$S$157+'IND_CONS Sector all'!$S$158</f>
        <v>0</v>
      </c>
      <c r="R74" s="64">
        <f>'IND_CONS Sector all'!$S$167+'IND_CONS Sector all'!$S$168+'IND_CONS Sector all'!$S$170+'IND_CONS Sector all'!$S$171</f>
        <v>2.6</v>
      </c>
      <c r="S74" s="64">
        <f>'IND_CONS Sector all'!$S$178+'IND_CONS Sector all'!$S$179+'IND_CONS Sector all'!$S$181+'IND_CONS Sector all'!$S$182</f>
        <v>0</v>
      </c>
      <c r="T74" s="64">
        <f>'IND_CONS Sector all'!$S$189+'IND_CONS Sector all'!$S$190+'IND_CONS Sector all'!$S$192+'IND_CONS Sector all'!$S$193</f>
        <v>0</v>
      </c>
      <c r="U74" s="64">
        <f>'IND_CONS Sector all'!$S$200+'IND_CONS Sector all'!$S$201+'IND_CONS Sector all'!$S$203+'IND_CONS Sector all'!$S$204</f>
        <v>0</v>
      </c>
      <c r="V74" s="64">
        <f>'IND_CONS Sector all'!$S$211+'IND_CONS Sector all'!$S$212+'IND_CONS Sector all'!$S$214+'IND_CONS Sector all'!$S$215</f>
        <v>0</v>
      </c>
      <c r="W74" s="64">
        <f>'IND_CONS Sector all'!$S$222+'IND_CONS Sector all'!$S$223+'IND_CONS Sector all'!$S$225+'IND_CONS Sector all'!$S$226</f>
        <v>0</v>
      </c>
      <c r="X74" s="64">
        <f>'IND_CONS Sector all'!$S$233+'IND_CONS Sector all'!$S$234+'IND_CONS Sector all'!$S$236+'IND_CONS Sector all'!$S$237</f>
        <v>1.708</v>
      </c>
      <c r="Y74" s="64">
        <f>'IND_CONS Sector all'!$S$244+'IND_CONS Sector all'!$S$245+'IND_CONS Sector all'!$S$247+'IND_CONS Sector all'!$S$248</f>
        <v>0</v>
      </c>
      <c r="Z74" s="64">
        <f>'IND_CONS Sector all'!$S$255+'IND_CONS Sector all'!$S$256+'IND_CONS Sector all'!$S$258+'IND_CONS Sector all'!$S$259</f>
        <v>9.0000000000000011E-3</v>
      </c>
      <c r="AA74" s="64">
        <f>'IND_CONS Sector all'!$S$266+'IND_CONS Sector all'!$S$267+'IND_CONS Sector all'!$S$269+'IND_CONS Sector all'!$S$270</f>
        <v>0</v>
      </c>
      <c r="AB74" s="64">
        <f>'IND_CONS Sector all'!$S$277+'IND_CONS Sector all'!$S$278+'IND_CONS Sector all'!$S$280+'IND_CONS Sector all'!$S$281</f>
        <v>0</v>
      </c>
      <c r="AC74" s="64">
        <f>'IND_CONS Sector all'!$S$288+'IND_CONS Sector all'!$S$289+'IND_CONS Sector all'!$S$291+'IND_CONS Sector all'!$S$292</f>
        <v>5.5E-2</v>
      </c>
      <c r="AD74" s="64">
        <f>'IND_CONS Sector all'!$S$299+'IND_CONS Sector all'!$S$300+'IND_CONS Sector all'!$S$302+'IND_CONS Sector all'!$S$303</f>
        <v>0</v>
      </c>
      <c r="AE74" s="64">
        <f>'IND_CONS Sector all'!$S$310+'IND_CONS Sector all'!$S$311+'IND_CONS Sector all'!$S$313+'IND_CONS Sector all'!$S$314</f>
        <v>0.33400000000000002</v>
      </c>
      <c r="AF74" s="64">
        <f>'IND_CONS Sector all'!$S$1441+'IND_CONS Sector all'!$S$1442+'IND_CONS Sector all'!$S$1444+'IND_CONS Sector all'!$S$325</f>
        <v>0</v>
      </c>
      <c r="AG74" s="64">
        <f>'IND_CONS Sector all'!$S$332+'IND_CONS Sector all'!$S$333+'IND_CONS Sector all'!$S$335+'IND_CONS Sector all'!$S$336</f>
        <v>0</v>
      </c>
    </row>
    <row r="75" spans="1:33">
      <c r="B75" t="str">
        <f>'IND_CONS Sector all'!T$6</f>
        <v>Natural Gas</v>
      </c>
      <c r="C75" s="64">
        <f t="shared" si="1"/>
        <v>1429.5735480000003</v>
      </c>
      <c r="D75" s="64">
        <f>'IND_CONS Sector all'!$T$13+'IND_CONS Sector all'!$T$14+'IND_CONS Sector all'!$T$16+'IND_CONS Sector all'!$T$17</f>
        <v>28.450000000000003</v>
      </c>
      <c r="E75" s="64">
        <f>'IND_CONS Sector all'!$T$24+'IND_CONS Sector all'!$T$25+'IND_CONS Sector all'!$T$27+'IND_CONS Sector all'!$T$28</f>
        <v>33.704000000000001</v>
      </c>
      <c r="F75" s="64">
        <f>'IND_CONS Sector all'!$T$35+'IND_CONS Sector all'!$T$36+'IND_CONS Sector all'!$T$38+'IND_CONS Sector all'!$T$39</f>
        <v>6.2850000000000001</v>
      </c>
      <c r="G75" s="64">
        <f>'IND_CONS Sector all'!$T$46+'IND_CONS Sector all'!$T$47+'IND_CONS Sector all'!$T$49+'IND_CONS Sector all'!$T$50</f>
        <v>0</v>
      </c>
      <c r="H75" s="64">
        <f>'IND_CONS Sector all'!$T$57+'IND_CONS Sector all'!$T$58+'IND_CONS Sector all'!$T$60+'IND_CONS Sector all'!$T$61</f>
        <v>44.308</v>
      </c>
      <c r="I75" s="64">
        <f>'IND_CONS Sector all'!$T$68+'IND_CONS Sector all'!$T$69+'IND_CONS Sector all'!$T$71+'IND_CONS Sector all'!$T$72</f>
        <v>212.483</v>
      </c>
      <c r="J75" s="64">
        <f>'IND_CONS Sector all'!$T$79+'IND_CONS Sector all'!$T$80+'IND_CONS Sector all'!$T$82+'IND_CONS Sector all'!$T$83</f>
        <v>17.544</v>
      </c>
      <c r="K75" s="64">
        <f>'IND_CONS Sector all'!$T$90+'IND_CONS Sector all'!$T$91+'IND_CONS Sector all'!$T$93+'IND_CONS Sector all'!$T$94</f>
        <v>2.8630000000000004</v>
      </c>
      <c r="L75" s="64">
        <f>'IND_CONS Sector all'!$T$101+'IND_CONS Sector all'!$T$102+'IND_CONS Sector all'!$T$104+'IND_CONS Sector all'!$T$105</f>
        <v>177.32599999999999</v>
      </c>
      <c r="M75" s="64">
        <f>'IND_CONS Sector all'!$T$112+'IND_CONS Sector all'!$T$113+'IND_CONS Sector all'!$T$115+'IND_CONS Sector all'!$T$116</f>
        <v>2.0920000000000001</v>
      </c>
      <c r="N75" s="64">
        <f>'IND_CONS Sector all'!$T$123+'IND_CONS Sector all'!$T$124+'IND_CONS Sector all'!$T$126+'IND_CONS Sector all'!$T$127</f>
        <v>162.67300000000003</v>
      </c>
      <c r="O75" s="64">
        <f>'IND_CONS Sector all'!$T$134+'IND_CONS Sector all'!$T$135+'IND_CONS Sector all'!$T$137+'IND_CONS Sector all'!$T$138</f>
        <v>6.0289999999999999</v>
      </c>
      <c r="P75" s="64">
        <f>'IND_CONS Sector all'!$T$1320+'IND_CONS Sector all'!$T$1321+'IND_CONS Sector all'!$T$148+'IND_CONS Sector all'!$T$17</f>
        <v>15.609</v>
      </c>
      <c r="Q75" s="64">
        <f>'IND_CONS Sector all'!$T$154+'IND_CONS Sector all'!$T$155+'IND_CONS Sector all'!$T$157+'IND_CONS Sector all'!$T$158</f>
        <v>4.7195479999999996</v>
      </c>
      <c r="R75" s="64">
        <f>'IND_CONS Sector all'!$T$167+'IND_CONS Sector all'!$T$168+'IND_CONS Sector all'!$T$170+'IND_CONS Sector all'!$T$171</f>
        <v>236.59000000000003</v>
      </c>
      <c r="S75" s="64">
        <f>'IND_CONS Sector all'!$T$178+'IND_CONS Sector all'!$T$179+'IND_CONS Sector all'!$T$181+'IND_CONS Sector all'!$T$182</f>
        <v>8.35</v>
      </c>
      <c r="T75" s="64">
        <f>'IND_CONS Sector all'!$T$189+'IND_CONS Sector all'!$T$190+'IND_CONS Sector all'!$T$192+'IND_CONS Sector all'!$T$193</f>
        <v>10.51</v>
      </c>
      <c r="U75" s="64">
        <f>'IND_CONS Sector all'!$T$200+'IND_CONS Sector all'!$T$201+'IND_CONS Sector all'!$T$203+'IND_CONS Sector all'!$T$204</f>
        <v>4.9640000000000004</v>
      </c>
      <c r="V75" s="64">
        <f>'IND_CONS Sector all'!$T$211+'IND_CONS Sector all'!$T$212+'IND_CONS Sector all'!$T$214+'IND_CONS Sector all'!$T$215</f>
        <v>0</v>
      </c>
      <c r="W75" s="64">
        <f>'IND_CONS Sector all'!$T$222+'IND_CONS Sector all'!$T$223+'IND_CONS Sector all'!$T$225+'IND_CONS Sector all'!$T$226</f>
        <v>91.271999999999991</v>
      </c>
      <c r="X75" s="64">
        <f>'IND_CONS Sector all'!$T$233+'IND_CONS Sector all'!$T$234+'IND_CONS Sector all'!$T$236+'IND_CONS Sector all'!$T$237</f>
        <v>39.789000000000001</v>
      </c>
      <c r="Y75" s="64">
        <f>'IND_CONS Sector all'!$T$244+'IND_CONS Sector all'!$T$245+'IND_CONS Sector all'!$T$247+'IND_CONS Sector all'!$T$248</f>
        <v>11.795999999999999</v>
      </c>
      <c r="Z75" s="64">
        <f>'IND_CONS Sector all'!$T$255+'IND_CONS Sector all'!$T$256+'IND_CONS Sector all'!$T$258+'IND_CONS Sector all'!$T$259</f>
        <v>50.271999999999998</v>
      </c>
      <c r="AA75" s="64">
        <f>'IND_CONS Sector all'!$T$266+'IND_CONS Sector all'!$T$267+'IND_CONS Sector all'!$T$269+'IND_CONS Sector all'!$T$270</f>
        <v>5.5030000000000001</v>
      </c>
      <c r="AB75" s="64">
        <f>'IND_CONS Sector all'!$T$277+'IND_CONS Sector all'!$T$278+'IND_CONS Sector all'!$T$280+'IND_CONS Sector all'!$T$281</f>
        <v>7.5860000000000003</v>
      </c>
      <c r="AC75" s="64">
        <f>'IND_CONS Sector all'!$T$288+'IND_CONS Sector all'!$T$289+'IND_CONS Sector all'!$T$291+'IND_CONS Sector all'!$T$292</f>
        <v>16.727</v>
      </c>
      <c r="AD75" s="64">
        <f>'IND_CONS Sector all'!$T$299+'IND_CONS Sector all'!$T$300+'IND_CONS Sector all'!$T$302+'IND_CONS Sector all'!$T$303</f>
        <v>232.12900000000002</v>
      </c>
      <c r="AE75" s="64">
        <f>'IND_CONS Sector all'!$T$310+'IND_CONS Sector all'!$T$311+'IND_CONS Sector all'!$T$313+'IND_CONS Sector all'!$T$314</f>
        <v>11.796999999999999</v>
      </c>
      <c r="AF75" s="64">
        <f>'IND_CONS Sector all'!$T$1441+'IND_CONS Sector all'!$T$1442+'IND_CONS Sector all'!$T$1444+'IND_CONS Sector all'!$T$325</f>
        <v>0</v>
      </c>
      <c r="AG75" s="64">
        <f>'IND_CONS Sector all'!$T$332+'IND_CONS Sector all'!$T$333+'IND_CONS Sector all'!$T$335+'IND_CONS Sector all'!$T$336</f>
        <v>1.2449999999999999</v>
      </c>
    </row>
    <row r="76" spans="1:33">
      <c r="B76" t="str">
        <f>'IND_CONS Sector all'!U$6</f>
        <v>Coke-Oven Gas</v>
      </c>
      <c r="C76" s="64">
        <f t="shared" si="1"/>
        <v>8.5429999999999993</v>
      </c>
      <c r="D76" s="64">
        <f>'IND_CONS Sector all'!$U$13+'IND_CONS Sector all'!$U$14+'IND_CONS Sector all'!$U$16+'IND_CONS Sector all'!$U$17</f>
        <v>0</v>
      </c>
      <c r="E76" s="64">
        <f>'IND_CONS Sector all'!$U$24+'IND_CONS Sector all'!$U$25+'IND_CONS Sector all'!$U$27+'IND_CONS Sector all'!$U$28</f>
        <v>0</v>
      </c>
      <c r="F76" s="64">
        <f>'IND_CONS Sector all'!$U$35+'IND_CONS Sector all'!$U$36+'IND_CONS Sector all'!$U$38+'IND_CONS Sector all'!$U$39</f>
        <v>0</v>
      </c>
      <c r="G76" s="64">
        <f>'IND_CONS Sector all'!$U$46+'IND_CONS Sector all'!$U$47+'IND_CONS Sector all'!$U$49+'IND_CONS Sector all'!$U$50</f>
        <v>0</v>
      </c>
      <c r="H76" s="64">
        <f>'IND_CONS Sector all'!$U$57+'IND_CONS Sector all'!$U$58+'IND_CONS Sector all'!$U$60+'IND_CONS Sector all'!$U$61</f>
        <v>0.76500000000000001</v>
      </c>
      <c r="I76" s="64">
        <f>'IND_CONS Sector all'!$U$68+'IND_CONS Sector all'!$U$69+'IND_CONS Sector all'!$U$71+'IND_CONS Sector all'!$U$72</f>
        <v>4.726</v>
      </c>
      <c r="J76" s="64">
        <f>'IND_CONS Sector all'!$U$79+'IND_CONS Sector all'!$U$80+'IND_CONS Sector all'!$U$82+'IND_CONS Sector all'!$U$83</f>
        <v>0</v>
      </c>
      <c r="K76" s="64">
        <f>'IND_CONS Sector all'!$U$90+'IND_CONS Sector all'!$U$91+'IND_CONS Sector all'!$U$93+'IND_CONS Sector all'!$U$94</f>
        <v>0</v>
      </c>
      <c r="L76" s="64">
        <f>'IND_CONS Sector all'!$U$101+'IND_CONS Sector all'!$U$102+'IND_CONS Sector all'!$U$104+'IND_CONS Sector all'!$U$105</f>
        <v>0</v>
      </c>
      <c r="M76" s="64">
        <f>'IND_CONS Sector all'!$U$112+'IND_CONS Sector all'!$U$113+'IND_CONS Sector all'!$U$115+'IND_CONS Sector all'!$U$116</f>
        <v>0</v>
      </c>
      <c r="N76" s="64">
        <f>'IND_CONS Sector all'!$U$123+'IND_CONS Sector all'!$U$124+'IND_CONS Sector all'!$U$126+'IND_CONS Sector all'!$U$127</f>
        <v>0</v>
      </c>
      <c r="O76" s="64">
        <f>'IND_CONS Sector all'!$U$134+'IND_CONS Sector all'!$U$135+'IND_CONS Sector all'!$U$137+'IND_CONS Sector all'!$U$138</f>
        <v>0</v>
      </c>
      <c r="P76" s="64">
        <f>'IND_CONS Sector all'!$U$1320+'IND_CONS Sector all'!$U$1321+'IND_CONS Sector all'!$U$148+'IND_CONS Sector all'!$U$17</f>
        <v>0</v>
      </c>
      <c r="Q76" s="64">
        <f>'IND_CONS Sector all'!$U$154+'IND_CONS Sector all'!$U$155+'IND_CONS Sector all'!$U$157+'IND_CONS Sector all'!$U$158</f>
        <v>0</v>
      </c>
      <c r="R76" s="64">
        <f>'IND_CONS Sector all'!$U$167+'IND_CONS Sector all'!$U$168+'IND_CONS Sector all'!$U$170+'IND_CONS Sector all'!$U$171</f>
        <v>0</v>
      </c>
      <c r="S76" s="64">
        <f>'IND_CONS Sector all'!$U$178+'IND_CONS Sector all'!$U$179+'IND_CONS Sector all'!$U$181+'IND_CONS Sector all'!$U$182</f>
        <v>0</v>
      </c>
      <c r="T76" s="64">
        <f>'IND_CONS Sector all'!$U$189+'IND_CONS Sector all'!$U$190+'IND_CONS Sector all'!$U$192+'IND_CONS Sector all'!$U$193</f>
        <v>0</v>
      </c>
      <c r="U76" s="64">
        <f>'IND_CONS Sector all'!$U$200+'IND_CONS Sector all'!$U$201+'IND_CONS Sector all'!$U$203+'IND_CONS Sector all'!$U$204</f>
        <v>0</v>
      </c>
      <c r="V76" s="64">
        <f>'IND_CONS Sector all'!$U$211+'IND_CONS Sector all'!$U$212+'IND_CONS Sector all'!$U$214+'IND_CONS Sector all'!$U$215</f>
        <v>0</v>
      </c>
      <c r="W76" s="64">
        <f>'IND_CONS Sector all'!$U$222+'IND_CONS Sector all'!$U$223+'IND_CONS Sector all'!$U$225+'IND_CONS Sector all'!$U$226</f>
        <v>0</v>
      </c>
      <c r="X76" s="64">
        <f>'IND_CONS Sector all'!$U$233+'IND_CONS Sector all'!$U$234+'IND_CONS Sector all'!$U$236+'IND_CONS Sector all'!$U$237</f>
        <v>0.11</v>
      </c>
      <c r="Y76" s="64">
        <f>'IND_CONS Sector all'!$U$244+'IND_CONS Sector all'!$U$245+'IND_CONS Sector all'!$U$247+'IND_CONS Sector all'!$U$248</f>
        <v>0</v>
      </c>
      <c r="Z76" s="64">
        <f>'IND_CONS Sector all'!$U$255+'IND_CONS Sector all'!$U$256+'IND_CONS Sector all'!$U$258+'IND_CONS Sector all'!$U$259</f>
        <v>7.5999999999999998E-2</v>
      </c>
      <c r="AA76" s="64">
        <f>'IND_CONS Sector all'!$U$266+'IND_CONS Sector all'!$U$267+'IND_CONS Sector all'!$U$269+'IND_CONS Sector all'!$U$270</f>
        <v>0</v>
      </c>
      <c r="AB76" s="64">
        <f>'IND_CONS Sector all'!$U$277+'IND_CONS Sector all'!$U$278+'IND_CONS Sector all'!$U$280+'IND_CONS Sector all'!$U$281</f>
        <v>0</v>
      </c>
      <c r="AC76" s="64">
        <f>'IND_CONS Sector all'!$U$288+'IND_CONS Sector all'!$U$289+'IND_CONS Sector all'!$U$291+'IND_CONS Sector all'!$U$292</f>
        <v>2.1019999999999999</v>
      </c>
      <c r="AD76" s="64">
        <f>'IND_CONS Sector all'!$U$299+'IND_CONS Sector all'!$U$300+'IND_CONS Sector all'!$U$302+'IND_CONS Sector all'!$U$303</f>
        <v>0.76400000000000001</v>
      </c>
      <c r="AE76" s="64">
        <f>'IND_CONS Sector all'!$U$310+'IND_CONS Sector all'!$U$311+'IND_CONS Sector all'!$U$313+'IND_CONS Sector all'!$U$314</f>
        <v>0</v>
      </c>
      <c r="AF76" s="64">
        <f>'IND_CONS Sector all'!$U$1441+'IND_CONS Sector all'!$U$1442+'IND_CONS Sector all'!$U$1444+'IND_CONS Sector all'!$U$325</f>
        <v>0</v>
      </c>
      <c r="AG76" s="64">
        <f>'IND_CONS Sector all'!$U$332+'IND_CONS Sector all'!$U$333+'IND_CONS Sector all'!$U$335+'IND_CONS Sector all'!$U$336</f>
        <v>0</v>
      </c>
    </row>
    <row r="77" spans="1:33">
      <c r="B77" t="str">
        <f>'IND_CONS Sector all'!V$6</f>
        <v>Blast-Furnace Gas</v>
      </c>
      <c r="C77" s="64">
        <f t="shared" si="1"/>
        <v>0</v>
      </c>
      <c r="D77" s="64">
        <f>'IND_CONS Sector all'!$V$13+'IND_CONS Sector all'!$V$14+'IND_CONS Sector all'!$V$16+'IND_CONS Sector all'!$V$17</f>
        <v>0</v>
      </c>
      <c r="E77" s="64">
        <f>'IND_CONS Sector all'!$V$24+'IND_CONS Sector all'!$V$25+'IND_CONS Sector all'!$V$27+'IND_CONS Sector all'!$V$28</f>
        <v>0</v>
      </c>
      <c r="F77" s="64">
        <f>'IND_CONS Sector all'!$V$35+'IND_CONS Sector all'!$V$36+'IND_CONS Sector all'!$V$38+'IND_CONS Sector all'!$V$39</f>
        <v>0</v>
      </c>
      <c r="G77" s="64">
        <f>'IND_CONS Sector all'!$V$46+'IND_CONS Sector all'!$V$47+'IND_CONS Sector all'!$V$49+'IND_CONS Sector all'!$V$50</f>
        <v>0</v>
      </c>
      <c r="H77" s="64">
        <f>'IND_CONS Sector all'!$V$57+'IND_CONS Sector all'!$V$58+'IND_CONS Sector all'!$V$60+'IND_CONS Sector all'!$V$61</f>
        <v>0</v>
      </c>
      <c r="I77" s="64">
        <f>'IND_CONS Sector all'!$V$68+'IND_CONS Sector all'!$V$69+'IND_CONS Sector all'!$V$71+'IND_CONS Sector all'!$V$72</f>
        <v>0</v>
      </c>
      <c r="J77" s="64">
        <f>'IND_CONS Sector all'!$V$79+'IND_CONS Sector all'!$V$80+'IND_CONS Sector all'!$V$82+'IND_CONS Sector all'!$V$83</f>
        <v>0</v>
      </c>
      <c r="K77" s="64">
        <f>'IND_CONS Sector all'!$V$90+'IND_CONS Sector all'!$V$91+'IND_CONS Sector all'!$V$93+'IND_CONS Sector all'!$V$94</f>
        <v>0</v>
      </c>
      <c r="L77" s="64">
        <f>'IND_CONS Sector all'!$V$101+'IND_CONS Sector all'!$V$102+'IND_CONS Sector all'!$V$104+'IND_CONS Sector all'!$V$105</f>
        <v>0</v>
      </c>
      <c r="M77" s="64">
        <f>'IND_CONS Sector all'!$V$112+'IND_CONS Sector all'!$V$113+'IND_CONS Sector all'!$V$115+'IND_CONS Sector all'!$V$116</f>
        <v>0</v>
      </c>
      <c r="N77" s="64">
        <f>'IND_CONS Sector all'!$V$123+'IND_CONS Sector all'!$V$124+'IND_CONS Sector all'!$V$126+'IND_CONS Sector all'!$V$127</f>
        <v>0</v>
      </c>
      <c r="O77" s="64">
        <f>'IND_CONS Sector all'!$V$134+'IND_CONS Sector all'!$V$135+'IND_CONS Sector all'!$V$137+'IND_CONS Sector all'!$V$138</f>
        <v>0</v>
      </c>
      <c r="P77" s="64">
        <f>'IND_CONS Sector all'!$V$1320+'IND_CONS Sector all'!$V$1321+'IND_CONS Sector all'!$V$148+'IND_CONS Sector all'!$V$17</f>
        <v>0</v>
      </c>
      <c r="Q77" s="64">
        <f>'IND_CONS Sector all'!$V$154+'IND_CONS Sector all'!$V$155+'IND_CONS Sector all'!$V$157+'IND_CONS Sector all'!$V$158</f>
        <v>0</v>
      </c>
      <c r="R77" s="64">
        <f>'IND_CONS Sector all'!$V$167+'IND_CONS Sector all'!$V$168+'IND_CONS Sector all'!$V$170+'IND_CONS Sector all'!$V$171</f>
        <v>0</v>
      </c>
      <c r="S77" s="64">
        <f>'IND_CONS Sector all'!$V$178+'IND_CONS Sector all'!$V$179+'IND_CONS Sector all'!$V$181+'IND_CONS Sector all'!$V$182</f>
        <v>0</v>
      </c>
      <c r="T77" s="64">
        <f>'IND_CONS Sector all'!$V$189+'IND_CONS Sector all'!$V$190+'IND_CONS Sector all'!$V$192+'IND_CONS Sector all'!$V$193</f>
        <v>0</v>
      </c>
      <c r="U77" s="64">
        <f>'IND_CONS Sector all'!$V$200+'IND_CONS Sector all'!$V$201+'IND_CONS Sector all'!$V$203+'IND_CONS Sector all'!$V$204</f>
        <v>0</v>
      </c>
      <c r="V77" s="64">
        <f>'IND_CONS Sector all'!$V$211+'IND_CONS Sector all'!$V$212+'IND_CONS Sector all'!$V$214+'IND_CONS Sector all'!$V$215</f>
        <v>0</v>
      </c>
      <c r="W77" s="64">
        <f>'IND_CONS Sector all'!$V$222+'IND_CONS Sector all'!$V$223+'IND_CONS Sector all'!$V$225+'IND_CONS Sector all'!$V$226</f>
        <v>0</v>
      </c>
      <c r="X77" s="64">
        <f>'IND_CONS Sector all'!$V$233+'IND_CONS Sector all'!$V$234+'IND_CONS Sector all'!$V$236+'IND_CONS Sector all'!$V$237</f>
        <v>0</v>
      </c>
      <c r="Y77" s="64">
        <f>'IND_CONS Sector all'!$V$244+'IND_CONS Sector all'!$V$245+'IND_CONS Sector all'!$V$247+'IND_CONS Sector all'!$V$248</f>
        <v>0</v>
      </c>
      <c r="Z77" s="64">
        <f>'IND_CONS Sector all'!$V$255+'IND_CONS Sector all'!$V$256+'IND_CONS Sector all'!$V$258+'IND_CONS Sector all'!$V$259</f>
        <v>0</v>
      </c>
      <c r="AA77" s="64">
        <f>'IND_CONS Sector all'!$V$266+'IND_CONS Sector all'!$V$267+'IND_CONS Sector all'!$V$269+'IND_CONS Sector all'!$V$270</f>
        <v>0</v>
      </c>
      <c r="AB77" s="64">
        <f>'IND_CONS Sector all'!$V$277+'IND_CONS Sector all'!$V$278+'IND_CONS Sector all'!$V$280+'IND_CONS Sector all'!$V$281</f>
        <v>0</v>
      </c>
      <c r="AC77" s="64">
        <f>'IND_CONS Sector all'!$V$288+'IND_CONS Sector all'!$V$289+'IND_CONS Sector all'!$V$291+'IND_CONS Sector all'!$V$292</f>
        <v>0</v>
      </c>
      <c r="AD77" s="64">
        <f>'IND_CONS Sector all'!$V$299+'IND_CONS Sector all'!$V$300+'IND_CONS Sector all'!$V$302+'IND_CONS Sector all'!$V$303</f>
        <v>0</v>
      </c>
      <c r="AE77" s="64">
        <f>'IND_CONS Sector all'!$V$310+'IND_CONS Sector all'!$V$311+'IND_CONS Sector all'!$V$313+'IND_CONS Sector all'!$V$314</f>
        <v>0</v>
      </c>
      <c r="AF77" s="64">
        <f>'IND_CONS Sector all'!$V$1441+'IND_CONS Sector all'!$V$1442+'IND_CONS Sector all'!$V$1444+'IND_CONS Sector all'!$V$325</f>
        <v>0</v>
      </c>
      <c r="AG77" s="64">
        <f>'IND_CONS Sector all'!$V$332+'IND_CONS Sector all'!$V$333+'IND_CONS Sector all'!$V$335+'IND_CONS Sector all'!$V$336</f>
        <v>0</v>
      </c>
    </row>
    <row r="78" spans="1:33">
      <c r="B78" t="e">
        <f>#REF!</f>
        <v>#REF!</v>
      </c>
      <c r="C78" s="64" t="e">
        <f t="shared" si="1"/>
        <v>#REF!</v>
      </c>
      <c r="D78" s="64" t="e">
        <f>(#REF!+#REF!+#REF!+#REF!)/1000</f>
        <v>#REF!</v>
      </c>
      <c r="E78" s="64" t="e">
        <f>(#REF!+#REF!+#REF!+#REF!)/1000</f>
        <v>#REF!</v>
      </c>
      <c r="F78" s="64" t="e">
        <f>(#REF!+#REF!+#REF!+#REF!)/1000</f>
        <v>#REF!</v>
      </c>
      <c r="G78" s="64" t="e">
        <f>(#REF!+#REF!+#REF!+#REF!)/1000</f>
        <v>#REF!</v>
      </c>
      <c r="H78" s="64" t="e">
        <f>(#REF!+#REF!+#REF!+#REF!)/1000</f>
        <v>#REF!</v>
      </c>
      <c r="I78" s="64" t="e">
        <f>(#REF!+#REF!+#REF!+#REF!)/1000</f>
        <v>#REF!</v>
      </c>
      <c r="J78" s="64" t="e">
        <f>(#REF!+#REF!+#REF!+#REF!)/1000</f>
        <v>#REF!</v>
      </c>
      <c r="K78" s="64" t="e">
        <f>(#REF!+#REF!+#REF!+#REF!)/1000</f>
        <v>#REF!</v>
      </c>
      <c r="L78" s="64" t="e">
        <f>(#REF!+#REF!+#REF!+#REF!)/1000</f>
        <v>#REF!</v>
      </c>
      <c r="M78" s="64" t="e">
        <f>(#REF!+#REF!+#REF!+#REF!)/1000</f>
        <v>#REF!</v>
      </c>
      <c r="N78" s="64" t="e">
        <f>(#REF!+#REF!+#REF!+#REF!)/1000</f>
        <v>#REF!</v>
      </c>
      <c r="O78" s="64" t="e">
        <f>(#REF!+#REF!+#REF!+#REF!)/1000</f>
        <v>#REF!</v>
      </c>
      <c r="P78" s="64" t="e">
        <f>(#REF!+#REF!+#REF!+#REF!)/1000</f>
        <v>#REF!</v>
      </c>
      <c r="Q78" s="64" t="e">
        <f>(#REF!+#REF!+#REF!+#REF!)/1000</f>
        <v>#REF!</v>
      </c>
      <c r="R78" s="64" t="e">
        <f>(#REF!+#REF!+#REF!+#REF!)/1000</f>
        <v>#REF!</v>
      </c>
      <c r="S78" s="64" t="e">
        <f>(#REF!+#REF!+#REF!+#REF!)/1000</f>
        <v>#REF!</v>
      </c>
      <c r="T78" s="64" t="e">
        <f>(#REF!+#REF!+#REF!+#REF!)/1000</f>
        <v>#REF!</v>
      </c>
      <c r="U78" s="64" t="e">
        <f>(#REF!+#REF!+#REF!+#REF!)/1000</f>
        <v>#REF!</v>
      </c>
      <c r="V78" s="64" t="e">
        <f>(#REF!+#REF!+#REF!+#REF!)/1000</f>
        <v>#REF!</v>
      </c>
      <c r="W78" s="64" t="e">
        <f>(#REF!+#REF!+#REF!+#REF!)/1000</f>
        <v>#REF!</v>
      </c>
      <c r="X78" s="64" t="e">
        <f>(#REF!+#REF!+#REF!+#REF!)/1000</f>
        <v>#REF!</v>
      </c>
      <c r="Y78" s="64" t="e">
        <f>(#REF!+#REF!+#REF!+#REF!)/1000</f>
        <v>#REF!</v>
      </c>
      <c r="Z78" s="64" t="e">
        <f>(#REF!+#REF!+#REF!+#REF!)/1000</f>
        <v>#REF!</v>
      </c>
      <c r="AA78" s="64" t="e">
        <f>(#REF!+#REF!+#REF!+#REF!)/1000</f>
        <v>#REF!</v>
      </c>
      <c r="AB78" s="64" t="e">
        <f>(#REF!+#REF!+#REF!+#REF!)/1000</f>
        <v>#REF!</v>
      </c>
      <c r="AC78" s="64" t="e">
        <f>(#REF!+#REF!+#REF!+#REF!)/1000</f>
        <v>#REF!</v>
      </c>
      <c r="AD78" s="64" t="e">
        <f>(#REF!+#REF!+#REF!+#REF!)/1000</f>
        <v>#REF!</v>
      </c>
      <c r="AE78" s="64" t="e">
        <f>(#REF!+#REF!+#REF!+#REF!)/1000</f>
        <v>#REF!</v>
      </c>
      <c r="AF78" s="64" t="e">
        <f>(#REF!+#REF!+#REF!+#REF!)/1000</f>
        <v>#REF!</v>
      </c>
      <c r="AG78" s="64" t="e">
        <f>(#REF!+#REF!+#REF!+#REF!)/1000</f>
        <v>#REF!</v>
      </c>
    </row>
    <row r="79" spans="1:33">
      <c r="C79" s="64"/>
    </row>
    <row r="80" spans="1:33">
      <c r="A80" t="str">
        <f>A19</f>
        <v>Refineries</v>
      </c>
      <c r="B80" t="s">
        <v>309</v>
      </c>
      <c r="C80" s="64">
        <f t="shared" si="1"/>
        <v>0</v>
      </c>
      <c r="D80" s="64">
        <f>D19+D20</f>
        <v>0</v>
      </c>
      <c r="E80" s="64">
        <f t="shared" ref="E80:AG80" si="2">E19+E20</f>
        <v>0</v>
      </c>
      <c r="F80" s="64">
        <f t="shared" si="2"/>
        <v>0</v>
      </c>
      <c r="G80" s="64">
        <f t="shared" si="2"/>
        <v>0</v>
      </c>
      <c r="H80" s="64">
        <f t="shared" si="2"/>
        <v>0</v>
      </c>
      <c r="I80" s="64">
        <f t="shared" si="2"/>
        <v>0</v>
      </c>
      <c r="J80" s="64">
        <f t="shared" si="2"/>
        <v>0</v>
      </c>
      <c r="K80" s="64">
        <f t="shared" si="2"/>
        <v>0</v>
      </c>
      <c r="L80" s="64">
        <f t="shared" si="2"/>
        <v>0</v>
      </c>
      <c r="M80" s="64">
        <f t="shared" si="2"/>
        <v>0</v>
      </c>
      <c r="N80" s="64">
        <f t="shared" si="2"/>
        <v>0</v>
      </c>
      <c r="O80" s="64">
        <f t="shared" si="2"/>
        <v>0</v>
      </c>
      <c r="P80" s="64">
        <f t="shared" si="2"/>
        <v>0</v>
      </c>
      <c r="Q80" s="64">
        <f t="shared" si="2"/>
        <v>0</v>
      </c>
      <c r="R80" s="64">
        <f t="shared" si="2"/>
        <v>0</v>
      </c>
      <c r="S80" s="64">
        <f t="shared" si="2"/>
        <v>0</v>
      </c>
      <c r="T80" s="64">
        <f t="shared" si="2"/>
        <v>0</v>
      </c>
      <c r="U80" s="64">
        <f t="shared" si="2"/>
        <v>0</v>
      </c>
      <c r="V80" s="64">
        <f t="shared" si="2"/>
        <v>0</v>
      </c>
      <c r="W80" s="64">
        <f t="shared" si="2"/>
        <v>0</v>
      </c>
      <c r="X80" s="64">
        <f t="shared" si="2"/>
        <v>0</v>
      </c>
      <c r="Y80" s="64">
        <f t="shared" si="2"/>
        <v>0</v>
      </c>
      <c r="Z80" s="64">
        <f t="shared" si="2"/>
        <v>0</v>
      </c>
      <c r="AA80" s="64">
        <f t="shared" si="2"/>
        <v>0</v>
      </c>
      <c r="AB80" s="64">
        <f t="shared" si="2"/>
        <v>0</v>
      </c>
      <c r="AC80" s="64">
        <f t="shared" si="2"/>
        <v>0</v>
      </c>
      <c r="AD80" s="64">
        <f t="shared" si="2"/>
        <v>0</v>
      </c>
      <c r="AE80" s="64">
        <f t="shared" si="2"/>
        <v>0</v>
      </c>
      <c r="AF80" s="64">
        <f t="shared" si="2"/>
        <v>0</v>
      </c>
      <c r="AG80" s="64">
        <f t="shared" si="2"/>
        <v>0</v>
      </c>
    </row>
    <row r="81" spans="1:33">
      <c r="B81" t="s">
        <v>304</v>
      </c>
      <c r="C81" s="64">
        <f t="shared" si="1"/>
        <v>1024.4079999999999</v>
      </c>
      <c r="D81" s="64">
        <f>D21</f>
        <v>16.88</v>
      </c>
      <c r="E81" s="64">
        <f t="shared" ref="E81:AG81" si="3">E21</f>
        <v>22.670999999999999</v>
      </c>
      <c r="F81" s="64">
        <f t="shared" si="3"/>
        <v>5.1479999999999997</v>
      </c>
      <c r="G81" s="64">
        <f t="shared" si="3"/>
        <v>0</v>
      </c>
      <c r="H81" s="64">
        <f t="shared" si="3"/>
        <v>6.0890000000000004</v>
      </c>
      <c r="I81" s="64">
        <f t="shared" si="3"/>
        <v>203.39599999999999</v>
      </c>
      <c r="J81" s="64">
        <f t="shared" si="3"/>
        <v>13.118</v>
      </c>
      <c r="K81" s="64">
        <f t="shared" si="3"/>
        <v>0</v>
      </c>
      <c r="L81" s="64">
        <f t="shared" si="3"/>
        <v>105.386</v>
      </c>
      <c r="M81" s="64">
        <f t="shared" si="3"/>
        <v>20.393999999999998</v>
      </c>
      <c r="N81" s="64">
        <f t="shared" si="3"/>
        <v>110.88</v>
      </c>
      <c r="O81" s="64">
        <f t="shared" si="3"/>
        <v>21.928999999999998</v>
      </c>
      <c r="P81" s="64">
        <f t="shared" si="3"/>
        <v>7.4749999999999996</v>
      </c>
      <c r="Q81" s="64">
        <f t="shared" si="3"/>
        <v>4.5049999999999999</v>
      </c>
      <c r="R81" s="64">
        <f t="shared" si="3"/>
        <v>116.82</v>
      </c>
      <c r="S81" s="64">
        <f t="shared" si="3"/>
        <v>15.444000000000001</v>
      </c>
      <c r="T81" s="64">
        <f t="shared" si="3"/>
        <v>0</v>
      </c>
      <c r="U81" s="64">
        <f t="shared" si="3"/>
        <v>0</v>
      </c>
      <c r="V81" s="64">
        <f t="shared" si="3"/>
        <v>0</v>
      </c>
      <c r="W81" s="64">
        <f t="shared" si="3"/>
        <v>138.798</v>
      </c>
      <c r="X81" s="64">
        <f t="shared" si="3"/>
        <v>10.346</v>
      </c>
      <c r="Y81" s="64">
        <f t="shared" si="3"/>
        <v>0</v>
      </c>
      <c r="Z81" s="64">
        <f t="shared" si="3"/>
        <v>26.234999999999999</v>
      </c>
      <c r="AA81" s="64">
        <f t="shared" si="3"/>
        <v>24.206</v>
      </c>
      <c r="AB81" s="64">
        <f t="shared" si="3"/>
        <v>0</v>
      </c>
      <c r="AC81" s="64">
        <f t="shared" si="3"/>
        <v>18.265999999999998</v>
      </c>
      <c r="AD81" s="64">
        <f t="shared" si="3"/>
        <v>136.422</v>
      </c>
      <c r="AE81" s="64">
        <f t="shared" si="3"/>
        <v>11.93</v>
      </c>
      <c r="AF81" s="64">
        <f t="shared" si="3"/>
        <v>0</v>
      </c>
      <c r="AG81" s="64">
        <f t="shared" si="3"/>
        <v>20.097000000000001</v>
      </c>
    </row>
    <row r="82" spans="1:33">
      <c r="B82" t="s">
        <v>70</v>
      </c>
      <c r="C82" s="64">
        <f t="shared" si="1"/>
        <v>409.85600000000005</v>
      </c>
      <c r="D82" s="64">
        <f>D22+D23</f>
        <v>1.04</v>
      </c>
      <c r="E82" s="64">
        <f t="shared" ref="E82:AG82" si="4">E22+E23</f>
        <v>18.079999999999998</v>
      </c>
      <c r="F82" s="64">
        <f t="shared" si="4"/>
        <v>0</v>
      </c>
      <c r="G82" s="64">
        <f t="shared" si="4"/>
        <v>0</v>
      </c>
      <c r="H82" s="64">
        <f t="shared" si="4"/>
        <v>1.6</v>
      </c>
      <c r="I82" s="64">
        <f t="shared" si="4"/>
        <v>77.7</v>
      </c>
      <c r="J82" s="64">
        <f t="shared" si="4"/>
        <v>0.68</v>
      </c>
      <c r="K82" s="64">
        <f t="shared" si="4"/>
        <v>0</v>
      </c>
      <c r="L82" s="64">
        <f t="shared" si="4"/>
        <v>18.64</v>
      </c>
      <c r="M82" s="64">
        <f t="shared" si="4"/>
        <v>4.5599999999999996</v>
      </c>
      <c r="N82" s="64">
        <f t="shared" si="4"/>
        <v>34.161999999999999</v>
      </c>
      <c r="O82" s="64">
        <f t="shared" si="4"/>
        <v>17.68</v>
      </c>
      <c r="P82" s="64">
        <f t="shared" si="4"/>
        <v>2.12</v>
      </c>
      <c r="Q82" s="64">
        <f t="shared" si="4"/>
        <v>1.456</v>
      </c>
      <c r="R82" s="64">
        <f t="shared" si="4"/>
        <v>84.569000000000003</v>
      </c>
      <c r="S82" s="64">
        <f t="shared" si="4"/>
        <v>6.72</v>
      </c>
      <c r="T82" s="64">
        <f t="shared" si="4"/>
        <v>0</v>
      </c>
      <c r="U82" s="64">
        <f t="shared" si="4"/>
        <v>0</v>
      </c>
      <c r="V82" s="64">
        <f t="shared" si="4"/>
        <v>0</v>
      </c>
      <c r="W82" s="64">
        <f t="shared" si="4"/>
        <v>7.56</v>
      </c>
      <c r="X82" s="64">
        <f t="shared" si="4"/>
        <v>42.858000000000004</v>
      </c>
      <c r="Y82" s="64">
        <f t="shared" si="4"/>
        <v>0</v>
      </c>
      <c r="Z82" s="64">
        <f t="shared" si="4"/>
        <v>6.79</v>
      </c>
      <c r="AA82" s="64">
        <f t="shared" si="4"/>
        <v>2.3849999999999998</v>
      </c>
      <c r="AB82" s="64">
        <f t="shared" si="4"/>
        <v>0</v>
      </c>
      <c r="AC82" s="64">
        <f t="shared" si="4"/>
        <v>3.84</v>
      </c>
      <c r="AD82" s="64">
        <f t="shared" si="4"/>
        <v>77.415999999999997</v>
      </c>
      <c r="AE82" s="64">
        <f t="shared" si="4"/>
        <v>0.88</v>
      </c>
      <c r="AF82" s="64">
        <f t="shared" si="4"/>
        <v>0</v>
      </c>
      <c r="AG82" s="64">
        <f t="shared" si="4"/>
        <v>0</v>
      </c>
    </row>
    <row r="83" spans="1:33">
      <c r="B83" t="s">
        <v>308</v>
      </c>
      <c r="C83" s="64">
        <f t="shared" si="1"/>
        <v>137.27003999999999</v>
      </c>
      <c r="D83" s="64">
        <f>D27</f>
        <v>6.782616</v>
      </c>
      <c r="E83" s="64">
        <f t="shared" ref="E83:AG83" si="5">E27</f>
        <v>2.58</v>
      </c>
      <c r="F83" s="64">
        <f t="shared" si="5"/>
        <v>2.6179999999999999</v>
      </c>
      <c r="G83" s="64">
        <f t="shared" si="5"/>
        <v>0</v>
      </c>
      <c r="H83" s="64">
        <f t="shared" si="5"/>
        <v>4.9404240000000001</v>
      </c>
      <c r="I83" s="64">
        <f t="shared" si="5"/>
        <v>7.218</v>
      </c>
      <c r="J83" s="64">
        <f t="shared" si="5"/>
        <v>0</v>
      </c>
      <c r="K83" s="64">
        <f t="shared" si="5"/>
        <v>0</v>
      </c>
      <c r="L83" s="64">
        <f t="shared" si="5"/>
        <v>0</v>
      </c>
      <c r="M83" s="64">
        <f t="shared" si="5"/>
        <v>10.574</v>
      </c>
      <c r="N83" s="64">
        <f t="shared" si="5"/>
        <v>0</v>
      </c>
      <c r="O83" s="64">
        <f t="shared" si="5"/>
        <v>0</v>
      </c>
      <c r="P83" s="64">
        <f t="shared" si="5"/>
        <v>12.182</v>
      </c>
      <c r="Q83" s="64">
        <f t="shared" si="5"/>
        <v>0</v>
      </c>
      <c r="R83" s="64">
        <f t="shared" si="5"/>
        <v>0</v>
      </c>
      <c r="S83" s="64">
        <f t="shared" si="5"/>
        <v>2.8000000000000001E-2</v>
      </c>
      <c r="T83" s="64">
        <f t="shared" si="5"/>
        <v>0</v>
      </c>
      <c r="U83" s="64">
        <f t="shared" si="5"/>
        <v>0</v>
      </c>
      <c r="V83" s="64">
        <f t="shared" si="5"/>
        <v>0</v>
      </c>
      <c r="W83" s="64">
        <f t="shared" si="5"/>
        <v>31.56</v>
      </c>
      <c r="X83" s="64">
        <f t="shared" si="5"/>
        <v>23.04</v>
      </c>
      <c r="Y83" s="64">
        <f t="shared" si="5"/>
        <v>3.3260000000000001</v>
      </c>
      <c r="Z83" s="64">
        <f t="shared" si="5"/>
        <v>12.55</v>
      </c>
      <c r="AA83" s="64">
        <f t="shared" si="5"/>
        <v>0</v>
      </c>
      <c r="AB83" s="64">
        <f t="shared" si="5"/>
        <v>0</v>
      </c>
      <c r="AC83" s="64">
        <f t="shared" si="5"/>
        <v>6.0229999999999997</v>
      </c>
      <c r="AD83" s="64">
        <f t="shared" si="5"/>
        <v>13.848000000000001</v>
      </c>
      <c r="AE83" s="64">
        <f t="shared" si="5"/>
        <v>0</v>
      </c>
      <c r="AF83" s="64">
        <f t="shared" si="5"/>
        <v>0</v>
      </c>
      <c r="AG83" s="64">
        <f t="shared" si="5"/>
        <v>0</v>
      </c>
    </row>
    <row r="84" spans="1:33">
      <c r="B84" t="s">
        <v>306</v>
      </c>
      <c r="C84" s="64">
        <f t="shared" si="1"/>
        <v>4.7679999999999998</v>
      </c>
      <c r="D84" s="64">
        <f>D28+D29</f>
        <v>0</v>
      </c>
      <c r="E84" s="64">
        <f t="shared" ref="E84:AG84" si="6">E28+E29</f>
        <v>0</v>
      </c>
      <c r="F84" s="64">
        <f t="shared" si="6"/>
        <v>0</v>
      </c>
      <c r="G84" s="64">
        <f t="shared" si="6"/>
        <v>0</v>
      </c>
      <c r="H84" s="64">
        <f t="shared" si="6"/>
        <v>0</v>
      </c>
      <c r="I84" s="64">
        <f t="shared" si="6"/>
        <v>4.7679999999999998</v>
      </c>
      <c r="J84" s="64">
        <f t="shared" si="6"/>
        <v>0</v>
      </c>
      <c r="K84" s="64">
        <f t="shared" si="6"/>
        <v>0</v>
      </c>
      <c r="L84" s="64">
        <f t="shared" si="6"/>
        <v>0</v>
      </c>
      <c r="M84" s="64">
        <f t="shared" si="6"/>
        <v>0</v>
      </c>
      <c r="N84" s="64">
        <f t="shared" si="6"/>
        <v>0</v>
      </c>
      <c r="O84" s="64">
        <f t="shared" si="6"/>
        <v>0</v>
      </c>
      <c r="P84" s="64">
        <f t="shared" si="6"/>
        <v>0</v>
      </c>
      <c r="Q84" s="64">
        <f t="shared" si="6"/>
        <v>0</v>
      </c>
      <c r="R84" s="64">
        <f t="shared" si="6"/>
        <v>0</v>
      </c>
      <c r="S84" s="64">
        <f t="shared" si="6"/>
        <v>0</v>
      </c>
      <c r="T84" s="64">
        <f t="shared" si="6"/>
        <v>0</v>
      </c>
      <c r="U84" s="64">
        <f t="shared" si="6"/>
        <v>0</v>
      </c>
      <c r="V84" s="64">
        <f t="shared" si="6"/>
        <v>0</v>
      </c>
      <c r="W84" s="64">
        <f t="shared" si="6"/>
        <v>0</v>
      </c>
      <c r="X84" s="64">
        <f t="shared" si="6"/>
        <v>0</v>
      </c>
      <c r="Y84" s="64">
        <f t="shared" si="6"/>
        <v>0</v>
      </c>
      <c r="Z84" s="64">
        <f t="shared" si="6"/>
        <v>0</v>
      </c>
      <c r="AA84" s="64">
        <f t="shared" si="6"/>
        <v>0</v>
      </c>
      <c r="AB84" s="64">
        <f t="shared" si="6"/>
        <v>0</v>
      </c>
      <c r="AC84" s="64">
        <f t="shared" si="6"/>
        <v>0</v>
      </c>
      <c r="AD84" s="64">
        <f t="shared" si="6"/>
        <v>0</v>
      </c>
      <c r="AE84" s="64">
        <f t="shared" si="6"/>
        <v>0</v>
      </c>
      <c r="AF84" s="64">
        <f t="shared" si="6"/>
        <v>0</v>
      </c>
      <c r="AG84" s="64">
        <f t="shared" si="6"/>
        <v>0</v>
      </c>
    </row>
    <row r="85" spans="1:33">
      <c r="B85" t="s">
        <v>97</v>
      </c>
      <c r="C85" s="64">
        <f t="shared" si="1"/>
        <v>0</v>
      </c>
      <c r="D85" s="64">
        <f>D24</f>
        <v>0</v>
      </c>
      <c r="E85" s="64">
        <f t="shared" ref="E85:AG85" si="7">E24</f>
        <v>0</v>
      </c>
      <c r="F85" s="64">
        <f t="shared" si="7"/>
        <v>0</v>
      </c>
      <c r="G85" s="64">
        <f t="shared" si="7"/>
        <v>0</v>
      </c>
      <c r="H85" s="64">
        <f t="shared" si="7"/>
        <v>0</v>
      </c>
      <c r="I85" s="64">
        <f t="shared" si="7"/>
        <v>0</v>
      </c>
      <c r="J85" s="64">
        <f t="shared" si="7"/>
        <v>0</v>
      </c>
      <c r="K85" s="64">
        <f t="shared" si="7"/>
        <v>0</v>
      </c>
      <c r="L85" s="64">
        <f t="shared" si="7"/>
        <v>0</v>
      </c>
      <c r="M85" s="64">
        <f t="shared" si="7"/>
        <v>0</v>
      </c>
      <c r="N85" s="64">
        <f t="shared" si="7"/>
        <v>0</v>
      </c>
      <c r="O85" s="64">
        <f t="shared" si="7"/>
        <v>0</v>
      </c>
      <c r="P85" s="64">
        <f t="shared" si="7"/>
        <v>0</v>
      </c>
      <c r="Q85" s="64">
        <f t="shared" si="7"/>
        <v>0</v>
      </c>
      <c r="R85" s="64">
        <f t="shared" si="7"/>
        <v>0</v>
      </c>
      <c r="S85" s="64">
        <f t="shared" si="7"/>
        <v>0</v>
      </c>
      <c r="T85" s="64">
        <f t="shared" si="7"/>
        <v>0</v>
      </c>
      <c r="U85" s="64">
        <f t="shared" si="7"/>
        <v>0</v>
      </c>
      <c r="V85" s="64">
        <f t="shared" si="7"/>
        <v>0</v>
      </c>
      <c r="W85" s="64">
        <f t="shared" si="7"/>
        <v>0</v>
      </c>
      <c r="X85" s="64">
        <f t="shared" si="7"/>
        <v>0</v>
      </c>
      <c r="Y85" s="64">
        <f t="shared" si="7"/>
        <v>0</v>
      </c>
      <c r="Z85" s="64">
        <f t="shared" si="7"/>
        <v>0</v>
      </c>
      <c r="AA85" s="64">
        <f t="shared" si="7"/>
        <v>0</v>
      </c>
      <c r="AB85" s="64">
        <f t="shared" si="7"/>
        <v>0</v>
      </c>
      <c r="AC85" s="64">
        <f t="shared" si="7"/>
        <v>0</v>
      </c>
      <c r="AD85" s="64">
        <f t="shared" si="7"/>
        <v>0</v>
      </c>
      <c r="AE85" s="64">
        <f t="shared" si="7"/>
        <v>0</v>
      </c>
      <c r="AF85" s="64">
        <f t="shared" si="7"/>
        <v>0</v>
      </c>
      <c r="AG85" s="64">
        <f t="shared" si="7"/>
        <v>0</v>
      </c>
    </row>
    <row r="86" spans="1:33">
      <c r="B86" t="s">
        <v>316</v>
      </c>
      <c r="C86" s="64">
        <f t="shared" si="1"/>
        <v>1.204</v>
      </c>
      <c r="D86" s="64">
        <f>D25+D26</f>
        <v>0</v>
      </c>
      <c r="E86" s="64">
        <f t="shared" ref="E86:AG86" si="8">E25+E26</f>
        <v>0</v>
      </c>
      <c r="F86" s="64">
        <f t="shared" si="8"/>
        <v>0</v>
      </c>
      <c r="G86" s="64">
        <f t="shared" si="8"/>
        <v>0</v>
      </c>
      <c r="H86" s="64">
        <f t="shared" si="8"/>
        <v>0</v>
      </c>
      <c r="I86" s="64">
        <f t="shared" si="8"/>
        <v>0</v>
      </c>
      <c r="J86" s="64">
        <f t="shared" si="8"/>
        <v>0</v>
      </c>
      <c r="K86" s="64">
        <f t="shared" si="8"/>
        <v>0</v>
      </c>
      <c r="L86" s="64">
        <f t="shared" si="8"/>
        <v>0</v>
      </c>
      <c r="M86" s="64">
        <f t="shared" si="8"/>
        <v>0</v>
      </c>
      <c r="N86" s="64">
        <f t="shared" si="8"/>
        <v>0</v>
      </c>
      <c r="O86" s="64">
        <f t="shared" si="8"/>
        <v>0</v>
      </c>
      <c r="P86" s="64">
        <f t="shared" si="8"/>
        <v>0</v>
      </c>
      <c r="Q86" s="64">
        <f t="shared" si="8"/>
        <v>0</v>
      </c>
      <c r="R86" s="64">
        <f t="shared" si="8"/>
        <v>0</v>
      </c>
      <c r="S86" s="64">
        <f t="shared" si="8"/>
        <v>0</v>
      </c>
      <c r="T86" s="64">
        <f t="shared" si="8"/>
        <v>0</v>
      </c>
      <c r="U86" s="64">
        <f t="shared" si="8"/>
        <v>0</v>
      </c>
      <c r="V86" s="64">
        <f t="shared" si="8"/>
        <v>0</v>
      </c>
      <c r="W86" s="64">
        <f t="shared" si="8"/>
        <v>0</v>
      </c>
      <c r="X86" s="64">
        <f t="shared" si="8"/>
        <v>0.28499999999999998</v>
      </c>
      <c r="Y86" s="64">
        <f t="shared" si="8"/>
        <v>0</v>
      </c>
      <c r="Z86" s="64">
        <f t="shared" si="8"/>
        <v>0.91900000000000004</v>
      </c>
      <c r="AA86" s="64">
        <f t="shared" si="8"/>
        <v>0</v>
      </c>
      <c r="AB86" s="64">
        <f t="shared" si="8"/>
        <v>0</v>
      </c>
      <c r="AC86" s="64">
        <f t="shared" si="8"/>
        <v>0</v>
      </c>
      <c r="AD86" s="64">
        <f t="shared" si="8"/>
        <v>0</v>
      </c>
      <c r="AE86" s="64">
        <f t="shared" si="8"/>
        <v>0</v>
      </c>
      <c r="AF86" s="64">
        <f t="shared" si="8"/>
        <v>0</v>
      </c>
      <c r="AG86" s="64">
        <f t="shared" si="8"/>
        <v>0</v>
      </c>
    </row>
    <row r="87" spans="1:33">
      <c r="B87" t="s">
        <v>342</v>
      </c>
      <c r="C87" s="64" t="e">
        <f t="shared" si="1"/>
        <v>#REF!</v>
      </c>
      <c r="D87" s="64" t="e">
        <f>D30</f>
        <v>#REF!</v>
      </c>
      <c r="E87" s="64" t="e">
        <f t="shared" ref="E87:AG87" si="9">E30</f>
        <v>#REF!</v>
      </c>
      <c r="F87" s="64" t="e">
        <f t="shared" si="9"/>
        <v>#REF!</v>
      </c>
      <c r="G87" s="64" t="e">
        <f t="shared" si="9"/>
        <v>#REF!</v>
      </c>
      <c r="H87" s="64" t="e">
        <f t="shared" si="9"/>
        <v>#REF!</v>
      </c>
      <c r="I87" s="64" t="e">
        <f t="shared" si="9"/>
        <v>#REF!</v>
      </c>
      <c r="J87" s="64" t="e">
        <f t="shared" si="9"/>
        <v>#REF!</v>
      </c>
      <c r="K87" s="64" t="e">
        <f t="shared" si="9"/>
        <v>#REF!</v>
      </c>
      <c r="L87" s="64" t="e">
        <f t="shared" si="9"/>
        <v>#REF!</v>
      </c>
      <c r="M87" s="64" t="e">
        <f t="shared" si="9"/>
        <v>#REF!</v>
      </c>
      <c r="N87" s="64" t="e">
        <f t="shared" si="9"/>
        <v>#REF!</v>
      </c>
      <c r="O87" s="64" t="e">
        <f t="shared" si="9"/>
        <v>#REF!</v>
      </c>
      <c r="P87" s="64" t="e">
        <f t="shared" si="9"/>
        <v>#REF!</v>
      </c>
      <c r="Q87" s="64" t="e">
        <f t="shared" si="9"/>
        <v>#REF!</v>
      </c>
      <c r="R87" s="64" t="e">
        <f t="shared" si="9"/>
        <v>#REF!</v>
      </c>
      <c r="S87" s="64" t="e">
        <f t="shared" si="9"/>
        <v>#REF!</v>
      </c>
      <c r="T87" s="64" t="e">
        <f t="shared" si="9"/>
        <v>#REF!</v>
      </c>
      <c r="U87" s="64" t="e">
        <f t="shared" si="9"/>
        <v>#REF!</v>
      </c>
      <c r="V87" s="64" t="e">
        <f t="shared" si="9"/>
        <v>#REF!</v>
      </c>
      <c r="W87" s="64" t="e">
        <f t="shared" si="9"/>
        <v>#REF!</v>
      </c>
      <c r="X87" s="64" t="e">
        <f t="shared" si="9"/>
        <v>#REF!</v>
      </c>
      <c r="Y87" s="64" t="e">
        <f t="shared" si="9"/>
        <v>#REF!</v>
      </c>
      <c r="Z87" s="64" t="e">
        <f t="shared" si="9"/>
        <v>#REF!</v>
      </c>
      <c r="AA87" s="64" t="e">
        <f t="shared" si="9"/>
        <v>#REF!</v>
      </c>
      <c r="AB87" s="64" t="e">
        <f t="shared" si="9"/>
        <v>#REF!</v>
      </c>
      <c r="AC87" s="64" t="e">
        <f t="shared" si="9"/>
        <v>#REF!</v>
      </c>
      <c r="AD87" s="64" t="e">
        <f t="shared" si="9"/>
        <v>#REF!</v>
      </c>
      <c r="AE87" s="64" t="e">
        <f t="shared" si="9"/>
        <v>#REF!</v>
      </c>
      <c r="AF87" s="64" t="e">
        <f t="shared" si="9"/>
        <v>#REF!</v>
      </c>
      <c r="AG87" s="64" t="e">
        <f t="shared" si="9"/>
        <v>#REF!</v>
      </c>
    </row>
    <row r="88" spans="1:33">
      <c r="A88" t="str">
        <f>A31</f>
        <v>Iron&amp;Steel</v>
      </c>
      <c r="B88" t="s">
        <v>309</v>
      </c>
      <c r="C88" s="64">
        <f t="shared" si="1"/>
        <v>419.72399999999999</v>
      </c>
      <c r="D88" s="64">
        <f>D31+D32</f>
        <v>0</v>
      </c>
      <c r="E88" s="64">
        <f t="shared" ref="E88:AG88" si="10">E31+E32</f>
        <v>17.497</v>
      </c>
      <c r="F88" s="64">
        <f t="shared" si="10"/>
        <v>1.0009999999999999</v>
      </c>
      <c r="G88" s="64">
        <f t="shared" si="10"/>
        <v>0</v>
      </c>
      <c r="H88" s="64">
        <f t="shared" si="10"/>
        <v>19.602999999999998</v>
      </c>
      <c r="I88" s="64">
        <f>I31+I32</f>
        <v>106.483</v>
      </c>
      <c r="J88" s="64">
        <f t="shared" si="10"/>
        <v>0</v>
      </c>
      <c r="K88" s="64">
        <f t="shared" si="10"/>
        <v>0</v>
      </c>
      <c r="L88" s="64">
        <f t="shared" si="10"/>
        <v>22.408000000000001</v>
      </c>
      <c r="M88" s="64">
        <f t="shared" si="10"/>
        <v>0</v>
      </c>
      <c r="N88" s="64">
        <f t="shared" si="10"/>
        <v>76.335999999999999</v>
      </c>
      <c r="O88" s="64">
        <f t="shared" si="10"/>
        <v>0</v>
      </c>
      <c r="P88" s="64">
        <f t="shared" si="10"/>
        <v>0</v>
      </c>
      <c r="Q88" s="64">
        <f t="shared" si="10"/>
        <v>0</v>
      </c>
      <c r="R88" s="64">
        <f t="shared" si="10"/>
        <v>44.613</v>
      </c>
      <c r="S88" s="64">
        <f t="shared" si="10"/>
        <v>0</v>
      </c>
      <c r="T88" s="64">
        <f t="shared" si="10"/>
        <v>0.996</v>
      </c>
      <c r="U88" s="64">
        <f t="shared" si="10"/>
        <v>0</v>
      </c>
      <c r="V88" s="64">
        <f t="shared" si="10"/>
        <v>0</v>
      </c>
      <c r="W88" s="64">
        <f t="shared" si="10"/>
        <v>43.783999999999999</v>
      </c>
      <c r="X88" s="64">
        <f t="shared" si="10"/>
        <v>6.3220000000000001</v>
      </c>
      <c r="Y88" s="64">
        <f t="shared" si="10"/>
        <v>0</v>
      </c>
      <c r="Z88" s="64">
        <f t="shared" si="10"/>
        <v>14.129</v>
      </c>
      <c r="AA88" s="64">
        <f t="shared" si="10"/>
        <v>14.128</v>
      </c>
      <c r="AB88" s="64">
        <f t="shared" si="10"/>
        <v>0</v>
      </c>
      <c r="AC88" s="64">
        <f t="shared" si="10"/>
        <v>22.041999999999998</v>
      </c>
      <c r="AD88" s="64">
        <f t="shared" si="10"/>
        <v>30.382000000000001</v>
      </c>
      <c r="AE88" s="64">
        <f t="shared" si="10"/>
        <v>0</v>
      </c>
      <c r="AF88" s="64">
        <f t="shared" si="10"/>
        <v>2.8889999999999998</v>
      </c>
      <c r="AG88" s="64">
        <f t="shared" si="10"/>
        <v>8.8230000000000004</v>
      </c>
    </row>
    <row r="89" spans="1:33">
      <c r="B89" t="s">
        <v>304</v>
      </c>
      <c r="C89" s="64">
        <f t="shared" si="1"/>
        <v>0</v>
      </c>
      <c r="D89" s="64">
        <f>D33</f>
        <v>0</v>
      </c>
      <c r="E89" s="64">
        <f t="shared" ref="E89:AG89" si="11">E33</f>
        <v>0</v>
      </c>
      <c r="F89" s="64">
        <f t="shared" si="11"/>
        <v>0</v>
      </c>
      <c r="G89" s="64">
        <f t="shared" si="11"/>
        <v>0</v>
      </c>
      <c r="H89" s="64">
        <f t="shared" si="11"/>
        <v>0</v>
      </c>
      <c r="I89" s="64">
        <f t="shared" si="11"/>
        <v>0</v>
      </c>
      <c r="J89" s="64">
        <f t="shared" si="11"/>
        <v>0</v>
      </c>
      <c r="K89" s="64">
        <f t="shared" si="11"/>
        <v>0</v>
      </c>
      <c r="L89" s="64">
        <f t="shared" si="11"/>
        <v>0</v>
      </c>
      <c r="M89" s="64">
        <f t="shared" si="11"/>
        <v>0</v>
      </c>
      <c r="N89" s="64">
        <f t="shared" si="11"/>
        <v>0</v>
      </c>
      <c r="O89" s="64">
        <f t="shared" si="11"/>
        <v>0</v>
      </c>
      <c r="P89" s="64">
        <f t="shared" si="11"/>
        <v>0</v>
      </c>
      <c r="Q89" s="64">
        <f t="shared" si="11"/>
        <v>0</v>
      </c>
      <c r="R89" s="64">
        <f t="shared" si="11"/>
        <v>0</v>
      </c>
      <c r="S89" s="64">
        <f t="shared" si="11"/>
        <v>0</v>
      </c>
      <c r="T89" s="64">
        <f t="shared" si="11"/>
        <v>0</v>
      </c>
      <c r="U89" s="64">
        <f t="shared" si="11"/>
        <v>0</v>
      </c>
      <c r="V89" s="64">
        <f t="shared" si="11"/>
        <v>0</v>
      </c>
      <c r="W89" s="64">
        <f t="shared" si="11"/>
        <v>0</v>
      </c>
      <c r="X89" s="64">
        <f t="shared" si="11"/>
        <v>0</v>
      </c>
      <c r="Y89" s="64">
        <f t="shared" si="11"/>
        <v>0</v>
      </c>
      <c r="Z89" s="64">
        <f t="shared" si="11"/>
        <v>0</v>
      </c>
      <c r="AA89" s="64">
        <f t="shared" si="11"/>
        <v>0</v>
      </c>
      <c r="AB89" s="64">
        <f t="shared" si="11"/>
        <v>0</v>
      </c>
      <c r="AC89" s="64">
        <f t="shared" si="11"/>
        <v>0</v>
      </c>
      <c r="AD89" s="64">
        <f t="shared" si="11"/>
        <v>0</v>
      </c>
      <c r="AE89" s="64">
        <f t="shared" si="11"/>
        <v>0</v>
      </c>
      <c r="AF89" s="64">
        <f t="shared" si="11"/>
        <v>0</v>
      </c>
      <c r="AG89" s="64">
        <f t="shared" si="11"/>
        <v>0</v>
      </c>
    </row>
    <row r="90" spans="1:33">
      <c r="B90" t="s">
        <v>70</v>
      </c>
      <c r="C90" s="64">
        <f t="shared" si="1"/>
        <v>88.927999999999997</v>
      </c>
      <c r="D90" s="64">
        <f>D34+D35</f>
        <v>0.4</v>
      </c>
      <c r="E90" s="64">
        <f t="shared" ref="E90:AG90" si="12">E34+E35</f>
        <v>1.034</v>
      </c>
      <c r="F90" s="64">
        <f t="shared" si="12"/>
        <v>8.5000000000000006E-2</v>
      </c>
      <c r="G90" s="64">
        <f t="shared" si="12"/>
        <v>0</v>
      </c>
      <c r="H90" s="64">
        <f t="shared" si="12"/>
        <v>4.125</v>
      </c>
      <c r="I90" s="64">
        <f t="shared" si="12"/>
        <v>30.861999999999998</v>
      </c>
      <c r="J90" s="64">
        <f t="shared" si="12"/>
        <v>8.5000000000000006E-2</v>
      </c>
      <c r="K90" s="64">
        <f t="shared" si="12"/>
        <v>0</v>
      </c>
      <c r="L90" s="64">
        <f t="shared" si="12"/>
        <v>5.9569999999999999</v>
      </c>
      <c r="M90" s="64">
        <f t="shared" si="12"/>
        <v>15</v>
      </c>
      <c r="N90" s="64">
        <f t="shared" si="12"/>
        <v>0.21299999999999999</v>
      </c>
      <c r="O90" s="64">
        <f t="shared" si="12"/>
        <v>0.20300000000000001</v>
      </c>
      <c r="P90" s="64">
        <f t="shared" si="12"/>
        <v>0</v>
      </c>
      <c r="Q90" s="64">
        <f t="shared" si="12"/>
        <v>0</v>
      </c>
      <c r="R90" s="64">
        <f t="shared" si="12"/>
        <v>3.4630000000000001</v>
      </c>
      <c r="S90" s="64">
        <f t="shared" si="12"/>
        <v>0</v>
      </c>
      <c r="T90" s="64">
        <f t="shared" si="12"/>
        <v>8.5000000000000006E-2</v>
      </c>
      <c r="U90" s="64">
        <f t="shared" si="12"/>
        <v>4.2999999999999997E-2</v>
      </c>
      <c r="V90" s="64">
        <f t="shared" si="12"/>
        <v>0</v>
      </c>
      <c r="W90" s="64">
        <f t="shared" si="12"/>
        <v>0.128</v>
      </c>
      <c r="X90" s="64">
        <f t="shared" si="12"/>
        <v>8.5000000000000006E-2</v>
      </c>
      <c r="Y90" s="64">
        <f t="shared" si="12"/>
        <v>1.3299999999999998</v>
      </c>
      <c r="Z90" s="64">
        <f t="shared" si="12"/>
        <v>8.4919999999999991</v>
      </c>
      <c r="AA90" s="64">
        <f t="shared" si="12"/>
        <v>5.8949999999999996</v>
      </c>
      <c r="AB90" s="64">
        <f t="shared" si="12"/>
        <v>4.2999999999999997E-2</v>
      </c>
      <c r="AC90" s="64">
        <f t="shared" si="12"/>
        <v>0.08</v>
      </c>
      <c r="AD90" s="64">
        <f t="shared" si="12"/>
        <v>11.32</v>
      </c>
      <c r="AE90" s="64">
        <f t="shared" si="12"/>
        <v>0.55100000000000005</v>
      </c>
      <c r="AF90" s="64">
        <f t="shared" si="12"/>
        <v>0</v>
      </c>
      <c r="AG90" s="64">
        <f t="shared" si="12"/>
        <v>0.46899999999999997</v>
      </c>
    </row>
    <row r="91" spans="1:33">
      <c r="B91" t="s">
        <v>308</v>
      </c>
      <c r="C91" s="64">
        <f t="shared" si="1"/>
        <v>435.13900000000001</v>
      </c>
      <c r="D91" s="64">
        <f>D39</f>
        <v>16.024999999999999</v>
      </c>
      <c r="E91" s="64">
        <f t="shared" ref="E91:AG91" si="13">E39</f>
        <v>30.452000000000002</v>
      </c>
      <c r="F91" s="64">
        <f t="shared" si="13"/>
        <v>10.869</v>
      </c>
      <c r="G91" s="64">
        <f t="shared" si="13"/>
        <v>0</v>
      </c>
      <c r="H91" s="64">
        <f t="shared" si="13"/>
        <v>11.613</v>
      </c>
      <c r="I91" s="64">
        <f t="shared" si="13"/>
        <v>81.545000000000002</v>
      </c>
      <c r="J91" s="64">
        <f t="shared" si="13"/>
        <v>1.4510000000000001</v>
      </c>
      <c r="K91" s="64">
        <f t="shared" si="13"/>
        <v>2.3E-2</v>
      </c>
      <c r="L91" s="64">
        <f t="shared" si="13"/>
        <v>46.802</v>
      </c>
      <c r="M91" s="64">
        <f t="shared" si="13"/>
        <v>2.2610000000000001</v>
      </c>
      <c r="N91" s="64">
        <f t="shared" si="13"/>
        <v>33.404000000000003</v>
      </c>
      <c r="O91" s="64">
        <f t="shared" si="13"/>
        <v>2.927</v>
      </c>
      <c r="P91" s="64">
        <f t="shared" si="13"/>
        <v>5.774</v>
      </c>
      <c r="Q91" s="64">
        <f t="shared" si="13"/>
        <v>0</v>
      </c>
      <c r="R91" s="64">
        <f t="shared" si="13"/>
        <v>81.733000000000004</v>
      </c>
      <c r="S91" s="64">
        <f t="shared" si="13"/>
        <v>0.05</v>
      </c>
      <c r="T91" s="64">
        <f t="shared" si="13"/>
        <v>7.1150000000000002</v>
      </c>
      <c r="U91" s="64">
        <f t="shared" si="13"/>
        <v>4.125</v>
      </c>
      <c r="V91" s="64">
        <f t="shared" si="13"/>
        <v>0</v>
      </c>
      <c r="W91" s="64">
        <f t="shared" si="13"/>
        <v>12.254</v>
      </c>
      <c r="X91" s="64">
        <f t="shared" si="13"/>
        <v>19.991</v>
      </c>
      <c r="Y91" s="64">
        <f t="shared" si="13"/>
        <v>1.7270000000000001</v>
      </c>
      <c r="Z91" s="64">
        <f t="shared" si="13"/>
        <v>27.122</v>
      </c>
      <c r="AA91" s="64">
        <f t="shared" si="13"/>
        <v>1.135</v>
      </c>
      <c r="AB91" s="64">
        <f t="shared" si="13"/>
        <v>3.1989999999999998</v>
      </c>
      <c r="AC91" s="64">
        <f t="shared" si="13"/>
        <v>6.1020000000000003</v>
      </c>
      <c r="AD91" s="64">
        <f t="shared" si="13"/>
        <v>27.44</v>
      </c>
      <c r="AE91" s="64">
        <f t="shared" si="13"/>
        <v>2.6059999999999999</v>
      </c>
      <c r="AF91" s="64">
        <f t="shared" si="13"/>
        <v>0</v>
      </c>
      <c r="AG91" s="64">
        <f t="shared" si="13"/>
        <v>6.7000000000000004E-2</v>
      </c>
    </row>
    <row r="92" spans="1:33">
      <c r="B92" t="s">
        <v>306</v>
      </c>
      <c r="C92" s="64">
        <f t="shared" si="1"/>
        <v>349.09800000000001</v>
      </c>
      <c r="D92" s="64">
        <f>D40+D41</f>
        <v>14.914999999999999</v>
      </c>
      <c r="E92" s="64">
        <f t="shared" ref="E92:AG92" si="14">E40+E41</f>
        <v>20.760999999999999</v>
      </c>
      <c r="F92" s="64">
        <f t="shared" si="14"/>
        <v>3.931</v>
      </c>
      <c r="G92" s="64">
        <f t="shared" si="14"/>
        <v>0</v>
      </c>
      <c r="H92" s="64">
        <f t="shared" si="14"/>
        <v>16.951000000000001</v>
      </c>
      <c r="I92" s="64">
        <f t="shared" si="14"/>
        <v>102.00700000000001</v>
      </c>
      <c r="J92" s="64">
        <f t="shared" si="14"/>
        <v>0</v>
      </c>
      <c r="K92" s="64">
        <f t="shared" si="14"/>
        <v>0</v>
      </c>
      <c r="L92" s="64">
        <f t="shared" si="14"/>
        <v>11.852</v>
      </c>
      <c r="M92" s="64">
        <f t="shared" si="14"/>
        <v>15.084</v>
      </c>
      <c r="N92" s="64">
        <f t="shared" si="14"/>
        <v>41.475999999999999</v>
      </c>
      <c r="O92" s="64">
        <f t="shared" si="14"/>
        <v>0</v>
      </c>
      <c r="P92" s="64">
        <f t="shared" si="14"/>
        <v>4.8520000000000003</v>
      </c>
      <c r="Q92" s="64">
        <f t="shared" si="14"/>
        <v>0</v>
      </c>
      <c r="R92" s="64">
        <f t="shared" si="14"/>
        <v>0.80100000000000005</v>
      </c>
      <c r="S92" s="64">
        <f t="shared" si="14"/>
        <v>0</v>
      </c>
      <c r="T92" s="64">
        <f t="shared" si="14"/>
        <v>0</v>
      </c>
      <c r="U92" s="64">
        <f t="shared" si="14"/>
        <v>0</v>
      </c>
      <c r="V92" s="64">
        <f t="shared" si="14"/>
        <v>0</v>
      </c>
      <c r="W92" s="64">
        <f t="shared" si="14"/>
        <v>20.558</v>
      </c>
      <c r="X92" s="64">
        <f t="shared" si="14"/>
        <v>26.460999999999999</v>
      </c>
      <c r="Y92" s="64">
        <f t="shared" si="14"/>
        <v>0</v>
      </c>
      <c r="Z92" s="64">
        <f t="shared" si="14"/>
        <v>23.546000000000003</v>
      </c>
      <c r="AA92" s="64">
        <f t="shared" si="14"/>
        <v>8.8740000000000006</v>
      </c>
      <c r="AB92" s="64">
        <f t="shared" si="14"/>
        <v>0</v>
      </c>
      <c r="AC92" s="64">
        <f t="shared" si="14"/>
        <v>15.408999999999999</v>
      </c>
      <c r="AD92" s="64">
        <f t="shared" si="14"/>
        <v>21.62</v>
      </c>
      <c r="AE92" s="64">
        <f t="shared" si="14"/>
        <v>0</v>
      </c>
      <c r="AF92" s="64">
        <f t="shared" si="14"/>
        <v>0</v>
      </c>
      <c r="AG92" s="64">
        <f t="shared" si="14"/>
        <v>0.309</v>
      </c>
    </row>
    <row r="93" spans="1:33">
      <c r="B93" t="s">
        <v>97</v>
      </c>
      <c r="C93" s="64">
        <f t="shared" si="1"/>
        <v>0.113</v>
      </c>
      <c r="D93" s="64">
        <f>D36</f>
        <v>0</v>
      </c>
      <c r="E93" s="64">
        <f t="shared" ref="E93:AG93" si="15">E36</f>
        <v>0</v>
      </c>
      <c r="F93" s="64">
        <f t="shared" si="15"/>
        <v>5.0000000000000001E-3</v>
      </c>
      <c r="G93" s="64">
        <f t="shared" si="15"/>
        <v>0</v>
      </c>
      <c r="H93" s="64">
        <f t="shared" si="15"/>
        <v>8.9999999999999993E-3</v>
      </c>
      <c r="I93" s="64">
        <f t="shared" si="15"/>
        <v>0</v>
      </c>
      <c r="J93" s="64">
        <f t="shared" si="15"/>
        <v>0</v>
      </c>
      <c r="K93" s="64">
        <f t="shared" si="15"/>
        <v>0</v>
      </c>
      <c r="L93" s="64">
        <f t="shared" si="15"/>
        <v>3.3000000000000002E-2</v>
      </c>
      <c r="M93" s="64">
        <f t="shared" si="15"/>
        <v>0</v>
      </c>
      <c r="N93" s="64">
        <f t="shared" si="15"/>
        <v>0</v>
      </c>
      <c r="O93" s="64">
        <f t="shared" si="15"/>
        <v>0</v>
      </c>
      <c r="P93" s="64">
        <f t="shared" si="15"/>
        <v>0</v>
      </c>
      <c r="Q93" s="64">
        <f t="shared" si="15"/>
        <v>0</v>
      </c>
      <c r="R93" s="64">
        <f t="shared" si="15"/>
        <v>0</v>
      </c>
      <c r="S93" s="64">
        <f t="shared" si="15"/>
        <v>0</v>
      </c>
      <c r="T93" s="64">
        <f t="shared" si="15"/>
        <v>0</v>
      </c>
      <c r="U93" s="64">
        <f t="shared" si="15"/>
        <v>0</v>
      </c>
      <c r="V93" s="64">
        <f t="shared" si="15"/>
        <v>0</v>
      </c>
      <c r="W93" s="64">
        <f t="shared" si="15"/>
        <v>0</v>
      </c>
      <c r="X93" s="64">
        <f t="shared" si="15"/>
        <v>2E-3</v>
      </c>
      <c r="Y93" s="64">
        <f t="shared" si="15"/>
        <v>0</v>
      </c>
      <c r="Z93" s="64">
        <f t="shared" si="15"/>
        <v>0</v>
      </c>
      <c r="AA93" s="64">
        <f t="shared" si="15"/>
        <v>0</v>
      </c>
      <c r="AB93" s="64">
        <f t="shared" si="15"/>
        <v>0</v>
      </c>
      <c r="AC93" s="64">
        <f t="shared" si="15"/>
        <v>6.4000000000000001E-2</v>
      </c>
      <c r="AD93" s="64">
        <f t="shared" si="15"/>
        <v>0</v>
      </c>
      <c r="AE93" s="64">
        <f t="shared" si="15"/>
        <v>0.129</v>
      </c>
      <c r="AF93" s="64">
        <f t="shared" si="15"/>
        <v>0</v>
      </c>
      <c r="AG93" s="64">
        <f t="shared" si="15"/>
        <v>8.6999999999999994E-2</v>
      </c>
    </row>
    <row r="94" spans="1:33">
      <c r="B94" t="s">
        <v>316</v>
      </c>
      <c r="C94" s="64">
        <f t="shared" si="1"/>
        <v>1.077</v>
      </c>
      <c r="D94" s="64">
        <f>D37+D38</f>
        <v>0</v>
      </c>
      <c r="E94" s="64">
        <f t="shared" ref="E94:AG94" si="16">E37+E38</f>
        <v>0</v>
      </c>
      <c r="F94" s="64">
        <f t="shared" si="16"/>
        <v>0</v>
      </c>
      <c r="G94" s="64">
        <f t="shared" si="16"/>
        <v>0</v>
      </c>
      <c r="H94" s="64">
        <f t="shared" si="16"/>
        <v>0</v>
      </c>
      <c r="I94" s="64">
        <f t="shared" si="16"/>
        <v>0</v>
      </c>
      <c r="J94" s="64">
        <f t="shared" si="16"/>
        <v>0</v>
      </c>
      <c r="K94" s="64">
        <f t="shared" si="16"/>
        <v>0</v>
      </c>
      <c r="L94" s="64">
        <f t="shared" si="16"/>
        <v>0</v>
      </c>
      <c r="M94" s="64">
        <f t="shared" si="16"/>
        <v>0</v>
      </c>
      <c r="N94" s="64">
        <f t="shared" si="16"/>
        <v>0</v>
      </c>
      <c r="O94" s="64">
        <f t="shared" si="16"/>
        <v>0</v>
      </c>
      <c r="P94" s="64">
        <f t="shared" si="16"/>
        <v>0</v>
      </c>
      <c r="Q94" s="64">
        <f t="shared" si="16"/>
        <v>0</v>
      </c>
      <c r="R94" s="64">
        <f t="shared" si="16"/>
        <v>0</v>
      </c>
      <c r="S94" s="64">
        <f t="shared" si="16"/>
        <v>0</v>
      </c>
      <c r="T94" s="64">
        <f t="shared" si="16"/>
        <v>0</v>
      </c>
      <c r="U94" s="64">
        <f t="shared" si="16"/>
        <v>0</v>
      </c>
      <c r="V94" s="64">
        <f t="shared" si="16"/>
        <v>0</v>
      </c>
      <c r="W94" s="64">
        <f t="shared" si="16"/>
        <v>0</v>
      </c>
      <c r="X94" s="64">
        <f t="shared" si="16"/>
        <v>0.80600000000000005</v>
      </c>
      <c r="Y94" s="64">
        <f t="shared" si="16"/>
        <v>0</v>
      </c>
      <c r="Z94" s="64">
        <f t="shared" si="16"/>
        <v>0.27100000000000002</v>
      </c>
      <c r="AA94" s="64">
        <f t="shared" si="16"/>
        <v>0</v>
      </c>
      <c r="AB94" s="64">
        <f t="shared" si="16"/>
        <v>0</v>
      </c>
      <c r="AC94" s="64">
        <f t="shared" si="16"/>
        <v>0</v>
      </c>
      <c r="AD94" s="64">
        <f t="shared" si="16"/>
        <v>0</v>
      </c>
      <c r="AE94" s="64">
        <f t="shared" si="16"/>
        <v>0</v>
      </c>
      <c r="AF94" s="64">
        <f t="shared" si="16"/>
        <v>0</v>
      </c>
      <c r="AG94" s="64">
        <f t="shared" si="16"/>
        <v>0</v>
      </c>
    </row>
    <row r="95" spans="1:33">
      <c r="B95" t="s">
        <v>342</v>
      </c>
      <c r="C95" s="64" t="e">
        <f t="shared" si="1"/>
        <v>#REF!</v>
      </c>
      <c r="D95" s="64" t="e">
        <f>D42</f>
        <v>#REF!</v>
      </c>
      <c r="E95" s="64" t="e">
        <f t="shared" ref="E95:AG95" si="17">E42</f>
        <v>#REF!</v>
      </c>
      <c r="F95" s="64" t="e">
        <f t="shared" si="17"/>
        <v>#REF!</v>
      </c>
      <c r="G95" s="64" t="e">
        <f t="shared" si="17"/>
        <v>#REF!</v>
      </c>
      <c r="H95" s="64" t="e">
        <f t="shared" si="17"/>
        <v>#REF!</v>
      </c>
      <c r="I95" s="64" t="e">
        <f t="shared" si="17"/>
        <v>#REF!</v>
      </c>
      <c r="J95" s="64" t="e">
        <f t="shared" si="17"/>
        <v>#REF!</v>
      </c>
      <c r="K95" s="64" t="e">
        <f t="shared" si="17"/>
        <v>#REF!</v>
      </c>
      <c r="L95" s="64" t="e">
        <f t="shared" si="17"/>
        <v>#REF!</v>
      </c>
      <c r="M95" s="64" t="e">
        <f t="shared" si="17"/>
        <v>#REF!</v>
      </c>
      <c r="N95" s="64" t="e">
        <f t="shared" si="17"/>
        <v>#REF!</v>
      </c>
      <c r="O95" s="64" t="e">
        <f t="shared" si="17"/>
        <v>#REF!</v>
      </c>
      <c r="P95" s="64" t="e">
        <f t="shared" si="17"/>
        <v>#REF!</v>
      </c>
      <c r="Q95" s="64" t="e">
        <f t="shared" si="17"/>
        <v>#REF!</v>
      </c>
      <c r="R95" s="64" t="e">
        <f t="shared" si="17"/>
        <v>#REF!</v>
      </c>
      <c r="S95" s="64" t="e">
        <f t="shared" si="17"/>
        <v>#REF!</v>
      </c>
      <c r="T95" s="64" t="e">
        <f t="shared" si="17"/>
        <v>#REF!</v>
      </c>
      <c r="U95" s="64" t="e">
        <f t="shared" si="17"/>
        <v>#REF!</v>
      </c>
      <c r="V95" s="64" t="e">
        <f t="shared" si="17"/>
        <v>#REF!</v>
      </c>
      <c r="W95" s="64" t="e">
        <f t="shared" si="17"/>
        <v>#REF!</v>
      </c>
      <c r="X95" s="64" t="e">
        <f t="shared" si="17"/>
        <v>#REF!</v>
      </c>
      <c r="Y95" s="64" t="e">
        <f t="shared" si="17"/>
        <v>#REF!</v>
      </c>
      <c r="Z95" s="64" t="e">
        <f t="shared" si="17"/>
        <v>#REF!</v>
      </c>
      <c r="AA95" s="64" t="e">
        <f t="shared" si="17"/>
        <v>#REF!</v>
      </c>
      <c r="AB95" s="64" t="e">
        <f t="shared" si="17"/>
        <v>#REF!</v>
      </c>
      <c r="AC95" s="64" t="e">
        <f t="shared" si="17"/>
        <v>#REF!</v>
      </c>
      <c r="AD95" s="64" t="e">
        <f t="shared" si="17"/>
        <v>#REF!</v>
      </c>
      <c r="AE95" s="64" t="e">
        <f t="shared" si="17"/>
        <v>#REF!</v>
      </c>
      <c r="AF95" s="64" t="e">
        <f t="shared" si="17"/>
        <v>#REF!</v>
      </c>
      <c r="AG95" s="64" t="e">
        <f t="shared" si="17"/>
        <v>#REF!</v>
      </c>
    </row>
    <row r="96" spans="1:33">
      <c r="A96" t="str">
        <f>A43</f>
        <v>Chemical</v>
      </c>
      <c r="B96" t="s">
        <v>309</v>
      </c>
      <c r="C96" s="64">
        <f t="shared" si="1"/>
        <v>129.18672000000004</v>
      </c>
      <c r="D96" s="64">
        <f>D43+D44</f>
        <v>1.0048319999999999</v>
      </c>
      <c r="E96" s="64">
        <f t="shared" ref="E96:AG96" si="18">E43+E44</f>
        <v>0.293076</v>
      </c>
      <c r="F96" s="64">
        <f t="shared" si="18"/>
        <v>2.7770000000000001</v>
      </c>
      <c r="G96" s="64">
        <f t="shared" si="18"/>
        <v>0</v>
      </c>
      <c r="H96" s="64">
        <f t="shared" si="18"/>
        <v>36.299556000000003</v>
      </c>
      <c r="I96" s="64">
        <f t="shared" si="18"/>
        <v>25.295000000000002</v>
      </c>
      <c r="J96" s="64">
        <f t="shared" si="18"/>
        <v>0.53</v>
      </c>
      <c r="K96" s="64">
        <f t="shared" si="18"/>
        <v>0</v>
      </c>
      <c r="L96" s="64">
        <f t="shared" si="18"/>
        <v>6.0039999999999996</v>
      </c>
      <c r="M96" s="64">
        <f t="shared" si="18"/>
        <v>3.851</v>
      </c>
      <c r="N96" s="64">
        <f t="shared" si="18"/>
        <v>13.020948000000001</v>
      </c>
      <c r="O96" s="64">
        <f t="shared" si="18"/>
        <v>0</v>
      </c>
      <c r="P96" s="64">
        <f t="shared" si="18"/>
        <v>0</v>
      </c>
      <c r="Q96" s="64">
        <f t="shared" si="18"/>
        <v>0</v>
      </c>
      <c r="R96" s="64">
        <f t="shared" si="18"/>
        <v>0.08</v>
      </c>
      <c r="S96" s="64">
        <f t="shared" si="18"/>
        <v>0</v>
      </c>
      <c r="T96" s="64">
        <f t="shared" si="18"/>
        <v>0</v>
      </c>
      <c r="U96" s="64">
        <f t="shared" si="18"/>
        <v>0</v>
      </c>
      <c r="V96" s="64">
        <f t="shared" si="18"/>
        <v>0</v>
      </c>
      <c r="W96" s="64">
        <f t="shared" si="18"/>
        <v>0</v>
      </c>
      <c r="X96" s="64">
        <f t="shared" si="18"/>
        <v>30.120999999999999</v>
      </c>
      <c r="Y96" s="64">
        <f t="shared" si="18"/>
        <v>0.51</v>
      </c>
      <c r="Z96" s="64">
        <f t="shared" si="18"/>
        <v>5.2720000000000002</v>
      </c>
      <c r="AA96" s="64">
        <f t="shared" si="18"/>
        <v>0.248</v>
      </c>
      <c r="AB96" s="64">
        <f t="shared" si="18"/>
        <v>0</v>
      </c>
      <c r="AC96" s="64">
        <f t="shared" si="18"/>
        <v>0.48899999999999999</v>
      </c>
      <c r="AD96" s="64">
        <f t="shared" si="18"/>
        <v>3.391308</v>
      </c>
      <c r="AE96" s="64">
        <f t="shared" si="18"/>
        <v>0</v>
      </c>
      <c r="AF96" s="64">
        <f t="shared" si="18"/>
        <v>0</v>
      </c>
      <c r="AG96" s="64">
        <f t="shared" si="18"/>
        <v>5.1989999999999998</v>
      </c>
    </row>
    <row r="97" spans="1:33">
      <c r="B97" t="s">
        <v>304</v>
      </c>
      <c r="C97" s="64">
        <f t="shared" si="1"/>
        <v>91.328999999999994</v>
      </c>
      <c r="D97" s="64">
        <f>D45</f>
        <v>0</v>
      </c>
      <c r="E97" s="64">
        <f t="shared" ref="E97:AG97" si="19">E45</f>
        <v>0</v>
      </c>
      <c r="F97" s="64">
        <f t="shared" si="19"/>
        <v>5.5439999999999996</v>
      </c>
      <c r="G97" s="64">
        <f t="shared" si="19"/>
        <v>0</v>
      </c>
      <c r="H97" s="64">
        <f t="shared" si="19"/>
        <v>0</v>
      </c>
      <c r="I97" s="64">
        <f t="shared" si="19"/>
        <v>0</v>
      </c>
      <c r="J97" s="64">
        <f t="shared" si="19"/>
        <v>0</v>
      </c>
      <c r="K97" s="64">
        <f t="shared" si="19"/>
        <v>0</v>
      </c>
      <c r="L97" s="64">
        <f t="shared" si="19"/>
        <v>0</v>
      </c>
      <c r="M97" s="64">
        <f t="shared" si="19"/>
        <v>0.29699999999999999</v>
      </c>
      <c r="N97" s="64">
        <f t="shared" si="19"/>
        <v>0</v>
      </c>
      <c r="O97" s="64">
        <f t="shared" si="19"/>
        <v>0</v>
      </c>
      <c r="P97" s="64">
        <f t="shared" si="19"/>
        <v>0.89100000000000001</v>
      </c>
      <c r="Q97" s="64">
        <f t="shared" si="19"/>
        <v>0</v>
      </c>
      <c r="R97" s="64">
        <f t="shared" si="19"/>
        <v>0</v>
      </c>
      <c r="S97" s="64">
        <f t="shared" si="19"/>
        <v>0</v>
      </c>
      <c r="T97" s="64">
        <f t="shared" si="19"/>
        <v>0</v>
      </c>
      <c r="U97" s="64">
        <f t="shared" si="19"/>
        <v>0</v>
      </c>
      <c r="V97" s="64">
        <f t="shared" si="19"/>
        <v>0</v>
      </c>
      <c r="W97" s="64">
        <f t="shared" si="19"/>
        <v>53.51</v>
      </c>
      <c r="X97" s="64">
        <f t="shared" si="19"/>
        <v>18.265999999999998</v>
      </c>
      <c r="Y97" s="64">
        <f t="shared" si="19"/>
        <v>0</v>
      </c>
      <c r="Z97" s="64">
        <f t="shared" si="19"/>
        <v>10.94</v>
      </c>
      <c r="AA97" s="64">
        <f t="shared" si="19"/>
        <v>0</v>
      </c>
      <c r="AB97" s="64">
        <f t="shared" si="19"/>
        <v>0</v>
      </c>
      <c r="AC97" s="64">
        <f t="shared" si="19"/>
        <v>1.881</v>
      </c>
      <c r="AD97" s="64">
        <f t="shared" si="19"/>
        <v>0</v>
      </c>
      <c r="AE97" s="64">
        <f t="shared" si="19"/>
        <v>0</v>
      </c>
      <c r="AF97" s="64">
        <f t="shared" si="19"/>
        <v>0</v>
      </c>
      <c r="AG97" s="64">
        <f t="shared" si="19"/>
        <v>0</v>
      </c>
    </row>
    <row r="98" spans="1:33">
      <c r="B98" t="s">
        <v>70</v>
      </c>
      <c r="C98" s="64">
        <f t="shared" si="1"/>
        <v>115.27822799999998</v>
      </c>
      <c r="D98" s="64">
        <f>D46+D47</f>
        <v>0.48299999999999998</v>
      </c>
      <c r="E98" s="64">
        <f t="shared" ref="E98:AG98" si="20">E46+E47</f>
        <v>6.8650000000000002</v>
      </c>
      <c r="F98" s="64">
        <f t="shared" si="20"/>
        <v>0.60799999999999998</v>
      </c>
      <c r="G98" s="64">
        <f t="shared" si="20"/>
        <v>0</v>
      </c>
      <c r="H98" s="64">
        <f t="shared" si="20"/>
        <v>6</v>
      </c>
      <c r="I98" s="64">
        <f t="shared" si="20"/>
        <v>3.8</v>
      </c>
      <c r="J98" s="64">
        <f t="shared" si="20"/>
        <v>0.87922800000000012</v>
      </c>
      <c r="K98" s="64">
        <f t="shared" si="20"/>
        <v>0</v>
      </c>
      <c r="L98" s="64">
        <f t="shared" si="20"/>
        <v>11.209</v>
      </c>
      <c r="M98" s="64">
        <f t="shared" si="20"/>
        <v>2.4849999999999999</v>
      </c>
      <c r="N98" s="64">
        <f t="shared" si="20"/>
        <v>13.44</v>
      </c>
      <c r="O98" s="64">
        <f t="shared" si="20"/>
        <v>4.6660000000000004</v>
      </c>
      <c r="P98" s="64">
        <f t="shared" si="20"/>
        <v>1.28</v>
      </c>
      <c r="Q98" s="64">
        <f t="shared" si="20"/>
        <v>1.639</v>
      </c>
      <c r="R98" s="64">
        <f t="shared" si="20"/>
        <v>33.941000000000003</v>
      </c>
      <c r="S98" s="64">
        <f t="shared" si="20"/>
        <v>0</v>
      </c>
      <c r="T98" s="64">
        <f t="shared" si="20"/>
        <v>4.2999999999999997E-2</v>
      </c>
      <c r="U98" s="64">
        <f t="shared" si="20"/>
        <v>0</v>
      </c>
      <c r="V98" s="64">
        <f t="shared" si="20"/>
        <v>0</v>
      </c>
      <c r="W98" s="64">
        <f t="shared" si="20"/>
        <v>8.5000000000000006E-2</v>
      </c>
      <c r="X98" s="64">
        <f t="shared" si="20"/>
        <v>7.6690000000000005</v>
      </c>
      <c r="Y98" s="64">
        <f t="shared" si="20"/>
        <v>1.46</v>
      </c>
      <c r="Z98" s="64">
        <f t="shared" si="20"/>
        <v>0.48699999999999999</v>
      </c>
      <c r="AA98" s="64">
        <f t="shared" si="20"/>
        <v>3.9020000000000001</v>
      </c>
      <c r="AB98" s="64">
        <f t="shared" si="20"/>
        <v>0.44800000000000001</v>
      </c>
      <c r="AC98" s="64">
        <f t="shared" si="20"/>
        <v>6.28</v>
      </c>
      <c r="AD98" s="64">
        <f t="shared" si="20"/>
        <v>7.609</v>
      </c>
      <c r="AE98" s="64">
        <f t="shared" si="20"/>
        <v>3.831</v>
      </c>
      <c r="AF98" s="64">
        <f t="shared" si="20"/>
        <v>0</v>
      </c>
      <c r="AG98" s="64">
        <f t="shared" si="20"/>
        <v>2.5430000000000001</v>
      </c>
    </row>
    <row r="99" spans="1:33">
      <c r="B99" t="s">
        <v>308</v>
      </c>
      <c r="C99" s="64">
        <f t="shared" si="1"/>
        <v>946.66683999999987</v>
      </c>
      <c r="D99" s="64">
        <f>D51</f>
        <v>15.476000000000001</v>
      </c>
      <c r="E99" s="64">
        <f t="shared" ref="E99:AG99" si="21">E51</f>
        <v>79.381</v>
      </c>
      <c r="F99" s="64">
        <f t="shared" si="21"/>
        <v>7.851</v>
      </c>
      <c r="G99" s="64">
        <f t="shared" si="21"/>
        <v>0</v>
      </c>
      <c r="H99" s="64">
        <f t="shared" si="21"/>
        <v>11.766999999999999</v>
      </c>
      <c r="I99" s="64">
        <f t="shared" si="21"/>
        <v>195.375</v>
      </c>
      <c r="J99" s="64">
        <f t="shared" si="21"/>
        <v>2.8780000000000001</v>
      </c>
      <c r="K99" s="64">
        <f t="shared" si="21"/>
        <v>0.113</v>
      </c>
      <c r="L99" s="64">
        <f t="shared" si="21"/>
        <v>114.777</v>
      </c>
      <c r="M99" s="64">
        <f t="shared" si="21"/>
        <v>0.75362400000000007</v>
      </c>
      <c r="N99" s="64">
        <f t="shared" si="21"/>
        <v>85.043999999999997</v>
      </c>
      <c r="O99" s="64">
        <f t="shared" si="21"/>
        <v>2.2160000000000002</v>
      </c>
      <c r="P99" s="64">
        <f t="shared" si="21"/>
        <v>8.2569999999999997</v>
      </c>
      <c r="Q99" s="64">
        <f t="shared" si="21"/>
        <v>5.6740000000000004</v>
      </c>
      <c r="R99" s="64">
        <f t="shared" si="21"/>
        <v>109.895</v>
      </c>
      <c r="S99" s="64">
        <f t="shared" si="21"/>
        <v>2.0096639999999999</v>
      </c>
      <c r="T99" s="64">
        <f t="shared" si="21"/>
        <v>0</v>
      </c>
      <c r="U99" s="64">
        <f t="shared" si="21"/>
        <v>0.437</v>
      </c>
      <c r="V99" s="64">
        <f t="shared" si="21"/>
        <v>0</v>
      </c>
      <c r="W99" s="64">
        <f t="shared" si="21"/>
        <v>85.781000000000006</v>
      </c>
      <c r="X99" s="64">
        <f t="shared" si="21"/>
        <v>8.1039999999999992</v>
      </c>
      <c r="Y99" s="64">
        <f t="shared" si="21"/>
        <v>2.6795520000000002</v>
      </c>
      <c r="Z99" s="64">
        <f t="shared" si="21"/>
        <v>64.441000000000003</v>
      </c>
      <c r="AA99" s="64">
        <f t="shared" si="21"/>
        <v>5.4119999999999999</v>
      </c>
      <c r="AB99" s="64">
        <f t="shared" si="21"/>
        <v>2.234</v>
      </c>
      <c r="AC99" s="64">
        <f t="shared" si="21"/>
        <v>3.036</v>
      </c>
      <c r="AD99" s="64">
        <f t="shared" si="21"/>
        <v>133.07499999999999</v>
      </c>
      <c r="AE99" s="64">
        <f t="shared" si="21"/>
        <v>12.238</v>
      </c>
      <c r="AF99" s="64">
        <f t="shared" si="21"/>
        <v>0</v>
      </c>
      <c r="AG99" s="64">
        <f t="shared" si="21"/>
        <v>4.2009999999999996</v>
      </c>
    </row>
    <row r="100" spans="1:33">
      <c r="B100" t="s">
        <v>306</v>
      </c>
      <c r="C100" s="64">
        <f t="shared" si="1"/>
        <v>3.5419999999999998</v>
      </c>
      <c r="D100" s="64">
        <f>D52+D53</f>
        <v>0</v>
      </c>
      <c r="E100" s="64">
        <f t="shared" ref="E100:AG100" si="22">E52+E53</f>
        <v>0</v>
      </c>
      <c r="F100" s="64">
        <f t="shared" si="22"/>
        <v>0</v>
      </c>
      <c r="G100" s="64">
        <f t="shared" si="22"/>
        <v>0</v>
      </c>
      <c r="H100" s="64">
        <f t="shared" si="22"/>
        <v>0</v>
      </c>
      <c r="I100" s="64">
        <f t="shared" si="22"/>
        <v>2.8980000000000001</v>
      </c>
      <c r="J100" s="64">
        <f t="shared" si="22"/>
        <v>0</v>
      </c>
      <c r="K100" s="64">
        <f t="shared" si="22"/>
        <v>0</v>
      </c>
      <c r="L100" s="64">
        <f t="shared" si="22"/>
        <v>0.03</v>
      </c>
      <c r="M100" s="64">
        <f t="shared" si="22"/>
        <v>0</v>
      </c>
      <c r="N100" s="64">
        <f t="shared" si="22"/>
        <v>0</v>
      </c>
      <c r="O100" s="64">
        <f t="shared" si="22"/>
        <v>0</v>
      </c>
      <c r="P100" s="64">
        <f t="shared" si="22"/>
        <v>0</v>
      </c>
      <c r="Q100" s="64">
        <f t="shared" si="22"/>
        <v>0</v>
      </c>
      <c r="R100" s="64">
        <f t="shared" si="22"/>
        <v>0</v>
      </c>
      <c r="S100" s="64">
        <f t="shared" si="22"/>
        <v>0</v>
      </c>
      <c r="T100" s="64">
        <f t="shared" si="22"/>
        <v>0</v>
      </c>
      <c r="U100" s="64">
        <f t="shared" si="22"/>
        <v>0</v>
      </c>
      <c r="V100" s="64">
        <f t="shared" si="22"/>
        <v>0</v>
      </c>
      <c r="W100" s="64">
        <f t="shared" si="22"/>
        <v>0</v>
      </c>
      <c r="X100" s="64">
        <f t="shared" si="22"/>
        <v>0.61399999999999999</v>
      </c>
      <c r="Y100" s="64">
        <f t="shared" si="22"/>
        <v>0</v>
      </c>
      <c r="Z100" s="64">
        <f t="shared" si="22"/>
        <v>0</v>
      </c>
      <c r="AA100" s="64">
        <f t="shared" si="22"/>
        <v>0</v>
      </c>
      <c r="AB100" s="64">
        <f t="shared" si="22"/>
        <v>0</v>
      </c>
      <c r="AC100" s="64">
        <f t="shared" si="22"/>
        <v>0</v>
      </c>
      <c r="AD100" s="64">
        <f t="shared" si="22"/>
        <v>0</v>
      </c>
      <c r="AE100" s="64">
        <f t="shared" si="22"/>
        <v>0</v>
      </c>
      <c r="AF100" s="64">
        <f t="shared" si="22"/>
        <v>0</v>
      </c>
      <c r="AG100" s="64">
        <f t="shared" si="22"/>
        <v>0.47299999999999998</v>
      </c>
    </row>
    <row r="101" spans="1:33">
      <c r="B101" t="s">
        <v>97</v>
      </c>
      <c r="C101" s="64">
        <f t="shared" si="1"/>
        <v>6.907</v>
      </c>
      <c r="D101" s="64">
        <f>D48</f>
        <v>1.353</v>
      </c>
      <c r="E101" s="64">
        <f t="shared" ref="E101:AG101" si="23">E48</f>
        <v>0</v>
      </c>
      <c r="F101" s="64">
        <f t="shared" si="23"/>
        <v>1.6910000000000001</v>
      </c>
      <c r="G101" s="64">
        <f t="shared" si="23"/>
        <v>0</v>
      </c>
      <c r="H101" s="64">
        <f t="shared" si="23"/>
        <v>0</v>
      </c>
      <c r="I101" s="64">
        <f t="shared" si="23"/>
        <v>0</v>
      </c>
      <c r="J101" s="64">
        <f t="shared" si="23"/>
        <v>0</v>
      </c>
      <c r="K101" s="64">
        <f t="shared" si="23"/>
        <v>3.5999999999999997E-2</v>
      </c>
      <c r="L101" s="64">
        <f t="shared" si="23"/>
        <v>0.624</v>
      </c>
      <c r="M101" s="64">
        <f t="shared" si="23"/>
        <v>0.41699999999999998</v>
      </c>
      <c r="N101" s="64">
        <f t="shared" si="23"/>
        <v>0</v>
      </c>
      <c r="O101" s="64">
        <f t="shared" si="23"/>
        <v>0</v>
      </c>
      <c r="P101" s="64">
        <f t="shared" si="23"/>
        <v>0</v>
      </c>
      <c r="Q101" s="64">
        <f t="shared" si="23"/>
        <v>0</v>
      </c>
      <c r="R101" s="64">
        <f t="shared" si="23"/>
        <v>0</v>
      </c>
      <c r="S101" s="64">
        <f t="shared" si="23"/>
        <v>0</v>
      </c>
      <c r="T101" s="64">
        <f t="shared" si="23"/>
        <v>0</v>
      </c>
      <c r="U101" s="64">
        <f t="shared" si="23"/>
        <v>2.9000000000000001E-2</v>
      </c>
      <c r="V101" s="64">
        <f t="shared" si="23"/>
        <v>0</v>
      </c>
      <c r="W101" s="64">
        <f t="shared" si="23"/>
        <v>0</v>
      </c>
      <c r="X101" s="64">
        <f t="shared" si="23"/>
        <v>0.16500000000000001</v>
      </c>
      <c r="Y101" s="64">
        <f t="shared" si="23"/>
        <v>1.472</v>
      </c>
      <c r="Z101" s="64">
        <f t="shared" si="23"/>
        <v>4.0000000000000001E-3</v>
      </c>
      <c r="AA101" s="64">
        <f t="shared" si="23"/>
        <v>0.754</v>
      </c>
      <c r="AB101" s="64">
        <f t="shared" si="23"/>
        <v>0.36199999999999999</v>
      </c>
      <c r="AC101" s="64">
        <f t="shared" si="23"/>
        <v>0</v>
      </c>
      <c r="AD101" s="64">
        <f t="shared" si="23"/>
        <v>0</v>
      </c>
      <c r="AE101" s="64">
        <f t="shared" si="23"/>
        <v>0</v>
      </c>
      <c r="AF101" s="64">
        <f t="shared" si="23"/>
        <v>0</v>
      </c>
      <c r="AG101" s="64">
        <f t="shared" si="23"/>
        <v>0.25700000000000001</v>
      </c>
    </row>
    <row r="102" spans="1:33">
      <c r="B102" t="s">
        <v>316</v>
      </c>
      <c r="C102" s="64">
        <f t="shared" si="1"/>
        <v>86.379000000000005</v>
      </c>
      <c r="D102" s="64">
        <f>D49+D50</f>
        <v>3.8090000000000002</v>
      </c>
      <c r="E102" s="64">
        <f t="shared" ref="E102:AG102" si="24">E49+E50</f>
        <v>72.619</v>
      </c>
      <c r="F102" s="64">
        <f t="shared" si="24"/>
        <v>0</v>
      </c>
      <c r="G102" s="64">
        <f t="shared" si="24"/>
        <v>0</v>
      </c>
      <c r="H102" s="64">
        <f t="shared" si="24"/>
        <v>0.16400000000000001</v>
      </c>
      <c r="I102" s="64">
        <f t="shared" si="24"/>
        <v>0</v>
      </c>
      <c r="J102" s="64">
        <f t="shared" si="24"/>
        <v>3.0000000000000001E-3</v>
      </c>
      <c r="K102" s="64">
        <f t="shared" si="24"/>
        <v>0</v>
      </c>
      <c r="L102" s="64">
        <f t="shared" si="24"/>
        <v>0</v>
      </c>
      <c r="M102" s="64">
        <f t="shared" si="24"/>
        <v>0.114</v>
      </c>
      <c r="N102" s="64">
        <f t="shared" si="24"/>
        <v>0</v>
      </c>
      <c r="O102" s="64">
        <f t="shared" si="24"/>
        <v>0</v>
      </c>
      <c r="P102" s="64">
        <f t="shared" si="24"/>
        <v>0</v>
      </c>
      <c r="Q102" s="64">
        <f t="shared" si="24"/>
        <v>0</v>
      </c>
      <c r="R102" s="64">
        <f t="shared" si="24"/>
        <v>0</v>
      </c>
      <c r="S102" s="64">
        <f t="shared" si="24"/>
        <v>0</v>
      </c>
      <c r="T102" s="64">
        <f t="shared" si="24"/>
        <v>0</v>
      </c>
      <c r="U102" s="64">
        <f t="shared" si="24"/>
        <v>0</v>
      </c>
      <c r="V102" s="64">
        <f t="shared" si="24"/>
        <v>0</v>
      </c>
      <c r="W102" s="64">
        <f t="shared" si="24"/>
        <v>0</v>
      </c>
      <c r="X102" s="64">
        <f t="shared" si="24"/>
        <v>6.9009999999999998</v>
      </c>
      <c r="Y102" s="64">
        <f t="shared" si="24"/>
        <v>0</v>
      </c>
      <c r="Z102" s="64">
        <f t="shared" si="24"/>
        <v>2.0720000000000001</v>
      </c>
      <c r="AA102" s="64">
        <f t="shared" si="24"/>
        <v>0</v>
      </c>
      <c r="AB102" s="64">
        <f t="shared" si="24"/>
        <v>9.1999999999999998E-2</v>
      </c>
      <c r="AC102" s="64">
        <f t="shared" si="24"/>
        <v>0.60499999999999998</v>
      </c>
      <c r="AD102" s="64">
        <f t="shared" si="24"/>
        <v>0</v>
      </c>
      <c r="AE102" s="64">
        <f t="shared" si="24"/>
        <v>1.698</v>
      </c>
      <c r="AF102" s="64">
        <f t="shared" si="24"/>
        <v>0</v>
      </c>
      <c r="AG102" s="64">
        <f t="shared" si="24"/>
        <v>0</v>
      </c>
    </row>
    <row r="103" spans="1:33">
      <c r="B103" t="s">
        <v>342</v>
      </c>
      <c r="C103" s="64" t="e">
        <f t="shared" si="1"/>
        <v>#REF!</v>
      </c>
      <c r="D103" s="64" t="e">
        <f>D54</f>
        <v>#REF!</v>
      </c>
      <c r="E103" s="64" t="e">
        <f t="shared" ref="E103:AG103" si="25">E54</f>
        <v>#REF!</v>
      </c>
      <c r="F103" s="64" t="e">
        <f t="shared" si="25"/>
        <v>#REF!</v>
      </c>
      <c r="G103" s="64" t="e">
        <f t="shared" si="25"/>
        <v>#REF!</v>
      </c>
      <c r="H103" s="64" t="e">
        <f t="shared" si="25"/>
        <v>#REF!</v>
      </c>
      <c r="I103" s="64" t="e">
        <f t="shared" si="25"/>
        <v>#REF!</v>
      </c>
      <c r="J103" s="64" t="e">
        <f t="shared" si="25"/>
        <v>#REF!</v>
      </c>
      <c r="K103" s="64" t="e">
        <f t="shared" si="25"/>
        <v>#REF!</v>
      </c>
      <c r="L103" s="64" t="e">
        <f t="shared" si="25"/>
        <v>#REF!</v>
      </c>
      <c r="M103" s="64" t="e">
        <f t="shared" si="25"/>
        <v>#REF!</v>
      </c>
      <c r="N103" s="64" t="e">
        <f t="shared" si="25"/>
        <v>#REF!</v>
      </c>
      <c r="O103" s="64" t="e">
        <f t="shared" si="25"/>
        <v>#REF!</v>
      </c>
      <c r="P103" s="64" t="e">
        <f t="shared" si="25"/>
        <v>#REF!</v>
      </c>
      <c r="Q103" s="64" t="e">
        <f t="shared" si="25"/>
        <v>#REF!</v>
      </c>
      <c r="R103" s="64" t="e">
        <f t="shared" si="25"/>
        <v>#REF!</v>
      </c>
      <c r="S103" s="64" t="e">
        <f t="shared" si="25"/>
        <v>#REF!</v>
      </c>
      <c r="T103" s="64" t="e">
        <f t="shared" si="25"/>
        <v>#REF!</v>
      </c>
      <c r="U103" s="64" t="e">
        <f t="shared" si="25"/>
        <v>#REF!</v>
      </c>
      <c r="V103" s="64" t="e">
        <f t="shared" si="25"/>
        <v>#REF!</v>
      </c>
      <c r="W103" s="64" t="e">
        <f t="shared" si="25"/>
        <v>#REF!</v>
      </c>
      <c r="X103" s="64" t="e">
        <f t="shared" si="25"/>
        <v>#REF!</v>
      </c>
      <c r="Y103" s="64" t="e">
        <f t="shared" si="25"/>
        <v>#REF!</v>
      </c>
      <c r="Z103" s="64" t="e">
        <f t="shared" si="25"/>
        <v>#REF!</v>
      </c>
      <c r="AA103" s="64" t="e">
        <f t="shared" si="25"/>
        <v>#REF!</v>
      </c>
      <c r="AB103" s="64" t="e">
        <f t="shared" si="25"/>
        <v>#REF!</v>
      </c>
      <c r="AC103" s="64" t="e">
        <f t="shared" si="25"/>
        <v>#REF!</v>
      </c>
      <c r="AD103" s="64" t="e">
        <f t="shared" si="25"/>
        <v>#REF!</v>
      </c>
      <c r="AE103" s="64" t="e">
        <f t="shared" si="25"/>
        <v>#REF!</v>
      </c>
      <c r="AF103" s="64" t="e">
        <f t="shared" si="25"/>
        <v>#REF!</v>
      </c>
      <c r="AG103" s="64" t="e">
        <f t="shared" si="25"/>
        <v>#REF!</v>
      </c>
    </row>
    <row r="104" spans="1:33">
      <c r="A104" t="str">
        <f>A55</f>
        <v>PaperandPrinting</v>
      </c>
      <c r="B104" t="s">
        <v>309</v>
      </c>
      <c r="C104" s="64">
        <f t="shared" si="1"/>
        <v>57.66599999999999</v>
      </c>
      <c r="D104" s="64">
        <f>D55+D56</f>
        <v>3.07</v>
      </c>
      <c r="E104" s="64">
        <f t="shared" ref="E104:AG104" si="26">E55+E56</f>
        <v>1.29</v>
      </c>
      <c r="F104" s="64">
        <f t="shared" si="26"/>
        <v>0</v>
      </c>
      <c r="G104" s="64">
        <f t="shared" si="26"/>
        <v>0</v>
      </c>
      <c r="H104" s="64">
        <f t="shared" si="26"/>
        <v>3.032</v>
      </c>
      <c r="I104" s="64">
        <f t="shared" si="26"/>
        <v>14.423</v>
      </c>
      <c r="J104" s="64">
        <f t="shared" si="26"/>
        <v>0</v>
      </c>
      <c r="K104" s="64">
        <f t="shared" si="26"/>
        <v>0</v>
      </c>
      <c r="L104" s="64">
        <f t="shared" si="26"/>
        <v>0</v>
      </c>
      <c r="M104" s="64">
        <f t="shared" si="26"/>
        <v>8.3079999999999998</v>
      </c>
      <c r="N104" s="64">
        <f t="shared" si="26"/>
        <v>4.8879999999999999</v>
      </c>
      <c r="O104" s="64">
        <f t="shared" si="26"/>
        <v>0</v>
      </c>
      <c r="P104" s="64">
        <f t="shared" si="26"/>
        <v>0</v>
      </c>
      <c r="Q104" s="64">
        <f t="shared" si="26"/>
        <v>0</v>
      </c>
      <c r="R104" s="64">
        <f t="shared" si="26"/>
        <v>0</v>
      </c>
      <c r="S104" s="64">
        <f t="shared" si="26"/>
        <v>0</v>
      </c>
      <c r="T104" s="64">
        <f t="shared" si="26"/>
        <v>0</v>
      </c>
      <c r="U104" s="64">
        <f t="shared" si="26"/>
        <v>2.5999999999999999E-2</v>
      </c>
      <c r="V104" s="64">
        <f t="shared" si="26"/>
        <v>0</v>
      </c>
      <c r="W104" s="64">
        <f t="shared" si="26"/>
        <v>0</v>
      </c>
      <c r="X104" s="64">
        <f t="shared" si="26"/>
        <v>13.436</v>
      </c>
      <c r="Y104" s="64">
        <f t="shared" si="26"/>
        <v>0</v>
      </c>
      <c r="Z104" s="64">
        <f t="shared" si="26"/>
        <v>0</v>
      </c>
      <c r="AA104" s="64">
        <f t="shared" si="26"/>
        <v>0.94</v>
      </c>
      <c r="AB104" s="64">
        <f t="shared" si="26"/>
        <v>1.5920000000000001</v>
      </c>
      <c r="AC104" s="64">
        <f t="shared" si="26"/>
        <v>2.992</v>
      </c>
      <c r="AD104" s="64">
        <f t="shared" si="26"/>
        <v>3.669</v>
      </c>
      <c r="AE104" s="64">
        <f t="shared" si="26"/>
        <v>0</v>
      </c>
      <c r="AF104" s="64">
        <f t="shared" si="26"/>
        <v>0</v>
      </c>
      <c r="AG104" s="64">
        <f t="shared" si="26"/>
        <v>0</v>
      </c>
    </row>
    <row r="105" spans="1:33">
      <c r="B105" t="s">
        <v>304</v>
      </c>
      <c r="C105" s="64">
        <f t="shared" si="1"/>
        <v>0</v>
      </c>
      <c r="D105" s="64">
        <f>D57</f>
        <v>0</v>
      </c>
      <c r="E105" s="64">
        <f t="shared" ref="E105:AG105" si="27">E57</f>
        <v>0</v>
      </c>
      <c r="F105" s="64">
        <f t="shared" si="27"/>
        <v>0</v>
      </c>
      <c r="G105" s="64">
        <f t="shared" si="27"/>
        <v>0</v>
      </c>
      <c r="H105" s="64">
        <f t="shared" si="27"/>
        <v>0</v>
      </c>
      <c r="I105" s="64">
        <f t="shared" si="27"/>
        <v>0</v>
      </c>
      <c r="J105" s="64">
        <f t="shared" si="27"/>
        <v>0</v>
      </c>
      <c r="K105" s="64">
        <f t="shared" si="27"/>
        <v>0</v>
      </c>
      <c r="L105" s="64">
        <f t="shared" si="27"/>
        <v>0</v>
      </c>
      <c r="M105" s="64">
        <f t="shared" si="27"/>
        <v>0</v>
      </c>
      <c r="N105" s="64">
        <f t="shared" si="27"/>
        <v>0</v>
      </c>
      <c r="O105" s="64">
        <f t="shared" si="27"/>
        <v>0</v>
      </c>
      <c r="P105" s="64">
        <f t="shared" si="27"/>
        <v>0</v>
      </c>
      <c r="Q105" s="64">
        <f t="shared" si="27"/>
        <v>0</v>
      </c>
      <c r="R105" s="64">
        <f t="shared" si="27"/>
        <v>0</v>
      </c>
      <c r="S105" s="64">
        <f t="shared" si="27"/>
        <v>0</v>
      </c>
      <c r="T105" s="64">
        <f t="shared" si="27"/>
        <v>0</v>
      </c>
      <c r="U105" s="64">
        <f t="shared" si="27"/>
        <v>0</v>
      </c>
      <c r="V105" s="64">
        <f t="shared" si="27"/>
        <v>0</v>
      </c>
      <c r="W105" s="64">
        <f t="shared" si="27"/>
        <v>0</v>
      </c>
      <c r="X105" s="64">
        <f t="shared" si="27"/>
        <v>0</v>
      </c>
      <c r="Y105" s="64">
        <f t="shared" si="27"/>
        <v>0</v>
      </c>
      <c r="Z105" s="64">
        <f t="shared" si="27"/>
        <v>0</v>
      </c>
      <c r="AA105" s="64">
        <f t="shared" si="27"/>
        <v>0</v>
      </c>
      <c r="AB105" s="64">
        <f t="shared" si="27"/>
        <v>0</v>
      </c>
      <c r="AC105" s="64">
        <f t="shared" si="27"/>
        <v>0</v>
      </c>
      <c r="AD105" s="64">
        <f t="shared" si="27"/>
        <v>0</v>
      </c>
      <c r="AE105" s="64">
        <f t="shared" si="27"/>
        <v>0</v>
      </c>
      <c r="AF105" s="64">
        <f t="shared" si="27"/>
        <v>0</v>
      </c>
      <c r="AG105" s="64">
        <f t="shared" si="27"/>
        <v>0</v>
      </c>
    </row>
    <row r="106" spans="1:33">
      <c r="B106" t="s">
        <v>70</v>
      </c>
      <c r="C106" s="64">
        <f t="shared" si="1"/>
        <v>73.55</v>
      </c>
      <c r="D106" s="64">
        <f>D58+D59</f>
        <v>1.6480000000000001</v>
      </c>
      <c r="E106" s="64">
        <f t="shared" ref="E106:AG106" si="28">E58+E59</f>
        <v>1.7249999999999999</v>
      </c>
      <c r="F106" s="64">
        <f t="shared" si="28"/>
        <v>1.323</v>
      </c>
      <c r="G106" s="64">
        <f t="shared" si="28"/>
        <v>0</v>
      </c>
      <c r="H106" s="64">
        <f t="shared" si="28"/>
        <v>1</v>
      </c>
      <c r="I106" s="64">
        <f t="shared" si="28"/>
        <v>6.024</v>
      </c>
      <c r="J106" s="64">
        <f t="shared" si="28"/>
        <v>0.378</v>
      </c>
      <c r="K106" s="64">
        <f t="shared" si="28"/>
        <v>4.2999999999999997E-2</v>
      </c>
      <c r="L106" s="64">
        <f t="shared" si="28"/>
        <v>6.7720000000000002</v>
      </c>
      <c r="M106" s="64">
        <f t="shared" si="28"/>
        <v>10.554</v>
      </c>
      <c r="N106" s="64">
        <f t="shared" si="28"/>
        <v>4.6340000000000003</v>
      </c>
      <c r="O106" s="64">
        <f t="shared" si="28"/>
        <v>1.8079999999999998</v>
      </c>
      <c r="P106" s="64">
        <f t="shared" si="28"/>
        <v>0.32</v>
      </c>
      <c r="Q106" s="64">
        <f t="shared" si="28"/>
        <v>0.27200000000000002</v>
      </c>
      <c r="R106" s="64">
        <f t="shared" si="28"/>
        <v>8.67</v>
      </c>
      <c r="S106" s="64">
        <f t="shared" si="28"/>
        <v>0</v>
      </c>
      <c r="T106" s="64">
        <f t="shared" si="28"/>
        <v>0</v>
      </c>
      <c r="U106" s="64">
        <f t="shared" si="28"/>
        <v>0</v>
      </c>
      <c r="V106" s="64">
        <f t="shared" si="28"/>
        <v>0</v>
      </c>
      <c r="W106" s="64">
        <f t="shared" si="28"/>
        <v>0</v>
      </c>
      <c r="X106" s="64">
        <f t="shared" si="28"/>
        <v>1.9410000000000001</v>
      </c>
      <c r="Y106" s="64">
        <f t="shared" si="28"/>
        <v>3.13</v>
      </c>
      <c r="Z106" s="64">
        <f t="shared" si="28"/>
        <v>0.4</v>
      </c>
      <c r="AA106" s="64">
        <f t="shared" si="28"/>
        <v>18.212</v>
      </c>
      <c r="AB106" s="64">
        <f t="shared" si="28"/>
        <v>1.163</v>
      </c>
      <c r="AC106" s="64">
        <f t="shared" si="28"/>
        <v>0.2</v>
      </c>
      <c r="AD106" s="64">
        <f t="shared" si="28"/>
        <v>3.3330000000000002</v>
      </c>
      <c r="AE106" s="64">
        <f t="shared" si="28"/>
        <v>3.7089999999999996</v>
      </c>
      <c r="AF106" s="64">
        <f t="shared" si="28"/>
        <v>0</v>
      </c>
      <c r="AG106" s="64">
        <f t="shared" si="28"/>
        <v>4.7699999999999996</v>
      </c>
    </row>
    <row r="107" spans="1:33">
      <c r="B107" t="s">
        <v>308</v>
      </c>
      <c r="C107" s="64">
        <f t="shared" si="1"/>
        <v>353.465104</v>
      </c>
      <c r="D107" s="64">
        <f>D63</f>
        <v>20.545999999999999</v>
      </c>
      <c r="E107" s="64">
        <f t="shared" ref="E107:AG107" si="29">E63</f>
        <v>3.8359999999999999</v>
      </c>
      <c r="F107" s="64">
        <f t="shared" si="29"/>
        <v>2.1560000000000001</v>
      </c>
      <c r="G107" s="64">
        <f t="shared" si="29"/>
        <v>0</v>
      </c>
      <c r="H107" s="64">
        <f t="shared" si="29"/>
        <v>4.0880000000000001</v>
      </c>
      <c r="I107" s="64">
        <f t="shared" si="29"/>
        <v>95.082999999999998</v>
      </c>
      <c r="J107" s="64">
        <f t="shared" si="29"/>
        <v>2.5958160000000001</v>
      </c>
      <c r="K107" s="64">
        <f t="shared" si="29"/>
        <v>0.58399999999999996</v>
      </c>
      <c r="L107" s="64">
        <f t="shared" si="29"/>
        <v>40.109544</v>
      </c>
      <c r="M107" s="64">
        <f t="shared" si="29"/>
        <v>21.981000000000002</v>
      </c>
      <c r="N107" s="64">
        <f t="shared" si="29"/>
        <v>39.69</v>
      </c>
      <c r="O107" s="64">
        <f t="shared" si="29"/>
        <v>1.121</v>
      </c>
      <c r="P107" s="64">
        <f t="shared" si="29"/>
        <v>2.5070000000000001</v>
      </c>
      <c r="Q107" s="64">
        <f t="shared" si="29"/>
        <v>0.46054800000000001</v>
      </c>
      <c r="R107" s="64">
        <f t="shared" si="29"/>
        <v>37.972999999999999</v>
      </c>
      <c r="S107" s="64">
        <f t="shared" si="29"/>
        <v>6.4000000000000001E-2</v>
      </c>
      <c r="T107" s="64">
        <f t="shared" si="29"/>
        <v>0</v>
      </c>
      <c r="U107" s="64">
        <f t="shared" si="29"/>
        <v>0.20200000000000001</v>
      </c>
      <c r="V107" s="64">
        <f t="shared" si="29"/>
        <v>0</v>
      </c>
      <c r="W107" s="64">
        <f t="shared" si="29"/>
        <v>19.661000000000001</v>
      </c>
      <c r="X107" s="64">
        <f t="shared" si="29"/>
        <v>2.2879999999999998</v>
      </c>
      <c r="Y107" s="64">
        <f t="shared" si="29"/>
        <v>1.5909840000000002</v>
      </c>
      <c r="Z107" s="64">
        <f t="shared" si="29"/>
        <v>4.6159999999999997</v>
      </c>
      <c r="AA107" s="64">
        <f t="shared" si="29"/>
        <v>1.135</v>
      </c>
      <c r="AB107" s="64">
        <f t="shared" si="29"/>
        <v>4.5179999999999998</v>
      </c>
      <c r="AC107" s="64">
        <f t="shared" si="29"/>
        <v>2.3210000000000002</v>
      </c>
      <c r="AD107" s="64">
        <f t="shared" si="29"/>
        <v>44.338212000000006</v>
      </c>
      <c r="AE107" s="64">
        <f t="shared" si="29"/>
        <v>5.7359160000000005</v>
      </c>
      <c r="AF107" s="64">
        <f t="shared" si="29"/>
        <v>0</v>
      </c>
      <c r="AG107" s="64">
        <f t="shared" si="29"/>
        <v>0.29699999999999999</v>
      </c>
    </row>
    <row r="108" spans="1:33">
      <c r="B108" t="s">
        <v>306</v>
      </c>
      <c r="C108" s="64">
        <f t="shared" si="1"/>
        <v>0.85399999999999998</v>
      </c>
      <c r="D108" s="64">
        <f>D64+D65</f>
        <v>0</v>
      </c>
      <c r="E108" s="64">
        <f t="shared" ref="E108:AG108" si="30">E64+E65</f>
        <v>0</v>
      </c>
      <c r="F108" s="64">
        <f t="shared" si="30"/>
        <v>0</v>
      </c>
      <c r="G108" s="64">
        <f t="shared" si="30"/>
        <v>0</v>
      </c>
      <c r="H108" s="64">
        <f t="shared" si="30"/>
        <v>0</v>
      </c>
      <c r="I108" s="64">
        <f t="shared" si="30"/>
        <v>0.85399999999999998</v>
      </c>
      <c r="J108" s="64">
        <f t="shared" si="30"/>
        <v>0</v>
      </c>
      <c r="K108" s="64">
        <f t="shared" si="30"/>
        <v>0</v>
      </c>
      <c r="L108" s="64">
        <f t="shared" si="30"/>
        <v>0</v>
      </c>
      <c r="M108" s="64">
        <f t="shared" si="30"/>
        <v>0</v>
      </c>
      <c r="N108" s="64">
        <f t="shared" si="30"/>
        <v>0</v>
      </c>
      <c r="O108" s="64">
        <f t="shared" si="30"/>
        <v>0</v>
      </c>
      <c r="P108" s="64">
        <f t="shared" si="30"/>
        <v>0</v>
      </c>
      <c r="Q108" s="64">
        <f t="shared" si="30"/>
        <v>0</v>
      </c>
      <c r="R108" s="64">
        <f t="shared" si="30"/>
        <v>0</v>
      </c>
      <c r="S108" s="64">
        <f t="shared" si="30"/>
        <v>0</v>
      </c>
      <c r="T108" s="64">
        <f t="shared" si="30"/>
        <v>0</v>
      </c>
      <c r="U108" s="64">
        <f t="shared" si="30"/>
        <v>0</v>
      </c>
      <c r="V108" s="64">
        <f t="shared" si="30"/>
        <v>0</v>
      </c>
      <c r="W108" s="64">
        <f t="shared" si="30"/>
        <v>0</v>
      </c>
      <c r="X108" s="64">
        <f t="shared" si="30"/>
        <v>0</v>
      </c>
      <c r="Y108" s="64">
        <f t="shared" si="30"/>
        <v>0</v>
      </c>
      <c r="Z108" s="64">
        <f t="shared" si="30"/>
        <v>0</v>
      </c>
      <c r="AA108" s="64">
        <f t="shared" si="30"/>
        <v>0</v>
      </c>
      <c r="AB108" s="64">
        <f t="shared" si="30"/>
        <v>0</v>
      </c>
      <c r="AC108" s="64">
        <f t="shared" si="30"/>
        <v>0</v>
      </c>
      <c r="AD108" s="64">
        <f t="shared" si="30"/>
        <v>0</v>
      </c>
      <c r="AE108" s="64">
        <f t="shared" si="30"/>
        <v>0</v>
      </c>
      <c r="AF108" s="64">
        <f t="shared" si="30"/>
        <v>0</v>
      </c>
      <c r="AG108" s="64">
        <f t="shared" si="30"/>
        <v>0</v>
      </c>
    </row>
    <row r="109" spans="1:33" ht="13.5" customHeight="1">
      <c r="B109" t="s">
        <v>97</v>
      </c>
      <c r="C109" s="64">
        <f t="shared" si="1"/>
        <v>408.81973600000003</v>
      </c>
      <c r="D109" s="64">
        <f>D60</f>
        <v>16.437000000000001</v>
      </c>
      <c r="E109" s="64">
        <f t="shared" ref="E109:AG109" si="31">E60</f>
        <v>9.3439999999999994</v>
      </c>
      <c r="F109" s="64">
        <f t="shared" si="31"/>
        <v>1.222</v>
      </c>
      <c r="G109" s="64">
        <f t="shared" si="31"/>
        <v>0</v>
      </c>
      <c r="H109" s="64">
        <f t="shared" si="31"/>
        <v>9.7530000000000001</v>
      </c>
      <c r="I109" s="64">
        <f t="shared" si="31"/>
        <v>0</v>
      </c>
      <c r="J109" s="64">
        <f t="shared" si="31"/>
        <v>0</v>
      </c>
      <c r="K109" s="64">
        <f t="shared" si="31"/>
        <v>8.3736000000000005E-2</v>
      </c>
      <c r="L109" s="64">
        <f t="shared" si="31"/>
        <v>19.131</v>
      </c>
      <c r="M109" s="64">
        <f t="shared" si="31"/>
        <v>134.047</v>
      </c>
      <c r="N109" s="64">
        <f t="shared" si="31"/>
        <v>23.231999999999999</v>
      </c>
      <c r="O109" s="64">
        <f t="shared" si="31"/>
        <v>0</v>
      </c>
      <c r="P109" s="64">
        <f t="shared" si="31"/>
        <v>0.22900000000000001</v>
      </c>
      <c r="Q109" s="64">
        <f t="shared" si="31"/>
        <v>0</v>
      </c>
      <c r="R109" s="64">
        <f t="shared" si="31"/>
        <v>0</v>
      </c>
      <c r="S109" s="64">
        <f t="shared" si="31"/>
        <v>0</v>
      </c>
      <c r="T109" s="64">
        <f t="shared" si="31"/>
        <v>0</v>
      </c>
      <c r="U109" s="64">
        <f t="shared" si="31"/>
        <v>2.7E-2</v>
      </c>
      <c r="V109" s="64">
        <f t="shared" si="31"/>
        <v>0</v>
      </c>
      <c r="W109" s="64">
        <f t="shared" si="31"/>
        <v>0</v>
      </c>
      <c r="X109" s="64">
        <f t="shared" si="31"/>
        <v>18.611000000000001</v>
      </c>
      <c r="Y109" s="64">
        <f t="shared" si="31"/>
        <v>32.192</v>
      </c>
      <c r="Z109" s="64">
        <f t="shared" si="31"/>
        <v>3.96</v>
      </c>
      <c r="AA109" s="64">
        <f t="shared" si="31"/>
        <v>128.733</v>
      </c>
      <c r="AB109" s="64">
        <f t="shared" si="31"/>
        <v>1.9339999999999999</v>
      </c>
      <c r="AC109" s="64">
        <f t="shared" si="31"/>
        <v>9.8840000000000003</v>
      </c>
      <c r="AD109" s="64">
        <f t="shared" si="31"/>
        <v>0</v>
      </c>
      <c r="AE109" s="64">
        <f t="shared" si="31"/>
        <v>1.411</v>
      </c>
      <c r="AF109" s="64">
        <f t="shared" si="31"/>
        <v>0</v>
      </c>
      <c r="AG109" s="64">
        <f t="shared" si="31"/>
        <v>11.548</v>
      </c>
    </row>
    <row r="110" spans="1:33">
      <c r="B110" t="s">
        <v>316</v>
      </c>
      <c r="C110" s="64">
        <f t="shared" si="1"/>
        <v>3.1059999999999999</v>
      </c>
      <c r="D110" s="64">
        <f>D61+D62</f>
        <v>0.125</v>
      </c>
      <c r="E110" s="64">
        <f t="shared" ref="E110:AG110" si="32">E61+E62</f>
        <v>0</v>
      </c>
      <c r="F110" s="64">
        <f t="shared" si="32"/>
        <v>2.0579999999999998</v>
      </c>
      <c r="G110" s="64">
        <f t="shared" si="32"/>
        <v>0</v>
      </c>
      <c r="H110" s="64">
        <f t="shared" si="32"/>
        <v>0</v>
      </c>
      <c r="I110" s="64">
        <f t="shared" si="32"/>
        <v>0</v>
      </c>
      <c r="J110" s="64">
        <f t="shared" si="32"/>
        <v>3.4000000000000002E-2</v>
      </c>
      <c r="K110" s="64">
        <f t="shared" si="32"/>
        <v>0</v>
      </c>
      <c r="L110" s="64">
        <f t="shared" si="32"/>
        <v>0</v>
      </c>
      <c r="M110" s="64">
        <f t="shared" si="32"/>
        <v>0.76400000000000001</v>
      </c>
      <c r="N110" s="64">
        <f t="shared" si="32"/>
        <v>0</v>
      </c>
      <c r="O110" s="64">
        <f t="shared" si="32"/>
        <v>0</v>
      </c>
      <c r="P110" s="64">
        <f t="shared" si="32"/>
        <v>0</v>
      </c>
      <c r="Q110" s="64">
        <f t="shared" si="32"/>
        <v>0</v>
      </c>
      <c r="R110" s="64">
        <f t="shared" si="32"/>
        <v>0</v>
      </c>
      <c r="S110" s="64">
        <f t="shared" si="32"/>
        <v>0</v>
      </c>
      <c r="T110" s="64">
        <f t="shared" si="32"/>
        <v>0</v>
      </c>
      <c r="U110" s="64">
        <f t="shared" si="32"/>
        <v>0</v>
      </c>
      <c r="V110" s="64">
        <f t="shared" si="32"/>
        <v>0</v>
      </c>
      <c r="W110" s="64">
        <f t="shared" si="32"/>
        <v>0</v>
      </c>
      <c r="X110" s="64">
        <f t="shared" si="32"/>
        <v>0.125</v>
      </c>
      <c r="Y110" s="64">
        <f t="shared" si="32"/>
        <v>0</v>
      </c>
      <c r="Z110" s="64">
        <f t="shared" si="32"/>
        <v>0</v>
      </c>
      <c r="AA110" s="64">
        <f t="shared" si="32"/>
        <v>0</v>
      </c>
      <c r="AB110" s="64">
        <f t="shared" si="32"/>
        <v>0</v>
      </c>
      <c r="AC110" s="64">
        <f t="shared" si="32"/>
        <v>0</v>
      </c>
      <c r="AD110" s="64">
        <f t="shared" si="32"/>
        <v>0</v>
      </c>
      <c r="AE110" s="64">
        <f t="shared" si="32"/>
        <v>3.475044</v>
      </c>
      <c r="AF110" s="64">
        <f t="shared" si="32"/>
        <v>0</v>
      </c>
      <c r="AG110" s="64">
        <f t="shared" si="32"/>
        <v>0</v>
      </c>
    </row>
    <row r="111" spans="1:33">
      <c r="B111" t="s">
        <v>342</v>
      </c>
      <c r="C111" s="64" t="e">
        <f t="shared" si="1"/>
        <v>#REF!</v>
      </c>
      <c r="D111" s="64" t="e">
        <f>D66</f>
        <v>#REF!</v>
      </c>
      <c r="E111" s="64" t="e">
        <f t="shared" ref="E111:AG111" si="33">E66</f>
        <v>#REF!</v>
      </c>
      <c r="F111" s="64" t="e">
        <f t="shared" si="33"/>
        <v>#REF!</v>
      </c>
      <c r="G111" s="64" t="e">
        <f t="shared" si="33"/>
        <v>#REF!</v>
      </c>
      <c r="H111" s="64" t="e">
        <f t="shared" si="33"/>
        <v>#REF!</v>
      </c>
      <c r="I111" s="64" t="e">
        <f t="shared" si="33"/>
        <v>#REF!</v>
      </c>
      <c r="J111" s="64" t="e">
        <f t="shared" si="33"/>
        <v>#REF!</v>
      </c>
      <c r="K111" s="64" t="e">
        <f t="shared" si="33"/>
        <v>#REF!</v>
      </c>
      <c r="L111" s="64" t="e">
        <f t="shared" si="33"/>
        <v>#REF!</v>
      </c>
      <c r="M111" s="64" t="e">
        <f t="shared" si="33"/>
        <v>#REF!</v>
      </c>
      <c r="N111" s="64" t="e">
        <f t="shared" si="33"/>
        <v>#REF!</v>
      </c>
      <c r="O111" s="64" t="e">
        <f t="shared" si="33"/>
        <v>#REF!</v>
      </c>
      <c r="P111" s="64" t="e">
        <f t="shared" si="33"/>
        <v>#REF!</v>
      </c>
      <c r="Q111" s="64" t="e">
        <f t="shared" si="33"/>
        <v>#REF!</v>
      </c>
      <c r="R111" s="64" t="e">
        <f t="shared" si="33"/>
        <v>#REF!</v>
      </c>
      <c r="S111" s="64" t="e">
        <f t="shared" si="33"/>
        <v>#REF!</v>
      </c>
      <c r="T111" s="64" t="e">
        <f t="shared" si="33"/>
        <v>#REF!</v>
      </c>
      <c r="U111" s="64" t="e">
        <f t="shared" si="33"/>
        <v>#REF!</v>
      </c>
      <c r="V111" s="64" t="e">
        <f t="shared" si="33"/>
        <v>#REF!</v>
      </c>
      <c r="W111" s="64" t="e">
        <f t="shared" si="33"/>
        <v>#REF!</v>
      </c>
      <c r="X111" s="64" t="e">
        <f t="shared" si="33"/>
        <v>#REF!</v>
      </c>
      <c r="Y111" s="64" t="e">
        <f t="shared" si="33"/>
        <v>#REF!</v>
      </c>
      <c r="Z111" s="64" t="e">
        <f t="shared" si="33"/>
        <v>#REF!</v>
      </c>
      <c r="AA111" s="64" t="e">
        <f t="shared" si="33"/>
        <v>#REF!</v>
      </c>
      <c r="AB111" s="64" t="e">
        <f t="shared" si="33"/>
        <v>#REF!</v>
      </c>
      <c r="AC111" s="64" t="e">
        <f t="shared" si="33"/>
        <v>#REF!</v>
      </c>
      <c r="AD111" s="64" t="e">
        <f t="shared" si="33"/>
        <v>#REF!</v>
      </c>
      <c r="AE111" s="64" t="e">
        <f t="shared" si="33"/>
        <v>#REF!</v>
      </c>
      <c r="AF111" s="64" t="e">
        <f t="shared" si="33"/>
        <v>#REF!</v>
      </c>
      <c r="AG111" s="64" t="e">
        <f t="shared" si="33"/>
        <v>#REF!</v>
      </c>
    </row>
    <row r="112" spans="1:33">
      <c r="A112" t="str">
        <f>A67</f>
        <v>Other Industries</v>
      </c>
      <c r="B112" t="s">
        <v>309</v>
      </c>
      <c r="C112" s="64">
        <f t="shared" si="1"/>
        <v>116.21500000000002</v>
      </c>
      <c r="D112" s="64">
        <f>D67+D68</f>
        <v>0</v>
      </c>
      <c r="E112" s="64">
        <f t="shared" ref="E112:AG112" si="34">E67+E68</f>
        <v>2.286</v>
      </c>
      <c r="F112" s="64">
        <f t="shared" si="34"/>
        <v>2.6890000000000001</v>
      </c>
      <c r="G112" s="64">
        <f t="shared" si="34"/>
        <v>0</v>
      </c>
      <c r="H112" s="64">
        <f t="shared" si="34"/>
        <v>5.8160000000000007</v>
      </c>
      <c r="I112" s="64">
        <f t="shared" si="34"/>
        <v>9.8209999999999997</v>
      </c>
      <c r="J112" s="64">
        <f t="shared" si="34"/>
        <v>1.776</v>
      </c>
      <c r="K112" s="64">
        <f t="shared" si="34"/>
        <v>0.09</v>
      </c>
      <c r="L112" s="64">
        <f t="shared" si="34"/>
        <v>2.4209999999999998</v>
      </c>
      <c r="M112" s="64">
        <f t="shared" si="34"/>
        <v>0.42799999999999999</v>
      </c>
      <c r="N112" s="64">
        <f t="shared" si="34"/>
        <v>19.63</v>
      </c>
      <c r="O112" s="64">
        <f t="shared" si="34"/>
        <v>0</v>
      </c>
      <c r="P112" s="64">
        <f t="shared" si="34"/>
        <v>3.5999999999999997E-2</v>
      </c>
      <c r="Q112" s="64">
        <f t="shared" si="34"/>
        <v>5.4569999999999999</v>
      </c>
      <c r="R112" s="64">
        <f t="shared" si="34"/>
        <v>0</v>
      </c>
      <c r="S112" s="64">
        <f t="shared" si="34"/>
        <v>0.16500000000000004</v>
      </c>
      <c r="T112" s="64">
        <f t="shared" si="34"/>
        <v>0</v>
      </c>
      <c r="U112" s="64">
        <f t="shared" si="34"/>
        <v>0.183</v>
      </c>
      <c r="V112" s="64">
        <f t="shared" si="34"/>
        <v>0</v>
      </c>
      <c r="W112" s="64">
        <f t="shared" si="34"/>
        <v>0.62999999999999989</v>
      </c>
      <c r="X112" s="64">
        <f t="shared" si="34"/>
        <v>55.508999999999993</v>
      </c>
      <c r="Y112" s="64">
        <f t="shared" si="34"/>
        <v>0</v>
      </c>
      <c r="Z112" s="64">
        <f t="shared" si="34"/>
        <v>7.0000000000000001E-3</v>
      </c>
      <c r="AA112" s="64">
        <f t="shared" si="34"/>
        <v>0</v>
      </c>
      <c r="AB112" s="64">
        <f t="shared" si="34"/>
        <v>2.1999999999999999E-2</v>
      </c>
      <c r="AC112" s="64">
        <f t="shared" si="34"/>
        <v>0.28100000000000003</v>
      </c>
      <c r="AD112" s="64">
        <f t="shared" si="34"/>
        <v>8.968</v>
      </c>
      <c r="AE112" s="64">
        <f t="shared" si="34"/>
        <v>0.19700000000000001</v>
      </c>
      <c r="AF112" s="64">
        <f t="shared" si="34"/>
        <v>0</v>
      </c>
      <c r="AG112" s="64">
        <f t="shared" si="34"/>
        <v>0</v>
      </c>
    </row>
    <row r="113" spans="2:33">
      <c r="B113" t="s">
        <v>304</v>
      </c>
      <c r="C113" s="64">
        <f t="shared" si="1"/>
        <v>4.5549999999999997</v>
      </c>
      <c r="D113" s="64">
        <f>D69</f>
        <v>0</v>
      </c>
      <c r="E113" s="64">
        <f t="shared" ref="E113:AG113" si="35">E69</f>
        <v>0</v>
      </c>
      <c r="F113" s="64">
        <f t="shared" si="35"/>
        <v>0</v>
      </c>
      <c r="G113" s="64">
        <f t="shared" si="35"/>
        <v>0</v>
      </c>
      <c r="H113" s="64">
        <f t="shared" si="35"/>
        <v>0</v>
      </c>
      <c r="I113" s="64">
        <f t="shared" si="35"/>
        <v>0.84199999999999997</v>
      </c>
      <c r="J113" s="64">
        <f t="shared" si="35"/>
        <v>0</v>
      </c>
      <c r="K113" s="64">
        <f t="shared" si="35"/>
        <v>0</v>
      </c>
      <c r="L113" s="64">
        <f t="shared" si="35"/>
        <v>0</v>
      </c>
      <c r="M113" s="64">
        <f t="shared" si="35"/>
        <v>0</v>
      </c>
      <c r="N113" s="64">
        <f t="shared" si="35"/>
        <v>0</v>
      </c>
      <c r="O113" s="64">
        <f t="shared" si="35"/>
        <v>0</v>
      </c>
      <c r="P113" s="64">
        <f t="shared" si="35"/>
        <v>0</v>
      </c>
      <c r="Q113" s="64">
        <f t="shared" si="35"/>
        <v>0</v>
      </c>
      <c r="R113" s="64">
        <f t="shared" si="35"/>
        <v>0</v>
      </c>
      <c r="S113" s="64">
        <f t="shared" si="35"/>
        <v>0</v>
      </c>
      <c r="T113" s="64">
        <f t="shared" si="35"/>
        <v>0</v>
      </c>
      <c r="U113" s="64">
        <f t="shared" si="35"/>
        <v>0</v>
      </c>
      <c r="V113" s="64">
        <f t="shared" si="35"/>
        <v>0</v>
      </c>
      <c r="W113" s="64">
        <f t="shared" si="35"/>
        <v>0.19800000000000001</v>
      </c>
      <c r="X113" s="64">
        <f t="shared" si="35"/>
        <v>0</v>
      </c>
      <c r="Y113" s="64">
        <f t="shared" si="35"/>
        <v>0</v>
      </c>
      <c r="Z113" s="64">
        <f t="shared" si="35"/>
        <v>0</v>
      </c>
      <c r="AA113" s="64">
        <f t="shared" si="35"/>
        <v>0</v>
      </c>
      <c r="AB113" s="64">
        <f t="shared" si="35"/>
        <v>0</v>
      </c>
      <c r="AC113" s="64">
        <f t="shared" si="35"/>
        <v>0</v>
      </c>
      <c r="AD113" s="64">
        <f t="shared" si="35"/>
        <v>3.5150000000000001</v>
      </c>
      <c r="AE113" s="64">
        <f t="shared" si="35"/>
        <v>0</v>
      </c>
      <c r="AF113" s="64">
        <f t="shared" si="35"/>
        <v>0</v>
      </c>
      <c r="AG113" s="64">
        <f t="shared" si="35"/>
        <v>0</v>
      </c>
    </row>
    <row r="114" spans="2:33">
      <c r="B114" t="s">
        <v>70</v>
      </c>
      <c r="C114" s="64">
        <f t="shared" si="1"/>
        <v>678.07399999999984</v>
      </c>
      <c r="D114" s="64">
        <f>D70+D71</f>
        <v>18.859000000000002</v>
      </c>
      <c r="E114" s="64">
        <f t="shared" ref="E114:AG114" si="36">E70+E71</f>
        <v>20.398000000000003</v>
      </c>
      <c r="F114" s="64">
        <f t="shared" si="36"/>
        <v>6.8920000000000003</v>
      </c>
      <c r="G114" s="64">
        <f t="shared" si="36"/>
        <v>2.0019999999999998</v>
      </c>
      <c r="H114" s="64">
        <f t="shared" si="36"/>
        <v>7.26</v>
      </c>
      <c r="I114" s="64">
        <f t="shared" si="36"/>
        <v>83.161000000000001</v>
      </c>
      <c r="J114" s="64">
        <f>J70+J71</f>
        <v>16.792000000000002</v>
      </c>
      <c r="K114" s="64">
        <f t="shared" si="36"/>
        <v>3.3490000000000002</v>
      </c>
      <c r="L114" s="64">
        <f t="shared" si="36"/>
        <v>59.025000000000006</v>
      </c>
      <c r="M114" s="64">
        <f t="shared" si="36"/>
        <v>26.636000000000003</v>
      </c>
      <c r="N114" s="64">
        <f t="shared" si="36"/>
        <v>65.671999999999997</v>
      </c>
      <c r="O114" s="64">
        <f t="shared" si="36"/>
        <v>24.024999999999999</v>
      </c>
      <c r="P114" s="64">
        <f t="shared" si="36"/>
        <v>14.209999999999999</v>
      </c>
      <c r="Q114" s="64">
        <f t="shared" si="36"/>
        <v>3.4740000000000002</v>
      </c>
      <c r="R114" s="64">
        <f t="shared" si="36"/>
        <v>82.123999999999995</v>
      </c>
      <c r="S114" s="64">
        <f t="shared" si="36"/>
        <v>1.9159999999999999</v>
      </c>
      <c r="T114" s="64">
        <f t="shared" si="36"/>
        <v>2.1670000000000003</v>
      </c>
      <c r="U114" s="64">
        <f t="shared" si="36"/>
        <v>1.5049999999999999</v>
      </c>
      <c r="V114" s="64">
        <f t="shared" si="36"/>
        <v>0</v>
      </c>
      <c r="W114" s="64">
        <f t="shared" si="36"/>
        <v>6.0789999999999997</v>
      </c>
      <c r="X114" s="64">
        <f t="shared" si="36"/>
        <v>19.5</v>
      </c>
      <c r="Y114" s="64">
        <f t="shared" si="36"/>
        <v>18.646999999999998</v>
      </c>
      <c r="Z114" s="64">
        <f t="shared" si="36"/>
        <v>15.597999999999999</v>
      </c>
      <c r="AA114" s="64">
        <f t="shared" si="36"/>
        <v>17.542999999999999</v>
      </c>
      <c r="AB114" s="64">
        <f t="shared" si="36"/>
        <v>4.7239999999999993</v>
      </c>
      <c r="AC114" s="64">
        <f t="shared" si="36"/>
        <v>0.752</v>
      </c>
      <c r="AD114" s="64">
        <f t="shared" si="36"/>
        <v>155.76400000000001</v>
      </c>
      <c r="AE114" s="64">
        <f t="shared" si="36"/>
        <v>23.211999999999996</v>
      </c>
      <c r="AF114" s="64">
        <f t="shared" si="36"/>
        <v>2.9820000000000002</v>
      </c>
      <c r="AG114" s="64">
        <f t="shared" si="36"/>
        <v>9.8130000000000006</v>
      </c>
    </row>
    <row r="115" spans="2:33">
      <c r="B115" t="s">
        <v>308</v>
      </c>
      <c r="C115" s="64">
        <f t="shared" si="1"/>
        <v>1429.5735480000003</v>
      </c>
      <c r="D115" s="64">
        <f>D75</f>
        <v>28.450000000000003</v>
      </c>
      <c r="E115" s="64">
        <f t="shared" ref="E115:AG115" si="37">E75</f>
        <v>33.704000000000001</v>
      </c>
      <c r="F115" s="64">
        <f t="shared" si="37"/>
        <v>6.2850000000000001</v>
      </c>
      <c r="G115" s="64">
        <f t="shared" si="37"/>
        <v>0</v>
      </c>
      <c r="H115" s="64">
        <f t="shared" si="37"/>
        <v>44.308</v>
      </c>
      <c r="I115" s="64">
        <f t="shared" si="37"/>
        <v>212.483</v>
      </c>
      <c r="J115" s="64">
        <f t="shared" si="37"/>
        <v>17.544</v>
      </c>
      <c r="K115" s="64">
        <f t="shared" si="37"/>
        <v>2.8630000000000004</v>
      </c>
      <c r="L115" s="64">
        <f t="shared" si="37"/>
        <v>177.32599999999999</v>
      </c>
      <c r="M115" s="64">
        <f t="shared" si="37"/>
        <v>2.0920000000000001</v>
      </c>
      <c r="N115" s="64">
        <f t="shared" si="37"/>
        <v>162.67300000000003</v>
      </c>
      <c r="O115" s="64">
        <f t="shared" si="37"/>
        <v>6.0289999999999999</v>
      </c>
      <c r="P115" s="64">
        <f t="shared" si="37"/>
        <v>15.609</v>
      </c>
      <c r="Q115" s="64">
        <f t="shared" si="37"/>
        <v>4.7195479999999996</v>
      </c>
      <c r="R115" s="64">
        <f t="shared" si="37"/>
        <v>236.59000000000003</v>
      </c>
      <c r="S115" s="64">
        <f t="shared" si="37"/>
        <v>8.35</v>
      </c>
      <c r="T115" s="64">
        <f t="shared" si="37"/>
        <v>10.51</v>
      </c>
      <c r="U115" s="64">
        <f t="shared" si="37"/>
        <v>4.9640000000000004</v>
      </c>
      <c r="V115" s="64">
        <f t="shared" si="37"/>
        <v>0</v>
      </c>
      <c r="W115" s="64">
        <f t="shared" si="37"/>
        <v>91.271999999999991</v>
      </c>
      <c r="X115" s="64">
        <f t="shared" si="37"/>
        <v>39.789000000000001</v>
      </c>
      <c r="Y115" s="64">
        <f t="shared" si="37"/>
        <v>11.795999999999999</v>
      </c>
      <c r="Z115" s="64">
        <f t="shared" si="37"/>
        <v>50.271999999999998</v>
      </c>
      <c r="AA115" s="64">
        <f t="shared" si="37"/>
        <v>5.5030000000000001</v>
      </c>
      <c r="AB115" s="64">
        <f t="shared" si="37"/>
        <v>7.5860000000000003</v>
      </c>
      <c r="AC115" s="64">
        <f t="shared" si="37"/>
        <v>16.727</v>
      </c>
      <c r="AD115" s="64">
        <f t="shared" si="37"/>
        <v>232.12900000000002</v>
      </c>
      <c r="AE115" s="64">
        <f t="shared" si="37"/>
        <v>11.796999999999999</v>
      </c>
      <c r="AF115" s="64">
        <f t="shared" si="37"/>
        <v>0</v>
      </c>
      <c r="AG115" s="64">
        <f t="shared" si="37"/>
        <v>1.2449999999999999</v>
      </c>
    </row>
    <row r="116" spans="2:33">
      <c r="B116" t="s">
        <v>306</v>
      </c>
      <c r="C116" s="64">
        <f t="shared" si="1"/>
        <v>8.5429999999999993</v>
      </c>
      <c r="D116" s="64">
        <f>D76+D77</f>
        <v>0</v>
      </c>
      <c r="E116" s="64">
        <f t="shared" ref="E116:AG116" si="38">E76+E77</f>
        <v>0</v>
      </c>
      <c r="F116" s="64">
        <f t="shared" si="38"/>
        <v>0</v>
      </c>
      <c r="G116" s="64">
        <f t="shared" si="38"/>
        <v>0</v>
      </c>
      <c r="H116" s="64">
        <f t="shared" si="38"/>
        <v>0.76500000000000001</v>
      </c>
      <c r="I116" s="64">
        <f t="shared" si="38"/>
        <v>4.726</v>
      </c>
      <c r="J116" s="64">
        <f t="shared" si="38"/>
        <v>0</v>
      </c>
      <c r="K116" s="64">
        <f t="shared" si="38"/>
        <v>0</v>
      </c>
      <c r="L116" s="64">
        <f t="shared" si="38"/>
        <v>0</v>
      </c>
      <c r="M116" s="64">
        <f t="shared" si="38"/>
        <v>0</v>
      </c>
      <c r="N116" s="64">
        <f t="shared" si="38"/>
        <v>0</v>
      </c>
      <c r="O116" s="64">
        <f t="shared" si="38"/>
        <v>0</v>
      </c>
      <c r="P116" s="64">
        <f t="shared" si="38"/>
        <v>0</v>
      </c>
      <c r="Q116" s="64">
        <f t="shared" si="38"/>
        <v>0</v>
      </c>
      <c r="R116" s="64">
        <f t="shared" si="38"/>
        <v>0</v>
      </c>
      <c r="S116" s="64">
        <f t="shared" si="38"/>
        <v>0</v>
      </c>
      <c r="T116" s="64">
        <f t="shared" si="38"/>
        <v>0</v>
      </c>
      <c r="U116" s="64">
        <f t="shared" si="38"/>
        <v>0</v>
      </c>
      <c r="V116" s="64">
        <f t="shared" si="38"/>
        <v>0</v>
      </c>
      <c r="W116" s="64">
        <f t="shared" si="38"/>
        <v>0</v>
      </c>
      <c r="X116" s="64">
        <f t="shared" si="38"/>
        <v>0.11</v>
      </c>
      <c r="Y116" s="64">
        <f t="shared" si="38"/>
        <v>0</v>
      </c>
      <c r="Z116" s="64">
        <f t="shared" si="38"/>
        <v>7.5999999999999998E-2</v>
      </c>
      <c r="AA116" s="64">
        <f t="shared" si="38"/>
        <v>0</v>
      </c>
      <c r="AB116" s="64">
        <f t="shared" si="38"/>
        <v>0</v>
      </c>
      <c r="AC116" s="64">
        <f t="shared" si="38"/>
        <v>2.1019999999999999</v>
      </c>
      <c r="AD116" s="64">
        <f t="shared" si="38"/>
        <v>0.76400000000000001</v>
      </c>
      <c r="AE116" s="64">
        <f t="shared" si="38"/>
        <v>0</v>
      </c>
      <c r="AF116" s="64">
        <f t="shared" si="38"/>
        <v>0</v>
      </c>
      <c r="AG116" s="64">
        <f t="shared" si="38"/>
        <v>0</v>
      </c>
    </row>
    <row r="117" spans="2:33">
      <c r="B117" t="s">
        <v>97</v>
      </c>
      <c r="C117" s="64">
        <f t="shared" si="1"/>
        <v>253.83500000000001</v>
      </c>
      <c r="D117" s="64">
        <f>D72</f>
        <v>9.0539999999999985</v>
      </c>
      <c r="E117" s="64">
        <f t="shared" ref="E117:AG117" si="39">E72</f>
        <v>3.9940000000000002</v>
      </c>
      <c r="F117" s="64">
        <f t="shared" si="39"/>
        <v>1.0070000000000001</v>
      </c>
      <c r="G117" s="64">
        <f t="shared" si="39"/>
        <v>0</v>
      </c>
      <c r="H117" s="64">
        <f t="shared" si="39"/>
        <v>6.1970000000000001</v>
      </c>
      <c r="I117" s="64">
        <f t="shared" si="39"/>
        <v>59.765000000000001</v>
      </c>
      <c r="J117" s="64">
        <f t="shared" si="39"/>
        <v>3.5920000000000001</v>
      </c>
      <c r="K117" s="64">
        <f t="shared" si="39"/>
        <v>5.306</v>
      </c>
      <c r="L117" s="64">
        <f t="shared" si="39"/>
        <v>31.371000000000002</v>
      </c>
      <c r="M117" s="64">
        <f t="shared" si="39"/>
        <v>5.28</v>
      </c>
      <c r="N117" s="64">
        <f t="shared" si="39"/>
        <v>45.132000000000005</v>
      </c>
      <c r="O117" s="64">
        <f t="shared" si="39"/>
        <v>10.155999999999999</v>
      </c>
      <c r="P117" s="64">
        <f t="shared" si="39"/>
        <v>8.5739999999999998</v>
      </c>
      <c r="Q117" s="64">
        <f t="shared" si="39"/>
        <v>0</v>
      </c>
      <c r="R117" s="64">
        <f t="shared" si="39"/>
        <v>0</v>
      </c>
      <c r="S117" s="64">
        <f t="shared" si="39"/>
        <v>3.6619999999999999</v>
      </c>
      <c r="T117" s="64">
        <f t="shared" si="39"/>
        <v>0</v>
      </c>
      <c r="U117" s="64">
        <f t="shared" si="39"/>
        <v>5.0419999999999998</v>
      </c>
      <c r="V117" s="64">
        <f t="shared" si="39"/>
        <v>0</v>
      </c>
      <c r="W117" s="64">
        <f t="shared" si="39"/>
        <v>3.7330000000000001</v>
      </c>
      <c r="X117" s="64">
        <f t="shared" si="39"/>
        <v>12.131</v>
      </c>
      <c r="Y117" s="64">
        <f t="shared" si="39"/>
        <v>7.6280000000000001</v>
      </c>
      <c r="Z117" s="64">
        <f t="shared" si="39"/>
        <v>5.7839999999999998</v>
      </c>
      <c r="AA117" s="64">
        <f t="shared" si="39"/>
        <v>19.186</v>
      </c>
      <c r="AB117" s="64">
        <f t="shared" si="39"/>
        <v>2.2610000000000001</v>
      </c>
      <c r="AC117" s="64">
        <f t="shared" si="39"/>
        <v>1.649</v>
      </c>
      <c r="AD117" s="64">
        <f t="shared" si="39"/>
        <v>3.331</v>
      </c>
      <c r="AE117" s="64">
        <f t="shared" si="39"/>
        <v>8.56</v>
      </c>
      <c r="AF117" s="64">
        <f t="shared" si="39"/>
        <v>0</v>
      </c>
      <c r="AG117" s="64">
        <f t="shared" si="39"/>
        <v>3.4460000000000002</v>
      </c>
    </row>
    <row r="118" spans="2:33">
      <c r="B118" t="s">
        <v>316</v>
      </c>
      <c r="C118" s="64">
        <f t="shared" si="1"/>
        <v>9.5077960000000008</v>
      </c>
      <c r="D118" s="64">
        <f>D73+D74</f>
        <v>1.101</v>
      </c>
      <c r="E118" s="64">
        <f t="shared" ref="E118:AG118" si="40">E73+E74</f>
        <v>0</v>
      </c>
      <c r="F118" s="64">
        <f t="shared" si="40"/>
        <v>0.21299999999999999</v>
      </c>
      <c r="G118" s="64">
        <f t="shared" si="40"/>
        <v>0</v>
      </c>
      <c r="H118" s="64">
        <f t="shared" si="40"/>
        <v>2.3E-2</v>
      </c>
      <c r="I118" s="64">
        <f t="shared" si="40"/>
        <v>0</v>
      </c>
      <c r="J118" s="64">
        <f t="shared" si="40"/>
        <v>0.20200000000000001</v>
      </c>
      <c r="K118" s="64">
        <f t="shared" si="40"/>
        <v>0</v>
      </c>
      <c r="L118" s="64">
        <f t="shared" si="40"/>
        <v>0</v>
      </c>
      <c r="M118" s="64">
        <f t="shared" si="40"/>
        <v>0.55800000000000005</v>
      </c>
      <c r="N118" s="64">
        <f t="shared" si="40"/>
        <v>0</v>
      </c>
      <c r="O118" s="64">
        <f t="shared" si="40"/>
        <v>0</v>
      </c>
      <c r="P118" s="64">
        <f t="shared" si="40"/>
        <v>1.071</v>
      </c>
      <c r="Q118" s="64">
        <f t="shared" si="40"/>
        <v>0</v>
      </c>
      <c r="R118" s="64">
        <f t="shared" si="40"/>
        <v>2.6</v>
      </c>
      <c r="S118" s="64">
        <f t="shared" si="40"/>
        <v>0</v>
      </c>
      <c r="T118" s="64">
        <f t="shared" si="40"/>
        <v>0</v>
      </c>
      <c r="U118" s="64">
        <f t="shared" si="40"/>
        <v>0</v>
      </c>
      <c r="V118" s="64">
        <f t="shared" si="40"/>
        <v>0</v>
      </c>
      <c r="W118" s="64">
        <f t="shared" si="40"/>
        <v>0</v>
      </c>
      <c r="X118" s="64">
        <f t="shared" si="40"/>
        <v>1.708</v>
      </c>
      <c r="Y118" s="64">
        <f t="shared" si="40"/>
        <v>0</v>
      </c>
      <c r="Z118" s="64">
        <f t="shared" si="40"/>
        <v>9.0000000000000011E-3</v>
      </c>
      <c r="AA118" s="64">
        <f t="shared" si="40"/>
        <v>0</v>
      </c>
      <c r="AB118" s="64">
        <f t="shared" si="40"/>
        <v>0</v>
      </c>
      <c r="AC118" s="64">
        <f t="shared" si="40"/>
        <v>5.5E-2</v>
      </c>
      <c r="AD118" s="64">
        <f t="shared" si="40"/>
        <v>1.9677960000000001</v>
      </c>
      <c r="AE118" s="64">
        <f t="shared" si="40"/>
        <v>0.33400000000000002</v>
      </c>
      <c r="AF118" s="64">
        <f t="shared" si="40"/>
        <v>0</v>
      </c>
      <c r="AG118" s="64">
        <f t="shared" si="40"/>
        <v>0</v>
      </c>
    </row>
    <row r="119" spans="2:33">
      <c r="B119" t="s">
        <v>342</v>
      </c>
      <c r="C119" s="64" t="e">
        <f t="shared" si="1"/>
        <v>#REF!</v>
      </c>
      <c r="D119" s="64" t="e">
        <f>D78</f>
        <v>#REF!</v>
      </c>
      <c r="E119" s="64" t="e">
        <f t="shared" ref="E119:AG119" si="41">E78</f>
        <v>#REF!</v>
      </c>
      <c r="F119" s="64" t="e">
        <f t="shared" si="41"/>
        <v>#REF!</v>
      </c>
      <c r="G119" s="64" t="e">
        <f t="shared" si="41"/>
        <v>#REF!</v>
      </c>
      <c r="H119" s="64" t="e">
        <f t="shared" si="41"/>
        <v>#REF!</v>
      </c>
      <c r="I119" s="64" t="e">
        <f t="shared" si="41"/>
        <v>#REF!</v>
      </c>
      <c r="J119" s="64" t="e">
        <f t="shared" si="41"/>
        <v>#REF!</v>
      </c>
      <c r="K119" s="64" t="e">
        <f t="shared" si="41"/>
        <v>#REF!</v>
      </c>
      <c r="L119" s="64" t="e">
        <f t="shared" si="41"/>
        <v>#REF!</v>
      </c>
      <c r="M119" s="64" t="e">
        <f t="shared" si="41"/>
        <v>#REF!</v>
      </c>
      <c r="N119" s="64" t="e">
        <f t="shared" si="41"/>
        <v>#REF!</v>
      </c>
      <c r="O119" s="64" t="e">
        <f t="shared" si="41"/>
        <v>#REF!</v>
      </c>
      <c r="P119" s="64" t="e">
        <f t="shared" si="41"/>
        <v>#REF!</v>
      </c>
      <c r="Q119" s="64" t="e">
        <f t="shared" si="41"/>
        <v>#REF!</v>
      </c>
      <c r="R119" s="64" t="e">
        <f t="shared" si="41"/>
        <v>#REF!</v>
      </c>
      <c r="S119" s="64" t="e">
        <f t="shared" si="41"/>
        <v>#REF!</v>
      </c>
      <c r="T119" s="64" t="e">
        <f t="shared" si="41"/>
        <v>#REF!</v>
      </c>
      <c r="U119" s="64" t="e">
        <f t="shared" si="41"/>
        <v>#REF!</v>
      </c>
      <c r="V119" s="64" t="e">
        <f t="shared" si="41"/>
        <v>#REF!</v>
      </c>
      <c r="W119" s="64" t="e">
        <f t="shared" si="41"/>
        <v>#REF!</v>
      </c>
      <c r="X119" s="64" t="e">
        <f t="shared" si="41"/>
        <v>#REF!</v>
      </c>
      <c r="Y119" s="64" t="e">
        <f t="shared" si="41"/>
        <v>#REF!</v>
      </c>
      <c r="Z119" s="64" t="e">
        <f t="shared" si="41"/>
        <v>#REF!</v>
      </c>
      <c r="AA119" s="64" t="e">
        <f t="shared" si="41"/>
        <v>#REF!</v>
      </c>
      <c r="AB119" s="64" t="e">
        <f t="shared" si="41"/>
        <v>#REF!</v>
      </c>
      <c r="AC119" s="64" t="e">
        <f t="shared" si="41"/>
        <v>#REF!</v>
      </c>
      <c r="AD119" s="64" t="e">
        <f t="shared" si="41"/>
        <v>#REF!</v>
      </c>
      <c r="AE119" s="64" t="e">
        <f t="shared" si="41"/>
        <v>#REF!</v>
      </c>
      <c r="AF119" s="64" t="e">
        <f t="shared" si="41"/>
        <v>#REF!</v>
      </c>
      <c r="AG119" s="64" t="e">
        <f t="shared" si="41"/>
        <v>#REF!</v>
      </c>
    </row>
    <row r="120" spans="2:33">
      <c r="D120" s="64"/>
    </row>
    <row r="121" spans="2:33">
      <c r="D121" s="64"/>
    </row>
  </sheetData>
  <phoneticPr fontId="5" type="noConversion"/>
  <conditionalFormatting sqref="D1:AG1">
    <cfRule type="colorScale" priority="16">
      <colorScale>
        <cfvo type="min"/>
        <cfvo type="max"/>
        <color rgb="FFFCFCFF"/>
        <color rgb="FFF8696B"/>
      </colorScale>
    </cfRule>
  </conditionalFormatting>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C000"/>
  </sheetPr>
  <dimension ref="A1:BJ336"/>
  <sheetViews>
    <sheetView workbookViewId="0">
      <pane xSplit="2" ySplit="6" topLeftCell="C142" activePane="bottomRight" state="frozen"/>
      <selection pane="topRight" activeCell="C1" sqref="C1"/>
      <selection pane="bottomLeft" activeCell="A4" sqref="A4"/>
      <selection pane="bottomRight" activeCell="T176" sqref="T176"/>
    </sheetView>
  </sheetViews>
  <sheetFormatPr defaultRowHeight="12.75"/>
  <cols>
    <col min="1" max="1" width="18.5703125" style="99" customWidth="1"/>
    <col min="2" max="2" width="48.7109375" style="99" customWidth="1"/>
    <col min="3" max="28" width="9.140625" style="99" customWidth="1"/>
    <col min="29" max="29" width="13.140625" style="99" customWidth="1"/>
    <col min="30" max="30" width="21.42578125" style="99" customWidth="1"/>
    <col min="31" max="31" width="24.140625" style="99" customWidth="1"/>
    <col min="32" max="32" width="14.5703125" style="99" customWidth="1"/>
    <col min="33" max="40" width="9.140625" style="99" customWidth="1"/>
  </cols>
  <sheetData>
    <row r="1" spans="1:62">
      <c r="A1" s="98" t="s">
        <v>239</v>
      </c>
      <c r="AF1" s="98" t="s">
        <v>247</v>
      </c>
    </row>
    <row r="2" spans="1:62">
      <c r="A2" s="98"/>
      <c r="AF2" s="156" t="s">
        <v>423</v>
      </c>
      <c r="AG2" s="98"/>
    </row>
    <row r="3" spans="1:62">
      <c r="A3" s="98"/>
      <c r="AF3" s="156" t="s">
        <v>426</v>
      </c>
      <c r="AG3" s="98"/>
    </row>
    <row r="4" spans="1:62">
      <c r="A4" s="98"/>
      <c r="AG4" s="98"/>
    </row>
    <row r="5" spans="1:62">
      <c r="AA5" s="156" t="s">
        <v>424</v>
      </c>
    </row>
    <row r="6" spans="1:62" ht="51">
      <c r="C6" s="100" t="s">
        <v>231</v>
      </c>
      <c r="D6" s="100" t="s">
        <v>232</v>
      </c>
      <c r="E6" s="100" t="s">
        <v>233</v>
      </c>
      <c r="F6" s="100" t="s">
        <v>234</v>
      </c>
      <c r="G6" s="100" t="s">
        <v>92</v>
      </c>
      <c r="H6" s="100" t="s">
        <v>225</v>
      </c>
      <c r="I6" s="100" t="s">
        <v>226</v>
      </c>
      <c r="J6" s="100" t="s">
        <v>227</v>
      </c>
      <c r="K6" s="100" t="s">
        <v>228</v>
      </c>
      <c r="L6" s="100" t="s">
        <v>229</v>
      </c>
      <c r="M6" s="100" t="s">
        <v>230</v>
      </c>
      <c r="N6" s="100" t="s">
        <v>235</v>
      </c>
      <c r="O6" s="100" t="s">
        <v>236</v>
      </c>
      <c r="P6" s="100" t="s">
        <v>237</v>
      </c>
      <c r="Q6" s="100" t="s">
        <v>98</v>
      </c>
      <c r="R6" s="100" t="s">
        <v>238</v>
      </c>
      <c r="S6" s="100" t="s">
        <v>99</v>
      </c>
      <c r="T6" s="100" t="s">
        <v>71</v>
      </c>
      <c r="U6" s="100" t="s">
        <v>95</v>
      </c>
      <c r="V6" s="100" t="s">
        <v>223</v>
      </c>
      <c r="W6" s="100" t="s">
        <v>224</v>
      </c>
      <c r="X6" s="102" t="s">
        <v>169</v>
      </c>
      <c r="Y6" s="98" t="s">
        <v>240</v>
      </c>
      <c r="AA6" s="102" t="s">
        <v>258</v>
      </c>
      <c r="AC6" s="98" t="s">
        <v>241</v>
      </c>
      <c r="AD6" s="98"/>
      <c r="AF6" s="100" t="s">
        <v>246</v>
      </c>
      <c r="AG6" s="98" t="e">
        <f>'Autoproducers Calculations'!#REF!</f>
        <v>#REF!</v>
      </c>
      <c r="AH6" s="98" t="e">
        <f>'Autoproducers Calculations'!#REF!</f>
        <v>#REF!</v>
      </c>
      <c r="AI6" s="98" t="e">
        <f>'Autoproducers Calculations'!#REF!</f>
        <v>#REF!</v>
      </c>
      <c r="AJ6" s="98" t="e">
        <f>'Autoproducers Calculations'!#REF!</f>
        <v>#REF!</v>
      </c>
      <c r="AK6" s="98" t="e">
        <f>'Autoproducers Calculations'!#REF!</f>
        <v>#REF!</v>
      </c>
      <c r="AL6" s="98" t="e">
        <f>'Autoproducers Calculations'!#REF!</f>
        <v>#REF!</v>
      </c>
      <c r="AM6" s="98" t="e">
        <f>'Autoproducers Calculations'!#REF!</f>
        <v>#REF!</v>
      </c>
      <c r="AN6" s="98" t="e">
        <f>'Autoproducers Calculations'!#REF!</f>
        <v>#REF!</v>
      </c>
      <c r="AO6" s="98" t="e">
        <f>'Autoproducers Calculations'!#REF!</f>
        <v>#REF!</v>
      </c>
      <c r="AP6" s="98" t="e">
        <f>'Autoproducers Calculations'!#REF!</f>
        <v>#REF!</v>
      </c>
      <c r="AQ6" s="98" t="e">
        <f>'Autoproducers Calculations'!#REF!</f>
        <v>#REF!</v>
      </c>
      <c r="AR6" s="98" t="e">
        <f>'Autoproducers Calculations'!#REF!</f>
        <v>#REF!</v>
      </c>
      <c r="AS6" s="98" t="e">
        <f>'Autoproducers Calculations'!#REF!</f>
        <v>#REF!</v>
      </c>
      <c r="AT6" s="98" t="e">
        <f>'Autoproducers Calculations'!#REF!</f>
        <v>#REF!</v>
      </c>
      <c r="AU6" s="98" t="e">
        <f>'Autoproducers Calculations'!#REF!</f>
        <v>#REF!</v>
      </c>
      <c r="AV6" s="98" t="e">
        <f>'Autoproducers Calculations'!#REF!</f>
        <v>#REF!</v>
      </c>
      <c r="AW6" s="98" t="e">
        <f>'Autoproducers Calculations'!#REF!</f>
        <v>#REF!</v>
      </c>
      <c r="AX6" s="98" t="e">
        <f>'Autoproducers Calculations'!#REF!</f>
        <v>#REF!</v>
      </c>
      <c r="AY6" s="98" t="e">
        <f>'Autoproducers Calculations'!#REF!</f>
        <v>#REF!</v>
      </c>
      <c r="AZ6" s="98" t="e">
        <f>'Autoproducers Calculations'!#REF!</f>
        <v>#REF!</v>
      </c>
      <c r="BA6" s="98" t="e">
        <f>'Autoproducers Calculations'!#REF!</f>
        <v>#REF!</v>
      </c>
      <c r="BB6" s="98" t="e">
        <f>'Autoproducers Calculations'!#REF!</f>
        <v>#REF!</v>
      </c>
      <c r="BC6" s="98" t="e">
        <f>'Autoproducers Calculations'!#REF!</f>
        <v>#REF!</v>
      </c>
      <c r="BD6" s="98" t="e">
        <f>'Autoproducers Calculations'!#REF!</f>
        <v>#REF!</v>
      </c>
      <c r="BE6" s="98" t="e">
        <f>'Autoproducers Calculations'!#REF!</f>
        <v>#REF!</v>
      </c>
      <c r="BF6" s="98" t="e">
        <f>'Autoproducers Calculations'!#REF!</f>
        <v>#REF!</v>
      </c>
      <c r="BG6" s="98" t="e">
        <f>'Autoproducers Calculations'!#REF!</f>
        <v>#REF!</v>
      </c>
      <c r="BH6" s="98" t="e">
        <f>'Autoproducers Calculations'!#REF!</f>
        <v>#REF!</v>
      </c>
      <c r="BI6" s="98" t="e">
        <f>'Autoproducers Calculations'!#REF!</f>
        <v>#REF!</v>
      </c>
      <c r="BJ6" s="98" t="e">
        <f>'Autoproducers Calculations'!#REF!</f>
        <v>#REF!</v>
      </c>
    </row>
    <row r="7" spans="1:62">
      <c r="A7" s="99" t="s">
        <v>192</v>
      </c>
      <c r="B7" s="99" t="s">
        <v>204</v>
      </c>
      <c r="C7" s="101">
        <v>0</v>
      </c>
      <c r="D7" s="101">
        <v>0</v>
      </c>
      <c r="E7" s="101">
        <v>0</v>
      </c>
      <c r="F7" s="101">
        <v>0</v>
      </c>
      <c r="G7" s="101">
        <v>16.88</v>
      </c>
      <c r="H7" s="101">
        <v>2.254</v>
      </c>
      <c r="I7" s="101">
        <v>0</v>
      </c>
      <c r="J7" s="101">
        <v>0</v>
      </c>
      <c r="K7" s="101">
        <v>0</v>
      </c>
      <c r="L7" s="101">
        <v>1.04</v>
      </c>
      <c r="M7" s="101">
        <v>8.3119999999999994</v>
      </c>
      <c r="N7" s="101">
        <v>0</v>
      </c>
      <c r="O7" s="101">
        <v>0</v>
      </c>
      <c r="P7" s="101">
        <v>0</v>
      </c>
      <c r="Q7" s="101">
        <v>0</v>
      </c>
      <c r="R7" s="101">
        <v>0</v>
      </c>
      <c r="S7" s="101">
        <v>0</v>
      </c>
      <c r="T7" s="725">
        <v>6.782616</v>
      </c>
      <c r="U7" s="101">
        <v>0</v>
      </c>
      <c r="V7" s="101">
        <v>0</v>
      </c>
      <c r="W7" s="101">
        <v>0</v>
      </c>
      <c r="X7" s="103">
        <f>SUM(C7:W7)</f>
        <v>35.268615999999994</v>
      </c>
      <c r="Y7" s="103">
        <f>SUM(X7:X17)</f>
        <v>267.54044799999997</v>
      </c>
      <c r="Z7" s="98" t="s">
        <v>56</v>
      </c>
      <c r="AA7" s="101">
        <f>$AF$7*$X7</f>
        <v>84.737470443676159</v>
      </c>
      <c r="AB7" s="98"/>
      <c r="AC7" s="101">
        <f t="shared" ref="AC7:AC17" si="0">SUM(X7,X18,X40,X51,X73,X84,X106,X117,X62,X128,X139,X150,X161,X194,X172,X183,X205,X216,X227,X238,X282,X271,X95,X260,X293)</f>
        <v>1867.5360399999997</v>
      </c>
      <c r="AD7" s="98" t="s">
        <v>155</v>
      </c>
      <c r="AE7" s="98" t="s">
        <v>155</v>
      </c>
      <c r="AF7" s="105">
        <f>CHP2002bySector!B36/'IND_CONS Sector all'!AC7</f>
        <v>2.4026310089308911</v>
      </c>
      <c r="AG7" s="101">
        <f>$AF7*$X7</f>
        <v>84.737470443676159</v>
      </c>
      <c r="AO7" s="99"/>
      <c r="AP7" s="99"/>
      <c r="AQ7" s="99"/>
      <c r="AR7" s="99"/>
      <c r="AS7" s="99"/>
      <c r="AT7" s="99"/>
      <c r="AU7" s="99"/>
      <c r="AV7" s="99"/>
      <c r="AW7" s="99"/>
      <c r="AX7" s="99"/>
      <c r="AY7" s="99"/>
      <c r="AZ7" s="99"/>
      <c r="BA7" s="99"/>
      <c r="BB7" s="99"/>
      <c r="BC7" s="99"/>
      <c r="BD7" s="99"/>
      <c r="BE7" s="99"/>
      <c r="BF7" s="99"/>
      <c r="BG7" s="99"/>
      <c r="BH7" s="99"/>
      <c r="BI7" s="99"/>
      <c r="BJ7" s="99"/>
    </row>
    <row r="8" spans="1:62">
      <c r="A8" s="99" t="s">
        <v>192</v>
      </c>
      <c r="B8" s="99" t="s">
        <v>205</v>
      </c>
      <c r="C8" s="101">
        <v>0</v>
      </c>
      <c r="D8" s="101">
        <v>42.920999999999999</v>
      </c>
      <c r="E8" s="101">
        <v>0</v>
      </c>
      <c r="F8" s="101">
        <v>0</v>
      </c>
      <c r="G8" s="101">
        <v>0</v>
      </c>
      <c r="H8" s="101">
        <v>0</v>
      </c>
      <c r="I8" s="101">
        <v>0</v>
      </c>
      <c r="J8" s="101">
        <v>0</v>
      </c>
      <c r="K8" s="101">
        <v>0</v>
      </c>
      <c r="L8" s="101">
        <v>0.4</v>
      </c>
      <c r="M8" s="101">
        <v>0</v>
      </c>
      <c r="N8" s="101">
        <v>0</v>
      </c>
      <c r="O8" s="101">
        <v>0</v>
      </c>
      <c r="P8" s="101">
        <v>0</v>
      </c>
      <c r="Q8" s="101">
        <v>0</v>
      </c>
      <c r="R8" s="101">
        <v>0</v>
      </c>
      <c r="S8" s="101">
        <v>0</v>
      </c>
      <c r="T8" s="101">
        <v>16.024999999999999</v>
      </c>
      <c r="U8" s="101">
        <v>2.2709999999999999</v>
      </c>
      <c r="V8" s="101">
        <v>12.644</v>
      </c>
      <c r="W8" s="101">
        <v>0</v>
      </c>
      <c r="X8" s="103">
        <f t="shared" ref="X8:X82" si="1">SUM(C8:W8)</f>
        <v>74.260999999999996</v>
      </c>
      <c r="AA8" s="101">
        <f>$AF$8*$X8</f>
        <v>53.701883845273187</v>
      </c>
      <c r="AC8" s="101">
        <f t="shared" si="0"/>
        <v>1970.5439999999999</v>
      </c>
      <c r="AD8" s="98" t="s">
        <v>249</v>
      </c>
      <c r="AE8" s="98" t="s">
        <v>242</v>
      </c>
      <c r="AF8" s="105">
        <f>CHP2002bySector!B37/'IND_CONS Sector all'!AC8</f>
        <v>0.72315056146932022</v>
      </c>
      <c r="AG8" s="101">
        <f>$AF8*$X8</f>
        <v>53.701883845273187</v>
      </c>
      <c r="AO8" s="99"/>
      <c r="AP8" s="99"/>
      <c r="AQ8" s="99"/>
      <c r="AR8" s="99"/>
      <c r="AS8" s="99"/>
      <c r="AT8" s="99"/>
      <c r="AU8" s="99"/>
      <c r="AV8" s="99"/>
      <c r="AW8" s="99"/>
      <c r="AX8" s="99"/>
      <c r="AY8" s="99"/>
      <c r="AZ8" s="99"/>
      <c r="BA8" s="99"/>
      <c r="BB8" s="99"/>
      <c r="BC8" s="99"/>
      <c r="BD8" s="99"/>
      <c r="BE8" s="99"/>
      <c r="BF8" s="99"/>
      <c r="BG8" s="99"/>
      <c r="BH8" s="99"/>
      <c r="BI8" s="99"/>
      <c r="BJ8" s="99"/>
    </row>
    <row r="9" spans="1:62">
      <c r="A9" s="99" t="s">
        <v>192</v>
      </c>
      <c r="B9" s="99" t="s">
        <v>206</v>
      </c>
      <c r="C9" s="101">
        <v>0</v>
      </c>
      <c r="D9" s="101">
        <v>0.114</v>
      </c>
      <c r="E9" s="101">
        <v>0</v>
      </c>
      <c r="F9" s="101">
        <v>0</v>
      </c>
      <c r="G9" s="101">
        <v>0</v>
      </c>
      <c r="H9" s="101">
        <v>0.184</v>
      </c>
      <c r="I9" s="101">
        <v>0</v>
      </c>
      <c r="J9" s="101">
        <v>0</v>
      </c>
      <c r="K9" s="101">
        <v>4.2999999999999997E-2</v>
      </c>
      <c r="L9" s="101">
        <v>0.24</v>
      </c>
      <c r="M9" s="101">
        <v>0</v>
      </c>
      <c r="N9" s="101">
        <v>0</v>
      </c>
      <c r="O9" s="101">
        <v>0</v>
      </c>
      <c r="P9" s="101">
        <v>0</v>
      </c>
      <c r="Q9" s="101">
        <v>0</v>
      </c>
      <c r="R9" s="101">
        <v>0</v>
      </c>
      <c r="S9" s="101">
        <v>0</v>
      </c>
      <c r="T9" s="101">
        <v>3.11</v>
      </c>
      <c r="U9" s="101">
        <v>0</v>
      </c>
      <c r="V9" s="101">
        <v>0</v>
      </c>
      <c r="W9" s="101">
        <v>0</v>
      </c>
      <c r="X9" s="103">
        <f t="shared" si="1"/>
        <v>3.6909999999999998</v>
      </c>
      <c r="AA9" s="101">
        <f>$AF$9*$X10</f>
        <v>223.04606602287413</v>
      </c>
      <c r="AC9" s="101">
        <f t="shared" si="0"/>
        <v>183.48499999999999</v>
      </c>
      <c r="AD9" s="98" t="s">
        <v>250</v>
      </c>
      <c r="AE9" s="98" t="s">
        <v>243</v>
      </c>
      <c r="AF9" s="105">
        <f>CHP2002bySector!B39/'IND_CONS Sector all'!AC10</f>
        <v>9.8772352049591969</v>
      </c>
      <c r="AG9" s="101">
        <f>$AF9*$X10</f>
        <v>223.04606602287413</v>
      </c>
      <c r="AO9" s="99"/>
      <c r="AP9" s="99"/>
      <c r="AQ9" s="99"/>
      <c r="AR9" s="99"/>
      <c r="AS9" s="99"/>
      <c r="AT9" s="99"/>
      <c r="AU9" s="99"/>
      <c r="AV9" s="99"/>
      <c r="AW9" s="99"/>
      <c r="AX9" s="99"/>
      <c r="AY9" s="99"/>
      <c r="AZ9" s="99"/>
      <c r="BA9" s="99"/>
      <c r="BB9" s="99"/>
      <c r="BC9" s="99"/>
      <c r="BD9" s="99"/>
      <c r="BE9" s="99"/>
      <c r="BF9" s="99"/>
      <c r="BG9" s="99"/>
      <c r="BH9" s="99"/>
      <c r="BI9" s="99"/>
      <c r="BJ9" s="99"/>
    </row>
    <row r="10" spans="1:62">
      <c r="A10" s="99" t="s">
        <v>192</v>
      </c>
      <c r="B10" s="99" t="s">
        <v>207</v>
      </c>
      <c r="C10" s="725">
        <v>1.0048319999999999</v>
      </c>
      <c r="D10" s="101">
        <v>0.25700000000000001</v>
      </c>
      <c r="E10" s="101">
        <v>0</v>
      </c>
      <c r="F10" s="101">
        <v>0</v>
      </c>
      <c r="G10" s="101">
        <v>0</v>
      </c>
      <c r="H10" s="101">
        <v>4.5999999999999999E-2</v>
      </c>
      <c r="I10" s="101">
        <v>0</v>
      </c>
      <c r="J10" s="101">
        <v>0</v>
      </c>
      <c r="K10" s="101">
        <v>4.2999999999999997E-2</v>
      </c>
      <c r="L10" s="101">
        <v>0.44</v>
      </c>
      <c r="M10" s="101">
        <v>0</v>
      </c>
      <c r="N10" s="101">
        <v>0</v>
      </c>
      <c r="O10" s="101">
        <v>1.353</v>
      </c>
      <c r="P10" s="101">
        <v>0.153</v>
      </c>
      <c r="Q10" s="101">
        <v>0</v>
      </c>
      <c r="R10" s="101">
        <v>0</v>
      </c>
      <c r="S10" s="101">
        <v>3.8090000000000002</v>
      </c>
      <c r="T10" s="101">
        <v>15.476000000000001</v>
      </c>
      <c r="U10" s="101">
        <v>0</v>
      </c>
      <c r="V10" s="101">
        <v>0</v>
      </c>
      <c r="W10" s="101">
        <v>0</v>
      </c>
      <c r="X10" s="103">
        <f t="shared" si="1"/>
        <v>22.581831999999999</v>
      </c>
      <c r="AA10" s="101">
        <f>$AF$10*$X15</f>
        <v>348.78257191931573</v>
      </c>
      <c r="AC10" s="101">
        <f t="shared" si="0"/>
        <v>1346.5306559999999</v>
      </c>
      <c r="AD10" s="98" t="s">
        <v>158</v>
      </c>
      <c r="AE10" s="98" t="s">
        <v>244</v>
      </c>
      <c r="AF10" s="105">
        <f>CHP2002bySector!B44/'IND_CONS Sector all'!AC15</f>
        <v>8.3075117168282144</v>
      </c>
      <c r="AG10" s="101">
        <f>$AF10*$X15</f>
        <v>348.78257191931573</v>
      </c>
      <c r="AO10" s="99"/>
      <c r="AP10" s="99"/>
      <c r="AQ10" s="99"/>
      <c r="AR10" s="99"/>
      <c r="AS10" s="99"/>
      <c r="AT10" s="99"/>
      <c r="AU10" s="99"/>
      <c r="AV10" s="99"/>
      <c r="AW10" s="99"/>
      <c r="AX10" s="99"/>
      <c r="AY10" s="99"/>
      <c r="AZ10" s="99"/>
      <c r="BA10" s="99"/>
      <c r="BB10" s="99"/>
      <c r="BC10" s="99"/>
      <c r="BD10" s="99"/>
      <c r="BE10" s="99"/>
      <c r="BF10" s="99"/>
      <c r="BG10" s="99"/>
      <c r="BH10" s="99"/>
      <c r="BI10" s="99"/>
      <c r="BJ10" s="99"/>
    </row>
    <row r="11" spans="1:62">
      <c r="A11" s="99" t="s">
        <v>192</v>
      </c>
      <c r="B11" s="99" t="s">
        <v>208</v>
      </c>
      <c r="C11" s="101">
        <v>3.8940000000000001</v>
      </c>
      <c r="D11" s="101">
        <v>0.39900000000000002</v>
      </c>
      <c r="E11" s="101">
        <v>0.05</v>
      </c>
      <c r="F11" s="101">
        <v>0</v>
      </c>
      <c r="G11" s="101">
        <v>0</v>
      </c>
      <c r="H11" s="101">
        <v>0.184</v>
      </c>
      <c r="I11" s="101">
        <v>0</v>
      </c>
      <c r="J11" s="101">
        <v>0</v>
      </c>
      <c r="K11" s="101">
        <v>0.21299999999999999</v>
      </c>
      <c r="L11" s="101">
        <v>1.8</v>
      </c>
      <c r="M11" s="101">
        <v>2.08</v>
      </c>
      <c r="N11" s="101">
        <v>0</v>
      </c>
      <c r="O11" s="101">
        <v>5.8999999999999997E-2</v>
      </c>
      <c r="P11" s="101">
        <v>0</v>
      </c>
      <c r="Q11" s="101">
        <v>0</v>
      </c>
      <c r="R11" s="101">
        <v>0</v>
      </c>
      <c r="S11" s="101">
        <v>5.0049999999999999</v>
      </c>
      <c r="T11" s="101">
        <v>13.734</v>
      </c>
      <c r="U11" s="101">
        <v>0</v>
      </c>
      <c r="V11" s="101">
        <v>0</v>
      </c>
      <c r="W11" s="101">
        <v>0</v>
      </c>
      <c r="X11" s="103">
        <f t="shared" si="1"/>
        <v>27.417999999999999</v>
      </c>
      <c r="AA11" s="101">
        <f>$AF$11*(X9+X11+$X12+X13+X14+X16+X17)</f>
        <v>151.65457738323551</v>
      </c>
      <c r="AC11" s="101">
        <f t="shared" si="0"/>
        <v>1469.73</v>
      </c>
      <c r="AD11" s="98" t="s">
        <v>251</v>
      </c>
      <c r="AE11" s="98" t="s">
        <v>248</v>
      </c>
      <c r="AF11" s="105">
        <f>SUM(CHP2002bySector!B38,CHP2002bySector!B40,CHP2002bySector!B41,CHP2002bySector!B42:B43,CHP2002bySector!B45:B46)/SUM('IND_CONS Sector all'!AC9,'IND_CONS Sector all'!AC11:AC14,'IND_CONS Sector all'!AC16:AC17)</f>
        <v>1.6229287536329982</v>
      </c>
      <c r="AG11" s="101">
        <f>$AF11*(X9+X11+$X12+X13+X14+X16+X17)</f>
        <v>151.65457738323551</v>
      </c>
      <c r="AO11" s="99"/>
      <c r="AP11" s="99"/>
      <c r="AQ11" s="99"/>
      <c r="AR11" s="99"/>
      <c r="AS11" s="99"/>
      <c r="AT11" s="99"/>
      <c r="AU11" s="99"/>
      <c r="AV11" s="99"/>
      <c r="AW11" s="99"/>
      <c r="AX11" s="99"/>
      <c r="AY11" s="99"/>
      <c r="AZ11" s="99"/>
      <c r="BA11" s="99"/>
      <c r="BB11" s="99"/>
      <c r="BC11" s="99"/>
      <c r="BD11" s="99"/>
      <c r="BE11" s="99"/>
      <c r="BF11" s="99"/>
      <c r="BG11" s="99"/>
      <c r="BH11" s="99"/>
      <c r="BI11" s="99"/>
      <c r="BJ11" s="99"/>
    </row>
    <row r="12" spans="1:62">
      <c r="A12" s="99" t="s">
        <v>192</v>
      </c>
      <c r="B12" s="99" t="s">
        <v>209</v>
      </c>
      <c r="C12" s="101">
        <v>0</v>
      </c>
      <c r="D12" s="101">
        <v>0</v>
      </c>
      <c r="E12" s="101">
        <v>0</v>
      </c>
      <c r="F12" s="101">
        <v>0</v>
      </c>
      <c r="G12" s="101">
        <v>0</v>
      </c>
      <c r="H12" s="101">
        <v>9.1999999999999998E-2</v>
      </c>
      <c r="I12" s="101">
        <v>0</v>
      </c>
      <c r="J12" s="101">
        <v>0</v>
      </c>
      <c r="K12" s="101">
        <v>0.29799999999999999</v>
      </c>
      <c r="L12" s="101">
        <v>0.4</v>
      </c>
      <c r="M12" s="101">
        <v>0</v>
      </c>
      <c r="N12" s="101">
        <v>0</v>
      </c>
      <c r="O12" s="101">
        <v>2.1999999999999999E-2</v>
      </c>
      <c r="P12" s="101">
        <v>0</v>
      </c>
      <c r="Q12" s="101">
        <v>0</v>
      </c>
      <c r="R12" s="101">
        <v>0</v>
      </c>
      <c r="S12" s="101">
        <v>0</v>
      </c>
      <c r="T12" s="101">
        <v>2.7029999999999998</v>
      </c>
      <c r="U12" s="101">
        <v>0</v>
      </c>
      <c r="V12" s="101">
        <v>0</v>
      </c>
      <c r="W12" s="101">
        <v>0</v>
      </c>
      <c r="X12" s="103">
        <f t="shared" si="1"/>
        <v>3.5149999999999997</v>
      </c>
      <c r="AC12" s="101">
        <f t="shared" si="0"/>
        <v>68.960999999999999</v>
      </c>
      <c r="AD12" s="98" t="s">
        <v>252</v>
      </c>
      <c r="AE12" s="104">
        <f>(CHP2002bySector!B40+CHP2002bySector!B41)/('IND_CONS Sector all'!AC11+'IND_CONS Sector all'!AC12)</f>
        <v>0.42243699352241615</v>
      </c>
      <c r="AO12" s="99"/>
      <c r="AP12" s="99"/>
      <c r="AQ12" s="99"/>
      <c r="AR12" s="99"/>
      <c r="AS12" s="99"/>
      <c r="AT12" s="99"/>
      <c r="AU12" s="99"/>
      <c r="AV12" s="99"/>
      <c r="AW12" s="99"/>
      <c r="AX12" s="99"/>
      <c r="AY12" s="99"/>
      <c r="AZ12" s="99"/>
      <c r="BA12" s="99"/>
      <c r="BB12" s="99"/>
      <c r="BC12" s="99"/>
      <c r="BD12" s="99"/>
      <c r="BE12" s="99"/>
      <c r="BF12" s="99"/>
      <c r="BG12" s="99"/>
      <c r="BH12" s="99"/>
      <c r="BI12" s="99"/>
      <c r="BJ12" s="99"/>
    </row>
    <row r="13" spans="1:62">
      <c r="A13" s="99" t="s">
        <v>192</v>
      </c>
      <c r="B13" s="99" t="s">
        <v>210</v>
      </c>
      <c r="C13" s="101">
        <v>0</v>
      </c>
      <c r="D13" s="101">
        <v>0.114</v>
      </c>
      <c r="E13" s="101">
        <v>0</v>
      </c>
      <c r="F13" s="101">
        <v>0</v>
      </c>
      <c r="G13" s="101">
        <v>0</v>
      </c>
      <c r="H13" s="101">
        <v>0.23</v>
      </c>
      <c r="I13" s="101">
        <v>0</v>
      </c>
      <c r="J13" s="101">
        <v>0</v>
      </c>
      <c r="K13" s="101">
        <v>0.89500000000000002</v>
      </c>
      <c r="L13" s="101">
        <v>1.4</v>
      </c>
      <c r="M13" s="101">
        <v>0</v>
      </c>
      <c r="N13" s="101">
        <v>0</v>
      </c>
      <c r="O13" s="101">
        <v>0.14499999999999999</v>
      </c>
      <c r="P13" s="101">
        <v>9.2999999999999999E-2</v>
      </c>
      <c r="Q13" s="101">
        <v>0</v>
      </c>
      <c r="R13" s="101">
        <v>0</v>
      </c>
      <c r="S13" s="101">
        <v>0</v>
      </c>
      <c r="T13" s="101">
        <v>11.291</v>
      </c>
      <c r="U13" s="101">
        <v>0</v>
      </c>
      <c r="V13" s="101">
        <v>0</v>
      </c>
      <c r="W13" s="101">
        <v>0</v>
      </c>
      <c r="X13" s="103">
        <f t="shared" si="1"/>
        <v>14.168000000000001</v>
      </c>
      <c r="AC13" s="101">
        <f t="shared" si="0"/>
        <v>797.61699999999996</v>
      </c>
      <c r="AD13" s="98" t="s">
        <v>253</v>
      </c>
      <c r="AE13" s="104">
        <f>CHP2002bySector!B42/'IND_CONS Sector all'!AC13</f>
        <v>4.9121320132344222</v>
      </c>
      <c r="AF13" s="98" t="s">
        <v>257</v>
      </c>
      <c r="AG13" s="101">
        <f>'Autoproducers Calculations'!E127</f>
        <v>1.7095</v>
      </c>
      <c r="AH13" s="101">
        <f>'Autoproducers Calculations'!F127</f>
        <v>0.53487000000000007</v>
      </c>
      <c r="AI13" s="101">
        <f>'Autoproducers Calculations'!G127</f>
        <v>0.18921000000000002</v>
      </c>
      <c r="AJ13" s="101">
        <f>'Autoproducers Calculations'!H127</f>
        <v>0.01</v>
      </c>
      <c r="AK13" s="101">
        <f>'Autoproducers Calculations'!I127</f>
        <v>1.4044859813084112</v>
      </c>
      <c r="AL13" s="101">
        <f>'Autoproducers Calculations'!J127</f>
        <v>6.8355199999999989</v>
      </c>
      <c r="AM13" s="101">
        <f>'Autoproducers Calculations'!K127</f>
        <v>3.82368</v>
      </c>
      <c r="AN13" s="101">
        <f>'Autoproducers Calculations'!L127</f>
        <v>0.16747663551401867</v>
      </c>
      <c r="AO13" s="101">
        <f>'Autoproducers Calculations'!M127</f>
        <v>3.05</v>
      </c>
      <c r="AP13" s="101">
        <f>'Autoproducers Calculations'!N127</f>
        <v>1.8014700000000003</v>
      </c>
      <c r="AQ13" s="101">
        <f>'Autoproducers Calculations'!O127</f>
        <v>3.8345999999999996</v>
      </c>
      <c r="AR13" s="101" t="e">
        <f>'Autoproducers Calculations'!P127</f>
        <v>#REF!</v>
      </c>
      <c r="AS13" s="101">
        <f>'Autoproducers Calculations'!Q127</f>
        <v>0.126448598130841</v>
      </c>
      <c r="AT13" s="101">
        <f>'Autoproducers Calculations'!R127</f>
        <v>0.11</v>
      </c>
      <c r="AU13" s="101">
        <f>'Autoproducers Calculations'!S127</f>
        <v>2.4090099999999999</v>
      </c>
      <c r="AV13" s="101">
        <f>'Autoproducers Calculations'!T127</f>
        <v>0.28599999999999992</v>
      </c>
      <c r="AW13" s="101">
        <f>'Autoproducers Calculations'!U127</f>
        <v>0.1</v>
      </c>
      <c r="AX13" s="101">
        <f>'Autoproducers Calculations'!V127</f>
        <v>2.183000000000002E-2</v>
      </c>
      <c r="AY13" s="101">
        <f>'Autoproducers Calculations'!W127</f>
        <v>0</v>
      </c>
      <c r="AZ13" s="101">
        <f>'Autoproducers Calculations'!X127</f>
        <v>2.8640000000000003</v>
      </c>
      <c r="BA13" s="101">
        <f>'Autoproducers Calculations'!Y127</f>
        <v>1.8780599999999998</v>
      </c>
      <c r="BB13" s="101">
        <f>'Autoproducers Calculations'!Z127</f>
        <v>0.34451999999999999</v>
      </c>
      <c r="BC13" s="101">
        <f>'Autoproducers Calculations'!AA127</f>
        <v>0.28350000000000025</v>
      </c>
      <c r="BD13" s="101">
        <f>'Autoproducers Calculations'!AB127</f>
        <v>1.3227100000000001</v>
      </c>
      <c r="BE13" s="101">
        <f>'Autoproducers Calculations'!AC127</f>
        <v>8.7720000000000006E-2</v>
      </c>
      <c r="BF13" s="101">
        <f>'Autoproducers Calculations'!AD127</f>
        <v>2.4344999999999999</v>
      </c>
      <c r="BG13" s="101">
        <f>'Autoproducers Calculations'!AE127</f>
        <v>4.9286400000000006</v>
      </c>
      <c r="BH13" s="101">
        <f>'Autoproducers Calculations'!AF127</f>
        <v>0</v>
      </c>
      <c r="BI13" s="101">
        <f>'Autoproducers Calculations'!AG127</f>
        <v>0</v>
      </c>
      <c r="BJ13" s="101">
        <f>'Autoproducers Calculations'!AH127</f>
        <v>0</v>
      </c>
    </row>
    <row r="14" spans="1:62">
      <c r="A14" s="99" t="s">
        <v>192</v>
      </c>
      <c r="B14" s="99" t="s">
        <v>211</v>
      </c>
      <c r="C14" s="101">
        <v>0</v>
      </c>
      <c r="D14" s="101">
        <v>0</v>
      </c>
      <c r="E14" s="101">
        <v>0</v>
      </c>
      <c r="F14" s="101">
        <v>0</v>
      </c>
      <c r="G14" s="101">
        <v>0</v>
      </c>
      <c r="H14" s="101">
        <v>0</v>
      </c>
      <c r="I14" s="101">
        <v>0</v>
      </c>
      <c r="J14" s="101">
        <v>0</v>
      </c>
      <c r="K14" s="101">
        <v>0.128</v>
      </c>
      <c r="L14" s="101">
        <v>0.4</v>
      </c>
      <c r="M14" s="101">
        <v>0</v>
      </c>
      <c r="N14" s="101">
        <v>0</v>
      </c>
      <c r="O14" s="101">
        <v>0.02</v>
      </c>
      <c r="P14" s="101">
        <v>0</v>
      </c>
      <c r="Q14" s="101">
        <v>0</v>
      </c>
      <c r="R14" s="101">
        <v>0</v>
      </c>
      <c r="S14" s="101">
        <v>0</v>
      </c>
      <c r="T14" s="101">
        <v>2.0470000000000002</v>
      </c>
      <c r="U14" s="101">
        <v>0</v>
      </c>
      <c r="V14" s="101">
        <v>0</v>
      </c>
      <c r="W14" s="101">
        <v>0</v>
      </c>
      <c r="X14" s="103">
        <f t="shared" si="1"/>
        <v>2.5950000000000002</v>
      </c>
      <c r="AC14" s="101">
        <f t="shared" si="0"/>
        <v>195.923</v>
      </c>
      <c r="AD14" s="98" t="s">
        <v>254</v>
      </c>
      <c r="AE14" s="104">
        <f>CHP2002bySector!B43/'IND_CONS Sector all'!AC14</f>
        <v>3.0675316323249437</v>
      </c>
      <c r="AF14" s="98" t="s">
        <v>155</v>
      </c>
      <c r="AI14" s="101"/>
    </row>
    <row r="15" spans="1:62">
      <c r="A15" s="99" t="s">
        <v>192</v>
      </c>
      <c r="B15" s="99" t="s">
        <v>212</v>
      </c>
      <c r="C15" s="101">
        <v>2.5099999999999998</v>
      </c>
      <c r="D15" s="101">
        <v>0</v>
      </c>
      <c r="E15" s="101">
        <v>0.56000000000000005</v>
      </c>
      <c r="F15" s="101">
        <v>0</v>
      </c>
      <c r="G15" s="101">
        <v>0</v>
      </c>
      <c r="H15" s="101">
        <v>4.5999999999999999E-2</v>
      </c>
      <c r="I15" s="101">
        <v>0</v>
      </c>
      <c r="J15" s="101">
        <v>0</v>
      </c>
      <c r="K15" s="101">
        <v>0.128</v>
      </c>
      <c r="L15" s="101">
        <v>1.52</v>
      </c>
      <c r="M15" s="101">
        <v>0</v>
      </c>
      <c r="N15" s="101">
        <v>0</v>
      </c>
      <c r="O15" s="101">
        <v>16.437000000000001</v>
      </c>
      <c r="P15" s="101">
        <v>0.112</v>
      </c>
      <c r="Q15" s="101">
        <v>0</v>
      </c>
      <c r="R15" s="101">
        <v>0</v>
      </c>
      <c r="S15" s="101">
        <v>0.125</v>
      </c>
      <c r="T15" s="101">
        <v>20.545999999999999</v>
      </c>
      <c r="U15" s="101">
        <v>0</v>
      </c>
      <c r="V15" s="101">
        <v>0</v>
      </c>
      <c r="W15" s="101">
        <v>0</v>
      </c>
      <c r="X15" s="103">
        <f t="shared" si="1"/>
        <v>41.983999999999995</v>
      </c>
      <c r="AC15" s="101">
        <f t="shared" si="0"/>
        <v>899.06583999999998</v>
      </c>
      <c r="AD15" s="98" t="s">
        <v>255</v>
      </c>
      <c r="AE15" s="98"/>
      <c r="AF15" s="98" t="s">
        <v>242</v>
      </c>
      <c r="AI15" s="101"/>
    </row>
    <row r="16" spans="1:62">
      <c r="A16" s="99" t="s">
        <v>192</v>
      </c>
      <c r="B16" s="99" t="s">
        <v>213</v>
      </c>
      <c r="C16" s="101">
        <v>0</v>
      </c>
      <c r="D16" s="101">
        <v>0</v>
      </c>
      <c r="E16" s="101">
        <v>0</v>
      </c>
      <c r="F16" s="101">
        <v>0</v>
      </c>
      <c r="G16" s="101">
        <v>0</v>
      </c>
      <c r="H16" s="101">
        <v>0.55200000000000005</v>
      </c>
      <c r="I16" s="101">
        <v>0</v>
      </c>
      <c r="J16" s="101">
        <v>0</v>
      </c>
      <c r="K16" s="101">
        <v>0.46899999999999997</v>
      </c>
      <c r="L16" s="101">
        <v>1.4</v>
      </c>
      <c r="M16" s="101">
        <v>0</v>
      </c>
      <c r="N16" s="101">
        <v>0</v>
      </c>
      <c r="O16" s="101">
        <v>0.317</v>
      </c>
      <c r="P16" s="101">
        <v>0</v>
      </c>
      <c r="Q16" s="101">
        <v>0</v>
      </c>
      <c r="R16" s="101">
        <v>0</v>
      </c>
      <c r="S16" s="101">
        <v>0.03</v>
      </c>
      <c r="T16" s="101">
        <v>8.5960000000000001</v>
      </c>
      <c r="U16" s="101">
        <v>0</v>
      </c>
      <c r="V16" s="101">
        <v>0</v>
      </c>
      <c r="W16" s="101">
        <v>0</v>
      </c>
      <c r="X16" s="103">
        <f t="shared" si="1"/>
        <v>11.364000000000001</v>
      </c>
      <c r="AC16" s="101">
        <f t="shared" si="0"/>
        <v>598.56600000000003</v>
      </c>
      <c r="AD16" s="98" t="s">
        <v>256</v>
      </c>
      <c r="AE16" s="106">
        <f>CHP2002bySector!B45/'IND_CONS Sector all'!AC16</f>
        <v>1.0892700220192928</v>
      </c>
      <c r="AF16" s="98" t="s">
        <v>243</v>
      </c>
      <c r="AI16" s="101"/>
    </row>
    <row r="17" spans="1:35">
      <c r="A17" s="99" t="s">
        <v>192</v>
      </c>
      <c r="B17" s="99" t="s">
        <v>214</v>
      </c>
      <c r="C17" s="101">
        <v>0</v>
      </c>
      <c r="D17" s="101">
        <v>0</v>
      </c>
      <c r="E17" s="101">
        <v>0</v>
      </c>
      <c r="F17" s="101">
        <v>0</v>
      </c>
      <c r="G17" s="101">
        <v>0</v>
      </c>
      <c r="H17" s="101">
        <v>0.36799999999999999</v>
      </c>
      <c r="I17" s="101">
        <v>0</v>
      </c>
      <c r="J17" s="101">
        <v>0</v>
      </c>
      <c r="K17" s="101">
        <v>12.567</v>
      </c>
      <c r="L17" s="101">
        <v>1.6</v>
      </c>
      <c r="M17" s="101">
        <v>0</v>
      </c>
      <c r="N17" s="101">
        <v>0</v>
      </c>
      <c r="O17" s="101">
        <v>8.5719999999999992</v>
      </c>
      <c r="P17" s="101">
        <v>0</v>
      </c>
      <c r="Q17" s="101">
        <v>0</v>
      </c>
      <c r="R17" s="101">
        <v>0</v>
      </c>
      <c r="S17" s="101">
        <v>1.071</v>
      </c>
      <c r="T17" s="101">
        <v>6.516</v>
      </c>
      <c r="U17" s="101">
        <v>0</v>
      </c>
      <c r="V17" s="101">
        <v>0</v>
      </c>
      <c r="W17" s="101">
        <v>0</v>
      </c>
      <c r="X17" s="103">
        <f t="shared" si="1"/>
        <v>30.694000000000003</v>
      </c>
      <c r="AC17" s="101">
        <f t="shared" si="0"/>
        <v>1030.9487960000001</v>
      </c>
      <c r="AD17" s="98" t="s">
        <v>245</v>
      </c>
      <c r="AE17" s="106">
        <f>CHP2002bySector!B46/'IND_CONS Sector all'!AC17</f>
        <v>1.0087794893743685</v>
      </c>
      <c r="AF17" s="98" t="s">
        <v>244</v>
      </c>
      <c r="AI17" s="101"/>
    </row>
    <row r="18" spans="1:35">
      <c r="A18" s="99" t="s">
        <v>180</v>
      </c>
      <c r="B18" s="99" t="s">
        <v>204</v>
      </c>
      <c r="C18" s="101">
        <v>0</v>
      </c>
      <c r="D18" s="101">
        <v>0</v>
      </c>
      <c r="E18" s="101">
        <v>0</v>
      </c>
      <c r="F18" s="101">
        <v>0</v>
      </c>
      <c r="G18" s="101">
        <v>22.670999999999999</v>
      </c>
      <c r="H18" s="101">
        <v>0</v>
      </c>
      <c r="I18" s="101">
        <v>0</v>
      </c>
      <c r="J18" s="101">
        <v>0</v>
      </c>
      <c r="K18" s="101">
        <v>0</v>
      </c>
      <c r="L18" s="101">
        <v>18.079999999999998</v>
      </c>
      <c r="M18" s="101">
        <v>7.52</v>
      </c>
      <c r="N18" s="101">
        <v>0</v>
      </c>
      <c r="O18" s="101">
        <v>0</v>
      </c>
      <c r="P18" s="101">
        <v>0</v>
      </c>
      <c r="Q18" s="101">
        <v>0</v>
      </c>
      <c r="R18" s="101">
        <v>0</v>
      </c>
      <c r="S18" s="101">
        <v>0</v>
      </c>
      <c r="T18" s="725">
        <v>2.58</v>
      </c>
      <c r="U18" s="101">
        <v>0</v>
      </c>
      <c r="V18" s="101">
        <v>0</v>
      </c>
      <c r="W18" s="101">
        <v>0</v>
      </c>
      <c r="X18" s="103">
        <f t="shared" si="1"/>
        <v>50.850999999999999</v>
      </c>
      <c r="Y18" s="103">
        <f>SUM(X18:X28)</f>
        <v>460.09794400000004</v>
      </c>
      <c r="Z18" s="98" t="s">
        <v>39</v>
      </c>
      <c r="AA18" s="101">
        <f>$AF$7*$X18</f>
        <v>122.17618943514474</v>
      </c>
      <c r="AB18" s="98"/>
      <c r="AC18" s="103">
        <f>SUM(AC7:AC17)</f>
        <v>10428.907332000001</v>
      </c>
      <c r="AD18" s="103"/>
      <c r="AF18" s="98" t="s">
        <v>248</v>
      </c>
    </row>
    <row r="19" spans="1:35">
      <c r="A19" s="99" t="s">
        <v>180</v>
      </c>
      <c r="B19" s="99" t="s">
        <v>205</v>
      </c>
      <c r="C19" s="101">
        <v>17.497</v>
      </c>
      <c r="D19" s="101">
        <v>49.676000000000002</v>
      </c>
      <c r="E19" s="101">
        <v>0</v>
      </c>
      <c r="F19" s="101">
        <v>0</v>
      </c>
      <c r="G19" s="101">
        <v>0</v>
      </c>
      <c r="H19" s="101">
        <v>0</v>
      </c>
      <c r="I19" s="101">
        <v>0</v>
      </c>
      <c r="J19" s="101">
        <v>0</v>
      </c>
      <c r="K19" s="101">
        <v>0.55400000000000005</v>
      </c>
      <c r="L19" s="101">
        <v>0.48</v>
      </c>
      <c r="M19" s="101">
        <v>0.35199999999999998</v>
      </c>
      <c r="N19" s="101">
        <v>0</v>
      </c>
      <c r="O19" s="101">
        <v>0</v>
      </c>
      <c r="P19" s="101">
        <v>0</v>
      </c>
      <c r="Q19" s="101">
        <v>0</v>
      </c>
      <c r="R19" s="101">
        <v>0</v>
      </c>
      <c r="S19" s="101">
        <v>0</v>
      </c>
      <c r="T19" s="101">
        <v>30.452000000000002</v>
      </c>
      <c r="U19" s="101">
        <v>8.0869999999999997</v>
      </c>
      <c r="V19" s="101">
        <v>12.673999999999999</v>
      </c>
      <c r="W19" s="101">
        <v>0</v>
      </c>
      <c r="X19" s="103">
        <f t="shared" si="1"/>
        <v>119.77200000000002</v>
      </c>
      <c r="AA19" s="101">
        <f>$AF$8*$X19</f>
        <v>86.61318904830344</v>
      </c>
      <c r="AC19" s="103">
        <f>SUM(Y7,Y18,Y40,Y51,Y73,Y84,Y106,Y117,Y62,Y128,Y139,Y150,Y161,Y194,Y172,Y183,Y205,Y216,Y227,Y238,Y282,Y271,Y95,Y260,Y293)</f>
        <v>10469.858332000002</v>
      </c>
      <c r="AD19" s="103"/>
      <c r="AE19" s="98"/>
      <c r="AF19" s="105"/>
    </row>
    <row r="20" spans="1:35">
      <c r="A20" s="99" t="s">
        <v>180</v>
      </c>
      <c r="B20" s="99" t="s">
        <v>206</v>
      </c>
      <c r="C20" s="101">
        <v>0</v>
      </c>
      <c r="D20" s="101">
        <v>0.627</v>
      </c>
      <c r="E20" s="101">
        <v>0</v>
      </c>
      <c r="F20" s="101">
        <v>0</v>
      </c>
      <c r="G20" s="101">
        <v>0</v>
      </c>
      <c r="H20" s="101">
        <v>0</v>
      </c>
      <c r="I20" s="101">
        <v>0</v>
      </c>
      <c r="J20" s="101">
        <v>0</v>
      </c>
      <c r="K20" s="101">
        <v>0.17</v>
      </c>
      <c r="L20" s="101">
        <v>1</v>
      </c>
      <c r="M20" s="101">
        <v>0.224</v>
      </c>
      <c r="N20" s="101">
        <v>0</v>
      </c>
      <c r="O20" s="101">
        <v>0</v>
      </c>
      <c r="P20" s="101">
        <v>0</v>
      </c>
      <c r="Q20" s="101">
        <v>0</v>
      </c>
      <c r="R20" s="101">
        <v>0</v>
      </c>
      <c r="S20" s="101">
        <v>0</v>
      </c>
      <c r="T20" s="101">
        <v>4.4459999999999997</v>
      </c>
      <c r="U20" s="101">
        <v>0</v>
      </c>
      <c r="V20" s="101">
        <v>0</v>
      </c>
      <c r="W20" s="101">
        <v>0</v>
      </c>
      <c r="X20" s="103">
        <f t="shared" si="1"/>
        <v>6.4670000000000005</v>
      </c>
      <c r="AA20" s="101">
        <f>$AF$9*$X21</f>
        <v>1580.1891666698157</v>
      </c>
      <c r="AC20" s="101"/>
      <c r="AD20" s="101"/>
      <c r="AE20" s="98"/>
      <c r="AF20" s="105"/>
    </row>
    <row r="21" spans="1:35">
      <c r="A21" s="99" t="s">
        <v>180</v>
      </c>
      <c r="B21" s="99" t="s">
        <v>207</v>
      </c>
      <c r="C21" s="725">
        <v>0.16747200000000001</v>
      </c>
      <c r="D21" s="725">
        <v>4.1868000000000002E-2</v>
      </c>
      <c r="E21" s="725">
        <v>0.12560399999999999</v>
      </c>
      <c r="F21" s="101">
        <v>0</v>
      </c>
      <c r="G21" s="101">
        <v>0</v>
      </c>
      <c r="H21" s="101">
        <v>0</v>
      </c>
      <c r="I21" s="101">
        <v>0</v>
      </c>
      <c r="J21" s="101">
        <v>4.2999999999999997E-2</v>
      </c>
      <c r="K21" s="101">
        <v>1.0649999999999999</v>
      </c>
      <c r="L21" s="101">
        <v>5.8</v>
      </c>
      <c r="M21" s="101">
        <v>0</v>
      </c>
      <c r="N21" s="101">
        <v>0</v>
      </c>
      <c r="O21" s="101">
        <v>0</v>
      </c>
      <c r="P21" s="101">
        <v>0.74</v>
      </c>
      <c r="Q21" s="101">
        <v>0</v>
      </c>
      <c r="R21" s="101">
        <v>0</v>
      </c>
      <c r="S21" s="101">
        <v>72.619</v>
      </c>
      <c r="T21" s="101">
        <v>79.381</v>
      </c>
      <c r="U21" s="101">
        <v>0</v>
      </c>
      <c r="V21" s="101">
        <v>0</v>
      </c>
      <c r="W21" s="101">
        <v>0</v>
      </c>
      <c r="X21" s="103">
        <f t="shared" si="1"/>
        <v>159.982944</v>
      </c>
      <c r="AA21" s="101">
        <f>$AF$10*$X26</f>
        <v>135.11337056249408</v>
      </c>
    </row>
    <row r="22" spans="1:35">
      <c r="A22" s="99" t="s">
        <v>180</v>
      </c>
      <c r="B22" s="99" t="s">
        <v>208</v>
      </c>
      <c r="C22" s="101">
        <v>3.4</v>
      </c>
      <c r="D22" s="101">
        <v>0.28499999999999998</v>
      </c>
      <c r="E22" s="101">
        <v>3.2770000000000001</v>
      </c>
      <c r="F22" s="101">
        <v>0</v>
      </c>
      <c r="G22" s="101">
        <v>0</v>
      </c>
      <c r="H22" s="101">
        <v>0</v>
      </c>
      <c r="I22" s="101">
        <v>0</v>
      </c>
      <c r="J22" s="101">
        <v>0</v>
      </c>
      <c r="K22" s="101">
        <v>0.38300000000000001</v>
      </c>
      <c r="L22" s="101">
        <v>6.48</v>
      </c>
      <c r="M22" s="101">
        <v>4.96</v>
      </c>
      <c r="N22" s="101">
        <v>0</v>
      </c>
      <c r="O22" s="101">
        <v>4.3959999999999999</v>
      </c>
      <c r="P22" s="101">
        <v>0</v>
      </c>
      <c r="Q22" s="101">
        <v>0</v>
      </c>
      <c r="R22" s="101">
        <v>0</v>
      </c>
      <c r="S22" s="101">
        <v>4.9420000000000002</v>
      </c>
      <c r="T22" s="101">
        <v>15.51</v>
      </c>
      <c r="U22" s="101">
        <v>0</v>
      </c>
      <c r="V22" s="101">
        <v>0</v>
      </c>
      <c r="W22" s="101">
        <v>0</v>
      </c>
      <c r="X22" s="103">
        <f t="shared" si="1"/>
        <v>43.633000000000003</v>
      </c>
      <c r="AA22" s="101">
        <f>$AF$11*(X20+X22+$X23+X24+X25+X27+X28)</f>
        <v>183.76097691635712</v>
      </c>
    </row>
    <row r="23" spans="1:35">
      <c r="A23" s="99" t="s">
        <v>180</v>
      </c>
      <c r="B23" s="99" t="s">
        <v>209</v>
      </c>
      <c r="C23" s="101">
        <v>0</v>
      </c>
      <c r="D23" s="101">
        <v>0</v>
      </c>
      <c r="E23" s="101">
        <v>0</v>
      </c>
      <c r="F23" s="101">
        <v>0</v>
      </c>
      <c r="G23" s="101">
        <v>0</v>
      </c>
      <c r="H23" s="101">
        <v>0</v>
      </c>
      <c r="I23" s="101">
        <v>0</v>
      </c>
      <c r="J23" s="101">
        <v>0</v>
      </c>
      <c r="K23" s="101">
        <v>0</v>
      </c>
      <c r="L23" s="101">
        <v>0.04</v>
      </c>
      <c r="M23" s="101">
        <v>0</v>
      </c>
      <c r="N23" s="101">
        <v>0</v>
      </c>
      <c r="O23" s="101">
        <v>0</v>
      </c>
      <c r="P23" s="101">
        <v>0</v>
      </c>
      <c r="Q23" s="101">
        <v>0</v>
      </c>
      <c r="R23" s="101">
        <v>0</v>
      </c>
      <c r="S23" s="101">
        <v>0</v>
      </c>
      <c r="T23" s="101">
        <v>5.2999999999999999E-2</v>
      </c>
      <c r="U23" s="101">
        <v>0</v>
      </c>
      <c r="V23" s="101">
        <v>0</v>
      </c>
      <c r="W23" s="101">
        <v>0</v>
      </c>
      <c r="X23" s="103">
        <f t="shared" si="1"/>
        <v>9.2999999999999999E-2</v>
      </c>
    </row>
    <row r="24" spans="1:35">
      <c r="A24" s="99" t="s">
        <v>180</v>
      </c>
      <c r="B24" s="99" t="s">
        <v>210</v>
      </c>
      <c r="C24" s="101">
        <v>0.73299999999999998</v>
      </c>
      <c r="D24" s="101">
        <v>0.28499999999999998</v>
      </c>
      <c r="E24" s="101">
        <v>0</v>
      </c>
      <c r="F24" s="101">
        <v>0</v>
      </c>
      <c r="G24" s="101">
        <v>0</v>
      </c>
      <c r="H24" s="101">
        <v>0</v>
      </c>
      <c r="I24" s="101">
        <v>0</v>
      </c>
      <c r="J24" s="101">
        <v>0</v>
      </c>
      <c r="K24" s="101">
        <v>0.59599999999999997</v>
      </c>
      <c r="L24" s="101">
        <v>5.36</v>
      </c>
      <c r="M24" s="101">
        <v>0</v>
      </c>
      <c r="N24" s="101">
        <v>0</v>
      </c>
      <c r="O24" s="101">
        <v>0</v>
      </c>
      <c r="P24" s="101">
        <v>0.13800000000000001</v>
      </c>
      <c r="Q24" s="101">
        <v>0</v>
      </c>
      <c r="R24" s="101">
        <v>0</v>
      </c>
      <c r="S24" s="101">
        <v>0</v>
      </c>
      <c r="T24" s="101">
        <v>18.033000000000001</v>
      </c>
      <c r="U24" s="101">
        <v>0</v>
      </c>
      <c r="V24" s="101">
        <v>0</v>
      </c>
      <c r="W24" s="101">
        <v>0</v>
      </c>
      <c r="X24" s="103">
        <f t="shared" si="1"/>
        <v>25.145000000000003</v>
      </c>
    </row>
    <row r="25" spans="1:35">
      <c r="A25" s="99" t="s">
        <v>180</v>
      </c>
      <c r="B25" s="99" t="s">
        <v>211</v>
      </c>
      <c r="C25" s="101">
        <v>0</v>
      </c>
      <c r="D25" s="101">
        <v>0</v>
      </c>
      <c r="E25" s="101">
        <v>0</v>
      </c>
      <c r="F25" s="101">
        <v>0</v>
      </c>
      <c r="G25" s="101">
        <v>0</v>
      </c>
      <c r="H25" s="101">
        <v>0</v>
      </c>
      <c r="I25" s="101">
        <v>0</v>
      </c>
      <c r="J25" s="101">
        <v>0</v>
      </c>
      <c r="K25" s="101">
        <v>0.128</v>
      </c>
      <c r="L25" s="101">
        <v>0.04</v>
      </c>
      <c r="M25" s="101">
        <v>0</v>
      </c>
      <c r="N25" s="101">
        <v>0</v>
      </c>
      <c r="O25" s="101">
        <v>0</v>
      </c>
      <c r="P25" s="101">
        <v>0</v>
      </c>
      <c r="Q25" s="101">
        <v>0</v>
      </c>
      <c r="R25" s="101">
        <v>0</v>
      </c>
      <c r="S25" s="101">
        <v>0</v>
      </c>
      <c r="T25" s="101">
        <v>4.0140000000000002</v>
      </c>
      <c r="U25" s="101">
        <v>0</v>
      </c>
      <c r="V25" s="101">
        <v>0</v>
      </c>
      <c r="W25" s="101">
        <v>0</v>
      </c>
      <c r="X25" s="103">
        <f t="shared" si="1"/>
        <v>4.1820000000000004</v>
      </c>
    </row>
    <row r="26" spans="1:35">
      <c r="A26" s="99" t="s">
        <v>180</v>
      </c>
      <c r="B26" s="99" t="s">
        <v>212</v>
      </c>
      <c r="C26" s="101">
        <v>1.29</v>
      </c>
      <c r="D26" s="101">
        <v>0</v>
      </c>
      <c r="E26" s="101">
        <v>0</v>
      </c>
      <c r="F26" s="101">
        <v>0</v>
      </c>
      <c r="G26" s="101">
        <v>0</v>
      </c>
      <c r="H26" s="101">
        <v>0</v>
      </c>
      <c r="I26" s="101">
        <v>0</v>
      </c>
      <c r="J26" s="101">
        <v>0</v>
      </c>
      <c r="K26" s="101">
        <v>8.5000000000000006E-2</v>
      </c>
      <c r="L26" s="101">
        <v>1.64</v>
      </c>
      <c r="M26" s="101">
        <v>0</v>
      </c>
      <c r="N26" s="101">
        <v>0</v>
      </c>
      <c r="O26" s="101">
        <v>9.3439999999999994</v>
      </c>
      <c r="P26" s="101">
        <v>6.9000000000000006E-2</v>
      </c>
      <c r="Q26" s="101">
        <v>0</v>
      </c>
      <c r="R26" s="101">
        <v>0</v>
      </c>
      <c r="S26" s="101">
        <v>0</v>
      </c>
      <c r="T26" s="101">
        <v>3.8359999999999999</v>
      </c>
      <c r="U26" s="101">
        <v>0</v>
      </c>
      <c r="V26" s="101">
        <v>0</v>
      </c>
      <c r="W26" s="101">
        <v>0</v>
      </c>
      <c r="X26" s="103">
        <f t="shared" si="1"/>
        <v>16.263999999999999</v>
      </c>
    </row>
    <row r="27" spans="1:35">
      <c r="A27" s="99" t="s">
        <v>180</v>
      </c>
      <c r="B27" s="99" t="s">
        <v>213</v>
      </c>
      <c r="C27" s="101">
        <v>1.143</v>
      </c>
      <c r="D27" s="101">
        <v>0</v>
      </c>
      <c r="E27" s="101">
        <v>0</v>
      </c>
      <c r="F27" s="101">
        <v>0</v>
      </c>
      <c r="G27" s="101">
        <v>0</v>
      </c>
      <c r="H27" s="101">
        <v>0</v>
      </c>
      <c r="I27" s="101">
        <v>0</v>
      </c>
      <c r="J27" s="101">
        <v>0</v>
      </c>
      <c r="K27" s="101">
        <v>0.72399999999999998</v>
      </c>
      <c r="L27" s="101">
        <v>0.36</v>
      </c>
      <c r="M27" s="101">
        <v>0</v>
      </c>
      <c r="N27" s="101">
        <v>0</v>
      </c>
      <c r="O27" s="101">
        <v>0</v>
      </c>
      <c r="P27" s="101">
        <v>0</v>
      </c>
      <c r="Q27" s="101">
        <v>0</v>
      </c>
      <c r="R27" s="101">
        <v>0</v>
      </c>
      <c r="S27" s="101">
        <v>0</v>
      </c>
      <c r="T27" s="101">
        <v>4.5709999999999997</v>
      </c>
      <c r="U27" s="101">
        <v>0</v>
      </c>
      <c r="V27" s="101">
        <v>0</v>
      </c>
      <c r="W27" s="101">
        <v>0</v>
      </c>
      <c r="X27" s="103">
        <f t="shared" si="1"/>
        <v>6.798</v>
      </c>
    </row>
    <row r="28" spans="1:35">
      <c r="A28" s="99" t="s">
        <v>180</v>
      </c>
      <c r="B28" s="99" t="s">
        <v>214</v>
      </c>
      <c r="C28" s="101">
        <v>0.41</v>
      </c>
      <c r="D28" s="101">
        <v>0.94099999999999995</v>
      </c>
      <c r="E28" s="101">
        <v>0</v>
      </c>
      <c r="F28" s="101">
        <v>0</v>
      </c>
      <c r="G28" s="101">
        <v>0</v>
      </c>
      <c r="H28" s="101">
        <v>0.55200000000000005</v>
      </c>
      <c r="I28" s="101">
        <v>0</v>
      </c>
      <c r="J28" s="101">
        <v>0.129</v>
      </c>
      <c r="K28" s="101">
        <v>8.35</v>
      </c>
      <c r="L28" s="101">
        <v>4.84</v>
      </c>
      <c r="M28" s="101">
        <v>0.60799999999999998</v>
      </c>
      <c r="N28" s="101">
        <v>0</v>
      </c>
      <c r="O28" s="101">
        <v>3.9940000000000002</v>
      </c>
      <c r="P28" s="101">
        <v>0</v>
      </c>
      <c r="Q28" s="101">
        <v>0</v>
      </c>
      <c r="R28" s="101">
        <v>0</v>
      </c>
      <c r="S28" s="101">
        <v>0</v>
      </c>
      <c r="T28" s="101">
        <v>7.0860000000000003</v>
      </c>
      <c r="U28" s="101">
        <v>0</v>
      </c>
      <c r="V28" s="101">
        <v>0</v>
      </c>
      <c r="W28" s="101">
        <v>0</v>
      </c>
      <c r="X28" s="103">
        <f t="shared" si="1"/>
        <v>26.910000000000004</v>
      </c>
    </row>
    <row r="29" spans="1:35">
      <c r="A29" s="99" t="s">
        <v>181</v>
      </c>
      <c r="B29" s="99" t="s">
        <v>204</v>
      </c>
      <c r="C29" s="101">
        <v>0</v>
      </c>
      <c r="D29" s="101">
        <v>0</v>
      </c>
      <c r="E29" s="101">
        <v>0</v>
      </c>
      <c r="F29" s="101">
        <v>0</v>
      </c>
      <c r="G29" s="101">
        <v>5.1479999999999997</v>
      </c>
      <c r="H29" s="101">
        <v>0</v>
      </c>
      <c r="I29" s="101">
        <v>0</v>
      </c>
      <c r="J29" s="101">
        <v>0</v>
      </c>
      <c r="K29" s="101">
        <v>0</v>
      </c>
      <c r="L29" s="101">
        <v>0</v>
      </c>
      <c r="M29" s="101">
        <v>0</v>
      </c>
      <c r="N29" s="101">
        <v>0</v>
      </c>
      <c r="O29" s="101">
        <v>0</v>
      </c>
      <c r="P29" s="101">
        <v>0</v>
      </c>
      <c r="Q29" s="101">
        <v>0</v>
      </c>
      <c r="R29" s="101">
        <v>0</v>
      </c>
      <c r="S29" s="101">
        <v>0</v>
      </c>
      <c r="T29" s="101">
        <v>2.6179999999999999</v>
      </c>
      <c r="U29" s="101">
        <v>0</v>
      </c>
      <c r="V29" s="101">
        <v>0</v>
      </c>
      <c r="W29" s="101">
        <v>0</v>
      </c>
      <c r="X29" s="103">
        <f t="shared" si="1"/>
        <v>7.766</v>
      </c>
      <c r="Y29" s="103">
        <f>SUM(X29:X39)</f>
        <v>113.91399999999999</v>
      </c>
      <c r="Z29" s="98" t="s">
        <v>40</v>
      </c>
      <c r="AA29" s="101">
        <f>$AF$7*$X29</f>
        <v>18.658832415357299</v>
      </c>
      <c r="AB29" s="98"/>
    </row>
    <row r="30" spans="1:35">
      <c r="A30" s="99" t="s">
        <v>181</v>
      </c>
      <c r="B30" s="99" t="s">
        <v>205</v>
      </c>
      <c r="C30" s="101">
        <v>1.0009999999999999</v>
      </c>
      <c r="D30" s="101">
        <v>14.336</v>
      </c>
      <c r="E30" s="101">
        <v>0</v>
      </c>
      <c r="F30" s="101">
        <v>0</v>
      </c>
      <c r="G30" s="101">
        <v>0</v>
      </c>
      <c r="H30" s="101">
        <v>0</v>
      </c>
      <c r="I30" s="101">
        <v>0</v>
      </c>
      <c r="J30" s="101">
        <v>0</v>
      </c>
      <c r="K30" s="101">
        <v>8.5000000000000006E-2</v>
      </c>
      <c r="L30" s="101">
        <v>0</v>
      </c>
      <c r="M30" s="101">
        <v>0</v>
      </c>
      <c r="N30" s="101">
        <v>0</v>
      </c>
      <c r="O30" s="101">
        <v>5.0000000000000001E-3</v>
      </c>
      <c r="P30" s="101">
        <v>0</v>
      </c>
      <c r="Q30" s="101">
        <v>0</v>
      </c>
      <c r="R30" s="101">
        <v>0</v>
      </c>
      <c r="S30" s="101">
        <v>0</v>
      </c>
      <c r="T30" s="101">
        <v>10.869</v>
      </c>
      <c r="U30" s="101">
        <v>1.395</v>
      </c>
      <c r="V30" s="101">
        <v>2.536</v>
      </c>
      <c r="W30" s="101">
        <v>0</v>
      </c>
      <c r="X30" s="103">
        <f t="shared" si="1"/>
        <v>30.227</v>
      </c>
      <c r="AA30" s="101">
        <f>$AF$8*$X30</f>
        <v>21.858672021533142</v>
      </c>
    </row>
    <row r="31" spans="1:35">
      <c r="A31" s="99" t="s">
        <v>181</v>
      </c>
      <c r="B31" s="99" t="s">
        <v>206</v>
      </c>
      <c r="C31" s="101">
        <v>0</v>
      </c>
      <c r="D31" s="101">
        <v>1.3680000000000001</v>
      </c>
      <c r="E31" s="101">
        <v>0</v>
      </c>
      <c r="F31" s="101">
        <v>0</v>
      </c>
      <c r="G31" s="101">
        <v>0</v>
      </c>
      <c r="H31" s="101">
        <v>9.1999999999999998E-2</v>
      </c>
      <c r="I31" s="101">
        <v>0</v>
      </c>
      <c r="J31" s="101">
        <v>0</v>
      </c>
      <c r="K31" s="101">
        <v>0</v>
      </c>
      <c r="L31" s="101">
        <v>1.48</v>
      </c>
      <c r="M31" s="101">
        <v>0</v>
      </c>
      <c r="N31" s="101">
        <v>0</v>
      </c>
      <c r="O31" s="101">
        <v>0</v>
      </c>
      <c r="P31" s="101">
        <v>0</v>
      </c>
      <c r="Q31" s="101">
        <v>0</v>
      </c>
      <c r="R31" s="101">
        <v>0</v>
      </c>
      <c r="S31" s="101">
        <v>0</v>
      </c>
      <c r="T31" s="101">
        <v>0.66700000000000004</v>
      </c>
      <c r="U31" s="101">
        <v>0</v>
      </c>
      <c r="V31" s="101">
        <v>0</v>
      </c>
      <c r="W31" s="101">
        <v>0</v>
      </c>
      <c r="X31" s="103">
        <f t="shared" si="1"/>
        <v>3.6070000000000002</v>
      </c>
      <c r="AA31" s="101">
        <f>$AF$9*$X32</f>
        <v>230.64331927100224</v>
      </c>
    </row>
    <row r="32" spans="1:35">
      <c r="A32" s="99" t="s">
        <v>181</v>
      </c>
      <c r="B32" s="99" t="s">
        <v>207</v>
      </c>
      <c r="C32" s="101">
        <v>2.7770000000000001</v>
      </c>
      <c r="D32" s="101">
        <v>0.2</v>
      </c>
      <c r="E32" s="101">
        <v>0</v>
      </c>
      <c r="F32" s="101">
        <v>0</v>
      </c>
      <c r="G32" s="101">
        <v>5.5439999999999996</v>
      </c>
      <c r="H32" s="101">
        <v>0</v>
      </c>
      <c r="I32" s="101">
        <v>0</v>
      </c>
      <c r="J32" s="101">
        <v>0</v>
      </c>
      <c r="K32" s="101">
        <v>0.128</v>
      </c>
      <c r="L32" s="101">
        <v>0.48</v>
      </c>
      <c r="M32" s="101">
        <v>4.68</v>
      </c>
      <c r="N32" s="101">
        <v>0</v>
      </c>
      <c r="O32" s="101">
        <v>1.6910000000000001</v>
      </c>
      <c r="P32" s="101">
        <v>0</v>
      </c>
      <c r="Q32" s="101">
        <v>0</v>
      </c>
      <c r="R32" s="101">
        <v>0</v>
      </c>
      <c r="S32" s="101">
        <v>0</v>
      </c>
      <c r="T32" s="101">
        <v>7.851</v>
      </c>
      <c r="U32" s="101">
        <v>0</v>
      </c>
      <c r="V32" s="101">
        <v>0</v>
      </c>
      <c r="W32" s="101">
        <v>0</v>
      </c>
      <c r="X32" s="103">
        <f t="shared" si="1"/>
        <v>23.351000000000003</v>
      </c>
      <c r="AA32" s="101">
        <f>$AF$10*$X37</f>
        <v>56.150471694041904</v>
      </c>
    </row>
    <row r="33" spans="1:28">
      <c r="A33" s="99" t="s">
        <v>181</v>
      </c>
      <c r="B33" s="99" t="s">
        <v>208</v>
      </c>
      <c r="C33" s="101">
        <v>5.1040000000000001</v>
      </c>
      <c r="D33" s="101">
        <v>0</v>
      </c>
      <c r="E33" s="101">
        <v>0.91400000000000003</v>
      </c>
      <c r="F33" s="101">
        <v>0</v>
      </c>
      <c r="G33" s="101">
        <v>0</v>
      </c>
      <c r="H33" s="101">
        <v>4.5999999999999999E-2</v>
      </c>
      <c r="I33" s="101">
        <v>0</v>
      </c>
      <c r="J33" s="101">
        <v>0</v>
      </c>
      <c r="K33" s="101">
        <v>8.5000000000000006E-2</v>
      </c>
      <c r="L33" s="101">
        <v>0.48</v>
      </c>
      <c r="M33" s="101">
        <v>10.144</v>
      </c>
      <c r="N33" s="101">
        <v>0</v>
      </c>
      <c r="O33" s="101">
        <v>1.4999999999999999E-2</v>
      </c>
      <c r="P33" s="101">
        <v>0</v>
      </c>
      <c r="Q33" s="101">
        <v>0</v>
      </c>
      <c r="R33" s="101">
        <v>0</v>
      </c>
      <c r="S33" s="101">
        <v>0</v>
      </c>
      <c r="T33" s="101">
        <v>6.3860000000000001</v>
      </c>
      <c r="U33" s="101">
        <v>0</v>
      </c>
      <c r="V33" s="101">
        <v>0</v>
      </c>
      <c r="W33" s="101">
        <v>0</v>
      </c>
      <c r="X33" s="103">
        <f t="shared" si="1"/>
        <v>23.173999999999999</v>
      </c>
      <c r="AA33" s="101">
        <f>$AF$11*(X31+X33+$X34+X35+X36+X38+X39)</f>
        <v>74.347989132681292</v>
      </c>
    </row>
    <row r="34" spans="1:28">
      <c r="A34" s="99" t="s">
        <v>181</v>
      </c>
      <c r="B34" s="99" t="s">
        <v>209</v>
      </c>
      <c r="C34" s="101">
        <v>0.15</v>
      </c>
      <c r="D34" s="101">
        <v>0</v>
      </c>
      <c r="E34" s="101">
        <v>0</v>
      </c>
      <c r="F34" s="101">
        <v>0</v>
      </c>
      <c r="G34" s="101">
        <v>0</v>
      </c>
      <c r="H34" s="101">
        <v>0</v>
      </c>
      <c r="I34" s="101">
        <v>0</v>
      </c>
      <c r="J34" s="101">
        <v>0</v>
      </c>
      <c r="K34" s="101">
        <v>0.25600000000000001</v>
      </c>
      <c r="L34" s="101">
        <v>0.4</v>
      </c>
      <c r="M34" s="101">
        <v>0</v>
      </c>
      <c r="N34" s="101">
        <v>0</v>
      </c>
      <c r="O34" s="101">
        <v>2E-3</v>
      </c>
      <c r="P34" s="101">
        <v>0</v>
      </c>
      <c r="Q34" s="101">
        <v>0</v>
      </c>
      <c r="R34" s="101">
        <v>0</v>
      </c>
      <c r="S34" s="101">
        <v>0</v>
      </c>
      <c r="T34" s="101">
        <v>0.53300000000000003</v>
      </c>
      <c r="U34" s="101">
        <v>0</v>
      </c>
      <c r="V34" s="101">
        <v>0</v>
      </c>
      <c r="W34" s="101">
        <v>0</v>
      </c>
      <c r="X34" s="103">
        <f t="shared" si="1"/>
        <v>1.3410000000000002</v>
      </c>
    </row>
    <row r="35" spans="1:28">
      <c r="A35" s="99" t="s">
        <v>181</v>
      </c>
      <c r="B35" s="99" t="s">
        <v>210</v>
      </c>
      <c r="C35" s="101">
        <v>0.876</v>
      </c>
      <c r="D35" s="101">
        <v>8.5999999999999993E-2</v>
      </c>
      <c r="E35" s="101">
        <v>4.8000000000000001E-2</v>
      </c>
      <c r="F35" s="101">
        <v>0</v>
      </c>
      <c r="G35" s="101">
        <v>0</v>
      </c>
      <c r="H35" s="101">
        <v>9.1999999999999998E-2</v>
      </c>
      <c r="I35" s="101">
        <v>0</v>
      </c>
      <c r="J35" s="101">
        <v>0</v>
      </c>
      <c r="K35" s="101">
        <v>0.55400000000000005</v>
      </c>
      <c r="L35" s="101">
        <v>1.48</v>
      </c>
      <c r="M35" s="101">
        <v>0</v>
      </c>
      <c r="N35" s="101">
        <v>0</v>
      </c>
      <c r="O35" s="101">
        <v>0.17399999999999999</v>
      </c>
      <c r="P35" s="101">
        <v>0</v>
      </c>
      <c r="Q35" s="101">
        <v>0</v>
      </c>
      <c r="R35" s="101">
        <v>0</v>
      </c>
      <c r="S35" s="101">
        <v>0</v>
      </c>
      <c r="T35" s="101">
        <v>3.298</v>
      </c>
      <c r="U35" s="101">
        <v>0</v>
      </c>
      <c r="V35" s="101">
        <v>0</v>
      </c>
      <c r="W35" s="101">
        <v>0</v>
      </c>
      <c r="X35" s="103">
        <f t="shared" si="1"/>
        <v>6.6080000000000005</v>
      </c>
    </row>
    <row r="36" spans="1:28">
      <c r="A36" s="99" t="s">
        <v>181</v>
      </c>
      <c r="B36" s="99" t="s">
        <v>211</v>
      </c>
      <c r="C36" s="101">
        <v>0.05</v>
      </c>
      <c r="D36" s="101">
        <v>0</v>
      </c>
      <c r="E36" s="101">
        <v>3.3000000000000002E-2</v>
      </c>
      <c r="F36" s="101">
        <v>0</v>
      </c>
      <c r="G36" s="101">
        <v>0</v>
      </c>
      <c r="H36" s="101">
        <v>0</v>
      </c>
      <c r="I36" s="101">
        <v>0</v>
      </c>
      <c r="J36" s="101">
        <v>0</v>
      </c>
      <c r="K36" s="101">
        <v>0.46899999999999997</v>
      </c>
      <c r="L36" s="101">
        <v>0.72</v>
      </c>
      <c r="M36" s="101">
        <v>0</v>
      </c>
      <c r="N36" s="101">
        <v>0</v>
      </c>
      <c r="O36" s="101">
        <v>1.2E-2</v>
      </c>
      <c r="P36" s="101">
        <v>0</v>
      </c>
      <c r="Q36" s="101">
        <v>0</v>
      </c>
      <c r="R36" s="101">
        <v>0</v>
      </c>
      <c r="S36" s="101">
        <v>0</v>
      </c>
      <c r="T36" s="101">
        <v>1.2709999999999999</v>
      </c>
      <c r="U36" s="101">
        <v>0</v>
      </c>
      <c r="V36" s="101">
        <v>0</v>
      </c>
      <c r="W36" s="101">
        <v>0</v>
      </c>
      <c r="X36" s="103">
        <f t="shared" si="1"/>
        <v>2.5549999999999997</v>
      </c>
    </row>
    <row r="37" spans="1:28">
      <c r="A37" s="99" t="s">
        <v>181</v>
      </c>
      <c r="B37" s="99" t="s">
        <v>212</v>
      </c>
      <c r="C37" s="101">
        <v>0</v>
      </c>
      <c r="D37" s="101">
        <v>0</v>
      </c>
      <c r="E37" s="101">
        <v>0</v>
      </c>
      <c r="F37" s="101">
        <v>0</v>
      </c>
      <c r="G37" s="101">
        <v>0</v>
      </c>
      <c r="H37" s="101">
        <v>0</v>
      </c>
      <c r="I37" s="101">
        <v>0</v>
      </c>
      <c r="J37" s="101">
        <v>0</v>
      </c>
      <c r="K37" s="101">
        <v>4.2999999999999997E-2</v>
      </c>
      <c r="L37" s="101">
        <v>1.28</v>
      </c>
      <c r="M37" s="101">
        <v>0</v>
      </c>
      <c r="N37" s="101">
        <v>0</v>
      </c>
      <c r="O37" s="101">
        <v>1.222</v>
      </c>
      <c r="P37" s="101">
        <v>0</v>
      </c>
      <c r="Q37" s="101">
        <v>0</v>
      </c>
      <c r="R37" s="101">
        <v>0</v>
      </c>
      <c r="S37" s="101">
        <v>2.0579999999999998</v>
      </c>
      <c r="T37" s="101">
        <v>2.1560000000000001</v>
      </c>
      <c r="U37" s="101">
        <v>0</v>
      </c>
      <c r="V37" s="101">
        <v>0</v>
      </c>
      <c r="W37" s="101">
        <v>0</v>
      </c>
      <c r="X37" s="103">
        <f t="shared" si="1"/>
        <v>6.7590000000000003</v>
      </c>
    </row>
    <row r="38" spans="1:28">
      <c r="A38" s="99" t="s">
        <v>181</v>
      </c>
      <c r="B38" s="99" t="s">
        <v>213</v>
      </c>
      <c r="C38" s="101">
        <v>0.05</v>
      </c>
      <c r="D38" s="101">
        <v>5.7000000000000002E-2</v>
      </c>
      <c r="E38" s="101">
        <v>3.3000000000000002E-2</v>
      </c>
      <c r="F38" s="101">
        <v>0</v>
      </c>
      <c r="G38" s="101">
        <v>0</v>
      </c>
      <c r="H38" s="101">
        <v>0.184</v>
      </c>
      <c r="I38" s="101">
        <v>0</v>
      </c>
      <c r="J38" s="101">
        <v>0</v>
      </c>
      <c r="K38" s="101">
        <v>0.21299999999999999</v>
      </c>
      <c r="L38" s="101">
        <v>0.32</v>
      </c>
      <c r="M38" s="101">
        <v>0</v>
      </c>
      <c r="N38" s="101">
        <v>0</v>
      </c>
      <c r="O38" s="101">
        <v>3.3000000000000002E-2</v>
      </c>
      <c r="P38" s="101">
        <v>0</v>
      </c>
      <c r="Q38" s="101">
        <v>0</v>
      </c>
      <c r="R38" s="101">
        <v>0</v>
      </c>
      <c r="S38" s="101">
        <v>0</v>
      </c>
      <c r="T38" s="101">
        <v>1.296</v>
      </c>
      <c r="U38" s="101">
        <v>0</v>
      </c>
      <c r="V38" s="101">
        <v>0</v>
      </c>
      <c r="W38" s="101">
        <v>0</v>
      </c>
      <c r="X38" s="103">
        <f t="shared" si="1"/>
        <v>2.1859999999999999</v>
      </c>
    </row>
    <row r="39" spans="1:28">
      <c r="A39" s="99" t="s">
        <v>181</v>
      </c>
      <c r="B39" s="99" t="s">
        <v>214</v>
      </c>
      <c r="C39" s="101">
        <v>1.5509999999999999</v>
      </c>
      <c r="D39" s="101">
        <v>0</v>
      </c>
      <c r="E39" s="101">
        <v>4.8000000000000001E-2</v>
      </c>
      <c r="F39" s="101">
        <v>0</v>
      </c>
      <c r="G39" s="101">
        <v>0</v>
      </c>
      <c r="H39" s="101">
        <v>0.184</v>
      </c>
      <c r="I39" s="101">
        <v>0</v>
      </c>
      <c r="J39" s="101">
        <v>0</v>
      </c>
      <c r="K39" s="101">
        <v>1.5760000000000001</v>
      </c>
      <c r="L39" s="101">
        <v>1.56</v>
      </c>
      <c r="M39" s="101">
        <v>0</v>
      </c>
      <c r="N39" s="101">
        <v>0</v>
      </c>
      <c r="O39" s="101">
        <v>0.78800000000000003</v>
      </c>
      <c r="P39" s="101">
        <v>0</v>
      </c>
      <c r="Q39" s="101">
        <v>0</v>
      </c>
      <c r="R39" s="101">
        <v>0</v>
      </c>
      <c r="S39" s="101">
        <v>0.21299999999999999</v>
      </c>
      <c r="T39" s="101">
        <v>0.42</v>
      </c>
      <c r="U39" s="101">
        <v>0</v>
      </c>
      <c r="V39" s="101">
        <v>0</v>
      </c>
      <c r="W39" s="101">
        <v>0</v>
      </c>
      <c r="X39" s="103">
        <f t="shared" si="1"/>
        <v>6.3400000000000007</v>
      </c>
      <c r="Y39" s="103"/>
    </row>
    <row r="40" spans="1:28">
      <c r="A40" s="99" t="s">
        <v>187</v>
      </c>
      <c r="B40" s="99" t="s">
        <v>204</v>
      </c>
      <c r="C40" s="101">
        <v>0</v>
      </c>
      <c r="D40" s="101">
        <v>0</v>
      </c>
      <c r="E40" s="101">
        <v>0</v>
      </c>
      <c r="F40" s="101">
        <v>0</v>
      </c>
      <c r="G40" s="101">
        <v>0</v>
      </c>
      <c r="H40" s="101">
        <v>0</v>
      </c>
      <c r="I40" s="101">
        <v>0</v>
      </c>
      <c r="J40" s="101">
        <v>0</v>
      </c>
      <c r="K40" s="101">
        <v>0</v>
      </c>
      <c r="L40" s="101">
        <v>0</v>
      </c>
      <c r="M40" s="101">
        <v>0</v>
      </c>
      <c r="N40" s="101">
        <v>0</v>
      </c>
      <c r="O40" s="101">
        <v>0</v>
      </c>
      <c r="P40" s="101">
        <v>0</v>
      </c>
      <c r="Q40" s="101">
        <v>0</v>
      </c>
      <c r="R40" s="101">
        <v>0</v>
      </c>
      <c r="S40" s="101">
        <v>0</v>
      </c>
      <c r="T40" s="101">
        <v>0</v>
      </c>
      <c r="U40" s="101">
        <v>0</v>
      </c>
      <c r="V40" s="101">
        <v>0</v>
      </c>
      <c r="W40" s="101">
        <v>0</v>
      </c>
      <c r="X40" s="103">
        <f t="shared" si="1"/>
        <v>0</v>
      </c>
      <c r="Y40" s="103">
        <f>SUM(X40:X50)</f>
        <v>9.5229999999999997</v>
      </c>
      <c r="Z40" s="98" t="s">
        <v>49</v>
      </c>
      <c r="AA40" s="101">
        <f>$AF$7*$X40</f>
        <v>0</v>
      </c>
      <c r="AB40" s="98"/>
    </row>
    <row r="41" spans="1:28">
      <c r="A41" s="99" t="s">
        <v>187</v>
      </c>
      <c r="B41" s="99" t="s">
        <v>205</v>
      </c>
      <c r="C41" s="101">
        <v>0</v>
      </c>
      <c r="D41" s="101">
        <v>0</v>
      </c>
      <c r="E41" s="101">
        <v>0</v>
      </c>
      <c r="F41" s="101">
        <v>0</v>
      </c>
      <c r="G41" s="101">
        <v>0</v>
      </c>
      <c r="H41" s="101">
        <v>0</v>
      </c>
      <c r="I41" s="101">
        <v>0</v>
      </c>
      <c r="J41" s="101">
        <v>0</v>
      </c>
      <c r="K41" s="101">
        <v>0</v>
      </c>
      <c r="L41" s="101">
        <v>0</v>
      </c>
      <c r="M41" s="101">
        <v>0</v>
      </c>
      <c r="N41" s="101">
        <v>0</v>
      </c>
      <c r="O41" s="101">
        <v>0</v>
      </c>
      <c r="P41" s="101">
        <v>0</v>
      </c>
      <c r="Q41" s="101">
        <v>0</v>
      </c>
      <c r="R41" s="101">
        <v>0</v>
      </c>
      <c r="S41" s="101">
        <v>0</v>
      </c>
      <c r="T41" s="101">
        <v>0</v>
      </c>
      <c r="U41" s="101">
        <v>0</v>
      </c>
      <c r="V41" s="101">
        <v>0</v>
      </c>
      <c r="W41" s="101">
        <v>0</v>
      </c>
      <c r="X41" s="103">
        <f t="shared" si="1"/>
        <v>0</v>
      </c>
      <c r="AA41" s="101">
        <f>$AF$8*$X41</f>
        <v>0</v>
      </c>
    </row>
    <row r="42" spans="1:28">
      <c r="A42" s="99" t="s">
        <v>187</v>
      </c>
      <c r="B42" s="99" t="s">
        <v>206</v>
      </c>
      <c r="C42" s="101">
        <v>0</v>
      </c>
      <c r="D42" s="101">
        <v>0</v>
      </c>
      <c r="E42" s="101">
        <v>0</v>
      </c>
      <c r="F42" s="101">
        <v>0</v>
      </c>
      <c r="G42" s="101">
        <v>0</v>
      </c>
      <c r="H42" s="101">
        <v>0</v>
      </c>
      <c r="I42" s="101">
        <v>0</v>
      </c>
      <c r="J42" s="101">
        <v>0</v>
      </c>
      <c r="K42" s="101">
        <v>0</v>
      </c>
      <c r="L42" s="101">
        <v>0</v>
      </c>
      <c r="M42" s="101">
        <v>0</v>
      </c>
      <c r="N42" s="101">
        <v>0</v>
      </c>
      <c r="O42" s="101">
        <v>0</v>
      </c>
      <c r="P42" s="101">
        <v>0</v>
      </c>
      <c r="Q42" s="101">
        <v>0</v>
      </c>
      <c r="R42" s="101">
        <v>0</v>
      </c>
      <c r="S42" s="101">
        <v>0</v>
      </c>
      <c r="T42" s="101">
        <v>0</v>
      </c>
      <c r="U42" s="101">
        <v>0</v>
      </c>
      <c r="V42" s="101">
        <v>0</v>
      </c>
      <c r="W42" s="101">
        <v>0</v>
      </c>
      <c r="X42" s="103">
        <f t="shared" si="1"/>
        <v>0</v>
      </c>
      <c r="AA42" s="101">
        <f>$AF$9*$X43</f>
        <v>0</v>
      </c>
    </row>
    <row r="43" spans="1:28">
      <c r="A43" s="99" t="s">
        <v>187</v>
      </c>
      <c r="B43" s="99" t="s">
        <v>207</v>
      </c>
      <c r="C43" s="101">
        <v>0</v>
      </c>
      <c r="D43" s="101">
        <v>0</v>
      </c>
      <c r="E43" s="101">
        <v>0</v>
      </c>
      <c r="F43" s="101">
        <v>0</v>
      </c>
      <c r="G43" s="101">
        <v>0</v>
      </c>
      <c r="H43" s="101">
        <v>0</v>
      </c>
      <c r="I43" s="101">
        <v>0</v>
      </c>
      <c r="J43" s="101">
        <v>0</v>
      </c>
      <c r="K43" s="101">
        <v>0</v>
      </c>
      <c r="L43" s="101">
        <v>0</v>
      </c>
      <c r="M43" s="101">
        <v>0</v>
      </c>
      <c r="N43" s="101">
        <v>0</v>
      </c>
      <c r="O43" s="101">
        <v>0</v>
      </c>
      <c r="P43" s="101">
        <v>0</v>
      </c>
      <c r="Q43" s="101">
        <v>0</v>
      </c>
      <c r="R43" s="101">
        <v>0</v>
      </c>
      <c r="S43" s="101">
        <v>0</v>
      </c>
      <c r="T43" s="101">
        <v>0</v>
      </c>
      <c r="U43" s="101">
        <v>0</v>
      </c>
      <c r="V43" s="101">
        <v>0</v>
      </c>
      <c r="W43" s="101">
        <v>0</v>
      </c>
      <c r="X43" s="103">
        <f t="shared" si="1"/>
        <v>0</v>
      </c>
      <c r="AA43" s="101">
        <f>$AF$10*$X48</f>
        <v>0</v>
      </c>
    </row>
    <row r="44" spans="1:28">
      <c r="A44" s="99" t="s">
        <v>187</v>
      </c>
      <c r="B44" s="99" t="s">
        <v>208</v>
      </c>
      <c r="C44" s="101">
        <v>1.488</v>
      </c>
      <c r="D44" s="101">
        <v>0</v>
      </c>
      <c r="E44" s="101">
        <v>0</v>
      </c>
      <c r="F44" s="101">
        <v>0</v>
      </c>
      <c r="G44" s="101">
        <v>0</v>
      </c>
      <c r="H44" s="101">
        <v>0</v>
      </c>
      <c r="I44" s="101">
        <v>0</v>
      </c>
      <c r="J44" s="101">
        <v>0</v>
      </c>
      <c r="K44" s="101">
        <v>0</v>
      </c>
      <c r="L44" s="101">
        <v>0.8</v>
      </c>
      <c r="M44" s="101">
        <v>4.9279999999999999</v>
      </c>
      <c r="N44" s="101">
        <v>0</v>
      </c>
      <c r="O44" s="101">
        <v>3.7999999999999999E-2</v>
      </c>
      <c r="P44" s="101">
        <v>0</v>
      </c>
      <c r="Q44" s="101">
        <v>0</v>
      </c>
      <c r="R44" s="101">
        <v>0</v>
      </c>
      <c r="S44" s="101">
        <v>0.13800000000000001</v>
      </c>
      <c r="T44" s="101">
        <v>0</v>
      </c>
      <c r="U44" s="101">
        <v>0</v>
      </c>
      <c r="V44" s="101">
        <v>0</v>
      </c>
      <c r="W44" s="101">
        <v>0</v>
      </c>
      <c r="X44" s="103">
        <f t="shared" si="1"/>
        <v>7.3920000000000003</v>
      </c>
      <c r="AA44" s="101">
        <f>$AF$11*(X42+X44+$X45+X46+X47+X49+X50)</f>
        <v>15.455150520847042</v>
      </c>
    </row>
    <row r="45" spans="1:28">
      <c r="A45" s="99" t="s">
        <v>187</v>
      </c>
      <c r="B45" s="99" t="s">
        <v>209</v>
      </c>
      <c r="C45" s="101">
        <v>0</v>
      </c>
      <c r="D45" s="101">
        <v>0</v>
      </c>
      <c r="E45" s="101">
        <v>0</v>
      </c>
      <c r="F45" s="101">
        <v>0</v>
      </c>
      <c r="G45" s="101">
        <v>0</v>
      </c>
      <c r="H45" s="101">
        <v>0</v>
      </c>
      <c r="I45" s="101">
        <v>0</v>
      </c>
      <c r="J45" s="101">
        <v>0</v>
      </c>
      <c r="K45" s="101">
        <v>0</v>
      </c>
      <c r="L45" s="101">
        <v>0</v>
      </c>
      <c r="M45" s="101">
        <v>0</v>
      </c>
      <c r="N45" s="101">
        <v>0</v>
      </c>
      <c r="O45" s="101">
        <v>0</v>
      </c>
      <c r="P45" s="101">
        <v>0</v>
      </c>
      <c r="Q45" s="101">
        <v>0</v>
      </c>
      <c r="R45" s="101">
        <v>0</v>
      </c>
      <c r="S45" s="101">
        <v>0</v>
      </c>
      <c r="T45" s="101">
        <v>0</v>
      </c>
      <c r="U45" s="101">
        <v>0</v>
      </c>
      <c r="V45" s="101">
        <v>0</v>
      </c>
      <c r="W45" s="101">
        <v>0</v>
      </c>
      <c r="X45" s="103">
        <f t="shared" si="1"/>
        <v>0</v>
      </c>
    </row>
    <row r="46" spans="1:28">
      <c r="A46" s="99" t="s">
        <v>187</v>
      </c>
      <c r="B46" s="99" t="s">
        <v>210</v>
      </c>
      <c r="C46" s="101">
        <v>0</v>
      </c>
      <c r="D46" s="101">
        <v>0</v>
      </c>
      <c r="E46" s="101">
        <v>0</v>
      </c>
      <c r="F46" s="101">
        <v>0</v>
      </c>
      <c r="G46" s="101">
        <v>0</v>
      </c>
      <c r="H46" s="101">
        <v>0</v>
      </c>
      <c r="I46" s="101">
        <v>0</v>
      </c>
      <c r="J46" s="101">
        <v>0</v>
      </c>
      <c r="K46" s="101">
        <v>0</v>
      </c>
      <c r="L46" s="101">
        <v>0</v>
      </c>
      <c r="M46" s="101">
        <v>0</v>
      </c>
      <c r="N46" s="101">
        <v>0</v>
      </c>
      <c r="O46" s="101">
        <v>0</v>
      </c>
      <c r="P46" s="101">
        <v>0</v>
      </c>
      <c r="Q46" s="101">
        <v>0</v>
      </c>
      <c r="R46" s="101">
        <v>0</v>
      </c>
      <c r="S46" s="101">
        <v>0</v>
      </c>
      <c r="T46" s="101">
        <v>0</v>
      </c>
      <c r="U46" s="101">
        <v>0</v>
      </c>
      <c r="V46" s="101">
        <v>0</v>
      </c>
      <c r="W46" s="101">
        <v>0</v>
      </c>
      <c r="X46" s="103">
        <f t="shared" si="1"/>
        <v>0</v>
      </c>
    </row>
    <row r="47" spans="1:28">
      <c r="A47" s="99" t="s">
        <v>187</v>
      </c>
      <c r="B47" s="99" t="s">
        <v>211</v>
      </c>
      <c r="C47" s="101">
        <v>0</v>
      </c>
      <c r="D47" s="101">
        <v>0</v>
      </c>
      <c r="E47" s="101">
        <v>0</v>
      </c>
      <c r="F47" s="101">
        <v>0</v>
      </c>
      <c r="G47" s="101">
        <v>0</v>
      </c>
      <c r="H47" s="101">
        <v>0</v>
      </c>
      <c r="I47" s="101">
        <v>0</v>
      </c>
      <c r="J47" s="101">
        <v>0</v>
      </c>
      <c r="K47" s="101">
        <v>0</v>
      </c>
      <c r="L47" s="101">
        <v>0</v>
      </c>
      <c r="M47" s="101">
        <v>0</v>
      </c>
      <c r="N47" s="101">
        <v>0</v>
      </c>
      <c r="O47" s="101">
        <v>0</v>
      </c>
      <c r="P47" s="101">
        <v>0</v>
      </c>
      <c r="Q47" s="101">
        <v>0</v>
      </c>
      <c r="R47" s="101">
        <v>0</v>
      </c>
      <c r="S47" s="101">
        <v>0</v>
      </c>
      <c r="T47" s="101">
        <v>0</v>
      </c>
      <c r="U47" s="101">
        <v>0</v>
      </c>
      <c r="V47" s="101">
        <v>0</v>
      </c>
      <c r="W47" s="101">
        <v>0</v>
      </c>
      <c r="X47" s="103">
        <f t="shared" si="1"/>
        <v>0</v>
      </c>
    </row>
    <row r="48" spans="1:28">
      <c r="A48" s="99" t="s">
        <v>187</v>
      </c>
      <c r="B48" s="99" t="s">
        <v>212</v>
      </c>
      <c r="C48" s="101">
        <v>0</v>
      </c>
      <c r="D48" s="101">
        <v>0</v>
      </c>
      <c r="E48" s="101">
        <v>0</v>
      </c>
      <c r="F48" s="101">
        <v>0</v>
      </c>
      <c r="G48" s="101">
        <v>0</v>
      </c>
      <c r="H48" s="101">
        <v>0</v>
      </c>
      <c r="I48" s="101">
        <v>0</v>
      </c>
      <c r="J48" s="101">
        <v>0</v>
      </c>
      <c r="K48" s="101">
        <v>0</v>
      </c>
      <c r="L48" s="101">
        <v>0</v>
      </c>
      <c r="M48" s="101">
        <v>0</v>
      </c>
      <c r="N48" s="101">
        <v>0</v>
      </c>
      <c r="O48" s="101">
        <v>0</v>
      </c>
      <c r="P48" s="101">
        <v>0</v>
      </c>
      <c r="Q48" s="101">
        <v>0</v>
      </c>
      <c r="R48" s="101">
        <v>0</v>
      </c>
      <c r="S48" s="101">
        <v>0</v>
      </c>
      <c r="T48" s="101">
        <v>0</v>
      </c>
      <c r="U48" s="101">
        <v>0</v>
      </c>
      <c r="V48" s="101">
        <v>0</v>
      </c>
      <c r="W48" s="101">
        <v>0</v>
      </c>
      <c r="X48" s="103">
        <f t="shared" si="1"/>
        <v>0</v>
      </c>
    </row>
    <row r="49" spans="1:28">
      <c r="A49" s="99" t="s">
        <v>187</v>
      </c>
      <c r="B49" s="99" t="s">
        <v>213</v>
      </c>
      <c r="C49" s="101">
        <v>0</v>
      </c>
      <c r="D49" s="101">
        <v>0</v>
      </c>
      <c r="E49" s="101">
        <v>0</v>
      </c>
      <c r="F49" s="101">
        <v>0</v>
      </c>
      <c r="G49" s="101">
        <v>0</v>
      </c>
      <c r="H49" s="101">
        <v>0</v>
      </c>
      <c r="I49" s="101">
        <v>0</v>
      </c>
      <c r="J49" s="101">
        <v>0</v>
      </c>
      <c r="K49" s="101">
        <v>0</v>
      </c>
      <c r="L49" s="101">
        <v>0</v>
      </c>
      <c r="M49" s="101">
        <v>0</v>
      </c>
      <c r="N49" s="101">
        <v>0</v>
      </c>
      <c r="O49" s="101">
        <v>0</v>
      </c>
      <c r="P49" s="101">
        <v>0</v>
      </c>
      <c r="Q49" s="101">
        <v>0</v>
      </c>
      <c r="R49" s="101">
        <v>0</v>
      </c>
      <c r="S49" s="101">
        <v>0</v>
      </c>
      <c r="T49" s="101">
        <v>0</v>
      </c>
      <c r="U49" s="101">
        <v>0</v>
      </c>
      <c r="V49" s="101">
        <v>0</v>
      </c>
      <c r="W49" s="101">
        <v>0</v>
      </c>
      <c r="X49" s="103">
        <f t="shared" si="1"/>
        <v>0</v>
      </c>
    </row>
    <row r="50" spans="1:28">
      <c r="A50" s="99" t="s">
        <v>187</v>
      </c>
      <c r="B50" s="99" t="s">
        <v>214</v>
      </c>
      <c r="C50" s="101">
        <v>0</v>
      </c>
      <c r="D50" s="101">
        <v>0</v>
      </c>
      <c r="E50" s="101">
        <v>0</v>
      </c>
      <c r="F50" s="101">
        <v>0</v>
      </c>
      <c r="G50" s="101">
        <v>0</v>
      </c>
      <c r="H50" s="101">
        <v>0</v>
      </c>
      <c r="I50" s="101">
        <v>0</v>
      </c>
      <c r="J50" s="101">
        <v>0.129</v>
      </c>
      <c r="K50" s="101">
        <v>2.0019999999999998</v>
      </c>
      <c r="L50" s="101">
        <v>0</v>
      </c>
      <c r="M50" s="101">
        <v>0</v>
      </c>
      <c r="N50" s="101">
        <v>0</v>
      </c>
      <c r="O50" s="101">
        <v>0</v>
      </c>
      <c r="P50" s="101">
        <v>0</v>
      </c>
      <c r="Q50" s="101">
        <v>0</v>
      </c>
      <c r="R50" s="101">
        <v>0</v>
      </c>
      <c r="S50" s="101">
        <v>0</v>
      </c>
      <c r="T50" s="101">
        <v>0</v>
      </c>
      <c r="U50" s="101">
        <v>0</v>
      </c>
      <c r="V50" s="101">
        <v>0</v>
      </c>
      <c r="W50" s="101">
        <v>0</v>
      </c>
      <c r="X50" s="103">
        <f t="shared" si="1"/>
        <v>2.1309999999999998</v>
      </c>
    </row>
    <row r="51" spans="1:28">
      <c r="A51" s="99" t="s">
        <v>215</v>
      </c>
      <c r="B51" s="99" t="s">
        <v>204</v>
      </c>
      <c r="C51" s="101">
        <v>0</v>
      </c>
      <c r="D51" s="101">
        <v>0</v>
      </c>
      <c r="E51" s="101">
        <v>0</v>
      </c>
      <c r="F51" s="101">
        <v>0</v>
      </c>
      <c r="G51" s="101">
        <v>6.0890000000000004</v>
      </c>
      <c r="H51" s="101">
        <v>0</v>
      </c>
      <c r="I51" s="101">
        <v>0</v>
      </c>
      <c r="J51" s="101">
        <v>0</v>
      </c>
      <c r="K51" s="101">
        <v>0</v>
      </c>
      <c r="L51" s="101">
        <v>1.6</v>
      </c>
      <c r="M51" s="101">
        <v>2.44</v>
      </c>
      <c r="N51" s="101">
        <v>0</v>
      </c>
      <c r="O51" s="101">
        <v>0</v>
      </c>
      <c r="P51" s="101">
        <v>0</v>
      </c>
      <c r="Q51" s="101">
        <v>0</v>
      </c>
      <c r="R51" s="101">
        <v>0</v>
      </c>
      <c r="S51" s="101">
        <v>0</v>
      </c>
      <c r="T51" s="101">
        <v>4.9404240000000001</v>
      </c>
      <c r="U51" s="101">
        <v>0</v>
      </c>
      <c r="V51" s="101">
        <v>0</v>
      </c>
      <c r="W51" s="101">
        <v>0</v>
      </c>
      <c r="X51" s="103">
        <f t="shared" si="1"/>
        <v>15.069424</v>
      </c>
      <c r="Y51" s="103">
        <f>SUM(X51:X61)</f>
        <v>302.88398000000001</v>
      </c>
      <c r="Z51" s="98" t="s">
        <v>41</v>
      </c>
      <c r="AA51" s="101">
        <f>$AF$7*$X51</f>
        <v>36.206265389127381</v>
      </c>
      <c r="AB51" s="98"/>
    </row>
    <row r="52" spans="1:28">
      <c r="A52" s="99" t="s">
        <v>215</v>
      </c>
      <c r="B52" s="99" t="s">
        <v>205</v>
      </c>
      <c r="C52" s="101">
        <v>18.510999999999999</v>
      </c>
      <c r="D52" s="101">
        <v>53.124000000000002</v>
      </c>
      <c r="E52" s="101">
        <v>1.0920000000000001</v>
      </c>
      <c r="F52" s="101">
        <v>0</v>
      </c>
      <c r="G52" s="101">
        <v>0</v>
      </c>
      <c r="H52" s="101">
        <v>0</v>
      </c>
      <c r="I52" s="101">
        <v>0</v>
      </c>
      <c r="J52" s="101">
        <v>0</v>
      </c>
      <c r="K52" s="101">
        <v>8.5000000000000006E-2</v>
      </c>
      <c r="L52" s="101">
        <v>4.04</v>
      </c>
      <c r="M52" s="101">
        <v>0</v>
      </c>
      <c r="N52" s="101">
        <v>0</v>
      </c>
      <c r="O52" s="101">
        <v>8.9999999999999993E-3</v>
      </c>
      <c r="P52" s="101">
        <v>0</v>
      </c>
      <c r="Q52" s="101">
        <v>0</v>
      </c>
      <c r="R52" s="101">
        <v>0</v>
      </c>
      <c r="S52" s="101">
        <v>0</v>
      </c>
      <c r="T52" s="101">
        <v>11.613</v>
      </c>
      <c r="U52" s="101">
        <v>6.0289999999999999</v>
      </c>
      <c r="V52" s="101">
        <v>10.922000000000001</v>
      </c>
      <c r="W52" s="101">
        <v>0</v>
      </c>
      <c r="X52" s="103">
        <f t="shared" si="1"/>
        <v>105.425</v>
      </c>
      <c r="AA52" s="101">
        <f>$AF$8*$X52</f>
        <v>76.238147942903083</v>
      </c>
    </row>
    <row r="53" spans="1:28">
      <c r="A53" s="99" t="s">
        <v>215</v>
      </c>
      <c r="B53" s="99" t="s">
        <v>206</v>
      </c>
      <c r="C53" s="101">
        <v>0</v>
      </c>
      <c r="D53" s="101">
        <v>0</v>
      </c>
      <c r="E53" s="101">
        <v>0</v>
      </c>
      <c r="F53" s="101">
        <v>0</v>
      </c>
      <c r="G53" s="101">
        <v>0</v>
      </c>
      <c r="H53" s="101">
        <v>0</v>
      </c>
      <c r="I53" s="101">
        <v>0</v>
      </c>
      <c r="J53" s="101">
        <v>0</v>
      </c>
      <c r="K53" s="101">
        <v>0</v>
      </c>
      <c r="L53" s="101">
        <v>0</v>
      </c>
      <c r="M53" s="101">
        <v>0</v>
      </c>
      <c r="N53" s="101">
        <v>0</v>
      </c>
      <c r="O53" s="101">
        <v>0</v>
      </c>
      <c r="P53" s="101">
        <v>0</v>
      </c>
      <c r="Q53" s="101">
        <v>0</v>
      </c>
      <c r="R53" s="101">
        <v>0</v>
      </c>
      <c r="S53" s="101">
        <v>0</v>
      </c>
      <c r="T53" s="101">
        <v>2.4649999999999999</v>
      </c>
      <c r="U53" s="101">
        <v>0</v>
      </c>
      <c r="V53" s="101">
        <v>0</v>
      </c>
      <c r="W53" s="101">
        <v>0</v>
      </c>
      <c r="X53" s="103">
        <f t="shared" si="1"/>
        <v>2.4649999999999999</v>
      </c>
      <c r="AA53" s="101">
        <f>$AF$9*$X54</f>
        <v>535.68746584853102</v>
      </c>
    </row>
    <row r="54" spans="1:28">
      <c r="A54" s="99" t="s">
        <v>215</v>
      </c>
      <c r="B54" s="99" t="s">
        <v>207</v>
      </c>
      <c r="C54" s="725">
        <v>4.479876</v>
      </c>
      <c r="D54" s="101">
        <v>0</v>
      </c>
      <c r="E54" s="725">
        <v>31.819680000000002</v>
      </c>
      <c r="F54" s="101">
        <v>0</v>
      </c>
      <c r="G54" s="101">
        <v>0</v>
      </c>
      <c r="H54" s="101">
        <v>0</v>
      </c>
      <c r="I54" s="101">
        <v>0</v>
      </c>
      <c r="J54" s="101">
        <v>0</v>
      </c>
      <c r="K54" s="101">
        <v>0</v>
      </c>
      <c r="L54" s="101">
        <v>6</v>
      </c>
      <c r="M54" s="101">
        <v>0</v>
      </c>
      <c r="N54" s="101">
        <v>0</v>
      </c>
      <c r="O54" s="101">
        <v>0</v>
      </c>
      <c r="P54" s="101">
        <v>4.0000000000000001E-3</v>
      </c>
      <c r="Q54" s="101">
        <v>1.4E-2</v>
      </c>
      <c r="R54" s="101">
        <v>0</v>
      </c>
      <c r="S54" s="101">
        <v>0.15</v>
      </c>
      <c r="T54" s="101">
        <v>11.766999999999999</v>
      </c>
      <c r="U54" s="101">
        <v>0</v>
      </c>
      <c r="V54" s="101">
        <v>0</v>
      </c>
      <c r="W54" s="101">
        <v>0</v>
      </c>
      <c r="X54" s="103">
        <f t="shared" si="1"/>
        <v>54.234555999999998</v>
      </c>
      <c r="AA54" s="101">
        <f>$AF$10*$X59</f>
        <v>148.48015691487069</v>
      </c>
    </row>
    <row r="55" spans="1:28">
      <c r="A55" s="99" t="s">
        <v>215</v>
      </c>
      <c r="B55" s="99" t="s">
        <v>208</v>
      </c>
      <c r="C55" s="101">
        <v>4.7670000000000003</v>
      </c>
      <c r="D55" s="101">
        <v>0.79800000000000004</v>
      </c>
      <c r="E55" s="101">
        <v>0.4</v>
      </c>
      <c r="F55" s="101">
        <v>0</v>
      </c>
      <c r="G55" s="101">
        <v>0</v>
      </c>
      <c r="H55" s="101">
        <v>4.5999999999999999E-2</v>
      </c>
      <c r="I55" s="101">
        <v>0</v>
      </c>
      <c r="J55" s="101">
        <v>0</v>
      </c>
      <c r="K55" s="101">
        <v>0.21299999999999999</v>
      </c>
      <c r="L55" s="101">
        <v>1.88</v>
      </c>
      <c r="M55" s="101">
        <v>0.08</v>
      </c>
      <c r="N55" s="101">
        <v>0</v>
      </c>
      <c r="O55" s="101">
        <v>3.4000000000000002E-2</v>
      </c>
      <c r="P55" s="101">
        <v>0</v>
      </c>
      <c r="Q55" s="101">
        <v>0</v>
      </c>
      <c r="R55" s="101">
        <v>0</v>
      </c>
      <c r="S55" s="101">
        <v>4.4480000000000004</v>
      </c>
      <c r="T55" s="101">
        <v>26.053999999999998</v>
      </c>
      <c r="U55" s="101">
        <v>0.121</v>
      </c>
      <c r="V55" s="101">
        <v>0</v>
      </c>
      <c r="W55" s="101">
        <v>0</v>
      </c>
      <c r="X55" s="103">
        <f t="shared" si="1"/>
        <v>38.841000000000001</v>
      </c>
      <c r="AA55" s="101">
        <f>$AF$11*(X53+X55+$X56+X57+X58+X60+X61)</f>
        <v>178.97982880815431</v>
      </c>
    </row>
    <row r="56" spans="1:28">
      <c r="A56" s="99" t="s">
        <v>215</v>
      </c>
      <c r="B56" s="99" t="s">
        <v>209</v>
      </c>
      <c r="C56" s="101">
        <v>0</v>
      </c>
      <c r="D56" s="101">
        <v>0</v>
      </c>
      <c r="E56" s="101">
        <v>8.5999999999999993E-2</v>
      </c>
      <c r="F56" s="101">
        <v>0</v>
      </c>
      <c r="G56" s="101">
        <v>0</v>
      </c>
      <c r="H56" s="101">
        <v>0</v>
      </c>
      <c r="I56" s="101">
        <v>0</v>
      </c>
      <c r="J56" s="101">
        <v>0</v>
      </c>
      <c r="K56" s="101">
        <v>0.128</v>
      </c>
      <c r="L56" s="101">
        <v>0.24</v>
      </c>
      <c r="M56" s="101">
        <v>0</v>
      </c>
      <c r="N56" s="101">
        <v>0</v>
      </c>
      <c r="O56" s="101">
        <v>2.5999999999999999E-2</v>
      </c>
      <c r="P56" s="101">
        <v>0</v>
      </c>
      <c r="Q56" s="101">
        <v>0</v>
      </c>
      <c r="R56" s="101">
        <v>0</v>
      </c>
      <c r="S56" s="101">
        <v>0</v>
      </c>
      <c r="T56" s="101">
        <v>0.95199999999999996</v>
      </c>
      <c r="U56" s="101">
        <v>0</v>
      </c>
      <c r="V56" s="101">
        <v>0</v>
      </c>
      <c r="W56" s="101">
        <v>0</v>
      </c>
      <c r="X56" s="103">
        <f t="shared" si="1"/>
        <v>1.4319999999999999</v>
      </c>
    </row>
    <row r="57" spans="1:28">
      <c r="A57" s="99" t="s">
        <v>215</v>
      </c>
      <c r="B57" s="99" t="s">
        <v>210</v>
      </c>
      <c r="C57" s="101">
        <v>0.44600000000000001</v>
      </c>
      <c r="D57" s="101">
        <v>0.314</v>
      </c>
      <c r="E57" s="101">
        <v>1.6679999999999999</v>
      </c>
      <c r="F57" s="101">
        <v>0</v>
      </c>
      <c r="G57" s="101">
        <v>0</v>
      </c>
      <c r="H57" s="101">
        <v>4.5999999999999999E-2</v>
      </c>
      <c r="I57" s="101">
        <v>0</v>
      </c>
      <c r="J57" s="101">
        <v>0</v>
      </c>
      <c r="K57" s="101">
        <v>0.21299999999999999</v>
      </c>
      <c r="L57" s="101">
        <v>1.92</v>
      </c>
      <c r="M57" s="101">
        <v>0</v>
      </c>
      <c r="N57" s="101">
        <v>0</v>
      </c>
      <c r="O57" s="101">
        <v>5.8999999999999997E-2</v>
      </c>
      <c r="P57" s="101">
        <v>4.2999999999999997E-2</v>
      </c>
      <c r="Q57" s="101">
        <v>0</v>
      </c>
      <c r="R57" s="101">
        <v>0</v>
      </c>
      <c r="S57" s="101">
        <v>0</v>
      </c>
      <c r="T57" s="101">
        <v>15.425000000000001</v>
      </c>
      <c r="U57" s="101">
        <v>0</v>
      </c>
      <c r="V57" s="101">
        <v>0</v>
      </c>
      <c r="W57" s="101">
        <v>0</v>
      </c>
      <c r="X57" s="103">
        <f t="shared" si="1"/>
        <v>20.134</v>
      </c>
    </row>
    <row r="58" spans="1:28">
      <c r="A58" s="99" t="s">
        <v>215</v>
      </c>
      <c r="B58" s="99" t="s">
        <v>211</v>
      </c>
      <c r="C58" s="101">
        <v>0.33400000000000002</v>
      </c>
      <c r="D58" s="101">
        <v>0</v>
      </c>
      <c r="E58" s="101">
        <v>1.165</v>
      </c>
      <c r="F58" s="101">
        <v>0</v>
      </c>
      <c r="G58" s="101">
        <v>0</v>
      </c>
      <c r="H58" s="101">
        <v>0</v>
      </c>
      <c r="I58" s="101">
        <v>0</v>
      </c>
      <c r="J58" s="101">
        <v>0</v>
      </c>
      <c r="K58" s="101">
        <v>4.2999999999999997E-2</v>
      </c>
      <c r="L58" s="101">
        <v>0.28000000000000003</v>
      </c>
      <c r="M58" s="101">
        <v>0</v>
      </c>
      <c r="N58" s="101">
        <v>0</v>
      </c>
      <c r="O58" s="101">
        <v>5.1999999999999998E-2</v>
      </c>
      <c r="P58" s="101">
        <v>0</v>
      </c>
      <c r="Q58" s="101">
        <v>0</v>
      </c>
      <c r="R58" s="101">
        <v>0</v>
      </c>
      <c r="S58" s="101">
        <v>2E-3</v>
      </c>
      <c r="T58" s="101">
        <v>3.3580000000000001</v>
      </c>
      <c r="U58" s="101">
        <v>0</v>
      </c>
      <c r="V58" s="101">
        <v>0</v>
      </c>
      <c r="W58" s="101">
        <v>0</v>
      </c>
      <c r="X58" s="103">
        <f t="shared" si="1"/>
        <v>5.234</v>
      </c>
    </row>
    <row r="59" spans="1:28">
      <c r="A59" s="99" t="s">
        <v>215</v>
      </c>
      <c r="B59" s="99" t="s">
        <v>212</v>
      </c>
      <c r="C59" s="101">
        <v>0.46800000000000003</v>
      </c>
      <c r="D59" s="101">
        <v>0</v>
      </c>
      <c r="E59" s="101">
        <v>2.5640000000000001</v>
      </c>
      <c r="F59" s="101">
        <v>0</v>
      </c>
      <c r="G59" s="101">
        <v>0</v>
      </c>
      <c r="H59" s="101">
        <v>0</v>
      </c>
      <c r="I59" s="101">
        <v>0</v>
      </c>
      <c r="J59" s="101">
        <v>0</v>
      </c>
      <c r="K59" s="101">
        <v>0</v>
      </c>
      <c r="L59" s="101">
        <v>1</v>
      </c>
      <c r="M59" s="101">
        <v>0</v>
      </c>
      <c r="N59" s="101">
        <v>0</v>
      </c>
      <c r="O59" s="101">
        <v>9.7530000000000001</v>
      </c>
      <c r="P59" s="101">
        <v>0</v>
      </c>
      <c r="Q59" s="101">
        <v>0</v>
      </c>
      <c r="R59" s="101">
        <v>0</v>
      </c>
      <c r="S59" s="101">
        <v>0</v>
      </c>
      <c r="T59" s="101">
        <v>4.0880000000000001</v>
      </c>
      <c r="U59" s="101">
        <v>0</v>
      </c>
      <c r="V59" s="101">
        <v>0</v>
      </c>
      <c r="W59" s="101">
        <v>0</v>
      </c>
      <c r="X59" s="103">
        <f t="shared" si="1"/>
        <v>17.873000000000001</v>
      </c>
    </row>
    <row r="60" spans="1:28">
      <c r="A60" s="99" t="s">
        <v>215</v>
      </c>
      <c r="B60" s="99" t="s">
        <v>213</v>
      </c>
      <c r="C60" s="101">
        <v>0.13400000000000001</v>
      </c>
      <c r="D60" s="101">
        <v>0.17100000000000001</v>
      </c>
      <c r="E60" s="101">
        <v>1.546</v>
      </c>
      <c r="F60" s="101">
        <v>0</v>
      </c>
      <c r="G60" s="101">
        <v>0</v>
      </c>
      <c r="H60" s="101">
        <v>0.23</v>
      </c>
      <c r="I60" s="101">
        <v>0</v>
      </c>
      <c r="J60" s="101">
        <v>0</v>
      </c>
      <c r="K60" s="101">
        <v>8.5000000000000006E-2</v>
      </c>
      <c r="L60" s="101">
        <v>0.24</v>
      </c>
      <c r="M60" s="101">
        <v>0.2</v>
      </c>
      <c r="N60" s="101">
        <v>0</v>
      </c>
      <c r="O60" s="101">
        <v>0.123</v>
      </c>
      <c r="P60" s="101">
        <v>0</v>
      </c>
      <c r="Q60" s="101">
        <v>0</v>
      </c>
      <c r="R60" s="101">
        <v>0</v>
      </c>
      <c r="S60" s="101">
        <v>0.01</v>
      </c>
      <c r="T60" s="101">
        <v>16.832000000000001</v>
      </c>
      <c r="U60" s="101">
        <v>0.76500000000000001</v>
      </c>
      <c r="V60" s="101">
        <v>0</v>
      </c>
      <c r="W60" s="101">
        <v>0</v>
      </c>
      <c r="X60" s="103">
        <f t="shared" si="1"/>
        <v>20.336000000000002</v>
      </c>
    </row>
    <row r="61" spans="1:28">
      <c r="A61" s="99" t="s">
        <v>215</v>
      </c>
      <c r="B61" s="99" t="s">
        <v>214</v>
      </c>
      <c r="C61" s="101">
        <v>4.4999999999999998E-2</v>
      </c>
      <c r="D61" s="101">
        <v>2.9000000000000001E-2</v>
      </c>
      <c r="E61" s="101">
        <v>0.47799999999999998</v>
      </c>
      <c r="F61" s="101">
        <v>0</v>
      </c>
      <c r="G61" s="101">
        <v>0</v>
      </c>
      <c r="H61" s="101">
        <v>1.702</v>
      </c>
      <c r="I61" s="101">
        <v>0</v>
      </c>
      <c r="J61" s="101">
        <v>0</v>
      </c>
      <c r="K61" s="101">
        <v>3.919</v>
      </c>
      <c r="L61" s="101">
        <v>0.56000000000000005</v>
      </c>
      <c r="M61" s="101">
        <v>0.44</v>
      </c>
      <c r="N61" s="101">
        <v>0</v>
      </c>
      <c r="O61" s="101">
        <v>5.9630000000000001</v>
      </c>
      <c r="P61" s="101">
        <v>0</v>
      </c>
      <c r="Q61" s="101">
        <v>0</v>
      </c>
      <c r="R61" s="101">
        <v>0</v>
      </c>
      <c r="S61" s="101">
        <v>1.0999999999999999E-2</v>
      </c>
      <c r="T61" s="101">
        <v>8.6929999999999996</v>
      </c>
      <c r="U61" s="101">
        <v>0</v>
      </c>
      <c r="V61" s="101">
        <v>0</v>
      </c>
      <c r="W61" s="101">
        <v>0</v>
      </c>
      <c r="X61" s="103">
        <f t="shared" si="1"/>
        <v>21.84</v>
      </c>
    </row>
    <row r="62" spans="1:28">
      <c r="A62" s="99" t="s">
        <v>216</v>
      </c>
      <c r="B62" s="99" t="s">
        <v>204</v>
      </c>
      <c r="C62" s="101">
        <v>0</v>
      </c>
      <c r="D62" s="101">
        <v>0</v>
      </c>
      <c r="E62" s="101">
        <v>0</v>
      </c>
      <c r="F62" s="101">
        <v>0</v>
      </c>
      <c r="G62" s="101">
        <v>203.39599999999999</v>
      </c>
      <c r="H62" s="101">
        <v>14.766</v>
      </c>
      <c r="I62" s="101">
        <v>0</v>
      </c>
      <c r="J62" s="101">
        <v>0</v>
      </c>
      <c r="K62" s="101">
        <v>2.2999999999999998</v>
      </c>
      <c r="L62" s="101">
        <v>75.400000000000006</v>
      </c>
      <c r="M62" s="101">
        <v>36.783999999999999</v>
      </c>
      <c r="N62" s="101">
        <v>0</v>
      </c>
      <c r="O62" s="101">
        <v>0</v>
      </c>
      <c r="P62" s="101">
        <v>0</v>
      </c>
      <c r="Q62" s="101">
        <v>0</v>
      </c>
      <c r="R62" s="101">
        <v>0</v>
      </c>
      <c r="S62" s="101">
        <v>0</v>
      </c>
      <c r="T62" s="101">
        <v>7.218</v>
      </c>
      <c r="U62" s="101">
        <v>4.7679999999999998</v>
      </c>
      <c r="V62" s="101">
        <v>0</v>
      </c>
      <c r="W62" s="101">
        <v>0</v>
      </c>
      <c r="X62" s="103">
        <f t="shared" ref="X62:X72" si="2">SUM(C62:W62)</f>
        <v>344.63199999999995</v>
      </c>
      <c r="Y62" s="103">
        <f>SUM(X62:X72)</f>
        <v>1801.3110000000004</v>
      </c>
      <c r="Z62" s="98" t="s">
        <v>43</v>
      </c>
      <c r="AA62" s="101">
        <f>$AF$7*$X62</f>
        <v>828.02352986987069</v>
      </c>
    </row>
    <row r="63" spans="1:28">
      <c r="A63" s="99" t="s">
        <v>216</v>
      </c>
      <c r="B63" s="99" t="s">
        <v>205</v>
      </c>
      <c r="C63" s="101">
        <v>105.703</v>
      </c>
      <c r="D63" s="101">
        <v>153.33000000000001</v>
      </c>
      <c r="E63" s="101">
        <v>0.78</v>
      </c>
      <c r="F63" s="101">
        <v>0</v>
      </c>
      <c r="G63" s="101">
        <v>0</v>
      </c>
      <c r="H63" s="101">
        <v>0.55200000000000005</v>
      </c>
      <c r="I63" s="101">
        <v>0</v>
      </c>
      <c r="J63" s="101">
        <v>0</v>
      </c>
      <c r="K63" s="101">
        <v>1.022</v>
      </c>
      <c r="L63" s="101">
        <v>29.84</v>
      </c>
      <c r="M63" s="101">
        <v>0</v>
      </c>
      <c r="N63" s="101">
        <v>0</v>
      </c>
      <c r="O63" s="101">
        <v>0</v>
      </c>
      <c r="P63" s="101">
        <v>0</v>
      </c>
      <c r="Q63" s="101">
        <v>0</v>
      </c>
      <c r="R63" s="101">
        <v>0</v>
      </c>
      <c r="S63" s="101">
        <v>0</v>
      </c>
      <c r="T63" s="101">
        <v>81.545000000000002</v>
      </c>
      <c r="U63" s="101">
        <v>24.972999999999999</v>
      </c>
      <c r="V63" s="101">
        <v>77.034000000000006</v>
      </c>
      <c r="W63" s="101">
        <v>2.5000000000000001E-2</v>
      </c>
      <c r="X63" s="103">
        <f t="shared" si="2"/>
        <v>474.80399999999997</v>
      </c>
      <c r="AA63" s="101">
        <f>$AF$8*$X63</f>
        <v>343.3547791878791</v>
      </c>
    </row>
    <row r="64" spans="1:28">
      <c r="A64" s="99" t="s">
        <v>216</v>
      </c>
      <c r="B64" s="99" t="s">
        <v>206</v>
      </c>
      <c r="C64" s="101">
        <v>7.44</v>
      </c>
      <c r="D64" s="101">
        <v>2.7650000000000001</v>
      </c>
      <c r="E64" s="101">
        <v>0.46</v>
      </c>
      <c r="F64" s="101">
        <v>0</v>
      </c>
      <c r="G64" s="101">
        <v>0</v>
      </c>
      <c r="H64" s="101">
        <v>1.288</v>
      </c>
      <c r="I64" s="101">
        <v>0</v>
      </c>
      <c r="J64" s="101">
        <v>0</v>
      </c>
      <c r="K64" s="101">
        <v>2.343</v>
      </c>
      <c r="L64" s="101">
        <v>1.52</v>
      </c>
      <c r="M64" s="101">
        <v>0</v>
      </c>
      <c r="N64" s="101">
        <v>0</v>
      </c>
      <c r="O64" s="101">
        <v>0</v>
      </c>
      <c r="P64" s="101">
        <v>0</v>
      </c>
      <c r="Q64" s="101">
        <v>0</v>
      </c>
      <c r="R64" s="101">
        <v>0</v>
      </c>
      <c r="S64" s="101">
        <v>0</v>
      </c>
      <c r="T64" s="101">
        <v>31.603999999999999</v>
      </c>
      <c r="U64" s="101">
        <v>6.4000000000000001E-2</v>
      </c>
      <c r="V64" s="101">
        <v>0</v>
      </c>
      <c r="W64" s="101">
        <v>0.01</v>
      </c>
      <c r="X64" s="103">
        <f t="shared" si="2"/>
        <v>47.494</v>
      </c>
      <c r="AA64" s="101">
        <f>$AF$9*$X65</f>
        <v>2246.6067790735842</v>
      </c>
    </row>
    <row r="65" spans="1:28">
      <c r="A65" s="99" t="s">
        <v>216</v>
      </c>
      <c r="B65" s="99" t="s">
        <v>207</v>
      </c>
      <c r="C65" s="101">
        <v>18.289000000000001</v>
      </c>
      <c r="D65" s="101">
        <v>0</v>
      </c>
      <c r="E65" s="101">
        <v>7.0060000000000002</v>
      </c>
      <c r="F65" s="101">
        <v>0</v>
      </c>
      <c r="G65" s="101">
        <v>0</v>
      </c>
      <c r="H65" s="101">
        <v>0</v>
      </c>
      <c r="I65" s="101">
        <v>0</v>
      </c>
      <c r="J65" s="101">
        <v>0</v>
      </c>
      <c r="K65" s="101">
        <v>0</v>
      </c>
      <c r="L65" s="101">
        <v>3.8</v>
      </c>
      <c r="M65" s="101">
        <v>0</v>
      </c>
      <c r="N65" s="101">
        <v>0</v>
      </c>
      <c r="O65" s="101">
        <v>0</v>
      </c>
      <c r="P65" s="101">
        <v>0</v>
      </c>
      <c r="Q65" s="101">
        <v>0</v>
      </c>
      <c r="R65" s="101">
        <v>0</v>
      </c>
      <c r="S65" s="101">
        <v>0</v>
      </c>
      <c r="T65" s="101">
        <v>195.375</v>
      </c>
      <c r="U65" s="101">
        <v>2.8980000000000001</v>
      </c>
      <c r="V65" s="101">
        <v>0</v>
      </c>
      <c r="W65" s="101">
        <v>8.5000000000000006E-2</v>
      </c>
      <c r="X65" s="103">
        <f t="shared" si="2"/>
        <v>227.453</v>
      </c>
      <c r="AA65" s="101">
        <f>$AF$10*$X70</f>
        <v>980.80144831217274</v>
      </c>
    </row>
    <row r="66" spans="1:28">
      <c r="A66" s="99" t="s">
        <v>216</v>
      </c>
      <c r="B66" s="99" t="s">
        <v>208</v>
      </c>
      <c r="C66" s="101">
        <v>8.4760000000000009</v>
      </c>
      <c r="D66" s="101">
        <v>5.8710000000000004</v>
      </c>
      <c r="E66" s="101">
        <v>35.472999999999999</v>
      </c>
      <c r="F66" s="101">
        <v>0</v>
      </c>
      <c r="G66" s="101">
        <v>0</v>
      </c>
      <c r="H66" s="101">
        <v>5.1520000000000001</v>
      </c>
      <c r="I66" s="101">
        <v>0</v>
      </c>
      <c r="J66" s="101">
        <v>0</v>
      </c>
      <c r="K66" s="101">
        <v>7.1139999999999999</v>
      </c>
      <c r="L66" s="101">
        <v>21.32</v>
      </c>
      <c r="M66" s="101">
        <v>3.9039999999999999</v>
      </c>
      <c r="N66" s="101">
        <v>0</v>
      </c>
      <c r="O66" s="101">
        <v>0</v>
      </c>
      <c r="P66" s="101">
        <v>0</v>
      </c>
      <c r="Q66" s="101">
        <v>0</v>
      </c>
      <c r="R66" s="101">
        <v>0</v>
      </c>
      <c r="S66" s="101">
        <v>0</v>
      </c>
      <c r="T66" s="101">
        <v>102.16200000000001</v>
      </c>
      <c r="U66" s="101">
        <v>0.95199999999999996</v>
      </c>
      <c r="V66" s="101">
        <v>0</v>
      </c>
      <c r="W66" s="101">
        <v>2.5999999999999999E-2</v>
      </c>
      <c r="X66" s="103">
        <f t="shared" si="2"/>
        <v>190.45000000000002</v>
      </c>
      <c r="AA66" s="101">
        <f>$AF$11*(X64+X66+$X67+X68+X69+X71+X72)</f>
        <v>1032.7669416618946</v>
      </c>
    </row>
    <row r="67" spans="1:28">
      <c r="A67" s="99" t="s">
        <v>216</v>
      </c>
      <c r="B67" s="99" t="s">
        <v>209</v>
      </c>
      <c r="C67" s="101">
        <v>0.93600000000000005</v>
      </c>
      <c r="D67" s="101">
        <v>0.56999999999999995</v>
      </c>
      <c r="E67" s="101">
        <v>1.5</v>
      </c>
      <c r="F67" s="101">
        <v>0</v>
      </c>
      <c r="G67" s="101">
        <v>0</v>
      </c>
      <c r="H67" s="101">
        <v>0</v>
      </c>
      <c r="I67" s="101">
        <v>0</v>
      </c>
      <c r="J67" s="101">
        <v>0</v>
      </c>
      <c r="K67" s="101">
        <v>2.3860000000000001</v>
      </c>
      <c r="L67" s="101">
        <v>0.52</v>
      </c>
      <c r="M67" s="101">
        <v>0</v>
      </c>
      <c r="N67" s="101">
        <v>0</v>
      </c>
      <c r="O67" s="101">
        <v>0</v>
      </c>
      <c r="P67" s="101">
        <v>0</v>
      </c>
      <c r="Q67" s="101">
        <v>0</v>
      </c>
      <c r="R67" s="101">
        <v>0</v>
      </c>
      <c r="S67" s="101">
        <v>0</v>
      </c>
      <c r="T67" s="101">
        <v>3.738</v>
      </c>
      <c r="U67" s="101">
        <v>0</v>
      </c>
      <c r="V67" s="101">
        <v>0</v>
      </c>
      <c r="W67" s="101">
        <v>1E-3</v>
      </c>
      <c r="X67" s="103">
        <f t="shared" si="2"/>
        <v>9.6509999999999998</v>
      </c>
    </row>
    <row r="68" spans="1:28">
      <c r="A68" s="99" t="s">
        <v>216</v>
      </c>
      <c r="B68" s="99" t="s">
        <v>210</v>
      </c>
      <c r="C68" s="101">
        <v>2.4039999999999999</v>
      </c>
      <c r="D68" s="101">
        <v>0.71299999999999997</v>
      </c>
      <c r="E68" s="101">
        <v>5.7190000000000003</v>
      </c>
      <c r="F68" s="101">
        <v>0</v>
      </c>
      <c r="G68" s="101">
        <v>0</v>
      </c>
      <c r="H68" s="101">
        <v>3.8639999999999999</v>
      </c>
      <c r="I68" s="101">
        <v>0</v>
      </c>
      <c r="J68" s="101">
        <v>0</v>
      </c>
      <c r="K68" s="101">
        <v>18.658999999999999</v>
      </c>
      <c r="L68" s="101">
        <v>2.4</v>
      </c>
      <c r="M68" s="101">
        <v>0</v>
      </c>
      <c r="N68" s="101">
        <v>0</v>
      </c>
      <c r="O68" s="101">
        <v>0</v>
      </c>
      <c r="P68" s="101">
        <v>0</v>
      </c>
      <c r="Q68" s="101">
        <v>0</v>
      </c>
      <c r="R68" s="101">
        <v>0</v>
      </c>
      <c r="S68" s="101">
        <v>0</v>
      </c>
      <c r="T68" s="101">
        <v>71.114000000000004</v>
      </c>
      <c r="U68" s="101">
        <v>1.002</v>
      </c>
      <c r="V68" s="101">
        <v>0</v>
      </c>
      <c r="W68" s="101">
        <v>2.5999999999999999E-2</v>
      </c>
      <c r="X68" s="103">
        <f t="shared" si="2"/>
        <v>105.901</v>
      </c>
    </row>
    <row r="69" spans="1:28">
      <c r="A69" s="99" t="s">
        <v>216</v>
      </c>
      <c r="B69" s="99" t="s">
        <v>211</v>
      </c>
      <c r="C69" s="101">
        <v>0.63300000000000001</v>
      </c>
      <c r="D69" s="101">
        <v>0</v>
      </c>
      <c r="E69" s="101">
        <v>0</v>
      </c>
      <c r="F69" s="101">
        <v>0</v>
      </c>
      <c r="G69" s="101">
        <v>0</v>
      </c>
      <c r="H69" s="101">
        <v>0.13800000000000001</v>
      </c>
      <c r="I69" s="101">
        <v>0</v>
      </c>
      <c r="J69" s="101">
        <v>0</v>
      </c>
      <c r="K69" s="101">
        <v>3.4079999999999999</v>
      </c>
      <c r="L69" s="101">
        <v>0.8</v>
      </c>
      <c r="M69" s="101">
        <v>0</v>
      </c>
      <c r="N69" s="101">
        <v>0</v>
      </c>
      <c r="O69" s="101">
        <v>0</v>
      </c>
      <c r="P69" s="101">
        <v>0</v>
      </c>
      <c r="Q69" s="101">
        <v>0</v>
      </c>
      <c r="R69" s="101">
        <v>0</v>
      </c>
      <c r="S69" s="101">
        <v>0</v>
      </c>
      <c r="T69" s="101">
        <v>12.521000000000001</v>
      </c>
      <c r="U69" s="101">
        <v>0.254</v>
      </c>
      <c r="V69" s="101">
        <v>0</v>
      </c>
      <c r="W69" s="101">
        <v>4.0000000000000001E-3</v>
      </c>
      <c r="X69" s="103">
        <f t="shared" si="2"/>
        <v>17.758000000000003</v>
      </c>
    </row>
    <row r="70" spans="1:28">
      <c r="A70" s="99" t="s">
        <v>216</v>
      </c>
      <c r="B70" s="99" t="s">
        <v>212</v>
      </c>
      <c r="C70" s="101">
        <v>11.815</v>
      </c>
      <c r="D70" s="101">
        <v>0</v>
      </c>
      <c r="E70" s="101">
        <v>2.6080000000000001</v>
      </c>
      <c r="F70" s="101">
        <v>0</v>
      </c>
      <c r="G70" s="101">
        <v>0</v>
      </c>
      <c r="H70" s="101">
        <v>1.6559999999999999</v>
      </c>
      <c r="I70" s="101">
        <v>0</v>
      </c>
      <c r="J70" s="101">
        <v>0</v>
      </c>
      <c r="K70" s="101">
        <v>3.6640000000000001</v>
      </c>
      <c r="L70" s="101">
        <v>2.36</v>
      </c>
      <c r="M70" s="101">
        <v>0</v>
      </c>
      <c r="N70" s="101">
        <v>0</v>
      </c>
      <c r="O70" s="101">
        <v>0</v>
      </c>
      <c r="P70" s="101">
        <v>0</v>
      </c>
      <c r="Q70" s="101">
        <v>0</v>
      </c>
      <c r="R70" s="101">
        <v>0</v>
      </c>
      <c r="S70" s="101">
        <v>0</v>
      </c>
      <c r="T70" s="101">
        <v>95.082999999999998</v>
      </c>
      <c r="U70" s="101">
        <v>0.85399999999999998</v>
      </c>
      <c r="V70" s="101">
        <v>0</v>
      </c>
      <c r="W70" s="101">
        <v>2.1999999999999999E-2</v>
      </c>
      <c r="X70" s="103">
        <f t="shared" si="2"/>
        <v>118.06200000000001</v>
      </c>
    </row>
    <row r="71" spans="1:28">
      <c r="A71" s="99" t="s">
        <v>216</v>
      </c>
      <c r="B71" s="99" t="s">
        <v>213</v>
      </c>
      <c r="C71" s="101">
        <v>0</v>
      </c>
      <c r="D71" s="101">
        <v>1.71</v>
      </c>
      <c r="E71" s="101">
        <v>0</v>
      </c>
      <c r="F71" s="101">
        <v>0</v>
      </c>
      <c r="G71" s="101">
        <v>0</v>
      </c>
      <c r="H71" s="101">
        <v>5.1980000000000004</v>
      </c>
      <c r="I71" s="101">
        <v>0</v>
      </c>
      <c r="J71" s="101">
        <v>0</v>
      </c>
      <c r="K71" s="101">
        <v>26.625</v>
      </c>
      <c r="L71" s="101">
        <v>1.84</v>
      </c>
      <c r="M71" s="101">
        <v>0</v>
      </c>
      <c r="N71" s="101">
        <v>0</v>
      </c>
      <c r="O71" s="101">
        <v>0</v>
      </c>
      <c r="P71" s="101">
        <v>0</v>
      </c>
      <c r="Q71" s="101">
        <v>0</v>
      </c>
      <c r="R71" s="101">
        <v>0</v>
      </c>
      <c r="S71" s="101">
        <v>0</v>
      </c>
      <c r="T71" s="101">
        <v>98.734999999999999</v>
      </c>
      <c r="U71" s="101">
        <v>2.2599999999999998</v>
      </c>
      <c r="V71" s="101">
        <v>0</v>
      </c>
      <c r="W71" s="101">
        <v>2.5999999999999999E-2</v>
      </c>
      <c r="X71" s="103">
        <f t="shared" si="2"/>
        <v>136.39400000000001</v>
      </c>
    </row>
    <row r="72" spans="1:28">
      <c r="A72" s="99" t="s">
        <v>216</v>
      </c>
      <c r="B72" s="99" t="s">
        <v>214</v>
      </c>
      <c r="C72" s="101">
        <v>0.505</v>
      </c>
      <c r="D72" s="101">
        <v>0.114</v>
      </c>
      <c r="E72" s="101">
        <v>0.56000000000000005</v>
      </c>
      <c r="F72" s="101">
        <v>0</v>
      </c>
      <c r="G72" s="101">
        <v>0.84199999999999997</v>
      </c>
      <c r="H72" s="101">
        <v>6.1639999999999997</v>
      </c>
      <c r="I72" s="101">
        <v>0</v>
      </c>
      <c r="J72" s="101">
        <v>0</v>
      </c>
      <c r="K72" s="101">
        <v>27.349</v>
      </c>
      <c r="L72" s="101">
        <v>2.08</v>
      </c>
      <c r="M72" s="101">
        <v>0</v>
      </c>
      <c r="N72" s="101">
        <v>0</v>
      </c>
      <c r="O72" s="101">
        <v>59.765000000000001</v>
      </c>
      <c r="P72" s="101">
        <v>0</v>
      </c>
      <c r="Q72" s="101">
        <v>0</v>
      </c>
      <c r="R72" s="101">
        <v>0</v>
      </c>
      <c r="S72" s="101">
        <v>0</v>
      </c>
      <c r="T72" s="101">
        <v>30.113</v>
      </c>
      <c r="U72" s="101">
        <v>1.21</v>
      </c>
      <c r="V72" s="101">
        <v>0</v>
      </c>
      <c r="W72" s="101">
        <v>0.01</v>
      </c>
      <c r="X72" s="103">
        <f t="shared" si="2"/>
        <v>128.71199999999999</v>
      </c>
      <c r="Y72" s="103"/>
    </row>
    <row r="73" spans="1:28">
      <c r="A73" s="99" t="s">
        <v>182</v>
      </c>
      <c r="B73" s="99" t="s">
        <v>204</v>
      </c>
      <c r="C73" s="101">
        <v>0</v>
      </c>
      <c r="D73" s="101">
        <v>0</v>
      </c>
      <c r="E73" s="101">
        <v>0</v>
      </c>
      <c r="F73" s="101">
        <v>0</v>
      </c>
      <c r="G73" s="101">
        <v>13.118</v>
      </c>
      <c r="H73" s="101">
        <v>0</v>
      </c>
      <c r="I73" s="101">
        <v>0</v>
      </c>
      <c r="J73" s="101">
        <v>0</v>
      </c>
      <c r="K73" s="101">
        <v>0</v>
      </c>
      <c r="L73" s="101">
        <v>0.68</v>
      </c>
      <c r="M73" s="101">
        <v>0</v>
      </c>
      <c r="N73" s="101">
        <v>0</v>
      </c>
      <c r="O73" s="101">
        <v>0</v>
      </c>
      <c r="P73" s="101">
        <v>0</v>
      </c>
      <c r="Q73" s="101">
        <v>0</v>
      </c>
      <c r="R73" s="101">
        <v>0</v>
      </c>
      <c r="S73" s="101">
        <v>0</v>
      </c>
      <c r="T73" s="101">
        <v>0</v>
      </c>
      <c r="U73" s="101">
        <v>0</v>
      </c>
      <c r="V73" s="101">
        <v>0</v>
      </c>
      <c r="W73" s="101">
        <v>0</v>
      </c>
      <c r="X73" s="103">
        <f t="shared" si="1"/>
        <v>13.798</v>
      </c>
      <c r="Y73" s="103">
        <f>SUM(X73:X83)</f>
        <v>89.851044000000002</v>
      </c>
      <c r="Z73" s="98" t="s">
        <v>42</v>
      </c>
      <c r="AA73" s="101">
        <f>$AF$7*$X73</f>
        <v>33.151502661228434</v>
      </c>
      <c r="AB73" s="98"/>
    </row>
    <row r="74" spans="1:28">
      <c r="A74" s="99" t="s">
        <v>182</v>
      </c>
      <c r="B74" s="99" t="s">
        <v>205</v>
      </c>
      <c r="C74" s="101">
        <v>0</v>
      </c>
      <c r="D74" s="101">
        <v>0</v>
      </c>
      <c r="E74" s="101">
        <v>0</v>
      </c>
      <c r="F74" s="101">
        <v>0</v>
      </c>
      <c r="G74" s="101">
        <v>0</v>
      </c>
      <c r="H74" s="101">
        <v>4.5999999999999999E-2</v>
      </c>
      <c r="I74" s="101">
        <v>0</v>
      </c>
      <c r="J74" s="101">
        <v>0</v>
      </c>
      <c r="K74" s="101">
        <v>8.5000000000000006E-2</v>
      </c>
      <c r="L74" s="101">
        <v>0</v>
      </c>
      <c r="M74" s="101">
        <v>0</v>
      </c>
      <c r="N74" s="101">
        <v>0</v>
      </c>
      <c r="O74" s="101">
        <v>0</v>
      </c>
      <c r="P74" s="101">
        <v>0</v>
      </c>
      <c r="Q74" s="101">
        <v>0</v>
      </c>
      <c r="R74" s="101">
        <v>0</v>
      </c>
      <c r="S74" s="101">
        <v>0</v>
      </c>
      <c r="T74" s="101">
        <v>1.4510000000000001</v>
      </c>
      <c r="U74" s="101">
        <v>0</v>
      </c>
      <c r="V74" s="101">
        <v>0</v>
      </c>
      <c r="W74" s="101">
        <v>7.0000000000000001E-3</v>
      </c>
      <c r="X74" s="103">
        <f>SUM(C74:W74)</f>
        <v>1.589</v>
      </c>
      <c r="AA74" s="101">
        <f>$AF$8*$X74</f>
        <v>1.1490862421747499</v>
      </c>
    </row>
    <row r="75" spans="1:28">
      <c r="A75" s="99" t="s">
        <v>182</v>
      </c>
      <c r="B75" s="99" t="s">
        <v>206</v>
      </c>
      <c r="C75" s="101">
        <v>0</v>
      </c>
      <c r="D75" s="101">
        <v>0</v>
      </c>
      <c r="E75" s="101">
        <v>0</v>
      </c>
      <c r="F75" s="101">
        <v>0</v>
      </c>
      <c r="G75" s="101">
        <v>0</v>
      </c>
      <c r="H75" s="101">
        <v>0</v>
      </c>
      <c r="I75" s="101">
        <v>0</v>
      </c>
      <c r="J75" s="101">
        <v>0</v>
      </c>
      <c r="K75" s="101">
        <v>0</v>
      </c>
      <c r="L75" s="101">
        <v>0</v>
      </c>
      <c r="M75" s="101">
        <v>0</v>
      </c>
      <c r="N75" s="101">
        <v>0</v>
      </c>
      <c r="O75" s="101">
        <v>0</v>
      </c>
      <c r="P75" s="101">
        <v>0</v>
      </c>
      <c r="Q75" s="101">
        <v>0</v>
      </c>
      <c r="R75" s="101">
        <v>0</v>
      </c>
      <c r="S75" s="101">
        <v>0</v>
      </c>
      <c r="T75" s="101">
        <v>9.5000000000000001E-2</v>
      </c>
      <c r="U75" s="101">
        <v>0</v>
      </c>
      <c r="V75" s="101">
        <v>0</v>
      </c>
      <c r="W75" s="101">
        <v>0</v>
      </c>
      <c r="X75" s="103">
        <f t="shared" si="1"/>
        <v>9.5000000000000001E-2</v>
      </c>
      <c r="AA75" s="101">
        <f>$AF$9*$X76</f>
        <v>42.829943858329813</v>
      </c>
    </row>
    <row r="76" spans="1:28">
      <c r="A76" s="99" t="s">
        <v>182</v>
      </c>
      <c r="B76" s="99" t="s">
        <v>207</v>
      </c>
      <c r="C76" s="101">
        <v>0.53</v>
      </c>
      <c r="D76" s="101">
        <v>0</v>
      </c>
      <c r="E76" s="101">
        <v>0</v>
      </c>
      <c r="F76" s="101">
        <v>0</v>
      </c>
      <c r="G76" s="101">
        <v>0</v>
      </c>
      <c r="H76" s="101">
        <v>4.5999999999999999E-2</v>
      </c>
      <c r="I76" s="101">
        <v>0</v>
      </c>
      <c r="J76" s="101">
        <v>0</v>
      </c>
      <c r="K76" s="725">
        <v>0.41868000000000005</v>
      </c>
      <c r="L76" s="725">
        <v>0.46054800000000001</v>
      </c>
      <c r="M76" s="101">
        <v>0</v>
      </c>
      <c r="N76" s="101">
        <v>0</v>
      </c>
      <c r="O76" s="101">
        <v>0</v>
      </c>
      <c r="P76" s="101">
        <v>0</v>
      </c>
      <c r="Q76" s="101">
        <v>3.0000000000000001E-3</v>
      </c>
      <c r="R76" s="101">
        <v>0</v>
      </c>
      <c r="S76" s="101">
        <v>0</v>
      </c>
      <c r="T76" s="101">
        <v>2.8780000000000001</v>
      </c>
      <c r="U76" s="101">
        <v>0</v>
      </c>
      <c r="V76" s="101">
        <v>0</v>
      </c>
      <c r="W76" s="101">
        <v>0</v>
      </c>
      <c r="X76" s="103">
        <f t="shared" si="1"/>
        <v>4.3362280000000002</v>
      </c>
      <c r="AA76" s="101">
        <f>$AF$10*$X81</f>
        <v>25.369612201037473</v>
      </c>
    </row>
    <row r="77" spans="1:28">
      <c r="A77" s="99" t="s">
        <v>182</v>
      </c>
      <c r="B77" s="99" t="s">
        <v>208</v>
      </c>
      <c r="C77" s="101">
        <v>5.5650000000000004</v>
      </c>
      <c r="D77" s="101">
        <v>0.82699999999999996</v>
      </c>
      <c r="E77" s="101">
        <v>0</v>
      </c>
      <c r="F77" s="101">
        <v>0</v>
      </c>
      <c r="G77" s="101">
        <v>0</v>
      </c>
      <c r="H77" s="101">
        <v>0.46</v>
      </c>
      <c r="I77" s="101">
        <v>0</v>
      </c>
      <c r="J77" s="101">
        <v>0</v>
      </c>
      <c r="K77" s="101">
        <v>1.0649999999999999</v>
      </c>
      <c r="L77" s="101">
        <v>0.68</v>
      </c>
      <c r="M77" s="101">
        <v>8.1280000000000001</v>
      </c>
      <c r="N77" s="101">
        <v>0</v>
      </c>
      <c r="O77" s="101">
        <v>5.0000000000000001E-3</v>
      </c>
      <c r="P77" s="101">
        <v>0</v>
      </c>
      <c r="Q77" s="101">
        <v>1</v>
      </c>
      <c r="R77" s="101">
        <v>0</v>
      </c>
      <c r="S77" s="101">
        <v>0</v>
      </c>
      <c r="T77" s="101">
        <v>4.7629999999999999</v>
      </c>
      <c r="U77" s="101">
        <v>0</v>
      </c>
      <c r="V77" s="101">
        <v>0</v>
      </c>
      <c r="W77" s="101">
        <v>0</v>
      </c>
      <c r="X77" s="103">
        <f t="shared" si="1"/>
        <v>22.493000000000002</v>
      </c>
      <c r="AA77" s="101">
        <f>$AF$11*(X75+X77+$X78+X79+X80+X82+X83)</f>
        <v>108.85632322117972</v>
      </c>
    </row>
    <row r="78" spans="1:28">
      <c r="A78" s="99" t="s">
        <v>182</v>
      </c>
      <c r="B78" s="99" t="s">
        <v>209</v>
      </c>
      <c r="C78" s="101">
        <v>0.106</v>
      </c>
      <c r="D78" s="101">
        <v>0</v>
      </c>
      <c r="E78" s="101">
        <v>0</v>
      </c>
      <c r="F78" s="101">
        <v>0</v>
      </c>
      <c r="G78" s="101">
        <v>0</v>
      </c>
      <c r="H78" s="101">
        <v>4.5999999999999999E-2</v>
      </c>
      <c r="I78" s="101">
        <v>0</v>
      </c>
      <c r="J78" s="101">
        <v>0</v>
      </c>
      <c r="K78" s="101">
        <v>2.13</v>
      </c>
      <c r="L78" s="101">
        <v>0.24</v>
      </c>
      <c r="M78" s="101">
        <v>0</v>
      </c>
      <c r="N78" s="101">
        <v>0</v>
      </c>
      <c r="O78" s="101">
        <v>0</v>
      </c>
      <c r="P78" s="101">
        <v>0</v>
      </c>
      <c r="Q78" s="101">
        <v>0</v>
      </c>
      <c r="R78" s="101">
        <v>0</v>
      </c>
      <c r="S78" s="101">
        <v>0</v>
      </c>
      <c r="T78" s="101">
        <v>0.60699999999999998</v>
      </c>
      <c r="U78" s="101">
        <v>0</v>
      </c>
      <c r="V78" s="101">
        <v>0</v>
      </c>
      <c r="W78" s="101">
        <v>0</v>
      </c>
      <c r="X78" s="103">
        <f t="shared" si="1"/>
        <v>3.1290000000000004</v>
      </c>
    </row>
    <row r="79" spans="1:28">
      <c r="A79" s="99" t="s">
        <v>182</v>
      </c>
      <c r="B79" s="99" t="s">
        <v>210</v>
      </c>
      <c r="C79" s="101">
        <v>1.776</v>
      </c>
      <c r="D79" s="101">
        <v>0.14299999999999999</v>
      </c>
      <c r="E79" s="101">
        <v>0</v>
      </c>
      <c r="F79" s="101">
        <v>0</v>
      </c>
      <c r="G79" s="101">
        <v>0</v>
      </c>
      <c r="H79" s="101">
        <v>0.23</v>
      </c>
      <c r="I79" s="101">
        <v>0</v>
      </c>
      <c r="J79" s="101">
        <v>0</v>
      </c>
      <c r="K79" s="101">
        <v>2.343</v>
      </c>
      <c r="L79" s="101">
        <v>4.12</v>
      </c>
      <c r="M79" s="101">
        <v>0</v>
      </c>
      <c r="N79" s="101">
        <v>0</v>
      </c>
      <c r="O79" s="101">
        <v>0.4</v>
      </c>
      <c r="P79" s="101">
        <v>0.15</v>
      </c>
      <c r="Q79" s="101">
        <v>0.04</v>
      </c>
      <c r="R79" s="101">
        <v>0</v>
      </c>
      <c r="S79" s="101">
        <v>0</v>
      </c>
      <c r="T79" s="101">
        <v>10.835000000000001</v>
      </c>
      <c r="U79" s="101">
        <v>0</v>
      </c>
      <c r="V79" s="101">
        <v>0</v>
      </c>
      <c r="W79" s="101">
        <v>4.0000000000000001E-3</v>
      </c>
      <c r="X79" s="103">
        <f t="shared" si="1"/>
        <v>20.041</v>
      </c>
    </row>
    <row r="80" spans="1:28">
      <c r="A80" s="99" t="s">
        <v>182</v>
      </c>
      <c r="B80" s="99" t="s">
        <v>211</v>
      </c>
      <c r="C80" s="101">
        <v>0</v>
      </c>
      <c r="D80" s="101">
        <v>0</v>
      </c>
      <c r="E80" s="101">
        <v>0</v>
      </c>
      <c r="F80" s="101">
        <v>0</v>
      </c>
      <c r="G80" s="101">
        <v>0</v>
      </c>
      <c r="H80" s="101">
        <v>0</v>
      </c>
      <c r="I80" s="101">
        <v>0</v>
      </c>
      <c r="J80" s="101">
        <v>0</v>
      </c>
      <c r="K80" s="101">
        <v>0.128</v>
      </c>
      <c r="L80" s="101">
        <v>0</v>
      </c>
      <c r="M80" s="101">
        <v>0</v>
      </c>
      <c r="N80" s="101">
        <v>0</v>
      </c>
      <c r="O80" s="101">
        <v>0.01</v>
      </c>
      <c r="P80" s="101">
        <v>0</v>
      </c>
      <c r="Q80" s="101">
        <v>0</v>
      </c>
      <c r="R80" s="101">
        <v>0</v>
      </c>
      <c r="S80" s="101">
        <v>0</v>
      </c>
      <c r="T80" s="101">
        <v>0.60199999999999998</v>
      </c>
      <c r="U80" s="101">
        <v>0</v>
      </c>
      <c r="V80" s="101">
        <v>0</v>
      </c>
      <c r="W80" s="101">
        <v>0</v>
      </c>
      <c r="X80" s="103">
        <f t="shared" si="1"/>
        <v>0.74</v>
      </c>
    </row>
    <row r="81" spans="1:28">
      <c r="A81" s="99" t="s">
        <v>182</v>
      </c>
      <c r="B81" s="99" t="s">
        <v>212</v>
      </c>
      <c r="C81" s="101">
        <v>0</v>
      </c>
      <c r="D81" s="101">
        <v>0</v>
      </c>
      <c r="E81" s="101">
        <v>0</v>
      </c>
      <c r="F81" s="101">
        <v>0</v>
      </c>
      <c r="G81" s="101">
        <v>0</v>
      </c>
      <c r="H81" s="101">
        <v>4.5999999999999999E-2</v>
      </c>
      <c r="I81" s="101">
        <v>0</v>
      </c>
      <c r="J81" s="101">
        <v>0</v>
      </c>
      <c r="K81" s="101">
        <v>0.29799999999999999</v>
      </c>
      <c r="L81" s="101">
        <v>0.08</v>
      </c>
      <c r="M81" s="101">
        <v>0</v>
      </c>
      <c r="N81" s="101">
        <v>0</v>
      </c>
      <c r="O81" s="725">
        <v>0</v>
      </c>
      <c r="P81" s="101">
        <v>0</v>
      </c>
      <c r="Q81" s="101">
        <v>3.4000000000000002E-2</v>
      </c>
      <c r="R81" s="101">
        <v>0</v>
      </c>
      <c r="S81" s="101">
        <v>0</v>
      </c>
      <c r="T81" s="725">
        <v>2.5958160000000001</v>
      </c>
      <c r="U81" s="101">
        <v>0</v>
      </c>
      <c r="V81" s="101">
        <v>0</v>
      </c>
      <c r="W81" s="101">
        <v>0</v>
      </c>
      <c r="X81" s="103">
        <f t="shared" si="1"/>
        <v>3.0538160000000003</v>
      </c>
    </row>
    <row r="82" spans="1:28">
      <c r="A82" s="99" t="s">
        <v>182</v>
      </c>
      <c r="B82" s="99" t="s">
        <v>213</v>
      </c>
      <c r="C82" s="101">
        <v>0</v>
      </c>
      <c r="D82" s="101">
        <v>0</v>
      </c>
      <c r="E82" s="101">
        <v>0</v>
      </c>
      <c r="F82" s="101">
        <v>0</v>
      </c>
      <c r="G82" s="101">
        <v>0</v>
      </c>
      <c r="H82" s="101">
        <v>0.36799999999999999</v>
      </c>
      <c r="I82" s="101">
        <v>0</v>
      </c>
      <c r="J82" s="101">
        <v>0</v>
      </c>
      <c r="K82" s="101">
        <v>2.3860000000000001</v>
      </c>
      <c r="L82" s="101">
        <v>0.12</v>
      </c>
      <c r="M82" s="101">
        <v>0</v>
      </c>
      <c r="N82" s="101">
        <v>0</v>
      </c>
      <c r="O82" s="101">
        <v>0.157</v>
      </c>
      <c r="P82" s="101">
        <v>0</v>
      </c>
      <c r="Q82" s="101">
        <v>0.01</v>
      </c>
      <c r="R82" s="101">
        <v>0</v>
      </c>
      <c r="S82" s="101">
        <v>0</v>
      </c>
      <c r="T82" s="101">
        <v>3.827</v>
      </c>
      <c r="U82" s="101">
        <v>0</v>
      </c>
      <c r="V82" s="101">
        <v>0</v>
      </c>
      <c r="W82" s="101">
        <v>5.0000000000000001E-3</v>
      </c>
      <c r="X82" s="103">
        <f t="shared" si="1"/>
        <v>6.8730000000000002</v>
      </c>
    </row>
    <row r="83" spans="1:28">
      <c r="A83" s="99" t="s">
        <v>182</v>
      </c>
      <c r="B83" s="99" t="s">
        <v>214</v>
      </c>
      <c r="C83" s="101">
        <v>0</v>
      </c>
      <c r="D83" s="101">
        <v>0</v>
      </c>
      <c r="E83" s="101">
        <v>0</v>
      </c>
      <c r="F83" s="101">
        <v>0</v>
      </c>
      <c r="G83" s="101">
        <v>0</v>
      </c>
      <c r="H83" s="101">
        <v>0.50600000000000001</v>
      </c>
      <c r="I83" s="101">
        <v>4.3999999999999997E-2</v>
      </c>
      <c r="J83" s="101">
        <v>0</v>
      </c>
      <c r="K83" s="101">
        <v>7.4550000000000001</v>
      </c>
      <c r="L83" s="101">
        <v>0.24</v>
      </c>
      <c r="M83" s="101">
        <v>0</v>
      </c>
      <c r="N83" s="101">
        <v>0</v>
      </c>
      <c r="O83" s="101">
        <v>3.0249999999999999</v>
      </c>
      <c r="P83" s="101">
        <v>0</v>
      </c>
      <c r="Q83" s="101">
        <v>0.152</v>
      </c>
      <c r="R83" s="101">
        <v>0</v>
      </c>
      <c r="S83" s="101">
        <v>0</v>
      </c>
      <c r="T83" s="101">
        <v>2.2799999999999998</v>
      </c>
      <c r="U83" s="101">
        <v>0</v>
      </c>
      <c r="V83" s="101">
        <v>0</v>
      </c>
      <c r="W83" s="101">
        <v>1E-3</v>
      </c>
      <c r="X83" s="103">
        <f t="shared" ref="X83:X146" si="3">SUM(C83:W83)</f>
        <v>13.702999999999999</v>
      </c>
      <c r="Y83" s="103"/>
    </row>
    <row r="84" spans="1:28">
      <c r="A84" s="99" t="s">
        <v>217</v>
      </c>
      <c r="B84" s="99" t="s">
        <v>204</v>
      </c>
      <c r="C84" s="101">
        <v>0</v>
      </c>
      <c r="D84" s="101">
        <v>0</v>
      </c>
      <c r="E84" s="101">
        <v>0</v>
      </c>
      <c r="F84" s="101">
        <v>0</v>
      </c>
      <c r="G84" s="101">
        <v>0</v>
      </c>
      <c r="H84" s="101">
        <v>0</v>
      </c>
      <c r="I84" s="101">
        <v>0</v>
      </c>
      <c r="J84" s="101">
        <v>0</v>
      </c>
      <c r="K84" s="101">
        <v>0</v>
      </c>
      <c r="L84" s="101">
        <v>0</v>
      </c>
      <c r="M84" s="101">
        <v>0</v>
      </c>
      <c r="N84" s="101">
        <v>0</v>
      </c>
      <c r="O84" s="101">
        <v>0</v>
      </c>
      <c r="P84" s="101">
        <v>0</v>
      </c>
      <c r="Q84" s="101">
        <v>0</v>
      </c>
      <c r="R84" s="101">
        <v>0</v>
      </c>
      <c r="S84" s="101">
        <v>0</v>
      </c>
      <c r="T84" s="101">
        <v>0</v>
      </c>
      <c r="U84" s="101">
        <v>0</v>
      </c>
      <c r="V84" s="101">
        <v>0</v>
      </c>
      <c r="W84" s="101">
        <v>0</v>
      </c>
      <c r="X84" s="103">
        <f t="shared" si="3"/>
        <v>0</v>
      </c>
      <c r="Y84" s="103">
        <f>SUM(X84:X94)</f>
        <v>16.875736</v>
      </c>
      <c r="Z84" s="98" t="s">
        <v>44</v>
      </c>
      <c r="AA84" s="101">
        <f>$AF$7*$X84</f>
        <v>0</v>
      </c>
      <c r="AB84" s="98"/>
    </row>
    <row r="85" spans="1:28">
      <c r="A85" s="99" t="s">
        <v>217</v>
      </c>
      <c r="B85" s="99" t="s">
        <v>205</v>
      </c>
      <c r="C85" s="101">
        <v>0</v>
      </c>
      <c r="D85" s="101">
        <v>0</v>
      </c>
      <c r="E85" s="101">
        <v>0</v>
      </c>
      <c r="F85" s="101">
        <v>0</v>
      </c>
      <c r="G85" s="101">
        <v>0</v>
      </c>
      <c r="H85" s="101">
        <v>0</v>
      </c>
      <c r="I85" s="101">
        <v>0</v>
      </c>
      <c r="J85" s="101">
        <v>0</v>
      </c>
      <c r="K85" s="101">
        <v>0</v>
      </c>
      <c r="L85" s="101">
        <v>0</v>
      </c>
      <c r="M85" s="101">
        <v>0</v>
      </c>
      <c r="N85" s="101">
        <v>0</v>
      </c>
      <c r="O85" s="101">
        <v>0</v>
      </c>
      <c r="P85" s="101">
        <v>0</v>
      </c>
      <c r="Q85" s="101">
        <v>0</v>
      </c>
      <c r="R85" s="101">
        <v>0</v>
      </c>
      <c r="S85" s="101">
        <v>0</v>
      </c>
      <c r="T85" s="101">
        <v>2.3E-2</v>
      </c>
      <c r="U85" s="101">
        <v>0</v>
      </c>
      <c r="V85" s="101">
        <v>0</v>
      </c>
      <c r="W85" s="101">
        <v>0</v>
      </c>
      <c r="X85" s="103">
        <f t="shared" si="3"/>
        <v>2.3E-2</v>
      </c>
      <c r="AA85" s="101">
        <f>$AF$8*$X85</f>
        <v>1.6632462913794364E-2</v>
      </c>
    </row>
    <row r="86" spans="1:28">
      <c r="A86" s="99" t="s">
        <v>217</v>
      </c>
      <c r="B86" s="99" t="s">
        <v>206</v>
      </c>
      <c r="C86" s="101">
        <v>0</v>
      </c>
      <c r="D86" s="101">
        <v>0</v>
      </c>
      <c r="E86" s="101">
        <v>0</v>
      </c>
      <c r="F86" s="101">
        <v>0</v>
      </c>
      <c r="G86" s="101">
        <v>0</v>
      </c>
      <c r="H86" s="101">
        <v>0</v>
      </c>
      <c r="I86" s="101">
        <v>0</v>
      </c>
      <c r="J86" s="101">
        <v>0</v>
      </c>
      <c r="K86" s="101">
        <v>0</v>
      </c>
      <c r="L86" s="101">
        <v>0</v>
      </c>
      <c r="M86" s="101">
        <v>0</v>
      </c>
      <c r="N86" s="101">
        <v>0</v>
      </c>
      <c r="O86" s="101">
        <v>0</v>
      </c>
      <c r="P86" s="101">
        <v>0</v>
      </c>
      <c r="Q86" s="101">
        <v>0</v>
      </c>
      <c r="R86" s="101">
        <v>0</v>
      </c>
      <c r="S86" s="101">
        <v>0</v>
      </c>
      <c r="T86" s="101">
        <v>1.7999999999999999E-2</v>
      </c>
      <c r="U86" s="101">
        <v>0</v>
      </c>
      <c r="V86" s="101">
        <v>0</v>
      </c>
      <c r="W86" s="101">
        <v>0</v>
      </c>
      <c r="X86" s="103">
        <f t="shared" si="3"/>
        <v>1.7999999999999999E-2</v>
      </c>
      <c r="AA86" s="101">
        <f>$AF$9*$X87</f>
        <v>1.9260608649670434</v>
      </c>
    </row>
    <row r="87" spans="1:28">
      <c r="A87" s="99" t="s">
        <v>217</v>
      </c>
      <c r="B87" s="99" t="s">
        <v>207</v>
      </c>
      <c r="C87" s="101">
        <v>0</v>
      </c>
      <c r="D87" s="101">
        <v>0</v>
      </c>
      <c r="E87" s="101">
        <v>0</v>
      </c>
      <c r="F87" s="101">
        <v>0</v>
      </c>
      <c r="G87" s="101">
        <v>0</v>
      </c>
      <c r="H87" s="101">
        <v>4.5999999999999999E-2</v>
      </c>
      <c r="I87" s="101">
        <v>0</v>
      </c>
      <c r="J87" s="101">
        <v>0</v>
      </c>
      <c r="K87" s="101">
        <v>0</v>
      </c>
      <c r="L87" s="101">
        <v>0</v>
      </c>
      <c r="M87" s="101">
        <v>0</v>
      </c>
      <c r="N87" s="101">
        <v>0</v>
      </c>
      <c r="O87" s="101">
        <v>3.5999999999999997E-2</v>
      </c>
      <c r="P87" s="101">
        <v>0</v>
      </c>
      <c r="Q87" s="101">
        <v>0</v>
      </c>
      <c r="R87" s="101">
        <v>0</v>
      </c>
      <c r="S87" s="101">
        <v>0</v>
      </c>
      <c r="T87" s="101">
        <v>0.113</v>
      </c>
      <c r="U87" s="101">
        <v>0</v>
      </c>
      <c r="V87" s="101">
        <v>0</v>
      </c>
      <c r="W87" s="101">
        <v>0</v>
      </c>
      <c r="X87" s="103">
        <f t="shared" si="3"/>
        <v>0.19500000000000001</v>
      </c>
      <c r="AA87" s="101">
        <f>$AF$10*$X92</f>
        <v>5.9044476475716179</v>
      </c>
    </row>
    <row r="88" spans="1:28" ht="12" customHeight="1">
      <c r="A88" s="99" t="s">
        <v>217</v>
      </c>
      <c r="B88" s="99" t="s">
        <v>208</v>
      </c>
      <c r="C88" s="101">
        <v>0.24399999999999999</v>
      </c>
      <c r="D88" s="101">
        <v>0</v>
      </c>
      <c r="E88" s="101">
        <v>2.4569999999999999</v>
      </c>
      <c r="F88" s="101">
        <v>0.13900000000000001</v>
      </c>
      <c r="G88" s="101">
        <v>0</v>
      </c>
      <c r="H88" s="101">
        <v>0</v>
      </c>
      <c r="I88" s="101">
        <v>0</v>
      </c>
      <c r="J88" s="101">
        <v>0</v>
      </c>
      <c r="K88" s="101">
        <v>0.128</v>
      </c>
      <c r="L88" s="101">
        <v>0.08</v>
      </c>
      <c r="M88" s="101">
        <v>0</v>
      </c>
      <c r="N88" s="101">
        <v>0</v>
      </c>
      <c r="O88" s="101">
        <v>2.3E-2</v>
      </c>
      <c r="P88" s="101">
        <v>0</v>
      </c>
      <c r="Q88" s="101">
        <v>0</v>
      </c>
      <c r="R88" s="101">
        <v>0</v>
      </c>
      <c r="S88" s="101">
        <v>0</v>
      </c>
      <c r="T88" s="101">
        <v>0.77400000000000002</v>
      </c>
      <c r="U88" s="101">
        <v>0</v>
      </c>
      <c r="V88" s="101">
        <v>0</v>
      </c>
      <c r="W88" s="101">
        <v>0</v>
      </c>
      <c r="X88" s="103">
        <f t="shared" si="3"/>
        <v>3.8450000000000002</v>
      </c>
      <c r="AA88" s="101">
        <f>$AF$11*(X86+X88+$X89+X90+X91+X93+X94)</f>
        <v>25.880844834185421</v>
      </c>
    </row>
    <row r="89" spans="1:28">
      <c r="A89" s="99" t="s">
        <v>217</v>
      </c>
      <c r="B89" s="99" t="s">
        <v>209</v>
      </c>
      <c r="C89" s="101">
        <v>0</v>
      </c>
      <c r="D89" s="101">
        <v>0</v>
      </c>
      <c r="E89" s="101">
        <v>0</v>
      </c>
      <c r="F89" s="101">
        <v>0</v>
      </c>
      <c r="G89" s="101">
        <v>0</v>
      </c>
      <c r="H89" s="101">
        <v>0</v>
      </c>
      <c r="I89" s="101">
        <v>0</v>
      </c>
      <c r="J89" s="101">
        <v>0</v>
      </c>
      <c r="K89" s="101">
        <v>0.17</v>
      </c>
      <c r="L89" s="101">
        <v>0</v>
      </c>
      <c r="M89" s="101">
        <v>0</v>
      </c>
      <c r="N89" s="101">
        <v>0</v>
      </c>
      <c r="O89" s="101">
        <v>2E-3</v>
      </c>
      <c r="P89" s="101">
        <v>0</v>
      </c>
      <c r="Q89" s="101">
        <v>0</v>
      </c>
      <c r="R89" s="101">
        <v>0</v>
      </c>
      <c r="S89" s="101">
        <v>0</v>
      </c>
      <c r="T89" s="101">
        <v>0.20499999999999999</v>
      </c>
      <c r="U89" s="101">
        <v>0</v>
      </c>
      <c r="V89" s="101">
        <v>0</v>
      </c>
      <c r="W89" s="101">
        <v>0</v>
      </c>
      <c r="X89" s="103">
        <f t="shared" si="3"/>
        <v>0.377</v>
      </c>
    </row>
    <row r="90" spans="1:28">
      <c r="A90" s="99" t="s">
        <v>217</v>
      </c>
      <c r="B90" s="99" t="s">
        <v>210</v>
      </c>
      <c r="C90" s="101">
        <v>0</v>
      </c>
      <c r="D90" s="101">
        <v>0</v>
      </c>
      <c r="E90" s="101">
        <v>8.9999999999999993E-3</v>
      </c>
      <c r="F90" s="101">
        <v>8.9999999999999993E-3</v>
      </c>
      <c r="G90" s="101">
        <v>0</v>
      </c>
      <c r="H90" s="101">
        <v>0</v>
      </c>
      <c r="I90" s="101">
        <v>0</v>
      </c>
      <c r="J90" s="101">
        <v>0</v>
      </c>
      <c r="K90" s="101">
        <v>0.29799999999999999</v>
      </c>
      <c r="L90" s="101">
        <v>0.64</v>
      </c>
      <c r="M90" s="101">
        <v>0</v>
      </c>
      <c r="N90" s="101">
        <v>0</v>
      </c>
      <c r="O90" s="101">
        <v>4.4999999999999998E-2</v>
      </c>
      <c r="P90" s="101">
        <v>0</v>
      </c>
      <c r="Q90" s="101">
        <v>0</v>
      </c>
      <c r="R90" s="101">
        <v>0</v>
      </c>
      <c r="S90" s="101">
        <v>0</v>
      </c>
      <c r="T90" s="101">
        <v>1.151</v>
      </c>
      <c r="U90" s="101">
        <v>0</v>
      </c>
      <c r="V90" s="101">
        <v>0</v>
      </c>
      <c r="W90" s="101">
        <v>0</v>
      </c>
      <c r="X90" s="103">
        <f t="shared" si="3"/>
        <v>2.1520000000000001</v>
      </c>
    </row>
    <row r="91" spans="1:28">
      <c r="A91" s="99" t="s">
        <v>217</v>
      </c>
      <c r="B91" s="99" t="s">
        <v>211</v>
      </c>
      <c r="C91" s="101">
        <v>2.7E-2</v>
      </c>
      <c r="D91" s="101">
        <v>0</v>
      </c>
      <c r="E91" s="101">
        <v>0</v>
      </c>
      <c r="F91" s="101">
        <v>0</v>
      </c>
      <c r="G91" s="101">
        <v>0</v>
      </c>
      <c r="H91" s="101">
        <v>0</v>
      </c>
      <c r="I91" s="101">
        <v>0</v>
      </c>
      <c r="J91" s="101">
        <v>0</v>
      </c>
      <c r="K91" s="101">
        <v>8.5000000000000006E-2</v>
      </c>
      <c r="L91" s="101">
        <v>0.12</v>
      </c>
      <c r="M91" s="101">
        <v>0</v>
      </c>
      <c r="N91" s="101">
        <v>0</v>
      </c>
      <c r="O91" s="101">
        <v>8.0000000000000002E-3</v>
      </c>
      <c r="P91" s="101">
        <v>0</v>
      </c>
      <c r="Q91" s="101">
        <v>0</v>
      </c>
      <c r="R91" s="101">
        <v>0</v>
      </c>
      <c r="S91" s="101">
        <v>0</v>
      </c>
      <c r="T91" s="101">
        <v>0.41299999999999998</v>
      </c>
      <c r="U91" s="101">
        <v>0</v>
      </c>
      <c r="V91" s="101">
        <v>0</v>
      </c>
      <c r="W91" s="101">
        <v>0</v>
      </c>
      <c r="X91" s="103">
        <f t="shared" si="3"/>
        <v>0.65300000000000002</v>
      </c>
    </row>
    <row r="92" spans="1:28">
      <c r="A92" s="99" t="s">
        <v>217</v>
      </c>
      <c r="B92" s="99" t="s">
        <v>212</v>
      </c>
      <c r="C92" s="101">
        <v>0</v>
      </c>
      <c r="D92" s="101">
        <v>0</v>
      </c>
      <c r="E92" s="101">
        <v>0</v>
      </c>
      <c r="F92" s="101">
        <v>0</v>
      </c>
      <c r="G92" s="101">
        <v>0</v>
      </c>
      <c r="H92" s="101">
        <v>0</v>
      </c>
      <c r="I92" s="101">
        <v>0</v>
      </c>
      <c r="J92" s="101">
        <v>0</v>
      </c>
      <c r="K92" s="101">
        <v>4.2999999999999997E-2</v>
      </c>
      <c r="L92" s="101">
        <v>0</v>
      </c>
      <c r="M92" s="101">
        <v>0</v>
      </c>
      <c r="N92" s="101">
        <v>0</v>
      </c>
      <c r="O92" s="725">
        <v>8.3736000000000005E-2</v>
      </c>
      <c r="P92" s="101">
        <v>0</v>
      </c>
      <c r="Q92" s="101">
        <v>0</v>
      </c>
      <c r="R92" s="101">
        <v>0</v>
      </c>
      <c r="S92" s="101">
        <v>0</v>
      </c>
      <c r="T92" s="101">
        <v>0.58399999999999996</v>
      </c>
      <c r="U92" s="101">
        <v>0</v>
      </c>
      <c r="V92" s="101">
        <v>0</v>
      </c>
      <c r="W92" s="101">
        <v>0</v>
      </c>
      <c r="X92" s="103">
        <f t="shared" si="3"/>
        <v>0.71073600000000003</v>
      </c>
    </row>
    <row r="93" spans="1:28">
      <c r="A93" s="99" t="s">
        <v>217</v>
      </c>
      <c r="B93" s="99" t="s">
        <v>213</v>
      </c>
      <c r="C93" s="101">
        <v>2.7E-2</v>
      </c>
      <c r="D93" s="101">
        <v>0</v>
      </c>
      <c r="E93" s="101">
        <v>0</v>
      </c>
      <c r="F93" s="101">
        <v>0</v>
      </c>
      <c r="G93" s="101">
        <v>0</v>
      </c>
      <c r="H93" s="101">
        <v>0</v>
      </c>
      <c r="I93" s="101">
        <v>0</v>
      </c>
      <c r="J93" s="101">
        <v>0</v>
      </c>
      <c r="K93" s="101">
        <v>0.21299999999999999</v>
      </c>
      <c r="L93" s="101">
        <v>0.08</v>
      </c>
      <c r="M93" s="101">
        <v>0</v>
      </c>
      <c r="N93" s="101">
        <v>0</v>
      </c>
      <c r="O93" s="101">
        <v>3.4000000000000002E-2</v>
      </c>
      <c r="P93" s="101">
        <v>0</v>
      </c>
      <c r="Q93" s="101">
        <v>0</v>
      </c>
      <c r="R93" s="101">
        <v>0</v>
      </c>
      <c r="S93" s="101">
        <v>0</v>
      </c>
      <c r="T93" s="101">
        <v>0.39400000000000002</v>
      </c>
      <c r="U93" s="101">
        <v>0</v>
      </c>
      <c r="V93" s="101">
        <v>0</v>
      </c>
      <c r="W93" s="101">
        <v>0</v>
      </c>
      <c r="X93" s="103">
        <f t="shared" si="3"/>
        <v>0.748</v>
      </c>
    </row>
    <row r="94" spans="1:28">
      <c r="A94" s="99" t="s">
        <v>217</v>
      </c>
      <c r="B94" s="99" t="s">
        <v>214</v>
      </c>
      <c r="C94" s="101">
        <v>2.7E-2</v>
      </c>
      <c r="D94" s="101">
        <v>0</v>
      </c>
      <c r="E94" s="101">
        <v>0</v>
      </c>
      <c r="F94" s="101">
        <v>0</v>
      </c>
      <c r="G94" s="101">
        <v>0</v>
      </c>
      <c r="H94" s="101">
        <v>4.5999999999999999E-2</v>
      </c>
      <c r="I94" s="101">
        <v>4.3999999999999997E-2</v>
      </c>
      <c r="J94" s="101">
        <v>0</v>
      </c>
      <c r="K94" s="101">
        <v>1.1930000000000001</v>
      </c>
      <c r="L94" s="101">
        <v>0.72</v>
      </c>
      <c r="M94" s="101">
        <v>0</v>
      </c>
      <c r="N94" s="101">
        <v>0</v>
      </c>
      <c r="O94" s="101">
        <v>5.2190000000000003</v>
      </c>
      <c r="P94" s="101">
        <v>0</v>
      </c>
      <c r="Q94" s="101">
        <v>0</v>
      </c>
      <c r="R94" s="101">
        <v>0</v>
      </c>
      <c r="S94" s="101">
        <v>0</v>
      </c>
      <c r="T94" s="101">
        <v>0.90500000000000003</v>
      </c>
      <c r="U94" s="101">
        <v>0</v>
      </c>
      <c r="V94" s="101">
        <v>0</v>
      </c>
      <c r="W94" s="101">
        <v>0</v>
      </c>
      <c r="X94" s="103">
        <f t="shared" si="3"/>
        <v>8.1539999999999999</v>
      </c>
    </row>
    <row r="95" spans="1:28">
      <c r="A95" s="99" t="s">
        <v>184</v>
      </c>
      <c r="B95" s="99" t="s">
        <v>204</v>
      </c>
      <c r="C95" s="101">
        <v>0</v>
      </c>
      <c r="D95" s="101">
        <v>0</v>
      </c>
      <c r="E95" s="101">
        <v>0</v>
      </c>
      <c r="F95" s="101">
        <v>0</v>
      </c>
      <c r="G95" s="101">
        <v>105.386</v>
      </c>
      <c r="H95" s="101">
        <v>0</v>
      </c>
      <c r="I95" s="101">
        <v>0</v>
      </c>
      <c r="J95" s="101">
        <v>0</v>
      </c>
      <c r="K95" s="101">
        <v>0</v>
      </c>
      <c r="L95" s="101">
        <v>18.64</v>
      </c>
      <c r="M95" s="101">
        <v>55.295999999999999</v>
      </c>
      <c r="N95" s="101">
        <v>0</v>
      </c>
      <c r="O95" s="101">
        <v>0</v>
      </c>
      <c r="P95" s="101">
        <v>0</v>
      </c>
      <c r="Q95" s="101">
        <v>0</v>
      </c>
      <c r="R95" s="101">
        <v>0</v>
      </c>
      <c r="S95" s="101">
        <v>0</v>
      </c>
      <c r="T95" s="101">
        <v>0</v>
      </c>
      <c r="U95" s="101">
        <v>0</v>
      </c>
      <c r="V95" s="101">
        <v>0</v>
      </c>
      <c r="W95" s="101">
        <v>0</v>
      </c>
      <c r="X95" s="103">
        <f t="shared" ref="X95:X105" si="4">SUM(C95:W95)</f>
        <v>179.322</v>
      </c>
      <c r="Y95" s="103">
        <f>SUM(X95:X105)</f>
        <v>1094.1115439999999</v>
      </c>
      <c r="Z95" s="98" t="s">
        <v>45</v>
      </c>
      <c r="AA95" s="101">
        <f>$AF$7*$X95</f>
        <v>430.84459778350526</v>
      </c>
    </row>
    <row r="96" spans="1:28">
      <c r="A96" s="99" t="s">
        <v>184</v>
      </c>
      <c r="B96" s="99" t="s">
        <v>205</v>
      </c>
      <c r="C96" s="101">
        <v>22.408000000000001</v>
      </c>
      <c r="D96" s="101">
        <v>27.56</v>
      </c>
      <c r="E96" s="101">
        <v>0</v>
      </c>
      <c r="F96" s="101">
        <v>0</v>
      </c>
      <c r="G96" s="101">
        <v>0</v>
      </c>
      <c r="H96" s="101">
        <v>1.794</v>
      </c>
      <c r="I96" s="101">
        <v>0</v>
      </c>
      <c r="J96" s="101">
        <v>0</v>
      </c>
      <c r="K96" s="101">
        <v>3.8769999999999998</v>
      </c>
      <c r="L96" s="101">
        <v>2.08</v>
      </c>
      <c r="M96" s="101">
        <v>9.8559999999999999</v>
      </c>
      <c r="N96" s="101">
        <v>0</v>
      </c>
      <c r="O96" s="101">
        <v>3.3000000000000002E-2</v>
      </c>
      <c r="P96" s="101">
        <v>0</v>
      </c>
      <c r="Q96" s="101">
        <v>0</v>
      </c>
      <c r="R96" s="101">
        <v>0</v>
      </c>
      <c r="S96" s="101">
        <v>0</v>
      </c>
      <c r="T96" s="101">
        <v>46.802</v>
      </c>
      <c r="U96" s="101">
        <v>4.9050000000000002</v>
      </c>
      <c r="V96" s="101">
        <v>6.9470000000000001</v>
      </c>
      <c r="W96" s="101">
        <v>0</v>
      </c>
      <c r="X96" s="103">
        <f t="shared" si="4"/>
        <v>126.262</v>
      </c>
      <c r="AA96" s="101">
        <f>$AF$8*$X96</f>
        <v>91.306436192239303</v>
      </c>
    </row>
    <row r="97" spans="1:28">
      <c r="A97" s="99" t="s">
        <v>184</v>
      </c>
      <c r="B97" s="99" t="s">
        <v>206</v>
      </c>
      <c r="C97" s="101">
        <v>0</v>
      </c>
      <c r="D97" s="101">
        <v>2.48</v>
      </c>
      <c r="E97" s="101">
        <v>0</v>
      </c>
      <c r="F97" s="101">
        <v>0</v>
      </c>
      <c r="G97" s="101">
        <v>0</v>
      </c>
      <c r="H97" s="101">
        <v>0.55200000000000005</v>
      </c>
      <c r="I97" s="101">
        <v>0</v>
      </c>
      <c r="J97" s="101">
        <v>0</v>
      </c>
      <c r="K97" s="101">
        <v>1.704</v>
      </c>
      <c r="L97" s="101">
        <v>1.56</v>
      </c>
      <c r="M97" s="101">
        <v>0</v>
      </c>
      <c r="N97" s="101">
        <v>1E-3</v>
      </c>
      <c r="O97" s="101">
        <v>0</v>
      </c>
      <c r="P97" s="101">
        <v>0</v>
      </c>
      <c r="Q97" s="101">
        <v>0</v>
      </c>
      <c r="R97" s="101">
        <v>0</v>
      </c>
      <c r="S97" s="101">
        <v>0</v>
      </c>
      <c r="T97" s="101">
        <v>6.1070000000000002</v>
      </c>
      <c r="U97" s="101">
        <v>0</v>
      </c>
      <c r="V97" s="101">
        <v>0</v>
      </c>
      <c r="W97" s="101">
        <v>0</v>
      </c>
      <c r="X97" s="103">
        <f t="shared" si="4"/>
        <v>12.404</v>
      </c>
      <c r="AA97" s="101">
        <f>$AF$9*$X98</f>
        <v>1453.8401270531492</v>
      </c>
    </row>
    <row r="98" spans="1:28">
      <c r="A98" s="99" t="s">
        <v>184</v>
      </c>
      <c r="B98" s="99" t="s">
        <v>207</v>
      </c>
      <c r="C98" s="101">
        <v>6.0039999999999996</v>
      </c>
      <c r="D98" s="101">
        <v>0.51300000000000001</v>
      </c>
      <c r="E98" s="101">
        <v>0</v>
      </c>
      <c r="F98" s="101">
        <v>0</v>
      </c>
      <c r="G98" s="101">
        <v>0</v>
      </c>
      <c r="H98" s="101">
        <v>9.5220000000000002</v>
      </c>
      <c r="I98" s="101">
        <v>0</v>
      </c>
      <c r="J98" s="101">
        <v>0</v>
      </c>
      <c r="K98" s="101">
        <v>6.0490000000000004</v>
      </c>
      <c r="L98" s="101">
        <v>5.16</v>
      </c>
      <c r="M98" s="101">
        <v>4.5119999999999996</v>
      </c>
      <c r="N98" s="101">
        <v>0</v>
      </c>
      <c r="O98" s="101">
        <v>0.624</v>
      </c>
      <c r="P98" s="101">
        <v>0</v>
      </c>
      <c r="Q98" s="101">
        <v>0</v>
      </c>
      <c r="R98" s="101">
        <v>0</v>
      </c>
      <c r="S98" s="101">
        <v>0</v>
      </c>
      <c r="T98" s="101">
        <v>114.777</v>
      </c>
      <c r="U98" s="101">
        <v>0.03</v>
      </c>
      <c r="V98" s="101">
        <v>0</v>
      </c>
      <c r="W98" s="101">
        <v>0</v>
      </c>
      <c r="X98" s="103">
        <f t="shared" si="4"/>
        <v>147.191</v>
      </c>
      <c r="AA98" s="101">
        <f>$AF$10*$X103</f>
        <v>560.51233482077362</v>
      </c>
    </row>
    <row r="99" spans="1:28">
      <c r="A99" s="99" t="s">
        <v>184</v>
      </c>
      <c r="B99" s="99" t="s">
        <v>208</v>
      </c>
      <c r="C99" s="101">
        <v>4.2370000000000001</v>
      </c>
      <c r="D99" s="101">
        <v>0</v>
      </c>
      <c r="E99" s="101">
        <v>0</v>
      </c>
      <c r="F99" s="101">
        <v>0</v>
      </c>
      <c r="G99" s="101">
        <v>0</v>
      </c>
      <c r="H99" s="101">
        <v>1.196</v>
      </c>
      <c r="I99" s="101">
        <v>0</v>
      </c>
      <c r="J99" s="101">
        <v>0</v>
      </c>
      <c r="K99" s="101">
        <v>5.1970000000000001</v>
      </c>
      <c r="L99" s="101">
        <v>3.44</v>
      </c>
      <c r="M99" s="101">
        <v>92.927999999999997</v>
      </c>
      <c r="N99" s="101">
        <v>1E-3</v>
      </c>
      <c r="O99" s="101">
        <v>5.4020000000000001</v>
      </c>
      <c r="P99" s="101">
        <v>0</v>
      </c>
      <c r="Q99" s="101">
        <v>0</v>
      </c>
      <c r="R99" s="101">
        <v>0</v>
      </c>
      <c r="S99" s="101">
        <v>0</v>
      </c>
      <c r="T99" s="101">
        <v>154.85400000000001</v>
      </c>
      <c r="U99" s="101">
        <v>0</v>
      </c>
      <c r="V99" s="101">
        <v>0</v>
      </c>
      <c r="W99" s="101">
        <v>0</v>
      </c>
      <c r="X99" s="103">
        <f t="shared" si="4"/>
        <v>267.255</v>
      </c>
      <c r="AA99" s="101">
        <f>$AF$11*(X97+X99+$X100+X101+X102+X104+X105)</f>
        <v>931.34363213235406</v>
      </c>
    </row>
    <row r="100" spans="1:28">
      <c r="A100" s="99" t="s">
        <v>184</v>
      </c>
      <c r="B100" s="99" t="s">
        <v>209</v>
      </c>
      <c r="C100" s="101">
        <v>0</v>
      </c>
      <c r="D100" s="101">
        <v>0</v>
      </c>
      <c r="E100" s="101">
        <v>0</v>
      </c>
      <c r="F100" s="101">
        <v>0</v>
      </c>
      <c r="G100" s="101">
        <v>0</v>
      </c>
      <c r="H100" s="101">
        <v>0.32200000000000001</v>
      </c>
      <c r="I100" s="101">
        <v>0</v>
      </c>
      <c r="J100" s="101">
        <v>0</v>
      </c>
      <c r="K100" s="101">
        <v>5.1970000000000001</v>
      </c>
      <c r="L100" s="101">
        <v>0.76</v>
      </c>
      <c r="M100" s="101">
        <v>0</v>
      </c>
      <c r="N100" s="101">
        <v>0</v>
      </c>
      <c r="O100" s="101">
        <v>0</v>
      </c>
      <c r="P100" s="101">
        <v>0</v>
      </c>
      <c r="Q100" s="101">
        <v>0</v>
      </c>
      <c r="R100" s="101">
        <v>0</v>
      </c>
      <c r="S100" s="101">
        <v>0</v>
      </c>
      <c r="T100" s="101">
        <v>7.7290000000000001</v>
      </c>
      <c r="U100" s="101">
        <v>0</v>
      </c>
      <c r="V100" s="101">
        <v>0</v>
      </c>
      <c r="W100" s="101">
        <v>0</v>
      </c>
      <c r="X100" s="103">
        <f t="shared" si="4"/>
        <v>14.007999999999999</v>
      </c>
    </row>
    <row r="101" spans="1:28">
      <c r="A101" s="99" t="s">
        <v>184</v>
      </c>
      <c r="B101" s="99" t="s">
        <v>210</v>
      </c>
      <c r="C101" s="101">
        <v>0</v>
      </c>
      <c r="D101" s="101">
        <v>0.85499999999999998</v>
      </c>
      <c r="E101" s="101">
        <v>0</v>
      </c>
      <c r="F101" s="101">
        <v>0</v>
      </c>
      <c r="G101" s="101">
        <v>0</v>
      </c>
      <c r="H101" s="101">
        <v>1.472</v>
      </c>
      <c r="I101" s="101">
        <v>0</v>
      </c>
      <c r="J101" s="101">
        <v>0</v>
      </c>
      <c r="K101" s="101">
        <v>17.04</v>
      </c>
      <c r="L101" s="101">
        <v>4.4400000000000004</v>
      </c>
      <c r="M101" s="101">
        <v>0</v>
      </c>
      <c r="N101" s="101">
        <v>1.7000000000000001E-2</v>
      </c>
      <c r="O101" s="101">
        <v>11.063000000000001</v>
      </c>
      <c r="P101" s="101">
        <v>0.54100000000000004</v>
      </c>
      <c r="Q101" s="101">
        <v>0</v>
      </c>
      <c r="R101" s="101">
        <v>0</v>
      </c>
      <c r="S101" s="101">
        <v>0</v>
      </c>
      <c r="T101" s="101">
        <v>43.853000000000002</v>
      </c>
      <c r="U101" s="101">
        <v>0</v>
      </c>
      <c r="V101" s="101">
        <v>0</v>
      </c>
      <c r="W101" s="101">
        <v>0</v>
      </c>
      <c r="X101" s="103">
        <f t="shared" si="4"/>
        <v>79.281000000000006</v>
      </c>
    </row>
    <row r="102" spans="1:28">
      <c r="A102" s="99" t="s">
        <v>184</v>
      </c>
      <c r="B102" s="99" t="s">
        <v>211</v>
      </c>
      <c r="C102" s="101">
        <v>0</v>
      </c>
      <c r="D102" s="101">
        <v>0</v>
      </c>
      <c r="E102" s="101">
        <v>0</v>
      </c>
      <c r="F102" s="101">
        <v>0</v>
      </c>
      <c r="G102" s="101">
        <v>0</v>
      </c>
      <c r="H102" s="101">
        <v>0.13800000000000001</v>
      </c>
      <c r="I102" s="101">
        <v>0</v>
      </c>
      <c r="J102" s="101">
        <v>0</v>
      </c>
      <c r="K102" s="101">
        <v>7.0720000000000001</v>
      </c>
      <c r="L102" s="101">
        <v>1.36</v>
      </c>
      <c r="M102" s="101">
        <v>0</v>
      </c>
      <c r="N102" s="101">
        <v>2E-3</v>
      </c>
      <c r="O102" s="101">
        <v>0.22</v>
      </c>
      <c r="P102" s="101">
        <v>0</v>
      </c>
      <c r="Q102" s="101">
        <v>0</v>
      </c>
      <c r="R102" s="101">
        <v>0</v>
      </c>
      <c r="S102" s="101">
        <v>0</v>
      </c>
      <c r="T102" s="101">
        <v>16.893000000000001</v>
      </c>
      <c r="U102" s="101">
        <v>0</v>
      </c>
      <c r="V102" s="101">
        <v>0</v>
      </c>
      <c r="W102" s="101">
        <v>0</v>
      </c>
      <c r="X102" s="103">
        <f t="shared" si="4"/>
        <v>25.685000000000002</v>
      </c>
    </row>
    <row r="103" spans="1:28">
      <c r="A103" s="99" t="s">
        <v>184</v>
      </c>
      <c r="B103" s="99" t="s">
        <v>212</v>
      </c>
      <c r="C103" s="101">
        <v>0</v>
      </c>
      <c r="D103" s="101">
        <v>0</v>
      </c>
      <c r="E103" s="101">
        <v>0</v>
      </c>
      <c r="F103" s="101">
        <v>0</v>
      </c>
      <c r="G103" s="101">
        <v>0</v>
      </c>
      <c r="H103" s="101">
        <v>1.242</v>
      </c>
      <c r="I103" s="101">
        <v>0</v>
      </c>
      <c r="J103" s="101">
        <v>0</v>
      </c>
      <c r="K103" s="101">
        <v>2.8119999999999998</v>
      </c>
      <c r="L103" s="101">
        <v>3.96</v>
      </c>
      <c r="M103" s="101">
        <v>0</v>
      </c>
      <c r="N103" s="101">
        <v>0</v>
      </c>
      <c r="O103" s="101">
        <v>19.131</v>
      </c>
      <c r="P103" s="101">
        <v>0.216</v>
      </c>
      <c r="Q103" s="101">
        <v>0</v>
      </c>
      <c r="R103" s="101">
        <v>0</v>
      </c>
      <c r="S103" s="101">
        <v>0</v>
      </c>
      <c r="T103" s="725">
        <v>40.109544</v>
      </c>
      <c r="U103" s="101">
        <v>0</v>
      </c>
      <c r="V103" s="101">
        <v>0</v>
      </c>
      <c r="W103" s="101">
        <v>0</v>
      </c>
      <c r="X103" s="103">
        <f t="shared" si="4"/>
        <v>67.470544000000004</v>
      </c>
    </row>
    <row r="104" spans="1:28">
      <c r="A104" s="99" t="s">
        <v>184</v>
      </c>
      <c r="B104" s="99" t="s">
        <v>213</v>
      </c>
      <c r="C104" s="101">
        <v>0</v>
      </c>
      <c r="D104" s="101">
        <v>0.2</v>
      </c>
      <c r="E104" s="101">
        <v>0</v>
      </c>
      <c r="F104" s="101">
        <v>0</v>
      </c>
      <c r="G104" s="101">
        <v>0</v>
      </c>
      <c r="H104" s="101">
        <v>1.702</v>
      </c>
      <c r="I104" s="101">
        <v>0</v>
      </c>
      <c r="J104" s="101">
        <v>0</v>
      </c>
      <c r="K104" s="101">
        <v>7.4550000000000001</v>
      </c>
      <c r="L104" s="101">
        <v>1.8</v>
      </c>
      <c r="M104" s="101">
        <v>4.5439999999999996</v>
      </c>
      <c r="N104" s="101">
        <v>1.2999999999999999E-2</v>
      </c>
      <c r="O104" s="101">
        <v>4.4999999999999998E-2</v>
      </c>
      <c r="P104" s="101">
        <v>0</v>
      </c>
      <c r="Q104" s="101">
        <v>0</v>
      </c>
      <c r="R104" s="101">
        <v>0</v>
      </c>
      <c r="S104" s="101">
        <v>0</v>
      </c>
      <c r="T104" s="101">
        <v>34.819000000000003</v>
      </c>
      <c r="U104" s="101">
        <v>0</v>
      </c>
      <c r="V104" s="101">
        <v>0</v>
      </c>
      <c r="W104" s="101">
        <v>0</v>
      </c>
      <c r="X104" s="103">
        <f t="shared" si="4"/>
        <v>50.578000000000003</v>
      </c>
    </row>
    <row r="105" spans="1:28">
      <c r="A105" s="99" t="s">
        <v>184</v>
      </c>
      <c r="B105" s="99" t="s">
        <v>214</v>
      </c>
      <c r="C105" s="101">
        <v>2.4209999999999998</v>
      </c>
      <c r="D105" s="101">
        <v>0</v>
      </c>
      <c r="E105" s="101">
        <v>0</v>
      </c>
      <c r="F105" s="101">
        <v>0</v>
      </c>
      <c r="G105" s="101">
        <v>0</v>
      </c>
      <c r="H105" s="101">
        <v>0.55200000000000005</v>
      </c>
      <c r="I105" s="101">
        <v>0</v>
      </c>
      <c r="J105" s="101">
        <v>0</v>
      </c>
      <c r="K105" s="101">
        <v>16.018000000000001</v>
      </c>
      <c r="L105" s="101">
        <v>3.84</v>
      </c>
      <c r="M105" s="101">
        <v>0</v>
      </c>
      <c r="N105" s="101">
        <v>0.02</v>
      </c>
      <c r="O105" s="101">
        <v>20.042999999999999</v>
      </c>
      <c r="P105" s="101">
        <v>0</v>
      </c>
      <c r="Q105" s="101">
        <v>0</v>
      </c>
      <c r="R105" s="101">
        <v>0</v>
      </c>
      <c r="S105" s="101">
        <v>0</v>
      </c>
      <c r="T105" s="101">
        <v>81.760999999999996</v>
      </c>
      <c r="U105" s="101">
        <v>0</v>
      </c>
      <c r="V105" s="101">
        <v>0</v>
      </c>
      <c r="W105" s="101">
        <v>0</v>
      </c>
      <c r="X105" s="103">
        <f t="shared" si="4"/>
        <v>124.655</v>
      </c>
    </row>
    <row r="106" spans="1:28">
      <c r="A106" s="99" t="s">
        <v>198</v>
      </c>
      <c r="B106" s="99" t="s">
        <v>204</v>
      </c>
      <c r="C106" s="101">
        <v>0</v>
      </c>
      <c r="D106" s="101">
        <v>0</v>
      </c>
      <c r="E106" s="101">
        <v>0</v>
      </c>
      <c r="F106" s="101">
        <v>0</v>
      </c>
      <c r="G106" s="101">
        <v>20.393999999999998</v>
      </c>
      <c r="H106" s="101">
        <v>0</v>
      </c>
      <c r="I106" s="101">
        <v>0</v>
      </c>
      <c r="J106" s="101">
        <v>0</v>
      </c>
      <c r="K106" s="101">
        <v>0</v>
      </c>
      <c r="L106" s="101">
        <v>4.5599999999999996</v>
      </c>
      <c r="M106" s="101">
        <v>1.76</v>
      </c>
      <c r="N106" s="101">
        <v>0</v>
      </c>
      <c r="O106" s="101">
        <v>0</v>
      </c>
      <c r="P106" s="101">
        <v>0</v>
      </c>
      <c r="Q106" s="101">
        <v>0</v>
      </c>
      <c r="R106" s="101">
        <v>0</v>
      </c>
      <c r="S106" s="101">
        <v>0</v>
      </c>
      <c r="T106" s="101">
        <v>10.574</v>
      </c>
      <c r="U106" s="101">
        <v>0</v>
      </c>
      <c r="V106" s="101">
        <v>0</v>
      </c>
      <c r="W106" s="101">
        <v>0</v>
      </c>
      <c r="X106" s="103">
        <f t="shared" si="3"/>
        <v>37.287999999999997</v>
      </c>
      <c r="Y106" s="103">
        <f>SUM(X106:X116)</f>
        <v>339.06462399999998</v>
      </c>
      <c r="Z106" s="98" t="s">
        <v>62</v>
      </c>
      <c r="AA106" s="101">
        <f>$AF$7*$X106</f>
        <v>89.589305061015054</v>
      </c>
      <c r="AB106" s="98"/>
    </row>
    <row r="107" spans="1:28">
      <c r="A107" s="99" t="s">
        <v>198</v>
      </c>
      <c r="B107" s="99" t="s">
        <v>205</v>
      </c>
      <c r="C107" s="101">
        <v>0</v>
      </c>
      <c r="D107" s="101">
        <v>21.29</v>
      </c>
      <c r="E107" s="101">
        <v>0</v>
      </c>
      <c r="F107" s="101">
        <v>0</v>
      </c>
      <c r="G107" s="101">
        <v>0</v>
      </c>
      <c r="H107" s="101">
        <v>2.1619999999999999</v>
      </c>
      <c r="I107" s="101">
        <v>0</v>
      </c>
      <c r="J107" s="101">
        <v>0</v>
      </c>
      <c r="K107" s="101">
        <v>0</v>
      </c>
      <c r="L107" s="101">
        <v>15</v>
      </c>
      <c r="M107" s="101">
        <v>0</v>
      </c>
      <c r="N107" s="101">
        <v>0</v>
      </c>
      <c r="O107" s="101">
        <v>0</v>
      </c>
      <c r="P107" s="101">
        <v>0</v>
      </c>
      <c r="Q107" s="101">
        <v>0</v>
      </c>
      <c r="R107" s="101">
        <v>0</v>
      </c>
      <c r="S107" s="101">
        <v>0</v>
      </c>
      <c r="T107" s="101">
        <v>2.2610000000000001</v>
      </c>
      <c r="U107" s="101">
        <v>5.9080000000000004</v>
      </c>
      <c r="V107" s="101">
        <v>9.1760000000000002</v>
      </c>
      <c r="W107" s="101">
        <v>0</v>
      </c>
      <c r="X107" s="103">
        <f t="shared" si="3"/>
        <v>55.797000000000004</v>
      </c>
      <c r="AA107" s="101">
        <f>$AF$8*$X107</f>
        <v>40.349631878303661</v>
      </c>
    </row>
    <row r="108" spans="1:28">
      <c r="A108" s="99" t="s">
        <v>198</v>
      </c>
      <c r="B108" s="99" t="s">
        <v>206</v>
      </c>
      <c r="C108" s="101">
        <v>0</v>
      </c>
      <c r="D108" s="101">
        <v>0.17100000000000001</v>
      </c>
      <c r="E108" s="101">
        <v>0</v>
      </c>
      <c r="F108" s="101">
        <v>0</v>
      </c>
      <c r="G108" s="101">
        <v>0</v>
      </c>
      <c r="H108" s="101">
        <v>0.41399999999999998</v>
      </c>
      <c r="I108" s="101">
        <v>0</v>
      </c>
      <c r="J108" s="101">
        <v>0</v>
      </c>
      <c r="K108" s="101">
        <v>8.5000000000000006E-2</v>
      </c>
      <c r="L108" s="101">
        <v>0.2</v>
      </c>
      <c r="M108" s="101">
        <v>0</v>
      </c>
      <c r="N108" s="101">
        <v>0</v>
      </c>
      <c r="O108" s="101">
        <v>0</v>
      </c>
      <c r="P108" s="101">
        <v>0</v>
      </c>
      <c r="Q108" s="101">
        <v>0</v>
      </c>
      <c r="R108" s="101">
        <v>0</v>
      </c>
      <c r="S108" s="101">
        <v>0</v>
      </c>
      <c r="T108" s="101">
        <v>0.01</v>
      </c>
      <c r="U108" s="101">
        <v>0</v>
      </c>
      <c r="V108" s="101">
        <v>0</v>
      </c>
      <c r="W108" s="101">
        <v>0</v>
      </c>
      <c r="X108" s="103">
        <f t="shared" si="3"/>
        <v>0.87999999999999989</v>
      </c>
      <c r="AA108" s="101">
        <f>$AF$9*$X109</f>
        <v>107.45072795431405</v>
      </c>
    </row>
    <row r="109" spans="1:28">
      <c r="A109" s="99" t="s">
        <v>198</v>
      </c>
      <c r="B109" s="99" t="s">
        <v>207</v>
      </c>
      <c r="C109" s="101">
        <v>2.27</v>
      </c>
      <c r="D109" s="101">
        <v>0</v>
      </c>
      <c r="E109" s="101">
        <v>1.581</v>
      </c>
      <c r="F109" s="101">
        <v>1.581</v>
      </c>
      <c r="G109" s="101">
        <v>0.29699999999999999</v>
      </c>
      <c r="H109" s="101">
        <v>1.38</v>
      </c>
      <c r="I109" s="101">
        <v>0</v>
      </c>
      <c r="J109" s="101">
        <v>0</v>
      </c>
      <c r="K109" s="101">
        <v>8.5000000000000006E-2</v>
      </c>
      <c r="L109" s="101">
        <v>2.4</v>
      </c>
      <c r="M109" s="101">
        <v>0</v>
      </c>
      <c r="N109" s="101">
        <v>0</v>
      </c>
      <c r="O109" s="101">
        <v>0.41699999999999998</v>
      </c>
      <c r="P109" s="101">
        <v>0</v>
      </c>
      <c r="Q109" s="101">
        <v>0</v>
      </c>
      <c r="R109" s="101">
        <v>0</v>
      </c>
      <c r="S109" s="101">
        <v>0.114</v>
      </c>
      <c r="T109" s="725">
        <v>0.75362400000000007</v>
      </c>
      <c r="U109" s="101">
        <v>0</v>
      </c>
      <c r="V109" s="101">
        <v>0</v>
      </c>
      <c r="W109" s="101">
        <v>0</v>
      </c>
      <c r="X109" s="103">
        <f t="shared" si="3"/>
        <v>10.878624</v>
      </c>
      <c r="AA109" s="101">
        <f>$AF$10*$X114</f>
        <v>1534.937402359765</v>
      </c>
    </row>
    <row r="110" spans="1:28">
      <c r="A110" s="99" t="s">
        <v>198</v>
      </c>
      <c r="B110" s="99" t="s">
        <v>208</v>
      </c>
      <c r="C110" s="101">
        <v>4.2839999999999998</v>
      </c>
      <c r="D110" s="101">
        <v>0.82699999999999996</v>
      </c>
      <c r="E110" s="101">
        <v>0</v>
      </c>
      <c r="F110" s="101">
        <v>0</v>
      </c>
      <c r="G110" s="101">
        <v>0</v>
      </c>
      <c r="H110" s="101">
        <v>1.38</v>
      </c>
      <c r="I110" s="101">
        <v>0</v>
      </c>
      <c r="J110" s="101">
        <v>0</v>
      </c>
      <c r="K110" s="101">
        <v>0.85199999999999998</v>
      </c>
      <c r="L110" s="101">
        <v>0.72</v>
      </c>
      <c r="M110" s="101">
        <v>1.216</v>
      </c>
      <c r="N110" s="101">
        <v>0</v>
      </c>
      <c r="O110" s="101">
        <v>0.05</v>
      </c>
      <c r="P110" s="101">
        <v>0</v>
      </c>
      <c r="Q110" s="101">
        <v>0</v>
      </c>
      <c r="R110" s="101">
        <v>0</v>
      </c>
      <c r="S110" s="101">
        <v>0.09</v>
      </c>
      <c r="T110" s="101">
        <v>3.0059999999999998</v>
      </c>
      <c r="U110" s="101">
        <v>0</v>
      </c>
      <c r="V110" s="101">
        <v>0</v>
      </c>
      <c r="W110" s="101">
        <v>0</v>
      </c>
      <c r="X110" s="103">
        <f t="shared" si="3"/>
        <v>12.425000000000001</v>
      </c>
      <c r="AA110" s="101">
        <f>$AF$11*(X108+X110+$X111+X112+X113+X115+X116)</f>
        <v>81.691741742870605</v>
      </c>
    </row>
    <row r="111" spans="1:28">
      <c r="A111" s="99" t="s">
        <v>198</v>
      </c>
      <c r="B111" s="99" t="s">
        <v>209</v>
      </c>
      <c r="C111" s="101">
        <v>0</v>
      </c>
      <c r="D111" s="101">
        <v>0</v>
      </c>
      <c r="E111" s="101">
        <v>0</v>
      </c>
      <c r="F111" s="101">
        <v>0</v>
      </c>
      <c r="G111" s="101">
        <v>0</v>
      </c>
      <c r="H111" s="101">
        <v>0</v>
      </c>
      <c r="I111" s="101">
        <v>0</v>
      </c>
      <c r="J111" s="101">
        <v>0</v>
      </c>
      <c r="K111" s="101">
        <v>0.42599999999999999</v>
      </c>
      <c r="L111" s="101">
        <v>0.12</v>
      </c>
      <c r="M111" s="101">
        <v>0</v>
      </c>
      <c r="N111" s="101">
        <v>0</v>
      </c>
      <c r="O111" s="101">
        <v>0</v>
      </c>
      <c r="P111" s="101">
        <v>0</v>
      </c>
      <c r="Q111" s="101">
        <v>0</v>
      </c>
      <c r="R111" s="101">
        <v>0</v>
      </c>
      <c r="S111" s="101">
        <v>0</v>
      </c>
      <c r="T111" s="101">
        <v>0</v>
      </c>
      <c r="U111" s="101">
        <v>0</v>
      </c>
      <c r="V111" s="101">
        <v>0</v>
      </c>
      <c r="W111" s="101">
        <v>0</v>
      </c>
      <c r="X111" s="103">
        <f t="shared" si="3"/>
        <v>0.54600000000000004</v>
      </c>
    </row>
    <row r="112" spans="1:28">
      <c r="A112" s="99" t="s">
        <v>198</v>
      </c>
      <c r="B112" s="99" t="s">
        <v>210</v>
      </c>
      <c r="C112" s="101">
        <v>0</v>
      </c>
      <c r="D112" s="101">
        <v>5.7000000000000002E-2</v>
      </c>
      <c r="E112" s="101">
        <v>0.42799999999999999</v>
      </c>
      <c r="F112" s="101">
        <v>0.42799999999999999</v>
      </c>
      <c r="G112" s="101">
        <v>0</v>
      </c>
      <c r="H112" s="101">
        <v>0.50600000000000001</v>
      </c>
      <c r="I112" s="101">
        <v>0</v>
      </c>
      <c r="J112" s="101">
        <v>0</v>
      </c>
      <c r="K112" s="101">
        <v>0.85199999999999998</v>
      </c>
      <c r="L112" s="101">
        <v>1</v>
      </c>
      <c r="M112" s="101">
        <v>0</v>
      </c>
      <c r="N112" s="101">
        <v>0</v>
      </c>
      <c r="O112" s="101">
        <v>0.23400000000000001</v>
      </c>
      <c r="P112" s="101">
        <v>0</v>
      </c>
      <c r="Q112" s="101">
        <v>0</v>
      </c>
      <c r="R112" s="101">
        <v>0</v>
      </c>
      <c r="S112" s="101">
        <v>0</v>
      </c>
      <c r="T112" s="101">
        <v>0.73799999999999999</v>
      </c>
      <c r="U112" s="101">
        <v>0</v>
      </c>
      <c r="V112" s="101">
        <v>0</v>
      </c>
      <c r="W112" s="101">
        <v>0</v>
      </c>
      <c r="X112" s="103">
        <f t="shared" si="3"/>
        <v>4.2430000000000003</v>
      </c>
    </row>
    <row r="113" spans="1:28">
      <c r="A113" s="99" t="s">
        <v>198</v>
      </c>
      <c r="B113" s="99" t="s">
        <v>211</v>
      </c>
      <c r="C113" s="101">
        <v>0</v>
      </c>
      <c r="D113" s="101">
        <v>0</v>
      </c>
      <c r="E113" s="101">
        <v>0</v>
      </c>
      <c r="F113" s="101">
        <v>0</v>
      </c>
      <c r="G113" s="101">
        <v>0</v>
      </c>
      <c r="H113" s="101">
        <v>0</v>
      </c>
      <c r="I113" s="101">
        <v>0</v>
      </c>
      <c r="J113" s="101">
        <v>0</v>
      </c>
      <c r="K113" s="101">
        <v>0.42599999999999999</v>
      </c>
      <c r="L113" s="101">
        <v>0.72</v>
      </c>
      <c r="M113" s="101">
        <v>0</v>
      </c>
      <c r="N113" s="101">
        <v>0</v>
      </c>
      <c r="O113" s="101">
        <v>1E-3</v>
      </c>
      <c r="P113" s="101">
        <v>0</v>
      </c>
      <c r="Q113" s="101">
        <v>1.4999999999999999E-2</v>
      </c>
      <c r="R113" s="101">
        <v>0</v>
      </c>
      <c r="S113" s="101">
        <v>0</v>
      </c>
      <c r="T113" s="101">
        <v>0.23</v>
      </c>
      <c r="U113" s="101">
        <v>0</v>
      </c>
      <c r="V113" s="101">
        <v>0</v>
      </c>
      <c r="W113" s="101">
        <v>0</v>
      </c>
      <c r="X113" s="103">
        <f t="shared" si="3"/>
        <v>1.3919999999999997</v>
      </c>
    </row>
    <row r="114" spans="1:28">
      <c r="A114" s="99" t="s">
        <v>198</v>
      </c>
      <c r="B114" s="99" t="s">
        <v>212</v>
      </c>
      <c r="C114" s="101">
        <v>0.48499999999999999</v>
      </c>
      <c r="D114" s="101">
        <v>0</v>
      </c>
      <c r="E114" s="101">
        <v>7.8230000000000004</v>
      </c>
      <c r="F114" s="101">
        <v>7.8230000000000004</v>
      </c>
      <c r="G114" s="101">
        <v>0</v>
      </c>
      <c r="H114" s="101">
        <v>1.288</v>
      </c>
      <c r="I114" s="101">
        <v>0</v>
      </c>
      <c r="J114" s="101">
        <v>0</v>
      </c>
      <c r="K114" s="101">
        <v>0.55400000000000005</v>
      </c>
      <c r="L114" s="101">
        <v>10</v>
      </c>
      <c r="M114" s="101">
        <v>0</v>
      </c>
      <c r="N114" s="101">
        <v>0</v>
      </c>
      <c r="O114" s="101">
        <v>134.047</v>
      </c>
      <c r="P114" s="101">
        <v>0</v>
      </c>
      <c r="Q114" s="101">
        <v>0.76400000000000001</v>
      </c>
      <c r="R114" s="101">
        <v>0</v>
      </c>
      <c r="S114" s="101">
        <v>0</v>
      </c>
      <c r="T114" s="101">
        <v>21.981000000000002</v>
      </c>
      <c r="U114" s="101">
        <v>0</v>
      </c>
      <c r="V114" s="101">
        <v>0</v>
      </c>
      <c r="W114" s="101">
        <v>0</v>
      </c>
      <c r="X114" s="103">
        <f t="shared" si="3"/>
        <v>184.76499999999999</v>
      </c>
    </row>
    <row r="115" spans="1:28">
      <c r="A115" s="99" t="s">
        <v>198</v>
      </c>
      <c r="B115" s="99" t="s">
        <v>213</v>
      </c>
      <c r="C115" s="101">
        <v>0</v>
      </c>
      <c r="D115" s="101">
        <v>0</v>
      </c>
      <c r="E115" s="101">
        <v>0</v>
      </c>
      <c r="F115" s="101">
        <v>0</v>
      </c>
      <c r="G115" s="101">
        <v>0</v>
      </c>
      <c r="H115" s="101">
        <v>0</v>
      </c>
      <c r="I115" s="101">
        <v>0</v>
      </c>
      <c r="J115" s="101">
        <v>0</v>
      </c>
      <c r="K115" s="101">
        <v>1.1499999999999999</v>
      </c>
      <c r="L115" s="101">
        <v>0.56000000000000005</v>
      </c>
      <c r="M115" s="101">
        <v>0</v>
      </c>
      <c r="N115" s="101">
        <v>0</v>
      </c>
      <c r="O115" s="101">
        <v>5.0000000000000001E-3</v>
      </c>
      <c r="P115" s="101">
        <v>0</v>
      </c>
      <c r="Q115" s="101">
        <v>0</v>
      </c>
      <c r="R115" s="101">
        <v>0</v>
      </c>
      <c r="S115" s="101">
        <v>0</v>
      </c>
      <c r="T115" s="101">
        <v>0.66400000000000003</v>
      </c>
      <c r="U115" s="101">
        <v>0</v>
      </c>
      <c r="V115" s="101">
        <v>0</v>
      </c>
      <c r="W115" s="101">
        <v>0</v>
      </c>
      <c r="X115" s="103">
        <f t="shared" si="3"/>
        <v>2.379</v>
      </c>
    </row>
    <row r="116" spans="1:28">
      <c r="A116" s="99" t="s">
        <v>198</v>
      </c>
      <c r="B116" s="99" t="s">
        <v>214</v>
      </c>
      <c r="C116" s="101">
        <v>0</v>
      </c>
      <c r="D116" s="101">
        <v>0</v>
      </c>
      <c r="E116" s="101">
        <v>0</v>
      </c>
      <c r="F116" s="101">
        <v>0</v>
      </c>
      <c r="G116" s="101">
        <v>0</v>
      </c>
      <c r="H116" s="101">
        <v>0</v>
      </c>
      <c r="I116" s="101">
        <v>0</v>
      </c>
      <c r="J116" s="101">
        <v>0</v>
      </c>
      <c r="K116" s="101">
        <v>20.448</v>
      </c>
      <c r="L116" s="101">
        <v>1.48</v>
      </c>
      <c r="M116" s="101">
        <v>0</v>
      </c>
      <c r="N116" s="101">
        <v>0</v>
      </c>
      <c r="O116" s="101">
        <v>5.04</v>
      </c>
      <c r="P116" s="101">
        <v>0.5</v>
      </c>
      <c r="Q116" s="101">
        <v>0.44600000000000001</v>
      </c>
      <c r="R116" s="101">
        <v>0</v>
      </c>
      <c r="S116" s="101">
        <v>9.7000000000000003E-2</v>
      </c>
      <c r="T116" s="101">
        <v>0.46</v>
      </c>
      <c r="U116" s="101">
        <v>0</v>
      </c>
      <c r="V116" s="101">
        <v>0</v>
      </c>
      <c r="W116" s="101">
        <v>0</v>
      </c>
      <c r="X116" s="103">
        <f t="shared" si="3"/>
        <v>28.471000000000004</v>
      </c>
    </row>
    <row r="117" spans="1:28">
      <c r="A117" s="99" t="s">
        <v>185</v>
      </c>
      <c r="B117" s="99" t="s">
        <v>204</v>
      </c>
      <c r="C117" s="101">
        <v>0</v>
      </c>
      <c r="D117" s="101">
        <v>0</v>
      </c>
      <c r="E117" s="101">
        <v>0</v>
      </c>
      <c r="F117" s="101">
        <v>0</v>
      </c>
      <c r="G117" s="101">
        <v>110.88</v>
      </c>
      <c r="H117" s="101">
        <v>2.1619999999999999</v>
      </c>
      <c r="I117" s="101">
        <v>0</v>
      </c>
      <c r="J117" s="101">
        <v>0</v>
      </c>
      <c r="K117" s="101">
        <v>0.68200000000000005</v>
      </c>
      <c r="L117" s="101">
        <v>33.479999999999997</v>
      </c>
      <c r="M117" s="101">
        <v>53.968000000000004</v>
      </c>
      <c r="N117" s="101">
        <v>0</v>
      </c>
      <c r="O117" s="101">
        <v>0</v>
      </c>
      <c r="P117" s="101">
        <v>0</v>
      </c>
      <c r="Q117" s="101">
        <v>0</v>
      </c>
      <c r="R117" s="101">
        <v>0</v>
      </c>
      <c r="S117" s="101">
        <v>0</v>
      </c>
      <c r="T117" s="101">
        <v>0</v>
      </c>
      <c r="U117" s="101">
        <v>0</v>
      </c>
      <c r="V117" s="101">
        <v>0</v>
      </c>
      <c r="W117" s="101">
        <v>0</v>
      </c>
      <c r="X117" s="103">
        <f t="shared" si="3"/>
        <v>201.17200000000003</v>
      </c>
      <c r="Y117" s="103">
        <f>SUM(X117:X127)</f>
        <v>1102.3729480000002</v>
      </c>
      <c r="Z117" s="98" t="s">
        <v>46</v>
      </c>
      <c r="AA117" s="101">
        <f>$AF$7*$X117</f>
        <v>483.34208532864528</v>
      </c>
      <c r="AB117" s="98"/>
    </row>
    <row r="118" spans="1:28">
      <c r="A118" s="99" t="s">
        <v>185</v>
      </c>
      <c r="B118" s="99" t="s">
        <v>205</v>
      </c>
      <c r="C118" s="101">
        <v>76.335999999999999</v>
      </c>
      <c r="D118" s="101">
        <v>67.602000000000004</v>
      </c>
      <c r="E118" s="101">
        <v>0</v>
      </c>
      <c r="F118" s="101">
        <v>0</v>
      </c>
      <c r="G118" s="101">
        <v>0</v>
      </c>
      <c r="H118" s="101">
        <v>0.13800000000000001</v>
      </c>
      <c r="I118" s="101">
        <v>0</v>
      </c>
      <c r="J118" s="101">
        <v>0</v>
      </c>
      <c r="K118" s="101">
        <v>0.21299999999999999</v>
      </c>
      <c r="L118" s="101">
        <v>0</v>
      </c>
      <c r="M118" s="101">
        <v>0.24</v>
      </c>
      <c r="N118" s="101">
        <v>0</v>
      </c>
      <c r="O118" s="101">
        <v>0</v>
      </c>
      <c r="P118" s="101">
        <v>0</v>
      </c>
      <c r="Q118" s="101">
        <v>0</v>
      </c>
      <c r="R118" s="101">
        <v>0</v>
      </c>
      <c r="S118" s="101">
        <v>0</v>
      </c>
      <c r="T118" s="101">
        <v>33.404000000000003</v>
      </c>
      <c r="U118" s="101">
        <v>15.755000000000001</v>
      </c>
      <c r="V118" s="101">
        <v>25.721</v>
      </c>
      <c r="W118" s="101">
        <v>0</v>
      </c>
      <c r="X118" s="103">
        <f t="shared" si="3"/>
        <v>219.40899999999999</v>
      </c>
      <c r="AA118" s="101">
        <f>$AF$8*$X118</f>
        <v>158.66574154142208</v>
      </c>
    </row>
    <row r="119" spans="1:28">
      <c r="A119" s="99" t="s">
        <v>185</v>
      </c>
      <c r="B119" s="99" t="s">
        <v>206</v>
      </c>
      <c r="C119" s="101">
        <v>0</v>
      </c>
      <c r="D119" s="101">
        <v>0.314</v>
      </c>
      <c r="E119" s="101">
        <v>0</v>
      </c>
      <c r="F119" s="101">
        <v>0</v>
      </c>
      <c r="G119" s="101">
        <v>0</v>
      </c>
      <c r="H119" s="101">
        <v>0.55200000000000005</v>
      </c>
      <c r="I119" s="101">
        <v>0</v>
      </c>
      <c r="J119" s="101">
        <v>0</v>
      </c>
      <c r="K119" s="101">
        <v>0.42599999999999999</v>
      </c>
      <c r="L119" s="101">
        <v>1.96</v>
      </c>
      <c r="M119" s="101">
        <v>0</v>
      </c>
      <c r="N119" s="101">
        <v>0</v>
      </c>
      <c r="O119" s="101">
        <v>0</v>
      </c>
      <c r="P119" s="101">
        <v>0</v>
      </c>
      <c r="Q119" s="101">
        <v>0</v>
      </c>
      <c r="R119" s="101">
        <v>0</v>
      </c>
      <c r="S119" s="101">
        <v>0</v>
      </c>
      <c r="T119" s="101">
        <v>12.055999999999999</v>
      </c>
      <c r="U119" s="101">
        <v>0</v>
      </c>
      <c r="V119" s="101">
        <v>0</v>
      </c>
      <c r="W119" s="101">
        <v>0</v>
      </c>
      <c r="X119" s="103">
        <f t="shared" si="3"/>
        <v>15.308</v>
      </c>
      <c r="AA119" s="101">
        <f>$AF$9*$X120</f>
        <v>1278.2915121391786</v>
      </c>
    </row>
    <row r="120" spans="1:28">
      <c r="A120" s="99" t="s">
        <v>185</v>
      </c>
      <c r="B120" s="99" t="s">
        <v>207</v>
      </c>
      <c r="C120" s="725">
        <v>13.020948000000001</v>
      </c>
      <c r="D120" s="101">
        <v>3.7909999999999999</v>
      </c>
      <c r="E120" s="101">
        <v>0</v>
      </c>
      <c r="F120" s="101">
        <v>0</v>
      </c>
      <c r="G120" s="101">
        <v>0</v>
      </c>
      <c r="H120" s="101">
        <v>14.122</v>
      </c>
      <c r="I120" s="101">
        <v>0</v>
      </c>
      <c r="J120" s="101">
        <v>0</v>
      </c>
      <c r="K120" s="101">
        <v>0</v>
      </c>
      <c r="L120" s="101">
        <v>13.44</v>
      </c>
      <c r="M120" s="101">
        <v>0</v>
      </c>
      <c r="N120" s="101">
        <v>0</v>
      </c>
      <c r="O120" s="101">
        <v>0</v>
      </c>
      <c r="P120" s="101">
        <v>0</v>
      </c>
      <c r="Q120" s="101">
        <v>0</v>
      </c>
      <c r="R120" s="101">
        <v>0</v>
      </c>
      <c r="S120" s="101">
        <v>0</v>
      </c>
      <c r="T120" s="101">
        <v>85.043999999999997</v>
      </c>
      <c r="U120" s="101">
        <v>0</v>
      </c>
      <c r="V120" s="101">
        <v>0</v>
      </c>
      <c r="W120" s="101">
        <v>0</v>
      </c>
      <c r="X120" s="103">
        <f t="shared" si="3"/>
        <v>129.417948</v>
      </c>
      <c r="AA120" s="101">
        <f>$AF$10*$X125</f>
        <v>609.85443513235919</v>
      </c>
    </row>
    <row r="121" spans="1:28">
      <c r="A121" s="99" t="s">
        <v>185</v>
      </c>
      <c r="B121" s="99" t="s">
        <v>208</v>
      </c>
      <c r="C121" s="101">
        <v>7.02</v>
      </c>
      <c r="D121" s="101">
        <v>2.024</v>
      </c>
      <c r="E121" s="101">
        <v>0</v>
      </c>
      <c r="F121" s="101">
        <v>0</v>
      </c>
      <c r="G121" s="101">
        <v>0</v>
      </c>
      <c r="H121" s="101">
        <v>1.8859999999999999</v>
      </c>
      <c r="I121" s="101">
        <v>0</v>
      </c>
      <c r="J121" s="101">
        <v>0</v>
      </c>
      <c r="K121" s="101">
        <v>1.534</v>
      </c>
      <c r="L121" s="101">
        <v>19.600000000000001</v>
      </c>
      <c r="M121" s="101">
        <v>32.648000000000003</v>
      </c>
      <c r="N121" s="101">
        <v>0</v>
      </c>
      <c r="O121" s="101">
        <v>0</v>
      </c>
      <c r="P121" s="101">
        <v>0</v>
      </c>
      <c r="Q121" s="101">
        <v>0</v>
      </c>
      <c r="R121" s="101">
        <v>0</v>
      </c>
      <c r="S121" s="101">
        <v>0</v>
      </c>
      <c r="T121" s="101">
        <v>72.185000000000002</v>
      </c>
      <c r="U121" s="101">
        <v>0</v>
      </c>
      <c r="V121" s="101">
        <v>0</v>
      </c>
      <c r="W121" s="101">
        <v>0</v>
      </c>
      <c r="X121" s="103">
        <f t="shared" si="3"/>
        <v>136.89699999999999</v>
      </c>
      <c r="AA121" s="101">
        <f>$AF$11*(X119+X121+$X122+X123+X124+X126+X127)</f>
        <v>777.32444755507527</v>
      </c>
    </row>
    <row r="122" spans="1:28">
      <c r="A122" s="99" t="s">
        <v>185</v>
      </c>
      <c r="B122" s="99" t="s">
        <v>209</v>
      </c>
      <c r="C122" s="101">
        <v>0</v>
      </c>
      <c r="D122" s="101">
        <v>0</v>
      </c>
      <c r="E122" s="101">
        <v>0</v>
      </c>
      <c r="F122" s="101">
        <v>0</v>
      </c>
      <c r="G122" s="101">
        <v>0</v>
      </c>
      <c r="H122" s="101">
        <v>0.55200000000000005</v>
      </c>
      <c r="I122" s="101">
        <v>0</v>
      </c>
      <c r="J122" s="101">
        <v>0</v>
      </c>
      <c r="K122" s="101">
        <v>3.323</v>
      </c>
      <c r="L122" s="101">
        <v>0.84</v>
      </c>
      <c r="M122" s="101">
        <v>0</v>
      </c>
      <c r="N122" s="101">
        <v>0</v>
      </c>
      <c r="O122" s="101">
        <v>0</v>
      </c>
      <c r="P122" s="101">
        <v>0</v>
      </c>
      <c r="Q122" s="101">
        <v>0</v>
      </c>
      <c r="R122" s="101">
        <v>0</v>
      </c>
      <c r="S122" s="101">
        <v>0</v>
      </c>
      <c r="T122" s="101">
        <v>1.756</v>
      </c>
      <c r="U122" s="101">
        <v>0</v>
      </c>
      <c r="V122" s="101">
        <v>0</v>
      </c>
      <c r="W122" s="101">
        <v>0</v>
      </c>
      <c r="X122" s="103">
        <f t="shared" si="3"/>
        <v>6.4710000000000001</v>
      </c>
    </row>
    <row r="123" spans="1:28">
      <c r="A123" s="99" t="s">
        <v>185</v>
      </c>
      <c r="B123" s="99" t="s">
        <v>210</v>
      </c>
      <c r="C123" s="101">
        <v>17.393999999999998</v>
      </c>
      <c r="D123" s="101">
        <v>0.998</v>
      </c>
      <c r="E123" s="101">
        <v>0</v>
      </c>
      <c r="F123" s="101">
        <v>0</v>
      </c>
      <c r="G123" s="101">
        <v>0</v>
      </c>
      <c r="H123" s="101">
        <v>4.4619999999999997</v>
      </c>
      <c r="I123" s="101">
        <v>0</v>
      </c>
      <c r="J123" s="101">
        <v>0</v>
      </c>
      <c r="K123" s="101">
        <v>2.7690000000000001</v>
      </c>
      <c r="L123" s="101">
        <v>12.72</v>
      </c>
      <c r="M123" s="101">
        <v>0</v>
      </c>
      <c r="N123" s="101">
        <v>0</v>
      </c>
      <c r="O123" s="101">
        <v>4.0599999999999996</v>
      </c>
      <c r="P123" s="101">
        <v>0.90700000000000003</v>
      </c>
      <c r="Q123" s="101">
        <v>0</v>
      </c>
      <c r="R123" s="101">
        <v>0</v>
      </c>
      <c r="S123" s="101">
        <v>0</v>
      </c>
      <c r="T123" s="101">
        <v>67.227000000000004</v>
      </c>
      <c r="U123" s="101">
        <v>0</v>
      </c>
      <c r="V123" s="101">
        <v>0</v>
      </c>
      <c r="W123" s="101">
        <v>0</v>
      </c>
      <c r="X123" s="103">
        <f t="shared" si="3"/>
        <v>110.53700000000001</v>
      </c>
    </row>
    <row r="124" spans="1:28">
      <c r="A124" s="99" t="s">
        <v>185</v>
      </c>
      <c r="B124" s="99" t="s">
        <v>211</v>
      </c>
      <c r="C124" s="101">
        <v>0</v>
      </c>
      <c r="D124" s="101">
        <v>0</v>
      </c>
      <c r="E124" s="101">
        <v>0</v>
      </c>
      <c r="F124" s="101">
        <v>0</v>
      </c>
      <c r="G124" s="101">
        <v>0</v>
      </c>
      <c r="H124" s="101">
        <v>0.36799999999999999</v>
      </c>
      <c r="I124" s="101">
        <v>0</v>
      </c>
      <c r="J124" s="101">
        <v>0</v>
      </c>
      <c r="K124" s="101">
        <v>0.55400000000000005</v>
      </c>
      <c r="L124" s="101">
        <v>1.36</v>
      </c>
      <c r="M124" s="101">
        <v>0</v>
      </c>
      <c r="N124" s="101">
        <v>0</v>
      </c>
      <c r="O124" s="101">
        <v>0</v>
      </c>
      <c r="P124" s="101">
        <v>0</v>
      </c>
      <c r="Q124" s="101">
        <v>0</v>
      </c>
      <c r="R124" s="101">
        <v>0</v>
      </c>
      <c r="S124" s="101">
        <v>0</v>
      </c>
      <c r="T124" s="101">
        <v>12.147</v>
      </c>
      <c r="U124" s="101">
        <v>0</v>
      </c>
      <c r="V124" s="101">
        <v>0</v>
      </c>
      <c r="W124" s="101">
        <v>0</v>
      </c>
      <c r="X124" s="103">
        <f t="shared" si="3"/>
        <v>14.429</v>
      </c>
    </row>
    <row r="125" spans="1:28">
      <c r="A125" s="99" t="s">
        <v>185</v>
      </c>
      <c r="B125" s="99" t="s">
        <v>212</v>
      </c>
      <c r="C125" s="101">
        <v>4.8879999999999999</v>
      </c>
      <c r="D125" s="101">
        <v>0</v>
      </c>
      <c r="E125" s="101">
        <v>0</v>
      </c>
      <c r="F125" s="101">
        <v>0</v>
      </c>
      <c r="G125" s="101">
        <v>0</v>
      </c>
      <c r="H125" s="101">
        <v>0.96599999999999997</v>
      </c>
      <c r="I125" s="101">
        <v>0</v>
      </c>
      <c r="J125" s="101">
        <v>0</v>
      </c>
      <c r="K125" s="101">
        <v>0.55400000000000005</v>
      </c>
      <c r="L125" s="101">
        <v>4.08</v>
      </c>
      <c r="M125" s="101">
        <v>0</v>
      </c>
      <c r="N125" s="101">
        <v>0</v>
      </c>
      <c r="O125" s="101">
        <v>23.231999999999999</v>
      </c>
      <c r="P125" s="101">
        <v>0</v>
      </c>
      <c r="Q125" s="101">
        <v>0</v>
      </c>
      <c r="R125" s="101">
        <v>0</v>
      </c>
      <c r="S125" s="101">
        <v>0</v>
      </c>
      <c r="T125" s="101">
        <v>39.69</v>
      </c>
      <c r="U125" s="101">
        <v>0</v>
      </c>
      <c r="V125" s="101">
        <v>0</v>
      </c>
      <c r="W125" s="101">
        <v>0</v>
      </c>
      <c r="X125" s="103">
        <f t="shared" si="3"/>
        <v>73.41</v>
      </c>
    </row>
    <row r="126" spans="1:28">
      <c r="A126" s="99" t="s">
        <v>185</v>
      </c>
      <c r="B126" s="99" t="s">
        <v>213</v>
      </c>
      <c r="C126" s="101">
        <v>0</v>
      </c>
      <c r="D126" s="101">
        <v>0.91200000000000003</v>
      </c>
      <c r="E126" s="101">
        <v>0</v>
      </c>
      <c r="F126" s="101">
        <v>0</v>
      </c>
      <c r="G126" s="101">
        <v>0</v>
      </c>
      <c r="H126" s="101">
        <v>4.048</v>
      </c>
      <c r="I126" s="101">
        <v>0</v>
      </c>
      <c r="J126" s="101">
        <v>0</v>
      </c>
      <c r="K126" s="101">
        <v>4.1749999999999998</v>
      </c>
      <c r="L126" s="101">
        <v>1.88</v>
      </c>
      <c r="M126" s="101">
        <v>0.89600000000000002</v>
      </c>
      <c r="N126" s="101">
        <v>0</v>
      </c>
      <c r="O126" s="101">
        <v>0</v>
      </c>
      <c r="P126" s="101">
        <v>0</v>
      </c>
      <c r="Q126" s="101">
        <v>0</v>
      </c>
      <c r="R126" s="101">
        <v>0</v>
      </c>
      <c r="S126" s="101">
        <v>0</v>
      </c>
      <c r="T126" s="101">
        <v>62.459000000000003</v>
      </c>
      <c r="U126" s="101">
        <v>0</v>
      </c>
      <c r="V126" s="101">
        <v>0</v>
      </c>
      <c r="W126" s="101">
        <v>0</v>
      </c>
      <c r="X126" s="103">
        <f t="shared" si="3"/>
        <v>74.37</v>
      </c>
    </row>
    <row r="127" spans="1:28">
      <c r="A127" s="99" t="s">
        <v>185</v>
      </c>
      <c r="B127" s="99" t="s">
        <v>214</v>
      </c>
      <c r="C127" s="101">
        <v>2.2360000000000002</v>
      </c>
      <c r="D127" s="101">
        <v>0</v>
      </c>
      <c r="E127" s="101">
        <v>0</v>
      </c>
      <c r="F127" s="101">
        <v>0</v>
      </c>
      <c r="G127" s="101">
        <v>0</v>
      </c>
      <c r="H127" s="101">
        <v>1.8859999999999999</v>
      </c>
      <c r="I127" s="101">
        <v>0</v>
      </c>
      <c r="J127" s="101">
        <v>0</v>
      </c>
      <c r="K127" s="101">
        <v>40.213999999999999</v>
      </c>
      <c r="L127" s="101">
        <v>2</v>
      </c>
      <c r="M127" s="101">
        <v>12.704000000000001</v>
      </c>
      <c r="N127" s="101">
        <v>0</v>
      </c>
      <c r="O127" s="101">
        <v>41.072000000000003</v>
      </c>
      <c r="P127" s="101">
        <v>0</v>
      </c>
      <c r="Q127" s="101">
        <v>0</v>
      </c>
      <c r="R127" s="101">
        <v>0</v>
      </c>
      <c r="S127" s="101">
        <v>0</v>
      </c>
      <c r="T127" s="101">
        <v>20.84</v>
      </c>
      <c r="U127" s="101">
        <v>0</v>
      </c>
      <c r="V127" s="101">
        <v>0</v>
      </c>
      <c r="W127" s="101">
        <v>0</v>
      </c>
      <c r="X127" s="103">
        <f t="shared" si="3"/>
        <v>120.952</v>
      </c>
    </row>
    <row r="128" spans="1:28">
      <c r="A128" s="99" t="s">
        <v>183</v>
      </c>
      <c r="B128" s="99" t="s">
        <v>204</v>
      </c>
      <c r="C128" s="101">
        <v>0</v>
      </c>
      <c r="D128" s="101">
        <v>0</v>
      </c>
      <c r="E128" s="101">
        <v>0</v>
      </c>
      <c r="F128" s="101">
        <v>0</v>
      </c>
      <c r="G128" s="101">
        <v>21.928999999999998</v>
      </c>
      <c r="H128" s="101">
        <v>2.714</v>
      </c>
      <c r="I128" s="101">
        <v>0</v>
      </c>
      <c r="J128" s="101">
        <v>0</v>
      </c>
      <c r="K128" s="101">
        <v>0</v>
      </c>
      <c r="L128" s="101">
        <v>17.68</v>
      </c>
      <c r="M128" s="101">
        <v>4.8</v>
      </c>
      <c r="N128" s="101">
        <v>0</v>
      </c>
      <c r="O128" s="101">
        <v>0</v>
      </c>
      <c r="P128" s="101">
        <v>0</v>
      </c>
      <c r="Q128" s="101">
        <v>0</v>
      </c>
      <c r="R128" s="101">
        <v>0</v>
      </c>
      <c r="S128" s="101">
        <v>0</v>
      </c>
      <c r="T128" s="101">
        <v>0</v>
      </c>
      <c r="U128" s="101">
        <v>0</v>
      </c>
      <c r="V128" s="101">
        <v>0</v>
      </c>
      <c r="W128" s="101">
        <v>0</v>
      </c>
      <c r="X128" s="103">
        <f t="shared" si="3"/>
        <v>47.12299999999999</v>
      </c>
      <c r="Y128" s="103">
        <f>SUM(X128:X138)</f>
        <v>168.673</v>
      </c>
      <c r="Z128" s="98" t="s">
        <v>82</v>
      </c>
      <c r="AA128" s="101">
        <f>$AF$7*$X128</f>
        <v>113.21918103385036</v>
      </c>
      <c r="AB128" s="98"/>
    </row>
    <row r="129" spans="1:28">
      <c r="A129" s="99" t="s">
        <v>183</v>
      </c>
      <c r="B129" s="99" t="s">
        <v>205</v>
      </c>
      <c r="C129" s="101">
        <v>0</v>
      </c>
      <c r="D129" s="101">
        <v>0</v>
      </c>
      <c r="E129" s="101">
        <v>0</v>
      </c>
      <c r="F129" s="101">
        <v>0</v>
      </c>
      <c r="G129" s="101">
        <v>0</v>
      </c>
      <c r="H129" s="101">
        <v>0</v>
      </c>
      <c r="I129" s="101">
        <v>0</v>
      </c>
      <c r="J129" s="101">
        <v>0</v>
      </c>
      <c r="K129" s="101">
        <v>4.2999999999999997E-2</v>
      </c>
      <c r="L129" s="101">
        <v>0.16</v>
      </c>
      <c r="M129" s="101">
        <v>0</v>
      </c>
      <c r="N129" s="101">
        <v>0</v>
      </c>
      <c r="O129" s="101">
        <v>0</v>
      </c>
      <c r="P129" s="101">
        <v>0</v>
      </c>
      <c r="Q129" s="101">
        <v>0</v>
      </c>
      <c r="R129" s="101">
        <v>0</v>
      </c>
      <c r="S129" s="101">
        <v>0</v>
      </c>
      <c r="T129" s="101">
        <v>2.927</v>
      </c>
      <c r="U129" s="101">
        <v>0</v>
      </c>
      <c r="V129" s="101">
        <v>0</v>
      </c>
      <c r="W129" s="101">
        <v>0</v>
      </c>
      <c r="X129" s="103">
        <f t="shared" si="3"/>
        <v>3.13</v>
      </c>
      <c r="AA129" s="101">
        <f>$AF$8*$X129</f>
        <v>2.2634612573989723</v>
      </c>
    </row>
    <row r="130" spans="1:28">
      <c r="A130" s="99" t="s">
        <v>183</v>
      </c>
      <c r="B130" s="99" t="s">
        <v>206</v>
      </c>
      <c r="C130" s="101">
        <v>3.3559999999999999</v>
      </c>
      <c r="D130" s="101">
        <v>0</v>
      </c>
      <c r="E130" s="101">
        <v>3.7650000000000001</v>
      </c>
      <c r="F130" s="101">
        <v>0</v>
      </c>
      <c r="G130" s="101">
        <v>0</v>
      </c>
      <c r="H130" s="101">
        <v>1.472</v>
      </c>
      <c r="I130" s="101">
        <v>0</v>
      </c>
      <c r="J130" s="101">
        <v>0</v>
      </c>
      <c r="K130" s="101">
        <v>8.5000000000000006E-2</v>
      </c>
      <c r="L130" s="101">
        <v>7.08</v>
      </c>
      <c r="M130" s="101">
        <v>0</v>
      </c>
      <c r="N130" s="101">
        <v>0</v>
      </c>
      <c r="O130" s="101">
        <v>0</v>
      </c>
      <c r="P130" s="101">
        <v>0</v>
      </c>
      <c r="Q130" s="101">
        <v>0</v>
      </c>
      <c r="R130" s="101">
        <v>0</v>
      </c>
      <c r="S130" s="101">
        <v>0</v>
      </c>
      <c r="T130" s="101">
        <v>2.6509999999999998</v>
      </c>
      <c r="U130" s="101">
        <v>0</v>
      </c>
      <c r="V130" s="101">
        <v>0</v>
      </c>
      <c r="W130" s="101">
        <v>0</v>
      </c>
      <c r="X130" s="103">
        <f t="shared" si="3"/>
        <v>18.408999999999999</v>
      </c>
      <c r="AA130" s="101">
        <f>$AF$9*$X131</f>
        <v>90.692773651935354</v>
      </c>
    </row>
    <row r="131" spans="1:28">
      <c r="A131" s="99" t="s">
        <v>183</v>
      </c>
      <c r="B131" s="99" t="s">
        <v>207</v>
      </c>
      <c r="C131" s="101">
        <v>0</v>
      </c>
      <c r="D131" s="101">
        <v>0</v>
      </c>
      <c r="E131" s="101">
        <v>0</v>
      </c>
      <c r="F131" s="101">
        <v>0</v>
      </c>
      <c r="G131" s="101">
        <v>0</v>
      </c>
      <c r="H131" s="101">
        <v>2.2999999999999998</v>
      </c>
      <c r="I131" s="101">
        <v>0</v>
      </c>
      <c r="J131" s="101">
        <v>0</v>
      </c>
      <c r="K131" s="101">
        <v>0.42599999999999999</v>
      </c>
      <c r="L131" s="101">
        <v>4.24</v>
      </c>
      <c r="M131" s="101">
        <v>0</v>
      </c>
      <c r="N131" s="101">
        <v>0</v>
      </c>
      <c r="O131" s="101">
        <v>0</v>
      </c>
      <c r="P131" s="101">
        <v>0</v>
      </c>
      <c r="Q131" s="101">
        <v>0</v>
      </c>
      <c r="R131" s="101">
        <v>0</v>
      </c>
      <c r="S131" s="101">
        <v>0</v>
      </c>
      <c r="T131" s="101">
        <v>2.2160000000000002</v>
      </c>
      <c r="U131" s="101">
        <v>0</v>
      </c>
      <c r="V131" s="101">
        <v>0</v>
      </c>
      <c r="W131" s="101">
        <v>0</v>
      </c>
      <c r="X131" s="103">
        <f t="shared" si="3"/>
        <v>9.1820000000000004</v>
      </c>
      <c r="AA131" s="101">
        <f>$AF$10*$X136</f>
        <v>28.154157208330815</v>
      </c>
    </row>
    <row r="132" spans="1:28">
      <c r="A132" s="99" t="s">
        <v>183</v>
      </c>
      <c r="B132" s="99" t="s">
        <v>208</v>
      </c>
      <c r="C132" s="101">
        <v>10.991</v>
      </c>
      <c r="D132" s="101">
        <v>0</v>
      </c>
      <c r="E132" s="101">
        <v>0</v>
      </c>
      <c r="F132" s="101">
        <v>0</v>
      </c>
      <c r="G132" s="101">
        <v>0</v>
      </c>
      <c r="H132" s="101">
        <v>0.64400000000000002</v>
      </c>
      <c r="I132" s="101">
        <v>0</v>
      </c>
      <c r="J132" s="101">
        <v>0</v>
      </c>
      <c r="K132" s="101">
        <v>0.17</v>
      </c>
      <c r="L132" s="101">
        <v>5.52</v>
      </c>
      <c r="M132" s="101">
        <v>18.047999999999998</v>
      </c>
      <c r="N132" s="101">
        <v>0</v>
      </c>
      <c r="O132" s="101">
        <v>3.2000000000000001E-2</v>
      </c>
      <c r="P132" s="101">
        <v>0</v>
      </c>
      <c r="Q132" s="101">
        <v>0</v>
      </c>
      <c r="R132" s="101">
        <v>0</v>
      </c>
      <c r="S132" s="101">
        <v>0</v>
      </c>
      <c r="T132" s="101">
        <v>2.8780000000000001</v>
      </c>
      <c r="U132" s="101">
        <v>0</v>
      </c>
      <c r="V132" s="101">
        <v>0</v>
      </c>
      <c r="W132" s="101">
        <v>0</v>
      </c>
      <c r="X132" s="103">
        <f t="shared" si="3"/>
        <v>38.282999999999994</v>
      </c>
      <c r="AA132" s="101">
        <f>$AF$11*(X130+X132+$X133+X134+X135+X137+X138)</f>
        <v>171.78538564329924</v>
      </c>
    </row>
    <row r="133" spans="1:28">
      <c r="A133" s="99" t="s">
        <v>183</v>
      </c>
      <c r="B133" s="99" t="s">
        <v>209</v>
      </c>
      <c r="C133" s="101">
        <v>0</v>
      </c>
      <c r="D133" s="101">
        <v>0</v>
      </c>
      <c r="E133" s="101">
        <v>0</v>
      </c>
      <c r="F133" s="101">
        <v>0</v>
      </c>
      <c r="G133" s="101">
        <v>0</v>
      </c>
      <c r="H133" s="101">
        <v>0.92</v>
      </c>
      <c r="I133" s="101">
        <v>0</v>
      </c>
      <c r="J133" s="101">
        <v>0</v>
      </c>
      <c r="K133" s="101">
        <v>1.704</v>
      </c>
      <c r="L133" s="101">
        <v>0.12</v>
      </c>
      <c r="M133" s="101">
        <v>0</v>
      </c>
      <c r="N133" s="101">
        <v>0</v>
      </c>
      <c r="O133" s="101">
        <v>0</v>
      </c>
      <c r="P133" s="101">
        <v>0</v>
      </c>
      <c r="Q133" s="101">
        <v>0</v>
      </c>
      <c r="R133" s="101">
        <v>0</v>
      </c>
      <c r="S133" s="101">
        <v>0</v>
      </c>
      <c r="T133" s="101">
        <v>0</v>
      </c>
      <c r="U133" s="101">
        <v>0</v>
      </c>
      <c r="V133" s="101">
        <v>0</v>
      </c>
      <c r="W133" s="101">
        <v>0</v>
      </c>
      <c r="X133" s="103">
        <f t="shared" si="3"/>
        <v>2.7440000000000002</v>
      </c>
    </row>
    <row r="134" spans="1:28">
      <c r="A134" s="99" t="s">
        <v>183</v>
      </c>
      <c r="B134" s="99" t="s">
        <v>210</v>
      </c>
      <c r="C134" s="101">
        <v>0</v>
      </c>
      <c r="D134" s="101">
        <v>0</v>
      </c>
      <c r="E134" s="101">
        <v>0</v>
      </c>
      <c r="F134" s="101">
        <v>0</v>
      </c>
      <c r="G134" s="101">
        <v>0</v>
      </c>
      <c r="H134" s="101">
        <v>1.288</v>
      </c>
      <c r="I134" s="101">
        <v>0</v>
      </c>
      <c r="J134" s="101">
        <v>0</v>
      </c>
      <c r="K134" s="101">
        <v>0.98</v>
      </c>
      <c r="L134" s="101">
        <v>4.16</v>
      </c>
      <c r="M134" s="101">
        <v>0</v>
      </c>
      <c r="N134" s="101">
        <v>0</v>
      </c>
      <c r="O134" s="101">
        <v>8.9619999999999997</v>
      </c>
      <c r="P134" s="101">
        <v>1.2E-2</v>
      </c>
      <c r="Q134" s="101">
        <v>0</v>
      </c>
      <c r="R134" s="101">
        <v>0</v>
      </c>
      <c r="S134" s="101">
        <v>0</v>
      </c>
      <c r="T134" s="101">
        <v>4.5670000000000002</v>
      </c>
      <c r="U134" s="101">
        <v>0</v>
      </c>
      <c r="V134" s="101">
        <v>0</v>
      </c>
      <c r="W134" s="101">
        <v>0</v>
      </c>
      <c r="X134" s="103">
        <f t="shared" si="3"/>
        <v>19.969000000000001</v>
      </c>
    </row>
    <row r="135" spans="1:28">
      <c r="A135" s="99" t="s">
        <v>183</v>
      </c>
      <c r="B135" s="99" t="s">
        <v>211</v>
      </c>
      <c r="C135" s="101">
        <v>0</v>
      </c>
      <c r="D135" s="101">
        <v>0</v>
      </c>
      <c r="E135" s="101">
        <v>0</v>
      </c>
      <c r="F135" s="101">
        <v>0</v>
      </c>
      <c r="G135" s="101">
        <v>0</v>
      </c>
      <c r="H135" s="101">
        <v>0</v>
      </c>
      <c r="I135" s="101">
        <v>0</v>
      </c>
      <c r="J135" s="101">
        <v>0</v>
      </c>
      <c r="K135" s="101">
        <v>0.21299999999999999</v>
      </c>
      <c r="L135" s="101">
        <v>2.16</v>
      </c>
      <c r="M135" s="101">
        <v>0</v>
      </c>
      <c r="N135" s="101">
        <v>0</v>
      </c>
      <c r="O135" s="101">
        <v>0</v>
      </c>
      <c r="P135" s="101">
        <v>0</v>
      </c>
      <c r="Q135" s="101">
        <v>0</v>
      </c>
      <c r="R135" s="101">
        <v>0</v>
      </c>
      <c r="S135" s="101">
        <v>0</v>
      </c>
      <c r="T135" s="101">
        <v>0.80600000000000005</v>
      </c>
      <c r="U135" s="101">
        <v>0</v>
      </c>
      <c r="V135" s="101">
        <v>0</v>
      </c>
      <c r="W135" s="101">
        <v>0</v>
      </c>
      <c r="X135" s="103">
        <f t="shared" si="3"/>
        <v>3.1790000000000003</v>
      </c>
    </row>
    <row r="136" spans="1:28">
      <c r="A136" s="99" t="s">
        <v>183</v>
      </c>
      <c r="B136" s="99" t="s">
        <v>212</v>
      </c>
      <c r="C136" s="101">
        <v>0</v>
      </c>
      <c r="D136" s="101">
        <v>0</v>
      </c>
      <c r="E136" s="101">
        <v>0</v>
      </c>
      <c r="F136" s="101">
        <v>0</v>
      </c>
      <c r="G136" s="101">
        <v>0</v>
      </c>
      <c r="H136" s="101">
        <v>0.46</v>
      </c>
      <c r="I136" s="101">
        <v>0</v>
      </c>
      <c r="J136" s="101">
        <v>0</v>
      </c>
      <c r="K136" s="101">
        <v>0.128</v>
      </c>
      <c r="L136" s="101">
        <v>1.68</v>
      </c>
      <c r="M136" s="101">
        <v>0</v>
      </c>
      <c r="N136" s="101">
        <v>0</v>
      </c>
      <c r="O136" s="101">
        <v>0</v>
      </c>
      <c r="P136" s="101">
        <v>0</v>
      </c>
      <c r="Q136" s="101">
        <v>0</v>
      </c>
      <c r="R136" s="101">
        <v>0</v>
      </c>
      <c r="S136" s="101">
        <v>0</v>
      </c>
      <c r="T136" s="101">
        <v>1.121</v>
      </c>
      <c r="U136" s="101">
        <v>0</v>
      </c>
      <c r="V136" s="101">
        <v>0</v>
      </c>
      <c r="W136" s="101">
        <v>0</v>
      </c>
      <c r="X136" s="103">
        <f t="shared" si="3"/>
        <v>3.3889999999999998</v>
      </c>
    </row>
    <row r="137" spans="1:28">
      <c r="A137" s="99" t="s">
        <v>183</v>
      </c>
      <c r="B137" s="99" t="s">
        <v>213</v>
      </c>
      <c r="C137" s="101">
        <v>0</v>
      </c>
      <c r="D137" s="101">
        <v>0.114</v>
      </c>
      <c r="E137" s="101">
        <v>0</v>
      </c>
      <c r="F137" s="101">
        <v>0</v>
      </c>
      <c r="G137" s="101">
        <v>0</v>
      </c>
      <c r="H137" s="101">
        <v>4.5999999999999999E-2</v>
      </c>
      <c r="I137" s="101">
        <v>0</v>
      </c>
      <c r="J137" s="101">
        <v>0</v>
      </c>
      <c r="K137" s="101">
        <v>0.72399999999999998</v>
      </c>
      <c r="L137" s="101">
        <v>0.36</v>
      </c>
      <c r="M137" s="101">
        <v>0</v>
      </c>
      <c r="N137" s="101">
        <v>0</v>
      </c>
      <c r="O137" s="101">
        <v>0</v>
      </c>
      <c r="P137" s="101">
        <v>0</v>
      </c>
      <c r="Q137" s="101">
        <v>0</v>
      </c>
      <c r="R137" s="101">
        <v>0</v>
      </c>
      <c r="S137" s="101">
        <v>0</v>
      </c>
      <c r="T137" s="101">
        <v>6.8000000000000005E-2</v>
      </c>
      <c r="U137" s="101">
        <v>0</v>
      </c>
      <c r="V137" s="101">
        <v>0</v>
      </c>
      <c r="W137" s="101">
        <v>0</v>
      </c>
      <c r="X137" s="103">
        <f t="shared" si="3"/>
        <v>1.3120000000000001</v>
      </c>
    </row>
    <row r="138" spans="1:28">
      <c r="A138" s="99" t="s">
        <v>183</v>
      </c>
      <c r="B138" s="99" t="s">
        <v>214</v>
      </c>
      <c r="C138" s="101">
        <v>0</v>
      </c>
      <c r="D138" s="101">
        <v>0</v>
      </c>
      <c r="E138" s="101">
        <v>0</v>
      </c>
      <c r="F138" s="101">
        <v>0</v>
      </c>
      <c r="G138" s="101">
        <v>0</v>
      </c>
      <c r="H138" s="101">
        <v>4.5540000000000003</v>
      </c>
      <c r="I138" s="101">
        <v>0</v>
      </c>
      <c r="J138" s="101">
        <v>0.17199999999999999</v>
      </c>
      <c r="K138" s="101">
        <v>14.228</v>
      </c>
      <c r="L138" s="101">
        <v>1.2</v>
      </c>
      <c r="M138" s="101">
        <v>0</v>
      </c>
      <c r="N138" s="101">
        <v>1.7000000000000001E-2</v>
      </c>
      <c r="O138" s="101">
        <v>1.194</v>
      </c>
      <c r="P138" s="101">
        <v>0</v>
      </c>
      <c r="Q138" s="101">
        <v>0</v>
      </c>
      <c r="R138" s="101">
        <v>0</v>
      </c>
      <c r="S138" s="101">
        <v>0</v>
      </c>
      <c r="T138" s="101">
        <v>0.58799999999999997</v>
      </c>
      <c r="U138" s="101">
        <v>0</v>
      </c>
      <c r="V138" s="101">
        <v>0</v>
      </c>
      <c r="W138" s="101">
        <v>0</v>
      </c>
      <c r="X138" s="103">
        <f t="shared" si="3"/>
        <v>21.952999999999999</v>
      </c>
    </row>
    <row r="139" spans="1:28">
      <c r="A139" s="99" t="s">
        <v>189</v>
      </c>
      <c r="B139" s="99" t="s">
        <v>204</v>
      </c>
      <c r="C139" s="101">
        <v>0</v>
      </c>
      <c r="D139" s="101">
        <v>0</v>
      </c>
      <c r="E139" s="101">
        <v>0</v>
      </c>
      <c r="F139" s="101">
        <v>0</v>
      </c>
      <c r="G139" s="101">
        <v>7.4749999999999996</v>
      </c>
      <c r="H139" s="101">
        <v>0</v>
      </c>
      <c r="I139" s="101">
        <v>0</v>
      </c>
      <c r="J139" s="101">
        <v>0</v>
      </c>
      <c r="K139" s="101">
        <v>0</v>
      </c>
      <c r="L139" s="101">
        <v>2.12</v>
      </c>
      <c r="M139" s="101">
        <v>7.4560000000000004</v>
      </c>
      <c r="N139" s="101">
        <v>0</v>
      </c>
      <c r="O139" s="101">
        <v>0</v>
      </c>
      <c r="P139" s="101">
        <v>0</v>
      </c>
      <c r="Q139" s="101">
        <v>0</v>
      </c>
      <c r="R139" s="101">
        <v>0</v>
      </c>
      <c r="S139" s="101">
        <v>0</v>
      </c>
      <c r="T139" s="101">
        <v>12.182</v>
      </c>
      <c r="U139" s="101">
        <v>0</v>
      </c>
      <c r="V139" s="101">
        <v>0</v>
      </c>
      <c r="W139" s="101">
        <v>0</v>
      </c>
      <c r="X139" s="103">
        <f t="shared" si="3"/>
        <v>29.232999999999997</v>
      </c>
      <c r="Y139" s="103">
        <f>SUM(X139:X149)</f>
        <v>122.85000000000001</v>
      </c>
      <c r="Z139" s="98" t="s">
        <v>53</v>
      </c>
      <c r="AA139" s="101">
        <f>$AF$7*$X139</f>
        <v>70.236112284076739</v>
      </c>
      <c r="AB139" s="98"/>
    </row>
    <row r="140" spans="1:28">
      <c r="A140" s="99" t="s">
        <v>189</v>
      </c>
      <c r="B140" s="99" t="s">
        <v>205</v>
      </c>
      <c r="C140" s="101">
        <v>0</v>
      </c>
      <c r="D140" s="101">
        <v>12.768000000000001</v>
      </c>
      <c r="E140" s="101">
        <v>0</v>
      </c>
      <c r="F140" s="101">
        <v>0</v>
      </c>
      <c r="G140" s="101">
        <v>0</v>
      </c>
      <c r="H140" s="101">
        <v>0</v>
      </c>
      <c r="I140" s="101">
        <v>0</v>
      </c>
      <c r="J140" s="101">
        <v>0</v>
      </c>
      <c r="K140" s="101">
        <v>0</v>
      </c>
      <c r="L140" s="101">
        <v>0</v>
      </c>
      <c r="M140" s="101">
        <v>0</v>
      </c>
      <c r="N140" s="101">
        <v>0</v>
      </c>
      <c r="O140" s="101">
        <v>0</v>
      </c>
      <c r="P140" s="101">
        <v>0</v>
      </c>
      <c r="Q140" s="101">
        <v>0</v>
      </c>
      <c r="R140" s="101">
        <v>0</v>
      </c>
      <c r="S140" s="101">
        <v>0</v>
      </c>
      <c r="T140" s="101">
        <v>5.774</v>
      </c>
      <c r="U140" s="101">
        <v>1.5820000000000001</v>
      </c>
      <c r="V140" s="101">
        <v>3.27</v>
      </c>
      <c r="W140" s="101">
        <v>0</v>
      </c>
      <c r="X140" s="103">
        <f t="shared" si="3"/>
        <v>23.394000000000002</v>
      </c>
      <c r="AA140" s="101">
        <f>$AF$8*$X140</f>
        <v>16.91738423501328</v>
      </c>
    </row>
    <row r="141" spans="1:28">
      <c r="A141" s="99" t="s">
        <v>189</v>
      </c>
      <c r="B141" s="99" t="s">
        <v>206</v>
      </c>
      <c r="C141" s="101">
        <v>0</v>
      </c>
      <c r="D141" s="101">
        <v>0</v>
      </c>
      <c r="E141" s="101">
        <v>0</v>
      </c>
      <c r="F141" s="101">
        <v>0</v>
      </c>
      <c r="G141" s="101">
        <v>0</v>
      </c>
      <c r="H141" s="101">
        <v>0</v>
      </c>
      <c r="I141" s="101">
        <v>0</v>
      </c>
      <c r="J141" s="101">
        <v>0</v>
      </c>
      <c r="K141" s="101">
        <v>8.5000000000000006E-2</v>
      </c>
      <c r="L141" s="101">
        <v>0</v>
      </c>
      <c r="M141" s="101">
        <v>0</v>
      </c>
      <c r="N141" s="101">
        <v>0</v>
      </c>
      <c r="O141" s="101">
        <v>0</v>
      </c>
      <c r="P141" s="101">
        <v>0</v>
      </c>
      <c r="Q141" s="101">
        <v>0</v>
      </c>
      <c r="R141" s="101">
        <v>0</v>
      </c>
      <c r="S141" s="101">
        <v>0</v>
      </c>
      <c r="T141" s="101">
        <v>4.1719999999999997</v>
      </c>
      <c r="U141" s="101">
        <v>0</v>
      </c>
      <c r="V141" s="101">
        <v>0</v>
      </c>
      <c r="W141" s="101">
        <v>0</v>
      </c>
      <c r="X141" s="103">
        <f t="shared" si="3"/>
        <v>4.2569999999999997</v>
      </c>
      <c r="AA141" s="101">
        <f>$AF$9*$X142</f>
        <v>107.42481008913622</v>
      </c>
    </row>
    <row r="142" spans="1:28">
      <c r="A142" s="99" t="s">
        <v>189</v>
      </c>
      <c r="B142" s="99" t="s">
        <v>207</v>
      </c>
      <c r="C142" s="101">
        <v>0</v>
      </c>
      <c r="D142" s="101">
        <v>0</v>
      </c>
      <c r="E142" s="101">
        <v>0</v>
      </c>
      <c r="F142" s="101">
        <v>0</v>
      </c>
      <c r="G142" s="101">
        <v>0.89100000000000001</v>
      </c>
      <c r="H142" s="101">
        <v>0</v>
      </c>
      <c r="I142" s="101">
        <v>0</v>
      </c>
      <c r="J142" s="101">
        <v>0</v>
      </c>
      <c r="K142" s="101">
        <v>0</v>
      </c>
      <c r="L142" s="101">
        <v>1.28</v>
      </c>
      <c r="M142" s="101">
        <v>0.44800000000000001</v>
      </c>
      <c r="N142" s="101">
        <v>0</v>
      </c>
      <c r="O142" s="101">
        <v>0</v>
      </c>
      <c r="P142" s="101">
        <v>0</v>
      </c>
      <c r="Q142" s="101">
        <v>0</v>
      </c>
      <c r="R142" s="101">
        <v>0</v>
      </c>
      <c r="S142" s="101">
        <v>0</v>
      </c>
      <c r="T142" s="101">
        <v>8.2569999999999997</v>
      </c>
      <c r="U142" s="101">
        <v>0</v>
      </c>
      <c r="V142" s="101">
        <v>0</v>
      </c>
      <c r="W142" s="101">
        <v>0</v>
      </c>
      <c r="X142" s="103">
        <f t="shared" si="3"/>
        <v>10.875999999999999</v>
      </c>
      <c r="AA142" s="101">
        <f>$AF$10*$X147</f>
        <v>25.769901345601124</v>
      </c>
    </row>
    <row r="143" spans="1:28">
      <c r="A143" s="99" t="s">
        <v>189</v>
      </c>
      <c r="B143" s="99" t="s">
        <v>208</v>
      </c>
      <c r="C143" s="101">
        <v>4.5030000000000001</v>
      </c>
      <c r="D143" s="101">
        <v>0.39900000000000002</v>
      </c>
      <c r="E143" s="101">
        <v>0</v>
      </c>
      <c r="F143" s="101">
        <v>0</v>
      </c>
      <c r="G143" s="101">
        <v>0</v>
      </c>
      <c r="H143" s="101">
        <v>0.32200000000000001</v>
      </c>
      <c r="I143" s="101">
        <v>0</v>
      </c>
      <c r="J143" s="101">
        <v>0</v>
      </c>
      <c r="K143" s="101">
        <v>0.21299999999999999</v>
      </c>
      <c r="L143" s="101">
        <v>0.28000000000000003</v>
      </c>
      <c r="M143" s="101">
        <v>4.4480000000000004</v>
      </c>
      <c r="N143" s="101">
        <v>0</v>
      </c>
      <c r="O143" s="101">
        <v>0.83</v>
      </c>
      <c r="P143" s="101">
        <v>0</v>
      </c>
      <c r="Q143" s="101">
        <v>0</v>
      </c>
      <c r="R143" s="101">
        <v>1.2E-2</v>
      </c>
      <c r="S143" s="101">
        <v>1.0780000000000001</v>
      </c>
      <c r="T143" s="101">
        <v>10.898</v>
      </c>
      <c r="U143" s="101">
        <v>0</v>
      </c>
      <c r="V143" s="101">
        <v>0</v>
      </c>
      <c r="W143" s="101">
        <v>0</v>
      </c>
      <c r="X143" s="103">
        <f t="shared" si="3"/>
        <v>22.983000000000001</v>
      </c>
      <c r="AA143" s="101">
        <f>$AF$11*(X141+X143+$X144+X145+X146+X148+X149)</f>
        <v>91.281627748087971</v>
      </c>
    </row>
    <row r="144" spans="1:28">
      <c r="A144" s="99" t="s">
        <v>189</v>
      </c>
      <c r="B144" s="99" t="s">
        <v>209</v>
      </c>
      <c r="C144" s="101">
        <v>0</v>
      </c>
      <c r="D144" s="101">
        <v>0</v>
      </c>
      <c r="E144" s="101">
        <v>0</v>
      </c>
      <c r="F144" s="101">
        <v>0</v>
      </c>
      <c r="G144" s="101">
        <v>0</v>
      </c>
      <c r="H144" s="101">
        <v>0</v>
      </c>
      <c r="I144" s="101">
        <v>0</v>
      </c>
      <c r="J144" s="101">
        <v>0</v>
      </c>
      <c r="K144" s="101">
        <v>0.46899999999999997</v>
      </c>
      <c r="L144" s="101">
        <v>0</v>
      </c>
      <c r="M144" s="101">
        <v>0</v>
      </c>
      <c r="N144" s="101">
        <v>0</v>
      </c>
      <c r="O144" s="101">
        <v>0</v>
      </c>
      <c r="P144" s="101">
        <v>0</v>
      </c>
      <c r="Q144" s="101">
        <v>0</v>
      </c>
      <c r="R144" s="101">
        <v>0</v>
      </c>
      <c r="S144" s="101">
        <v>0</v>
      </c>
      <c r="T144" s="101">
        <v>7.3999999999999996E-2</v>
      </c>
      <c r="U144" s="101">
        <v>0</v>
      </c>
      <c r="V144" s="101">
        <v>0</v>
      </c>
      <c r="W144" s="101">
        <v>0</v>
      </c>
      <c r="X144" s="103">
        <f t="shared" si="3"/>
        <v>0.54299999999999993</v>
      </c>
    </row>
    <row r="145" spans="1:28">
      <c r="A145" s="99" t="s">
        <v>189</v>
      </c>
      <c r="B145" s="99" t="s">
        <v>210</v>
      </c>
      <c r="C145" s="101">
        <v>4.8000000000000001E-2</v>
      </c>
      <c r="D145" s="101">
        <v>0.2</v>
      </c>
      <c r="E145" s="101">
        <v>0</v>
      </c>
      <c r="F145" s="101">
        <v>0</v>
      </c>
      <c r="G145" s="101">
        <v>0</v>
      </c>
      <c r="H145" s="101">
        <v>0.184</v>
      </c>
      <c r="I145" s="101">
        <v>0</v>
      </c>
      <c r="J145" s="101">
        <v>0</v>
      </c>
      <c r="K145" s="101">
        <v>4.2999999999999997E-2</v>
      </c>
      <c r="L145" s="101">
        <v>0.8</v>
      </c>
      <c r="M145" s="101">
        <v>0</v>
      </c>
      <c r="N145" s="101">
        <v>0</v>
      </c>
      <c r="O145" s="101">
        <v>1.1040000000000001</v>
      </c>
      <c r="P145" s="101">
        <v>0</v>
      </c>
      <c r="Q145" s="101">
        <v>0</v>
      </c>
      <c r="R145" s="101">
        <v>0</v>
      </c>
      <c r="S145" s="101">
        <v>0.11799999999999999</v>
      </c>
      <c r="T145" s="101">
        <v>10.895</v>
      </c>
      <c r="U145" s="101">
        <v>0</v>
      </c>
      <c r="V145" s="101">
        <v>0</v>
      </c>
      <c r="W145" s="101">
        <v>0</v>
      </c>
      <c r="X145" s="103">
        <f t="shared" si="3"/>
        <v>13.391999999999999</v>
      </c>
    </row>
    <row r="146" spans="1:28">
      <c r="A146" s="99" t="s">
        <v>189</v>
      </c>
      <c r="B146" s="99" t="s">
        <v>211</v>
      </c>
      <c r="C146" s="101">
        <v>0</v>
      </c>
      <c r="D146" s="101">
        <v>0</v>
      </c>
      <c r="E146" s="101">
        <v>0</v>
      </c>
      <c r="F146" s="101">
        <v>0</v>
      </c>
      <c r="G146" s="101">
        <v>0</v>
      </c>
      <c r="H146" s="101">
        <v>0</v>
      </c>
      <c r="I146" s="101">
        <v>0</v>
      </c>
      <c r="J146" s="101">
        <v>0</v>
      </c>
      <c r="K146" s="101">
        <v>0</v>
      </c>
      <c r="L146" s="101">
        <v>0</v>
      </c>
      <c r="M146" s="101">
        <v>0</v>
      </c>
      <c r="N146" s="101">
        <v>0</v>
      </c>
      <c r="O146" s="101">
        <v>0</v>
      </c>
      <c r="P146" s="101">
        <v>0</v>
      </c>
      <c r="Q146" s="101">
        <v>0</v>
      </c>
      <c r="R146" s="101">
        <v>2E-3</v>
      </c>
      <c r="S146" s="101">
        <v>0</v>
      </c>
      <c r="T146" s="101">
        <v>0.97499999999999998</v>
      </c>
      <c r="U146" s="101">
        <v>0</v>
      </c>
      <c r="V146" s="101">
        <v>0</v>
      </c>
      <c r="W146" s="101">
        <v>0</v>
      </c>
      <c r="X146" s="103">
        <f t="shared" si="3"/>
        <v>0.97699999999999998</v>
      </c>
    </row>
    <row r="147" spans="1:28">
      <c r="A147" s="99" t="s">
        <v>189</v>
      </c>
      <c r="B147" s="99" t="s">
        <v>212</v>
      </c>
      <c r="C147" s="101">
        <v>0</v>
      </c>
      <c r="D147" s="101">
        <v>0</v>
      </c>
      <c r="E147" s="101">
        <v>0</v>
      </c>
      <c r="F147" s="101">
        <v>0</v>
      </c>
      <c r="G147" s="101">
        <v>0</v>
      </c>
      <c r="H147" s="101">
        <v>4.5999999999999999E-2</v>
      </c>
      <c r="I147" s="101">
        <v>0</v>
      </c>
      <c r="J147" s="101">
        <v>0</v>
      </c>
      <c r="K147" s="101">
        <v>0</v>
      </c>
      <c r="L147" s="101">
        <v>0.32</v>
      </c>
      <c r="M147" s="101">
        <v>0</v>
      </c>
      <c r="N147" s="101">
        <v>0</v>
      </c>
      <c r="O147" s="101">
        <v>0.22900000000000001</v>
      </c>
      <c r="P147" s="101">
        <v>0</v>
      </c>
      <c r="Q147" s="101">
        <v>0</v>
      </c>
      <c r="R147" s="101">
        <v>0</v>
      </c>
      <c r="S147" s="101">
        <v>0</v>
      </c>
      <c r="T147" s="101">
        <v>2.5070000000000001</v>
      </c>
      <c r="U147" s="101">
        <v>0</v>
      </c>
      <c r="V147" s="101">
        <v>0</v>
      </c>
      <c r="W147" s="101">
        <v>0</v>
      </c>
      <c r="X147" s="103">
        <f t="shared" ref="X147:X188" si="5">SUM(C147:W147)</f>
        <v>3.1020000000000003</v>
      </c>
    </row>
    <row r="148" spans="1:28">
      <c r="A148" s="99" t="s">
        <v>189</v>
      </c>
      <c r="B148" s="99" t="s">
        <v>213</v>
      </c>
      <c r="C148" s="101">
        <v>0</v>
      </c>
      <c r="D148" s="101">
        <v>0.114</v>
      </c>
      <c r="E148" s="101">
        <v>3.5999999999999997E-2</v>
      </c>
      <c r="F148" s="101">
        <v>0</v>
      </c>
      <c r="G148" s="101">
        <v>0</v>
      </c>
      <c r="H148" s="101">
        <v>9.1999999999999998E-2</v>
      </c>
      <c r="I148" s="101">
        <v>0</v>
      </c>
      <c r="J148" s="101">
        <v>0</v>
      </c>
      <c r="K148" s="101">
        <v>4.2999999999999997E-2</v>
      </c>
      <c r="L148" s="101">
        <v>0</v>
      </c>
      <c r="M148" s="101">
        <v>0</v>
      </c>
      <c r="N148" s="101">
        <v>0</v>
      </c>
      <c r="O148" s="101">
        <v>2E-3</v>
      </c>
      <c r="P148" s="101">
        <v>0</v>
      </c>
      <c r="Q148" s="101">
        <v>0</v>
      </c>
      <c r="R148" s="101">
        <v>5.8000000000000003E-2</v>
      </c>
      <c r="S148" s="101">
        <v>0</v>
      </c>
      <c r="T148" s="101">
        <v>9.093</v>
      </c>
      <c r="U148" s="101">
        <v>0</v>
      </c>
      <c r="V148" s="101">
        <v>0</v>
      </c>
      <c r="W148" s="101">
        <v>0</v>
      </c>
      <c r="X148" s="103">
        <f t="shared" si="5"/>
        <v>9.4380000000000006</v>
      </c>
    </row>
    <row r="149" spans="1:28">
      <c r="A149" s="99" t="s">
        <v>189</v>
      </c>
      <c r="B149" s="99" t="s">
        <v>214</v>
      </c>
      <c r="C149" s="101">
        <v>2.4E-2</v>
      </c>
      <c r="D149" s="101">
        <v>0</v>
      </c>
      <c r="E149" s="101">
        <v>0</v>
      </c>
      <c r="F149" s="101">
        <v>0</v>
      </c>
      <c r="G149" s="101">
        <v>0</v>
      </c>
      <c r="H149" s="101">
        <v>0.27600000000000002</v>
      </c>
      <c r="I149" s="101">
        <v>0</v>
      </c>
      <c r="J149" s="101">
        <v>0</v>
      </c>
      <c r="K149" s="101">
        <v>0.68200000000000005</v>
      </c>
      <c r="L149" s="101">
        <v>0</v>
      </c>
      <c r="M149" s="101">
        <v>0</v>
      </c>
      <c r="N149" s="101">
        <v>0</v>
      </c>
      <c r="O149" s="101">
        <v>1.0649999999999999</v>
      </c>
      <c r="P149" s="101">
        <v>0</v>
      </c>
      <c r="Q149" s="101">
        <v>0</v>
      </c>
      <c r="R149" s="101">
        <v>0</v>
      </c>
      <c r="S149" s="101">
        <v>0</v>
      </c>
      <c r="T149" s="101">
        <v>2.6080000000000001</v>
      </c>
      <c r="U149" s="101">
        <v>0</v>
      </c>
      <c r="V149" s="101">
        <v>0</v>
      </c>
      <c r="W149" s="101">
        <v>0</v>
      </c>
      <c r="X149" s="103">
        <f t="shared" si="5"/>
        <v>4.6550000000000002</v>
      </c>
    </row>
    <row r="150" spans="1:28">
      <c r="A150" s="99" t="s">
        <v>218</v>
      </c>
      <c r="B150" s="99" t="s">
        <v>204</v>
      </c>
      <c r="C150" s="101">
        <v>0</v>
      </c>
      <c r="D150" s="101">
        <v>0</v>
      </c>
      <c r="E150" s="101">
        <v>0</v>
      </c>
      <c r="F150" s="101">
        <v>0</v>
      </c>
      <c r="G150" s="101">
        <v>4.5049999999999999</v>
      </c>
      <c r="H150" s="101">
        <v>0.32200000000000001</v>
      </c>
      <c r="I150" s="101">
        <v>0</v>
      </c>
      <c r="J150" s="101">
        <v>0</v>
      </c>
      <c r="K150" s="101">
        <v>0.25600000000000001</v>
      </c>
      <c r="L150" s="101">
        <v>1.2</v>
      </c>
      <c r="M150" s="101">
        <v>0</v>
      </c>
      <c r="N150" s="101">
        <v>0</v>
      </c>
      <c r="O150" s="101">
        <v>0</v>
      </c>
      <c r="P150" s="101">
        <v>0</v>
      </c>
      <c r="Q150" s="101">
        <v>0</v>
      </c>
      <c r="R150" s="101">
        <v>0</v>
      </c>
      <c r="S150" s="101">
        <v>0</v>
      </c>
      <c r="T150" s="101">
        <v>0</v>
      </c>
      <c r="U150" s="101">
        <v>0</v>
      </c>
      <c r="V150" s="101">
        <v>0</v>
      </c>
      <c r="W150" s="101">
        <v>0</v>
      </c>
      <c r="X150" s="103">
        <f t="shared" si="5"/>
        <v>6.2830000000000004</v>
      </c>
      <c r="Y150" s="103">
        <f>SUM(X150:X160)</f>
        <v>86.713547999999989</v>
      </c>
      <c r="Z150" s="98" t="s">
        <v>47</v>
      </c>
      <c r="AA150" s="101">
        <f>$AF$7*$X150</f>
        <v>15.09573062911279</v>
      </c>
      <c r="AB150" s="98"/>
    </row>
    <row r="151" spans="1:28">
      <c r="A151" s="99" t="s">
        <v>218</v>
      </c>
      <c r="B151" s="99" t="s">
        <v>205</v>
      </c>
      <c r="C151" s="101">
        <v>0</v>
      </c>
      <c r="D151" s="101">
        <v>0</v>
      </c>
      <c r="E151" s="101">
        <v>0</v>
      </c>
      <c r="F151" s="101">
        <v>0</v>
      </c>
      <c r="G151" s="101">
        <v>0</v>
      </c>
      <c r="H151" s="101">
        <v>0</v>
      </c>
      <c r="I151" s="101">
        <v>0</v>
      </c>
      <c r="J151" s="101">
        <v>0</v>
      </c>
      <c r="K151" s="101">
        <v>0</v>
      </c>
      <c r="L151" s="101">
        <v>0</v>
      </c>
      <c r="M151" s="101">
        <v>0</v>
      </c>
      <c r="N151" s="101">
        <v>0</v>
      </c>
      <c r="O151" s="101">
        <v>0</v>
      </c>
      <c r="P151" s="101">
        <v>0</v>
      </c>
      <c r="Q151" s="101">
        <v>0</v>
      </c>
      <c r="R151" s="101">
        <v>0</v>
      </c>
      <c r="S151" s="101">
        <v>0</v>
      </c>
      <c r="T151" s="101">
        <v>0</v>
      </c>
      <c r="U151" s="101">
        <v>0</v>
      </c>
      <c r="V151" s="101">
        <v>0</v>
      </c>
      <c r="W151" s="101">
        <v>0</v>
      </c>
      <c r="X151" s="103">
        <f t="shared" si="5"/>
        <v>0</v>
      </c>
      <c r="AA151" s="101">
        <f>$AF$8*$X151</f>
        <v>0</v>
      </c>
    </row>
    <row r="152" spans="1:28">
      <c r="A152" s="99" t="s">
        <v>218</v>
      </c>
      <c r="B152" s="99" t="s">
        <v>206</v>
      </c>
      <c r="C152" s="101">
        <v>0</v>
      </c>
      <c r="D152" s="101">
        <v>0</v>
      </c>
      <c r="E152" s="101">
        <v>0</v>
      </c>
      <c r="F152" s="101">
        <v>0</v>
      </c>
      <c r="G152" s="101">
        <v>0</v>
      </c>
      <c r="H152" s="101">
        <v>0</v>
      </c>
      <c r="I152" s="101">
        <v>0</v>
      </c>
      <c r="J152" s="101">
        <v>0</v>
      </c>
      <c r="K152" s="101">
        <v>0</v>
      </c>
      <c r="L152" s="101">
        <v>14.132</v>
      </c>
      <c r="M152" s="101">
        <v>0</v>
      </c>
      <c r="N152" s="101">
        <v>0</v>
      </c>
      <c r="O152" s="101">
        <v>0</v>
      </c>
      <c r="P152" s="101">
        <v>0</v>
      </c>
      <c r="Q152" s="101">
        <v>0</v>
      </c>
      <c r="R152" s="101">
        <v>0</v>
      </c>
      <c r="S152" s="101">
        <v>0</v>
      </c>
      <c r="T152" s="101">
        <v>0.54500000000000004</v>
      </c>
      <c r="U152" s="101">
        <v>0</v>
      </c>
      <c r="V152" s="101">
        <v>0</v>
      </c>
      <c r="W152" s="101">
        <v>0</v>
      </c>
      <c r="X152" s="103">
        <f t="shared" si="5"/>
        <v>14.677</v>
      </c>
      <c r="AA152" s="101">
        <f>$AF$9*$X153</f>
        <v>113.15360650801256</v>
      </c>
    </row>
    <row r="153" spans="1:28">
      <c r="A153" s="99" t="s">
        <v>218</v>
      </c>
      <c r="B153" s="99" t="s">
        <v>207</v>
      </c>
      <c r="C153" s="101">
        <v>0</v>
      </c>
      <c r="D153" s="101">
        <v>0</v>
      </c>
      <c r="E153" s="101">
        <v>0</v>
      </c>
      <c r="F153" s="101">
        <v>0</v>
      </c>
      <c r="G153" s="101">
        <v>0</v>
      </c>
      <c r="H153" s="101">
        <v>0.23</v>
      </c>
      <c r="I153" s="101">
        <v>0</v>
      </c>
      <c r="J153" s="101">
        <v>3.9129999999999998</v>
      </c>
      <c r="K153" s="101">
        <v>0.63900000000000001</v>
      </c>
      <c r="L153" s="101">
        <v>1</v>
      </c>
      <c r="M153" s="101">
        <v>0</v>
      </c>
      <c r="N153" s="101">
        <v>0</v>
      </c>
      <c r="O153" s="101">
        <v>0</v>
      </c>
      <c r="P153" s="101">
        <v>0</v>
      </c>
      <c r="Q153" s="101">
        <v>0</v>
      </c>
      <c r="R153" s="101">
        <v>0</v>
      </c>
      <c r="S153" s="101">
        <v>0</v>
      </c>
      <c r="T153" s="101">
        <v>5.6740000000000004</v>
      </c>
      <c r="U153" s="101">
        <v>0</v>
      </c>
      <c r="V153" s="101">
        <v>0</v>
      </c>
      <c r="W153" s="101">
        <v>0</v>
      </c>
      <c r="X153" s="103">
        <f t="shared" si="5"/>
        <v>11.456</v>
      </c>
      <c r="AA153" s="101">
        <f>$AF$10*$X158</f>
        <v>6.0856510931390746</v>
      </c>
    </row>
    <row r="154" spans="1:28">
      <c r="A154" s="99" t="s">
        <v>218</v>
      </c>
      <c r="B154" s="99" t="s">
        <v>208</v>
      </c>
      <c r="C154" s="101">
        <v>5.0119999999999996</v>
      </c>
      <c r="D154" s="101">
        <v>0</v>
      </c>
      <c r="E154" s="101">
        <v>0</v>
      </c>
      <c r="F154" s="101">
        <v>0</v>
      </c>
      <c r="G154" s="101">
        <v>0</v>
      </c>
      <c r="H154" s="101">
        <v>0.36799999999999999</v>
      </c>
      <c r="I154" s="101">
        <v>0</v>
      </c>
      <c r="J154" s="101">
        <v>0</v>
      </c>
      <c r="K154" s="101">
        <v>0.93100000000000005</v>
      </c>
      <c r="L154" s="101">
        <v>0.44</v>
      </c>
      <c r="M154" s="101">
        <v>9.3439999999999994</v>
      </c>
      <c r="N154" s="101">
        <v>0</v>
      </c>
      <c r="O154" s="101">
        <v>0</v>
      </c>
      <c r="P154" s="101">
        <v>0</v>
      </c>
      <c r="Q154" s="101">
        <v>0</v>
      </c>
      <c r="R154" s="101">
        <v>0</v>
      </c>
      <c r="S154" s="101">
        <v>0</v>
      </c>
      <c r="T154" s="101">
        <v>2.5219999999999998</v>
      </c>
      <c r="U154" s="101">
        <v>0</v>
      </c>
      <c r="V154" s="101">
        <v>0</v>
      </c>
      <c r="W154" s="101">
        <v>0</v>
      </c>
      <c r="X154" s="103">
        <f t="shared" si="5"/>
        <v>18.616999999999997</v>
      </c>
      <c r="AA154" s="101">
        <f>$AF$11*(X152+X154+$X155+X156+X157+X159+X160)</f>
        <v>110.75190400542304</v>
      </c>
    </row>
    <row r="155" spans="1:28">
      <c r="A155" s="99" t="s">
        <v>218</v>
      </c>
      <c r="B155" s="99" t="s">
        <v>209</v>
      </c>
      <c r="C155" s="101">
        <v>0</v>
      </c>
      <c r="D155" s="101">
        <v>0</v>
      </c>
      <c r="E155" s="101">
        <v>0</v>
      </c>
      <c r="F155" s="101">
        <v>0</v>
      </c>
      <c r="G155" s="101">
        <v>0</v>
      </c>
      <c r="H155" s="101">
        <v>0</v>
      </c>
      <c r="I155" s="101">
        <v>0</v>
      </c>
      <c r="J155" s="101">
        <v>0</v>
      </c>
      <c r="K155" s="101">
        <v>1.034</v>
      </c>
      <c r="L155" s="101">
        <v>0.21099999999999999</v>
      </c>
      <c r="M155" s="101">
        <v>0</v>
      </c>
      <c r="N155" s="101">
        <v>0</v>
      </c>
      <c r="O155" s="101">
        <v>0</v>
      </c>
      <c r="P155" s="101">
        <v>0</v>
      </c>
      <c r="Q155" s="101">
        <v>0</v>
      </c>
      <c r="R155" s="101">
        <v>0</v>
      </c>
      <c r="S155" s="101">
        <v>0</v>
      </c>
      <c r="T155" s="101">
        <v>1.669</v>
      </c>
      <c r="U155" s="101">
        <v>0</v>
      </c>
      <c r="V155" s="101">
        <v>0</v>
      </c>
      <c r="W155" s="101">
        <v>0</v>
      </c>
      <c r="X155" s="103">
        <f t="shared" si="5"/>
        <v>2.9140000000000001</v>
      </c>
    </row>
    <row r="156" spans="1:28">
      <c r="A156" s="99" t="s">
        <v>218</v>
      </c>
      <c r="B156" s="99" t="s">
        <v>210</v>
      </c>
      <c r="C156" s="101">
        <v>1.002</v>
      </c>
      <c r="D156" s="101">
        <v>0</v>
      </c>
      <c r="E156" s="101">
        <v>0</v>
      </c>
      <c r="F156" s="101">
        <v>0</v>
      </c>
      <c r="G156" s="101">
        <v>0</v>
      </c>
      <c r="H156" s="101">
        <v>9.1999999999999998E-2</v>
      </c>
      <c r="I156" s="101">
        <v>0</v>
      </c>
      <c r="J156" s="101">
        <v>0.215</v>
      </c>
      <c r="K156" s="101">
        <v>3.2069999999999999</v>
      </c>
      <c r="L156" s="101">
        <v>2.5590000000000002</v>
      </c>
      <c r="M156" s="101">
        <v>0</v>
      </c>
      <c r="N156" s="101">
        <v>0</v>
      </c>
      <c r="O156" s="101">
        <v>2.097</v>
      </c>
      <c r="P156" s="101">
        <v>0.16500000000000001</v>
      </c>
      <c r="Q156" s="101">
        <v>0</v>
      </c>
      <c r="R156" s="101">
        <v>0</v>
      </c>
      <c r="S156" s="101">
        <v>0</v>
      </c>
      <c r="T156" s="101">
        <v>8.0510000000000002</v>
      </c>
      <c r="U156" s="101">
        <v>0</v>
      </c>
      <c r="V156" s="101">
        <v>0</v>
      </c>
      <c r="W156" s="101">
        <v>0</v>
      </c>
      <c r="X156" s="103">
        <f t="shared" si="5"/>
        <v>17.387999999999998</v>
      </c>
    </row>
    <row r="157" spans="1:28">
      <c r="A157" s="99" t="s">
        <v>218</v>
      </c>
      <c r="B157" s="99" t="s">
        <v>211</v>
      </c>
      <c r="C157" s="101">
        <v>0.44500000000000001</v>
      </c>
      <c r="D157" s="101">
        <v>0</v>
      </c>
      <c r="E157" s="101">
        <v>0</v>
      </c>
      <c r="F157" s="101">
        <v>0</v>
      </c>
      <c r="G157" s="101">
        <v>0</v>
      </c>
      <c r="H157" s="101">
        <v>0.23</v>
      </c>
      <c r="I157" s="101">
        <v>0</v>
      </c>
      <c r="J157" s="101">
        <v>0.215</v>
      </c>
      <c r="K157" s="101">
        <v>0.46899999999999997</v>
      </c>
      <c r="L157" s="101">
        <v>0.11700000000000001</v>
      </c>
      <c r="M157" s="101">
        <v>0</v>
      </c>
      <c r="N157" s="101">
        <v>0</v>
      </c>
      <c r="O157" s="101">
        <v>0</v>
      </c>
      <c r="P157" s="101">
        <v>0</v>
      </c>
      <c r="Q157" s="101">
        <v>0</v>
      </c>
      <c r="R157" s="101">
        <v>0</v>
      </c>
      <c r="S157" s="101">
        <v>0</v>
      </c>
      <c r="T157" s="101">
        <v>6.8000000000000005E-2</v>
      </c>
      <c r="U157" s="101">
        <v>0</v>
      </c>
      <c r="V157" s="101">
        <v>0</v>
      </c>
      <c r="W157" s="101">
        <v>0</v>
      </c>
      <c r="X157" s="103">
        <f t="shared" si="5"/>
        <v>1.544</v>
      </c>
    </row>
    <row r="158" spans="1:28">
      <c r="A158" s="99" t="s">
        <v>218</v>
      </c>
      <c r="B158" s="99" t="s">
        <v>212</v>
      </c>
      <c r="C158" s="101">
        <v>0</v>
      </c>
      <c r="D158" s="101">
        <v>0</v>
      </c>
      <c r="E158" s="101">
        <v>0</v>
      </c>
      <c r="F158" s="101">
        <v>0</v>
      </c>
      <c r="G158" s="101">
        <v>0</v>
      </c>
      <c r="H158" s="101">
        <v>0</v>
      </c>
      <c r="I158" s="101">
        <v>0</v>
      </c>
      <c r="J158" s="101">
        <v>0</v>
      </c>
      <c r="K158" s="101">
        <v>0.155</v>
      </c>
      <c r="L158" s="101">
        <v>0.11700000000000001</v>
      </c>
      <c r="M158" s="101">
        <v>0</v>
      </c>
      <c r="N158" s="101">
        <v>0</v>
      </c>
      <c r="O158" s="101">
        <v>0</v>
      </c>
      <c r="P158" s="101">
        <v>0</v>
      </c>
      <c r="Q158" s="101">
        <v>0</v>
      </c>
      <c r="R158" s="101">
        <v>0</v>
      </c>
      <c r="S158" s="101">
        <v>0</v>
      </c>
      <c r="T158" s="725">
        <v>0.46054800000000001</v>
      </c>
      <c r="U158" s="101">
        <v>0</v>
      </c>
      <c r="V158" s="101">
        <v>0</v>
      </c>
      <c r="W158" s="101">
        <v>0</v>
      </c>
      <c r="X158" s="103">
        <f t="shared" si="5"/>
        <v>0.73254799999999998</v>
      </c>
    </row>
    <row r="159" spans="1:28">
      <c r="A159" s="99" t="s">
        <v>218</v>
      </c>
      <c r="B159" s="99" t="s">
        <v>213</v>
      </c>
      <c r="C159" s="101">
        <v>0.39</v>
      </c>
      <c r="D159" s="101">
        <v>0</v>
      </c>
      <c r="E159" s="101">
        <v>0</v>
      </c>
      <c r="F159" s="101">
        <v>0</v>
      </c>
      <c r="G159" s="101">
        <v>0</v>
      </c>
      <c r="H159" s="101">
        <v>0.46</v>
      </c>
      <c r="I159" s="101">
        <v>0</v>
      </c>
      <c r="J159" s="101">
        <v>0.38700000000000001</v>
      </c>
      <c r="K159" s="101">
        <v>1.1379999999999999</v>
      </c>
      <c r="L159" s="101">
        <v>0.39800000000000002</v>
      </c>
      <c r="M159" s="101">
        <v>0</v>
      </c>
      <c r="N159" s="101">
        <v>0</v>
      </c>
      <c r="O159" s="101">
        <v>0</v>
      </c>
      <c r="P159" s="101">
        <v>0</v>
      </c>
      <c r="Q159" s="101">
        <v>0</v>
      </c>
      <c r="R159" s="101">
        <v>0</v>
      </c>
      <c r="S159" s="101">
        <v>0</v>
      </c>
      <c r="T159" s="101">
        <v>2.3559999999999999</v>
      </c>
      <c r="U159" s="101">
        <v>0</v>
      </c>
      <c r="V159" s="101">
        <v>0</v>
      </c>
      <c r="W159" s="101">
        <v>0</v>
      </c>
      <c r="X159" s="103">
        <f t="shared" si="5"/>
        <v>5.1289999999999996</v>
      </c>
    </row>
    <row r="160" spans="1:28">
      <c r="A160" s="99" t="s">
        <v>218</v>
      </c>
      <c r="B160" s="99" t="s">
        <v>214</v>
      </c>
      <c r="C160" s="101">
        <v>0</v>
      </c>
      <c r="D160" s="101">
        <v>0</v>
      </c>
      <c r="E160" s="101">
        <v>0</v>
      </c>
      <c r="F160" s="101">
        <v>0</v>
      </c>
      <c r="G160" s="101">
        <v>0</v>
      </c>
      <c r="H160" s="101">
        <v>1.38</v>
      </c>
      <c r="I160" s="101">
        <v>0</v>
      </c>
      <c r="J160" s="101">
        <v>0.38700000000000001</v>
      </c>
      <c r="K160" s="101">
        <v>0.317</v>
      </c>
      <c r="L160" s="101">
        <v>0.56699999999999995</v>
      </c>
      <c r="M160" s="101">
        <v>0</v>
      </c>
      <c r="N160" s="101">
        <v>0</v>
      </c>
      <c r="O160" s="101">
        <v>4.5789999999999997</v>
      </c>
      <c r="P160" s="101">
        <v>0</v>
      </c>
      <c r="Q160" s="101">
        <v>0</v>
      </c>
      <c r="R160" s="101">
        <v>0</v>
      </c>
      <c r="S160" s="101">
        <v>0</v>
      </c>
      <c r="T160" s="101">
        <v>0.74299999999999999</v>
      </c>
      <c r="U160" s="101">
        <v>0</v>
      </c>
      <c r="V160" s="101">
        <v>0</v>
      </c>
      <c r="W160" s="101">
        <v>0</v>
      </c>
      <c r="X160" s="103">
        <f t="shared" si="5"/>
        <v>7.9729999999999999</v>
      </c>
    </row>
    <row r="161" spans="1:28">
      <c r="A161" s="99" t="s">
        <v>186</v>
      </c>
      <c r="B161" s="99" t="s">
        <v>204</v>
      </c>
      <c r="C161" s="101">
        <v>0</v>
      </c>
      <c r="D161" s="101">
        <v>0</v>
      </c>
      <c r="E161" s="101">
        <v>0</v>
      </c>
      <c r="F161" s="101">
        <v>0</v>
      </c>
      <c r="G161" s="101">
        <v>116.82</v>
      </c>
      <c r="H161" s="101">
        <v>2.3919999999999999</v>
      </c>
      <c r="I161" s="101">
        <v>0.96799999999999997</v>
      </c>
      <c r="J161" s="101">
        <v>0</v>
      </c>
      <c r="K161" s="101">
        <v>11.289</v>
      </c>
      <c r="L161" s="101">
        <v>73.28</v>
      </c>
      <c r="M161" s="101">
        <v>37.92</v>
      </c>
      <c r="N161" s="101">
        <v>0</v>
      </c>
      <c r="O161" s="101">
        <v>0</v>
      </c>
      <c r="P161" s="101">
        <v>0</v>
      </c>
      <c r="Q161" s="101">
        <v>0</v>
      </c>
      <c r="R161" s="101">
        <v>0</v>
      </c>
      <c r="S161" s="101">
        <v>0</v>
      </c>
      <c r="T161" s="101">
        <v>0</v>
      </c>
      <c r="U161" s="101">
        <v>0</v>
      </c>
      <c r="V161" s="101">
        <v>0</v>
      </c>
      <c r="W161" s="101">
        <v>0</v>
      </c>
      <c r="X161" s="103">
        <f t="shared" si="5"/>
        <v>242.66899999999998</v>
      </c>
      <c r="Y161" s="103">
        <f>SUM(X161:X171)</f>
        <v>1357.3590000000002</v>
      </c>
      <c r="Z161" s="98" t="s">
        <v>48</v>
      </c>
      <c r="AA161" s="101">
        <f>$AF$7*$X161</f>
        <v>583.04406430625033</v>
      </c>
      <c r="AB161" s="98"/>
    </row>
    <row r="162" spans="1:28">
      <c r="A162" s="99" t="s">
        <v>186</v>
      </c>
      <c r="B162" s="99" t="s">
        <v>205</v>
      </c>
      <c r="C162" s="101">
        <v>44.613</v>
      </c>
      <c r="D162" s="101">
        <v>105.96299999999999</v>
      </c>
      <c r="E162" s="101">
        <v>0</v>
      </c>
      <c r="F162" s="101">
        <v>0</v>
      </c>
      <c r="G162" s="101">
        <v>0</v>
      </c>
      <c r="H162" s="101">
        <v>1.1499999999999999</v>
      </c>
      <c r="I162" s="101">
        <v>0</v>
      </c>
      <c r="J162" s="101">
        <v>0</v>
      </c>
      <c r="K162" s="101">
        <v>0.38300000000000001</v>
      </c>
      <c r="L162" s="101">
        <v>3.08</v>
      </c>
      <c r="M162" s="101">
        <v>9.6000000000000002E-2</v>
      </c>
      <c r="N162" s="101">
        <v>0</v>
      </c>
      <c r="O162" s="101">
        <v>0</v>
      </c>
      <c r="P162" s="101">
        <v>0</v>
      </c>
      <c r="Q162" s="101">
        <v>0</v>
      </c>
      <c r="R162" s="101">
        <v>0</v>
      </c>
      <c r="S162" s="101">
        <v>0</v>
      </c>
      <c r="T162" s="101">
        <v>81.733000000000004</v>
      </c>
      <c r="U162" s="101">
        <v>0</v>
      </c>
      <c r="V162" s="101">
        <v>0.80100000000000005</v>
      </c>
      <c r="W162" s="101">
        <v>0</v>
      </c>
      <c r="X162" s="103">
        <f t="shared" si="5"/>
        <v>237.81900000000002</v>
      </c>
      <c r="AA162" s="101">
        <f>$AF$8*$X162</f>
        <v>171.97894337807227</v>
      </c>
    </row>
    <row r="163" spans="1:28">
      <c r="A163" s="99" t="s">
        <v>186</v>
      </c>
      <c r="B163" s="99" t="s">
        <v>206</v>
      </c>
      <c r="C163" s="101">
        <v>5.2999999999999999E-2</v>
      </c>
      <c r="D163" s="101">
        <v>0.22800000000000001</v>
      </c>
      <c r="E163" s="101">
        <v>0</v>
      </c>
      <c r="F163" s="101">
        <v>0</v>
      </c>
      <c r="G163" s="101">
        <v>0</v>
      </c>
      <c r="H163" s="101">
        <v>0.92</v>
      </c>
      <c r="I163" s="101">
        <v>0</v>
      </c>
      <c r="J163" s="101">
        <v>4.2999999999999997E-2</v>
      </c>
      <c r="K163" s="101">
        <v>0.29799999999999999</v>
      </c>
      <c r="L163" s="101">
        <v>1.8</v>
      </c>
      <c r="M163" s="101">
        <v>0</v>
      </c>
      <c r="N163" s="101">
        <v>0</v>
      </c>
      <c r="O163" s="101">
        <v>0</v>
      </c>
      <c r="P163" s="101">
        <v>0</v>
      </c>
      <c r="Q163" s="101">
        <v>0</v>
      </c>
      <c r="R163" s="101">
        <v>0</v>
      </c>
      <c r="S163" s="101">
        <v>0</v>
      </c>
      <c r="T163" s="101">
        <v>16.734000000000002</v>
      </c>
      <c r="U163" s="101">
        <v>0</v>
      </c>
      <c r="V163" s="101">
        <v>0</v>
      </c>
      <c r="W163" s="101">
        <v>0</v>
      </c>
      <c r="X163" s="103">
        <f t="shared" si="5"/>
        <v>20.076000000000001</v>
      </c>
      <c r="AA163" s="101">
        <f>$AF$9*$X164</f>
        <v>1552.0593539312633</v>
      </c>
    </row>
    <row r="164" spans="1:28">
      <c r="A164" s="99" t="s">
        <v>186</v>
      </c>
      <c r="B164" s="99" t="s">
        <v>207</v>
      </c>
      <c r="C164" s="101">
        <v>0.08</v>
      </c>
      <c r="D164" s="101">
        <v>0.14299999999999999</v>
      </c>
      <c r="E164" s="101">
        <v>0</v>
      </c>
      <c r="F164" s="101">
        <v>0</v>
      </c>
      <c r="G164" s="101">
        <v>0</v>
      </c>
      <c r="H164" s="101">
        <v>1.288</v>
      </c>
      <c r="I164" s="101">
        <v>11.308</v>
      </c>
      <c r="J164" s="101">
        <v>0</v>
      </c>
      <c r="K164" s="101">
        <v>1.661</v>
      </c>
      <c r="L164" s="101">
        <v>32.28</v>
      </c>
      <c r="M164" s="101">
        <v>0.48</v>
      </c>
      <c r="N164" s="101">
        <v>0</v>
      </c>
      <c r="O164" s="101">
        <v>0</v>
      </c>
      <c r="P164" s="101">
        <v>0</v>
      </c>
      <c r="Q164" s="101">
        <v>0</v>
      </c>
      <c r="R164" s="101">
        <v>0</v>
      </c>
      <c r="S164" s="101">
        <v>0</v>
      </c>
      <c r="T164" s="101">
        <v>109.895</v>
      </c>
      <c r="U164" s="101">
        <v>0</v>
      </c>
      <c r="V164" s="101">
        <v>0</v>
      </c>
      <c r="W164" s="101">
        <v>0</v>
      </c>
      <c r="X164" s="103">
        <f t="shared" si="5"/>
        <v>157.13499999999999</v>
      </c>
      <c r="AA164" s="101">
        <f>$AF$10*$X169</f>
        <v>390.92657885878532</v>
      </c>
    </row>
    <row r="165" spans="1:28">
      <c r="A165" s="99" t="s">
        <v>186</v>
      </c>
      <c r="B165" s="99" t="s">
        <v>208</v>
      </c>
      <c r="C165" s="101">
        <v>24.38</v>
      </c>
      <c r="D165" s="101">
        <v>0.39900000000000002</v>
      </c>
      <c r="E165" s="101">
        <v>8.4000000000000005E-2</v>
      </c>
      <c r="F165" s="101">
        <v>0</v>
      </c>
      <c r="G165" s="101">
        <v>0</v>
      </c>
      <c r="H165" s="101">
        <v>6.992</v>
      </c>
      <c r="I165" s="101">
        <v>0</v>
      </c>
      <c r="J165" s="101">
        <v>0</v>
      </c>
      <c r="K165" s="101">
        <v>2.5129999999999999</v>
      </c>
      <c r="L165" s="101">
        <v>16.64</v>
      </c>
      <c r="M165" s="101">
        <v>108.57599999999999</v>
      </c>
      <c r="N165" s="101">
        <v>0</v>
      </c>
      <c r="O165" s="101">
        <v>8.3000000000000007</v>
      </c>
      <c r="P165" s="101">
        <v>0</v>
      </c>
      <c r="Q165" s="101">
        <v>0</v>
      </c>
      <c r="R165" s="101">
        <v>0</v>
      </c>
      <c r="S165" s="101">
        <v>0</v>
      </c>
      <c r="T165" s="101">
        <v>149.49600000000001</v>
      </c>
      <c r="U165" s="101">
        <v>0</v>
      </c>
      <c r="V165" s="101">
        <v>0</v>
      </c>
      <c r="W165" s="101">
        <v>0</v>
      </c>
      <c r="X165" s="103">
        <f t="shared" si="5"/>
        <v>317.38</v>
      </c>
      <c r="AA165" s="101">
        <f>$AF$11*(X163+X165+$X166+X167+X168+X170+X171)</f>
        <v>1091.7100910650915</v>
      </c>
    </row>
    <row r="166" spans="1:28">
      <c r="A166" s="99" t="s">
        <v>186</v>
      </c>
      <c r="B166" s="99" t="s">
        <v>209</v>
      </c>
      <c r="C166" s="101">
        <v>0</v>
      </c>
      <c r="D166" s="101">
        <v>0</v>
      </c>
      <c r="E166" s="101">
        <v>0</v>
      </c>
      <c r="F166" s="101">
        <v>0</v>
      </c>
      <c r="G166" s="101">
        <v>0</v>
      </c>
      <c r="H166" s="101">
        <v>0.184</v>
      </c>
      <c r="I166" s="101">
        <v>0</v>
      </c>
      <c r="J166" s="101">
        <v>0</v>
      </c>
      <c r="K166" s="101">
        <v>0.98</v>
      </c>
      <c r="L166" s="101">
        <v>0.8</v>
      </c>
      <c r="M166" s="101">
        <v>0</v>
      </c>
      <c r="N166" s="101">
        <v>0</v>
      </c>
      <c r="O166" s="101">
        <v>0</v>
      </c>
      <c r="P166" s="101">
        <v>0</v>
      </c>
      <c r="Q166" s="101">
        <v>0</v>
      </c>
      <c r="R166" s="101">
        <v>0</v>
      </c>
      <c r="S166" s="101">
        <v>0</v>
      </c>
      <c r="T166" s="101">
        <v>1.296</v>
      </c>
      <c r="U166" s="101">
        <v>0</v>
      </c>
      <c r="V166" s="101">
        <v>0</v>
      </c>
      <c r="W166" s="101">
        <v>0</v>
      </c>
      <c r="X166" s="103">
        <f t="shared" si="5"/>
        <v>3.26</v>
      </c>
    </row>
    <row r="167" spans="1:28">
      <c r="A167" s="99" t="s">
        <v>186</v>
      </c>
      <c r="B167" s="99" t="s">
        <v>210</v>
      </c>
      <c r="C167" s="101">
        <v>0</v>
      </c>
      <c r="D167" s="101">
        <v>0</v>
      </c>
      <c r="E167" s="101">
        <v>0</v>
      </c>
      <c r="F167" s="101">
        <v>0</v>
      </c>
      <c r="G167" s="101">
        <v>0</v>
      </c>
      <c r="H167" s="101">
        <v>2.024</v>
      </c>
      <c r="I167" s="101">
        <v>0</v>
      </c>
      <c r="J167" s="101">
        <v>0</v>
      </c>
      <c r="K167" s="101">
        <v>2.3860000000000001</v>
      </c>
      <c r="L167" s="101">
        <v>27.16</v>
      </c>
      <c r="M167" s="101">
        <v>0</v>
      </c>
      <c r="N167" s="101">
        <v>0</v>
      </c>
      <c r="O167" s="101">
        <v>0</v>
      </c>
      <c r="P167" s="101">
        <v>0</v>
      </c>
      <c r="Q167" s="101">
        <v>0</v>
      </c>
      <c r="R167" s="101">
        <v>0</v>
      </c>
      <c r="S167" s="101">
        <v>0</v>
      </c>
      <c r="T167" s="101">
        <v>61.936999999999998</v>
      </c>
      <c r="U167" s="101">
        <v>0</v>
      </c>
      <c r="V167" s="101">
        <v>0</v>
      </c>
      <c r="W167" s="101">
        <v>0</v>
      </c>
      <c r="X167" s="103">
        <f t="shared" si="5"/>
        <v>93.507000000000005</v>
      </c>
    </row>
    <row r="168" spans="1:28">
      <c r="A168" s="99" t="s">
        <v>186</v>
      </c>
      <c r="B168" s="99" t="s">
        <v>211</v>
      </c>
      <c r="C168" s="101">
        <v>0</v>
      </c>
      <c r="D168" s="101">
        <v>0</v>
      </c>
      <c r="E168" s="101">
        <v>0</v>
      </c>
      <c r="F168" s="101">
        <v>0</v>
      </c>
      <c r="G168" s="101">
        <v>0</v>
      </c>
      <c r="H168" s="101">
        <v>1.3340000000000001</v>
      </c>
      <c r="I168" s="101">
        <v>0</v>
      </c>
      <c r="J168" s="101">
        <v>0</v>
      </c>
      <c r="K168" s="101">
        <v>2.0870000000000002</v>
      </c>
      <c r="L168" s="101">
        <v>9.52</v>
      </c>
      <c r="M168" s="101">
        <v>0</v>
      </c>
      <c r="N168" s="101">
        <v>0</v>
      </c>
      <c r="O168" s="101">
        <v>0</v>
      </c>
      <c r="P168" s="101">
        <v>0</v>
      </c>
      <c r="Q168" s="101">
        <v>0</v>
      </c>
      <c r="R168" s="101">
        <v>0</v>
      </c>
      <c r="S168" s="101">
        <v>0</v>
      </c>
      <c r="T168" s="101">
        <v>49.545999999999999</v>
      </c>
      <c r="U168" s="101">
        <v>0</v>
      </c>
      <c r="V168" s="101">
        <v>0</v>
      </c>
      <c r="W168" s="101">
        <v>0</v>
      </c>
      <c r="X168" s="103">
        <f t="shared" si="5"/>
        <v>62.486999999999995</v>
      </c>
    </row>
    <row r="169" spans="1:28">
      <c r="A169" s="99" t="s">
        <v>186</v>
      </c>
      <c r="B169" s="99" t="s">
        <v>212</v>
      </c>
      <c r="C169" s="101">
        <v>0</v>
      </c>
      <c r="D169" s="101">
        <v>0</v>
      </c>
      <c r="E169" s="101">
        <v>0</v>
      </c>
      <c r="F169" s="101">
        <v>0</v>
      </c>
      <c r="G169" s="101">
        <v>0</v>
      </c>
      <c r="H169" s="101">
        <v>0.41399999999999998</v>
      </c>
      <c r="I169" s="101">
        <v>0</v>
      </c>
      <c r="J169" s="101">
        <v>0</v>
      </c>
      <c r="K169" s="101">
        <v>1.1499999999999999</v>
      </c>
      <c r="L169" s="101">
        <v>7.52</v>
      </c>
      <c r="M169" s="101">
        <v>0</v>
      </c>
      <c r="N169" s="101">
        <v>0</v>
      </c>
      <c r="O169" s="101">
        <v>0</v>
      </c>
      <c r="P169" s="101">
        <v>0</v>
      </c>
      <c r="Q169" s="101">
        <v>0</v>
      </c>
      <c r="R169" s="101">
        <v>0</v>
      </c>
      <c r="S169" s="101">
        <v>0</v>
      </c>
      <c r="T169" s="101">
        <v>37.972999999999999</v>
      </c>
      <c r="U169" s="101">
        <v>0</v>
      </c>
      <c r="V169" s="101">
        <v>0</v>
      </c>
      <c r="W169" s="101">
        <v>0</v>
      </c>
      <c r="X169" s="103">
        <f t="shared" si="5"/>
        <v>47.057000000000002</v>
      </c>
    </row>
    <row r="170" spans="1:28">
      <c r="A170" s="99" t="s">
        <v>186</v>
      </c>
      <c r="B170" s="99" t="s">
        <v>213</v>
      </c>
      <c r="C170" s="101">
        <v>0</v>
      </c>
      <c r="D170" s="101">
        <v>0</v>
      </c>
      <c r="E170" s="101">
        <v>0</v>
      </c>
      <c r="F170" s="101">
        <v>0</v>
      </c>
      <c r="G170" s="101">
        <v>0</v>
      </c>
      <c r="H170" s="101">
        <v>3.3580000000000001</v>
      </c>
      <c r="I170" s="101">
        <v>1.32</v>
      </c>
      <c r="J170" s="101">
        <v>0.98899999999999999</v>
      </c>
      <c r="K170" s="101">
        <v>5.1970000000000001</v>
      </c>
      <c r="L170" s="101">
        <v>17.72</v>
      </c>
      <c r="M170" s="101">
        <v>0</v>
      </c>
      <c r="N170" s="101">
        <v>0</v>
      </c>
      <c r="O170" s="101">
        <v>0</v>
      </c>
      <c r="P170" s="101">
        <v>0</v>
      </c>
      <c r="Q170" s="101">
        <v>0</v>
      </c>
      <c r="R170" s="101">
        <v>0</v>
      </c>
      <c r="S170" s="101">
        <v>0</v>
      </c>
      <c r="T170" s="101">
        <v>91.085999999999999</v>
      </c>
      <c r="U170" s="101">
        <v>0</v>
      </c>
      <c r="V170" s="101">
        <v>0</v>
      </c>
      <c r="W170" s="101">
        <v>0</v>
      </c>
      <c r="X170" s="103">
        <f t="shared" si="5"/>
        <v>119.67</v>
      </c>
    </row>
    <row r="171" spans="1:28">
      <c r="A171" s="99" t="s">
        <v>186</v>
      </c>
      <c r="B171" s="99" t="s">
        <v>214</v>
      </c>
      <c r="C171" s="101">
        <v>0</v>
      </c>
      <c r="D171" s="101">
        <v>0.42799999999999999</v>
      </c>
      <c r="E171" s="101">
        <v>0</v>
      </c>
      <c r="F171" s="101">
        <v>0</v>
      </c>
      <c r="G171" s="101">
        <v>0</v>
      </c>
      <c r="H171" s="101">
        <v>1.196</v>
      </c>
      <c r="I171" s="101">
        <v>0</v>
      </c>
      <c r="J171" s="101">
        <v>0</v>
      </c>
      <c r="K171" s="101">
        <v>4.8140000000000001</v>
      </c>
      <c r="L171" s="101">
        <v>13.24</v>
      </c>
      <c r="M171" s="101">
        <v>0</v>
      </c>
      <c r="N171" s="101">
        <v>0</v>
      </c>
      <c r="O171" s="101">
        <v>0</v>
      </c>
      <c r="P171" s="101">
        <v>0</v>
      </c>
      <c r="Q171" s="101">
        <v>0</v>
      </c>
      <c r="R171" s="101">
        <v>0</v>
      </c>
      <c r="S171" s="101">
        <v>2.6</v>
      </c>
      <c r="T171" s="101">
        <v>34.021000000000001</v>
      </c>
      <c r="U171" s="101">
        <v>0</v>
      </c>
      <c r="V171" s="101">
        <v>0</v>
      </c>
      <c r="W171" s="101">
        <v>0</v>
      </c>
      <c r="X171" s="103">
        <f t="shared" si="5"/>
        <v>56.299000000000007</v>
      </c>
    </row>
    <row r="172" spans="1:28">
      <c r="A172" s="99" t="s">
        <v>188</v>
      </c>
      <c r="B172" s="99" t="s">
        <v>204</v>
      </c>
      <c r="C172" s="101">
        <v>0</v>
      </c>
      <c r="D172" s="101">
        <v>0</v>
      </c>
      <c r="E172" s="101">
        <v>0</v>
      </c>
      <c r="F172" s="101">
        <v>0</v>
      </c>
      <c r="G172" s="101">
        <v>15.444000000000001</v>
      </c>
      <c r="H172" s="101">
        <v>0</v>
      </c>
      <c r="I172" s="101">
        <v>0</v>
      </c>
      <c r="J172" s="101">
        <v>0</v>
      </c>
      <c r="K172" s="101">
        <v>0</v>
      </c>
      <c r="L172" s="101">
        <v>6.72</v>
      </c>
      <c r="M172" s="101">
        <v>4.1280000000000001</v>
      </c>
      <c r="N172" s="101">
        <v>0</v>
      </c>
      <c r="O172" s="101">
        <v>0</v>
      </c>
      <c r="P172" s="101">
        <v>0</v>
      </c>
      <c r="Q172" s="101">
        <v>0</v>
      </c>
      <c r="R172" s="101">
        <v>0</v>
      </c>
      <c r="S172" s="101">
        <v>0</v>
      </c>
      <c r="T172" s="101">
        <v>2.8000000000000001E-2</v>
      </c>
      <c r="U172" s="101">
        <v>0</v>
      </c>
      <c r="V172" s="101">
        <v>0</v>
      </c>
      <c r="W172" s="101">
        <v>0</v>
      </c>
      <c r="X172" s="103">
        <f t="shared" ref="X172:X182" si="6">SUM(C172:W172)</f>
        <v>26.32</v>
      </c>
      <c r="Y172" s="103">
        <f>SUM(X172:X182)</f>
        <v>50.525664000000006</v>
      </c>
      <c r="Z172" s="98" t="s">
        <v>51</v>
      </c>
      <c r="AA172" s="101">
        <f>$AF$7*$X172</f>
        <v>63.237248155061053</v>
      </c>
      <c r="AB172" s="98"/>
    </row>
    <row r="173" spans="1:28">
      <c r="A173" s="99" t="s">
        <v>188</v>
      </c>
      <c r="B173" s="99" t="s">
        <v>205</v>
      </c>
      <c r="C173" s="101">
        <v>0</v>
      </c>
      <c r="D173" s="101">
        <v>5.7000000000000002E-2</v>
      </c>
      <c r="E173" s="101">
        <v>0</v>
      </c>
      <c r="F173" s="101">
        <v>0</v>
      </c>
      <c r="G173" s="101">
        <v>0</v>
      </c>
      <c r="H173" s="101">
        <v>0</v>
      </c>
      <c r="I173" s="101">
        <v>0</v>
      </c>
      <c r="J173" s="101">
        <v>0</v>
      </c>
      <c r="K173" s="101">
        <v>0</v>
      </c>
      <c r="L173" s="101">
        <v>0</v>
      </c>
      <c r="M173" s="101">
        <v>0</v>
      </c>
      <c r="N173" s="101">
        <v>0</v>
      </c>
      <c r="O173" s="101">
        <v>0</v>
      </c>
      <c r="P173" s="101">
        <v>0</v>
      </c>
      <c r="Q173" s="101">
        <v>0</v>
      </c>
      <c r="R173" s="101">
        <v>0</v>
      </c>
      <c r="S173" s="101">
        <v>0</v>
      </c>
      <c r="T173" s="101">
        <v>0.05</v>
      </c>
      <c r="U173" s="101">
        <v>0</v>
      </c>
      <c r="V173" s="101">
        <v>0</v>
      </c>
      <c r="W173" s="101">
        <v>0</v>
      </c>
      <c r="X173" s="103">
        <f t="shared" si="6"/>
        <v>0.10700000000000001</v>
      </c>
      <c r="AA173" s="101">
        <f>$AF$8*$X173</f>
        <v>7.7377110077217273E-2</v>
      </c>
    </row>
    <row r="174" spans="1:28">
      <c r="A174" s="99" t="s">
        <v>188</v>
      </c>
      <c r="B174" s="99" t="s">
        <v>206</v>
      </c>
      <c r="C174" s="101">
        <v>0</v>
      </c>
      <c r="D174" s="101">
        <v>0</v>
      </c>
      <c r="E174" s="101">
        <v>0</v>
      </c>
      <c r="F174" s="101">
        <v>0</v>
      </c>
      <c r="G174" s="101">
        <v>0</v>
      </c>
      <c r="H174" s="101">
        <v>0</v>
      </c>
      <c r="I174" s="101">
        <v>0</v>
      </c>
      <c r="J174" s="101">
        <v>0</v>
      </c>
      <c r="K174" s="101">
        <v>0</v>
      </c>
      <c r="L174" s="101">
        <v>0</v>
      </c>
      <c r="M174" s="101">
        <v>0</v>
      </c>
      <c r="N174" s="101">
        <v>0</v>
      </c>
      <c r="O174" s="101">
        <v>0</v>
      </c>
      <c r="P174" s="101">
        <v>0</v>
      </c>
      <c r="Q174" s="101">
        <v>0</v>
      </c>
      <c r="R174" s="101">
        <v>0</v>
      </c>
      <c r="S174" s="101">
        <v>0</v>
      </c>
      <c r="T174" s="101">
        <v>0</v>
      </c>
      <c r="U174" s="101">
        <v>0</v>
      </c>
      <c r="V174" s="101">
        <v>0</v>
      </c>
      <c r="W174" s="101">
        <v>0</v>
      </c>
      <c r="X174" s="103">
        <f t="shared" si="6"/>
        <v>0</v>
      </c>
      <c r="AA174" s="101">
        <f>$AF$9*$X175</f>
        <v>19.84992401093912</v>
      </c>
    </row>
    <row r="175" spans="1:28">
      <c r="A175" s="99" t="s">
        <v>188</v>
      </c>
      <c r="B175" s="99" t="s">
        <v>207</v>
      </c>
      <c r="C175" s="101">
        <v>0</v>
      </c>
      <c r="D175" s="101">
        <v>0</v>
      </c>
      <c r="E175" s="101">
        <v>0</v>
      </c>
      <c r="F175" s="101">
        <v>0</v>
      </c>
      <c r="G175" s="101">
        <v>0</v>
      </c>
      <c r="H175" s="101">
        <v>0</v>
      </c>
      <c r="I175" s="101">
        <v>0</v>
      </c>
      <c r="J175" s="101">
        <v>0</v>
      </c>
      <c r="K175" s="101">
        <v>0</v>
      </c>
      <c r="L175" s="101">
        <v>0</v>
      </c>
      <c r="M175" s="101">
        <v>0</v>
      </c>
      <c r="N175" s="101">
        <v>0</v>
      </c>
      <c r="O175" s="101">
        <v>0</v>
      </c>
      <c r="P175" s="101">
        <v>0</v>
      </c>
      <c r="Q175" s="101">
        <v>0</v>
      </c>
      <c r="R175" s="101">
        <v>0</v>
      </c>
      <c r="S175" s="101">
        <v>0</v>
      </c>
      <c r="T175" s="101">
        <v>2.0096639999999999</v>
      </c>
      <c r="U175" s="101">
        <v>0</v>
      </c>
      <c r="V175" s="101">
        <v>0</v>
      </c>
      <c r="W175" s="101">
        <v>0</v>
      </c>
      <c r="X175" s="103">
        <f t="shared" si="6"/>
        <v>2.0096639999999999</v>
      </c>
      <c r="AA175" s="101">
        <f>$AF$10*$X180</f>
        <v>0.53168074987700575</v>
      </c>
    </row>
    <row r="176" spans="1:28">
      <c r="A176" s="99" t="s">
        <v>188</v>
      </c>
      <c r="B176" s="99" t="s">
        <v>208</v>
      </c>
      <c r="C176" s="101">
        <v>3.24</v>
      </c>
      <c r="D176" s="101">
        <v>0.39900000000000002</v>
      </c>
      <c r="E176" s="101">
        <v>0</v>
      </c>
      <c r="F176" s="101">
        <v>0</v>
      </c>
      <c r="G176" s="101">
        <v>0</v>
      </c>
      <c r="H176" s="101">
        <v>0</v>
      </c>
      <c r="I176" s="101">
        <v>0</v>
      </c>
      <c r="J176" s="101">
        <v>0</v>
      </c>
      <c r="K176" s="101">
        <v>0.17</v>
      </c>
      <c r="L176" s="101">
        <v>1.1599999999999999</v>
      </c>
      <c r="M176" s="101">
        <v>6.4000000000000001E-2</v>
      </c>
      <c r="N176" s="101">
        <v>0</v>
      </c>
      <c r="O176" s="101">
        <v>0.56599999999999995</v>
      </c>
      <c r="P176" s="101">
        <v>0</v>
      </c>
      <c r="Q176" s="101">
        <v>0</v>
      </c>
      <c r="R176" s="101">
        <v>0</v>
      </c>
      <c r="S176" s="101">
        <v>0</v>
      </c>
      <c r="T176" s="101">
        <v>1.6140000000000001</v>
      </c>
      <c r="U176" s="101">
        <v>0</v>
      </c>
      <c r="V176" s="101">
        <v>0</v>
      </c>
      <c r="W176" s="101">
        <v>0</v>
      </c>
      <c r="X176" s="103">
        <f t="shared" si="6"/>
        <v>7.2130000000000001</v>
      </c>
      <c r="AA176" s="101">
        <f>$AF$11*(X174+X176+$X177+X178+X179+X181+X182)</f>
        <v>35.74500579876679</v>
      </c>
    </row>
    <row r="177" spans="1:28">
      <c r="A177" s="99" t="s">
        <v>188</v>
      </c>
      <c r="B177" s="99" t="s">
        <v>209</v>
      </c>
      <c r="C177" s="101">
        <v>0</v>
      </c>
      <c r="D177" s="101">
        <v>0</v>
      </c>
      <c r="E177" s="101">
        <v>0</v>
      </c>
      <c r="F177" s="101">
        <v>0</v>
      </c>
      <c r="G177" s="101">
        <v>0</v>
      </c>
      <c r="H177" s="101">
        <v>0</v>
      </c>
      <c r="I177" s="101">
        <v>0</v>
      </c>
      <c r="J177" s="101">
        <v>0</v>
      </c>
      <c r="K177" s="101">
        <v>0.17</v>
      </c>
      <c r="L177" s="101">
        <v>0</v>
      </c>
      <c r="M177" s="101">
        <v>0</v>
      </c>
      <c r="N177" s="101">
        <v>0</v>
      </c>
      <c r="O177" s="101">
        <v>5.0000000000000001E-3</v>
      </c>
      <c r="P177" s="101">
        <v>0</v>
      </c>
      <c r="Q177" s="101">
        <v>0</v>
      </c>
      <c r="R177" s="101">
        <v>0</v>
      </c>
      <c r="S177" s="101">
        <v>0</v>
      </c>
      <c r="T177" s="101">
        <v>3.3000000000000002E-2</v>
      </c>
      <c r="U177" s="101">
        <v>0</v>
      </c>
      <c r="V177" s="101">
        <v>0</v>
      </c>
      <c r="W177" s="101">
        <v>0</v>
      </c>
      <c r="X177" s="103">
        <f t="shared" si="6"/>
        <v>0.20800000000000002</v>
      </c>
    </row>
    <row r="178" spans="1:28">
      <c r="A178" s="99" t="s">
        <v>188</v>
      </c>
      <c r="B178" s="99" t="s">
        <v>210</v>
      </c>
      <c r="C178" s="101">
        <v>0.05</v>
      </c>
      <c r="D178" s="101">
        <v>5.7000000000000002E-2</v>
      </c>
      <c r="E178" s="101">
        <v>0</v>
      </c>
      <c r="F178" s="101">
        <v>0</v>
      </c>
      <c r="G178" s="101">
        <v>0</v>
      </c>
      <c r="H178" s="101">
        <v>0.184</v>
      </c>
      <c r="I178" s="101">
        <v>0</v>
      </c>
      <c r="J178" s="101">
        <v>0</v>
      </c>
      <c r="K178" s="101">
        <v>0.25600000000000001</v>
      </c>
      <c r="L178" s="101">
        <v>0.36</v>
      </c>
      <c r="M178" s="101">
        <v>0</v>
      </c>
      <c r="N178" s="101">
        <v>0</v>
      </c>
      <c r="O178" s="101">
        <v>0.29799999999999999</v>
      </c>
      <c r="P178" s="101">
        <v>0</v>
      </c>
      <c r="Q178" s="101">
        <v>0</v>
      </c>
      <c r="R178" s="101">
        <v>0</v>
      </c>
      <c r="S178" s="101">
        <v>0</v>
      </c>
      <c r="T178" s="101">
        <v>3.694</v>
      </c>
      <c r="U178" s="101">
        <v>0</v>
      </c>
      <c r="V178" s="101">
        <v>0</v>
      </c>
      <c r="W178" s="101">
        <v>0</v>
      </c>
      <c r="X178" s="103">
        <f t="shared" si="6"/>
        <v>4.899</v>
      </c>
    </row>
    <row r="179" spans="1:28">
      <c r="A179" s="99" t="s">
        <v>188</v>
      </c>
      <c r="B179" s="99" t="s">
        <v>211</v>
      </c>
      <c r="C179" s="101">
        <v>0.05</v>
      </c>
      <c r="D179" s="101">
        <v>0</v>
      </c>
      <c r="E179" s="101">
        <v>0</v>
      </c>
      <c r="F179" s="101">
        <v>0</v>
      </c>
      <c r="G179" s="101">
        <v>0</v>
      </c>
      <c r="H179" s="101">
        <v>0</v>
      </c>
      <c r="I179" s="101">
        <v>0</v>
      </c>
      <c r="J179" s="101">
        <v>0</v>
      </c>
      <c r="K179" s="101">
        <v>0.128</v>
      </c>
      <c r="L179" s="101">
        <v>0.04</v>
      </c>
      <c r="M179" s="101">
        <v>0</v>
      </c>
      <c r="N179" s="101">
        <v>0</v>
      </c>
      <c r="O179" s="101">
        <v>7.8E-2</v>
      </c>
      <c r="P179" s="101">
        <v>0</v>
      </c>
      <c r="Q179" s="101">
        <v>0</v>
      </c>
      <c r="R179" s="101">
        <v>0</v>
      </c>
      <c r="S179" s="101">
        <v>0</v>
      </c>
      <c r="T179" s="101">
        <v>1.2290000000000001</v>
      </c>
      <c r="U179" s="101">
        <v>0</v>
      </c>
      <c r="V179" s="101">
        <v>0</v>
      </c>
      <c r="W179" s="101">
        <v>0</v>
      </c>
      <c r="X179" s="103">
        <f t="shared" si="6"/>
        <v>1.5250000000000001</v>
      </c>
    </row>
    <row r="180" spans="1:28">
      <c r="A180" s="99" t="s">
        <v>188</v>
      </c>
      <c r="B180" s="99" t="s">
        <v>212</v>
      </c>
      <c r="C180" s="101">
        <v>0</v>
      </c>
      <c r="D180" s="101">
        <v>0</v>
      </c>
      <c r="E180" s="101">
        <v>0</v>
      </c>
      <c r="F180" s="101">
        <v>0</v>
      </c>
      <c r="G180" s="101">
        <v>0</v>
      </c>
      <c r="H180" s="101">
        <v>0</v>
      </c>
      <c r="I180" s="101">
        <v>0</v>
      </c>
      <c r="J180" s="101">
        <v>0</v>
      </c>
      <c r="K180" s="101">
        <v>0</v>
      </c>
      <c r="L180" s="101">
        <v>0</v>
      </c>
      <c r="M180" s="101">
        <v>0</v>
      </c>
      <c r="N180" s="101">
        <v>0</v>
      </c>
      <c r="O180" s="101">
        <v>0</v>
      </c>
      <c r="P180" s="101">
        <v>0</v>
      </c>
      <c r="Q180" s="101">
        <v>0</v>
      </c>
      <c r="R180" s="101">
        <v>0</v>
      </c>
      <c r="S180" s="101">
        <v>0</v>
      </c>
      <c r="T180" s="101">
        <v>6.4000000000000001E-2</v>
      </c>
      <c r="U180" s="101">
        <v>0</v>
      </c>
      <c r="V180" s="101">
        <v>0</v>
      </c>
      <c r="W180" s="101">
        <v>0</v>
      </c>
      <c r="X180" s="103">
        <f t="shared" si="6"/>
        <v>6.4000000000000001E-2</v>
      </c>
    </row>
    <row r="181" spans="1:28">
      <c r="A181" s="99" t="s">
        <v>188</v>
      </c>
      <c r="B181" s="99" t="s">
        <v>213</v>
      </c>
      <c r="C181" s="101">
        <v>0</v>
      </c>
      <c r="D181" s="101">
        <v>0</v>
      </c>
      <c r="E181" s="101">
        <v>0</v>
      </c>
      <c r="F181" s="101">
        <v>0</v>
      </c>
      <c r="G181" s="101">
        <v>0</v>
      </c>
      <c r="H181" s="101">
        <v>0</v>
      </c>
      <c r="I181" s="101">
        <v>0</v>
      </c>
      <c r="J181" s="101">
        <v>0</v>
      </c>
      <c r="K181" s="101">
        <v>4.2999999999999997E-2</v>
      </c>
      <c r="L181" s="101">
        <v>0</v>
      </c>
      <c r="M181" s="101">
        <v>0</v>
      </c>
      <c r="N181" s="101">
        <v>0</v>
      </c>
      <c r="O181" s="101">
        <v>0.372</v>
      </c>
      <c r="P181" s="101">
        <v>0</v>
      </c>
      <c r="Q181" s="101">
        <v>0</v>
      </c>
      <c r="R181" s="101">
        <v>0</v>
      </c>
      <c r="S181" s="101">
        <v>0</v>
      </c>
      <c r="T181" s="101">
        <v>1.343</v>
      </c>
      <c r="U181" s="101">
        <v>0</v>
      </c>
      <c r="V181" s="101">
        <v>0</v>
      </c>
      <c r="W181" s="101">
        <v>0</v>
      </c>
      <c r="X181" s="103">
        <f t="shared" si="6"/>
        <v>1.758</v>
      </c>
    </row>
    <row r="182" spans="1:28">
      <c r="A182" s="99" t="s">
        <v>188</v>
      </c>
      <c r="B182" s="99" t="s">
        <v>214</v>
      </c>
      <c r="C182" s="101">
        <v>0.05</v>
      </c>
      <c r="D182" s="101">
        <v>0</v>
      </c>
      <c r="E182" s="101">
        <v>1.4999999999999999E-2</v>
      </c>
      <c r="F182" s="101">
        <v>0</v>
      </c>
      <c r="G182" s="101">
        <v>0</v>
      </c>
      <c r="H182" s="101">
        <v>0.13800000000000001</v>
      </c>
      <c r="I182" s="101">
        <v>0.13200000000000001</v>
      </c>
      <c r="J182" s="101">
        <v>0</v>
      </c>
      <c r="K182" s="101">
        <v>0.80900000000000005</v>
      </c>
      <c r="L182" s="101">
        <v>0.28000000000000003</v>
      </c>
      <c r="M182" s="101">
        <v>0</v>
      </c>
      <c r="N182" s="101">
        <v>0</v>
      </c>
      <c r="O182" s="101">
        <v>2.9140000000000001</v>
      </c>
      <c r="P182" s="101">
        <v>0</v>
      </c>
      <c r="Q182" s="101">
        <v>0</v>
      </c>
      <c r="R182" s="101">
        <v>0</v>
      </c>
      <c r="S182" s="101">
        <v>0</v>
      </c>
      <c r="T182" s="101">
        <v>2.0840000000000001</v>
      </c>
      <c r="U182" s="101">
        <v>0</v>
      </c>
      <c r="V182" s="101">
        <v>0</v>
      </c>
      <c r="W182" s="101">
        <v>0</v>
      </c>
      <c r="X182" s="103">
        <f t="shared" si="6"/>
        <v>6.4220000000000006</v>
      </c>
    </row>
    <row r="183" spans="1:28">
      <c r="A183" s="99" t="s">
        <v>220</v>
      </c>
      <c r="B183" s="99" t="s">
        <v>204</v>
      </c>
      <c r="C183" s="101">
        <v>0</v>
      </c>
      <c r="D183" s="101">
        <v>0</v>
      </c>
      <c r="E183" s="101">
        <v>0</v>
      </c>
      <c r="F183" s="101">
        <v>0</v>
      </c>
      <c r="G183" s="101">
        <v>0</v>
      </c>
      <c r="H183" s="101">
        <v>0</v>
      </c>
      <c r="I183" s="101">
        <v>0</v>
      </c>
      <c r="J183" s="101">
        <v>0</v>
      </c>
      <c r="K183" s="101">
        <v>0</v>
      </c>
      <c r="L183" s="101">
        <v>0</v>
      </c>
      <c r="M183" s="101">
        <v>0</v>
      </c>
      <c r="N183" s="101">
        <v>0</v>
      </c>
      <c r="O183" s="101">
        <v>0</v>
      </c>
      <c r="P183" s="101">
        <v>0</v>
      </c>
      <c r="Q183" s="101">
        <v>0</v>
      </c>
      <c r="R183" s="101">
        <v>0</v>
      </c>
      <c r="S183" s="101">
        <v>0</v>
      </c>
      <c r="T183" s="101">
        <v>0</v>
      </c>
      <c r="U183" s="101">
        <v>0</v>
      </c>
      <c r="V183" s="101">
        <v>0</v>
      </c>
      <c r="W183" s="101">
        <v>0</v>
      </c>
      <c r="X183" s="103">
        <f t="shared" si="5"/>
        <v>0</v>
      </c>
      <c r="Y183" s="103">
        <f>SUM(X183:X193)</f>
        <v>24.104999999999997</v>
      </c>
      <c r="Z183" s="98" t="s">
        <v>52</v>
      </c>
      <c r="AA183" s="101">
        <f>$AF$7*$X183</f>
        <v>0</v>
      </c>
      <c r="AB183" s="98"/>
    </row>
    <row r="184" spans="1:28">
      <c r="A184" s="99" t="s">
        <v>220</v>
      </c>
      <c r="B184" s="99" t="s">
        <v>205</v>
      </c>
      <c r="C184" s="101">
        <v>0.996</v>
      </c>
      <c r="D184" s="101">
        <v>0</v>
      </c>
      <c r="E184" s="101">
        <v>0</v>
      </c>
      <c r="F184" s="101">
        <v>0</v>
      </c>
      <c r="G184" s="101">
        <v>0</v>
      </c>
      <c r="H184" s="101">
        <v>0</v>
      </c>
      <c r="I184" s="101">
        <v>0</v>
      </c>
      <c r="J184" s="101">
        <v>0</v>
      </c>
      <c r="K184" s="101">
        <v>8.5000000000000006E-2</v>
      </c>
      <c r="L184" s="101">
        <v>0</v>
      </c>
      <c r="M184" s="101">
        <v>0</v>
      </c>
      <c r="N184" s="101">
        <v>0</v>
      </c>
      <c r="O184" s="101">
        <v>0</v>
      </c>
      <c r="P184" s="101">
        <v>0</v>
      </c>
      <c r="Q184" s="101">
        <v>0</v>
      </c>
      <c r="R184" s="101">
        <v>0</v>
      </c>
      <c r="S184" s="101">
        <v>0</v>
      </c>
      <c r="T184" s="101">
        <v>7.1150000000000002</v>
      </c>
      <c r="U184" s="101">
        <v>0</v>
      </c>
      <c r="V184" s="101">
        <v>0</v>
      </c>
      <c r="W184" s="101">
        <v>0</v>
      </c>
      <c r="X184" s="103">
        <f t="shared" si="5"/>
        <v>8.1959999999999997</v>
      </c>
      <c r="AA184" s="101">
        <f>$AF$8*$X184</f>
        <v>5.9269420018025487</v>
      </c>
    </row>
    <row r="185" spans="1:28">
      <c r="A185" s="99" t="s">
        <v>220</v>
      </c>
      <c r="B185" s="99" t="s">
        <v>206</v>
      </c>
      <c r="C185" s="101">
        <v>0</v>
      </c>
      <c r="D185" s="101">
        <v>0</v>
      </c>
      <c r="E185" s="101">
        <v>0</v>
      </c>
      <c r="F185" s="101">
        <v>0</v>
      </c>
      <c r="G185" s="101">
        <v>0</v>
      </c>
      <c r="H185" s="101">
        <v>0</v>
      </c>
      <c r="I185" s="101">
        <v>0</v>
      </c>
      <c r="J185" s="101">
        <v>0</v>
      </c>
      <c r="K185" s="101">
        <v>0</v>
      </c>
      <c r="L185" s="101">
        <v>0</v>
      </c>
      <c r="M185" s="101">
        <v>0</v>
      </c>
      <c r="N185" s="101">
        <v>0</v>
      </c>
      <c r="O185" s="101">
        <v>0</v>
      </c>
      <c r="P185" s="101">
        <v>0</v>
      </c>
      <c r="Q185" s="101">
        <v>0</v>
      </c>
      <c r="R185" s="101">
        <v>0</v>
      </c>
      <c r="S185" s="101">
        <v>0</v>
      </c>
      <c r="T185" s="101">
        <v>0</v>
      </c>
      <c r="U185" s="101">
        <v>0</v>
      </c>
      <c r="V185" s="101">
        <v>0</v>
      </c>
      <c r="W185" s="101">
        <v>0</v>
      </c>
      <c r="X185" s="103">
        <f t="shared" si="5"/>
        <v>0</v>
      </c>
      <c r="AA185" s="101">
        <f>$AF$9*$X186</f>
        <v>1.3334267526694916</v>
      </c>
    </row>
    <row r="186" spans="1:28">
      <c r="A186" s="99" t="s">
        <v>220</v>
      </c>
      <c r="B186" s="99" t="s">
        <v>207</v>
      </c>
      <c r="C186" s="101">
        <v>0</v>
      </c>
      <c r="D186" s="101">
        <v>0</v>
      </c>
      <c r="E186" s="101">
        <v>0</v>
      </c>
      <c r="F186" s="101">
        <v>0</v>
      </c>
      <c r="G186" s="101">
        <v>0</v>
      </c>
      <c r="H186" s="101">
        <v>9.1999999999999998E-2</v>
      </c>
      <c r="I186" s="101">
        <v>0</v>
      </c>
      <c r="J186" s="101">
        <v>0</v>
      </c>
      <c r="K186" s="101">
        <v>4.2999999999999997E-2</v>
      </c>
      <c r="L186" s="101">
        <v>0</v>
      </c>
      <c r="M186" s="101">
        <v>0</v>
      </c>
      <c r="N186" s="101">
        <v>0</v>
      </c>
      <c r="O186" s="101">
        <v>0</v>
      </c>
      <c r="P186" s="101">
        <v>0</v>
      </c>
      <c r="Q186" s="101">
        <v>0</v>
      </c>
      <c r="R186" s="101">
        <v>0</v>
      </c>
      <c r="S186" s="101">
        <v>0</v>
      </c>
      <c r="T186" s="101">
        <v>0</v>
      </c>
      <c r="U186" s="101">
        <v>0</v>
      </c>
      <c r="V186" s="101">
        <v>0</v>
      </c>
      <c r="W186" s="101">
        <v>0</v>
      </c>
      <c r="X186" s="103">
        <f t="shared" si="5"/>
        <v>0.13500000000000001</v>
      </c>
      <c r="AA186" s="101">
        <f>$AF$10*$X191</f>
        <v>0</v>
      </c>
    </row>
    <row r="187" spans="1:28">
      <c r="A187" s="99" t="s">
        <v>220</v>
      </c>
      <c r="B187" s="99" t="s">
        <v>208</v>
      </c>
      <c r="C187" s="101">
        <v>2.2559999999999998</v>
      </c>
      <c r="D187" s="101">
        <v>0</v>
      </c>
      <c r="E187" s="101">
        <v>0.14099999999999999</v>
      </c>
      <c r="F187" s="101">
        <v>0</v>
      </c>
      <c r="G187" s="101">
        <v>0</v>
      </c>
      <c r="H187" s="101">
        <v>0</v>
      </c>
      <c r="I187" s="101">
        <v>0</v>
      </c>
      <c r="J187" s="101">
        <v>0</v>
      </c>
      <c r="K187" s="101">
        <v>0.21299999999999999</v>
      </c>
      <c r="L187" s="101">
        <v>0</v>
      </c>
      <c r="M187" s="101">
        <v>0</v>
      </c>
      <c r="N187" s="101">
        <v>0</v>
      </c>
      <c r="O187" s="101">
        <v>0</v>
      </c>
      <c r="P187" s="101">
        <v>0</v>
      </c>
      <c r="Q187" s="101">
        <v>0</v>
      </c>
      <c r="R187" s="101">
        <v>0</v>
      </c>
      <c r="S187" s="101">
        <v>0</v>
      </c>
      <c r="T187" s="101">
        <v>0</v>
      </c>
      <c r="U187" s="101">
        <v>0</v>
      </c>
      <c r="V187" s="101">
        <v>0</v>
      </c>
      <c r="W187" s="101">
        <v>0</v>
      </c>
      <c r="X187" s="103">
        <f t="shared" si="5"/>
        <v>2.61</v>
      </c>
      <c r="AA187" s="101">
        <f>$AF$11*(X185+X187+$X188+X189+X190+X192+X193)</f>
        <v>25.600078159806916</v>
      </c>
    </row>
    <row r="188" spans="1:28">
      <c r="A188" s="99" t="s">
        <v>220</v>
      </c>
      <c r="B188" s="99" t="s">
        <v>209</v>
      </c>
      <c r="C188" s="101">
        <v>0</v>
      </c>
      <c r="D188" s="101">
        <v>0</v>
      </c>
      <c r="E188" s="101">
        <v>0</v>
      </c>
      <c r="F188" s="101">
        <v>0</v>
      </c>
      <c r="G188" s="101">
        <v>0</v>
      </c>
      <c r="H188" s="101">
        <v>0</v>
      </c>
      <c r="I188" s="101">
        <v>0</v>
      </c>
      <c r="J188" s="101">
        <v>0</v>
      </c>
      <c r="K188" s="101">
        <v>0.21299999999999999</v>
      </c>
      <c r="L188" s="101">
        <v>0</v>
      </c>
      <c r="M188" s="101">
        <v>0</v>
      </c>
      <c r="N188" s="101">
        <v>0</v>
      </c>
      <c r="O188" s="101">
        <v>0</v>
      </c>
      <c r="P188" s="101">
        <v>0</v>
      </c>
      <c r="Q188" s="101">
        <v>0</v>
      </c>
      <c r="R188" s="101">
        <v>0</v>
      </c>
      <c r="S188" s="101">
        <v>0</v>
      </c>
      <c r="T188" s="101">
        <v>0</v>
      </c>
      <c r="U188" s="101">
        <v>0</v>
      </c>
      <c r="V188" s="101">
        <v>0</v>
      </c>
      <c r="W188" s="101">
        <v>0</v>
      </c>
      <c r="X188" s="103">
        <f t="shared" si="5"/>
        <v>0.21299999999999999</v>
      </c>
    </row>
    <row r="189" spans="1:28">
      <c r="A189" s="99" t="s">
        <v>220</v>
      </c>
      <c r="B189" s="99" t="s">
        <v>210</v>
      </c>
      <c r="C189" s="101">
        <v>0</v>
      </c>
      <c r="D189" s="101">
        <v>0</v>
      </c>
      <c r="E189" s="101">
        <v>0</v>
      </c>
      <c r="F189" s="101">
        <v>0</v>
      </c>
      <c r="G189" s="101">
        <v>0</v>
      </c>
      <c r="H189" s="101">
        <v>9.1999999999999998E-2</v>
      </c>
      <c r="I189" s="101">
        <v>0</v>
      </c>
      <c r="J189" s="101">
        <v>0</v>
      </c>
      <c r="K189" s="101">
        <v>0.17</v>
      </c>
      <c r="L189" s="101">
        <v>0</v>
      </c>
      <c r="M189" s="101">
        <v>0</v>
      </c>
      <c r="N189" s="101">
        <v>0</v>
      </c>
      <c r="O189" s="101">
        <v>0</v>
      </c>
      <c r="P189" s="101">
        <v>0</v>
      </c>
      <c r="Q189" s="101">
        <v>0</v>
      </c>
      <c r="R189" s="101">
        <v>0</v>
      </c>
      <c r="S189" s="101">
        <v>0</v>
      </c>
      <c r="T189" s="101">
        <v>0</v>
      </c>
      <c r="U189" s="101">
        <v>0</v>
      </c>
      <c r="V189" s="101">
        <v>0</v>
      </c>
      <c r="W189" s="101">
        <v>0</v>
      </c>
      <c r="X189" s="103">
        <f t="shared" ref="X189:X252" si="7">SUM(C189:W189)</f>
        <v>0.26200000000000001</v>
      </c>
    </row>
    <row r="190" spans="1:28">
      <c r="A190" s="99" t="s">
        <v>220</v>
      </c>
      <c r="B190" s="99" t="s">
        <v>211</v>
      </c>
      <c r="C190" s="101">
        <v>0</v>
      </c>
      <c r="D190" s="101">
        <v>0</v>
      </c>
      <c r="E190" s="101">
        <v>0</v>
      </c>
      <c r="F190" s="101">
        <v>0</v>
      </c>
      <c r="G190" s="101">
        <v>0</v>
      </c>
      <c r="H190" s="101">
        <v>0</v>
      </c>
      <c r="I190" s="101">
        <v>0</v>
      </c>
      <c r="J190" s="101">
        <v>0</v>
      </c>
      <c r="K190" s="101">
        <v>0</v>
      </c>
      <c r="L190" s="101">
        <v>0</v>
      </c>
      <c r="M190" s="101">
        <v>0</v>
      </c>
      <c r="N190" s="101">
        <v>0</v>
      </c>
      <c r="O190" s="101">
        <v>0</v>
      </c>
      <c r="P190" s="101">
        <v>0</v>
      </c>
      <c r="Q190" s="101">
        <v>0</v>
      </c>
      <c r="R190" s="101">
        <v>0</v>
      </c>
      <c r="S190" s="101">
        <v>0</v>
      </c>
      <c r="T190" s="101">
        <v>0</v>
      </c>
      <c r="U190" s="101">
        <v>0</v>
      </c>
      <c r="V190" s="101">
        <v>0</v>
      </c>
      <c r="W190" s="101">
        <v>0</v>
      </c>
      <c r="X190" s="103">
        <f t="shared" si="7"/>
        <v>0</v>
      </c>
    </row>
    <row r="191" spans="1:28">
      <c r="A191" s="99" t="s">
        <v>220</v>
      </c>
      <c r="B191" s="99" t="s">
        <v>212</v>
      </c>
      <c r="C191" s="101">
        <v>0</v>
      </c>
      <c r="D191" s="101">
        <v>0</v>
      </c>
      <c r="E191" s="101">
        <v>0</v>
      </c>
      <c r="F191" s="101">
        <v>0</v>
      </c>
      <c r="G191" s="101">
        <v>0</v>
      </c>
      <c r="H191" s="101">
        <v>0</v>
      </c>
      <c r="I191" s="101">
        <v>0</v>
      </c>
      <c r="J191" s="101">
        <v>0</v>
      </c>
      <c r="K191" s="101">
        <v>0</v>
      </c>
      <c r="L191" s="101">
        <v>0</v>
      </c>
      <c r="M191" s="101">
        <v>0</v>
      </c>
      <c r="N191" s="101">
        <v>0</v>
      </c>
      <c r="O191" s="101">
        <v>0</v>
      </c>
      <c r="P191" s="101">
        <v>0</v>
      </c>
      <c r="Q191" s="101">
        <v>0</v>
      </c>
      <c r="R191" s="101">
        <v>0</v>
      </c>
      <c r="S191" s="101">
        <v>0</v>
      </c>
      <c r="T191" s="101">
        <v>0</v>
      </c>
      <c r="U191" s="101">
        <v>0</v>
      </c>
      <c r="V191" s="101">
        <v>0</v>
      </c>
      <c r="W191" s="101">
        <v>0</v>
      </c>
      <c r="X191" s="103">
        <f t="shared" si="7"/>
        <v>0</v>
      </c>
    </row>
    <row r="192" spans="1:28">
      <c r="A192" s="99" t="s">
        <v>220</v>
      </c>
      <c r="B192" s="99" t="s">
        <v>213</v>
      </c>
      <c r="C192" s="101">
        <v>0</v>
      </c>
      <c r="D192" s="101">
        <v>0</v>
      </c>
      <c r="E192" s="101">
        <v>0</v>
      </c>
      <c r="F192" s="101">
        <v>0</v>
      </c>
      <c r="G192" s="101">
        <v>0</v>
      </c>
      <c r="H192" s="101">
        <v>0</v>
      </c>
      <c r="I192" s="101">
        <v>0</v>
      </c>
      <c r="J192" s="101">
        <v>0</v>
      </c>
      <c r="K192" s="101">
        <v>0</v>
      </c>
      <c r="L192" s="101">
        <v>0</v>
      </c>
      <c r="M192" s="101">
        <v>0</v>
      </c>
      <c r="N192" s="101">
        <v>0</v>
      </c>
      <c r="O192" s="101">
        <v>0</v>
      </c>
      <c r="P192" s="101">
        <v>0</v>
      </c>
      <c r="Q192" s="101">
        <v>0</v>
      </c>
      <c r="R192" s="101">
        <v>0</v>
      </c>
      <c r="S192" s="101">
        <v>0</v>
      </c>
      <c r="T192" s="101">
        <v>0</v>
      </c>
      <c r="U192" s="101">
        <v>0</v>
      </c>
      <c r="V192" s="101">
        <v>0</v>
      </c>
      <c r="W192" s="101">
        <v>0</v>
      </c>
      <c r="X192" s="103">
        <f t="shared" si="7"/>
        <v>0</v>
      </c>
    </row>
    <row r="193" spans="1:28">
      <c r="A193" s="99" t="s">
        <v>220</v>
      </c>
      <c r="B193" s="99" t="s">
        <v>214</v>
      </c>
      <c r="C193" s="101">
        <v>0</v>
      </c>
      <c r="D193" s="101">
        <v>0</v>
      </c>
      <c r="E193" s="101">
        <v>0</v>
      </c>
      <c r="F193" s="101">
        <v>0</v>
      </c>
      <c r="G193" s="101">
        <v>0</v>
      </c>
      <c r="H193" s="101">
        <v>0.13800000000000001</v>
      </c>
      <c r="I193" s="101">
        <v>4.3999999999999997E-2</v>
      </c>
      <c r="J193" s="101">
        <v>0</v>
      </c>
      <c r="K193" s="101">
        <v>1.917</v>
      </c>
      <c r="L193" s="101">
        <v>0.08</v>
      </c>
      <c r="M193" s="101">
        <v>0</v>
      </c>
      <c r="N193" s="101">
        <v>0</v>
      </c>
      <c r="O193" s="101">
        <v>0</v>
      </c>
      <c r="P193" s="101">
        <v>0</v>
      </c>
      <c r="Q193" s="101">
        <v>0</v>
      </c>
      <c r="R193" s="101">
        <v>0</v>
      </c>
      <c r="S193" s="101">
        <v>0</v>
      </c>
      <c r="T193" s="101">
        <v>10.51</v>
      </c>
      <c r="U193" s="101">
        <v>0</v>
      </c>
      <c r="V193" s="101">
        <v>0</v>
      </c>
      <c r="W193" s="101">
        <v>0</v>
      </c>
      <c r="X193" s="103">
        <f t="shared" si="7"/>
        <v>12.689</v>
      </c>
    </row>
    <row r="194" spans="1:28">
      <c r="A194" s="99" t="s">
        <v>219</v>
      </c>
      <c r="B194" s="99" t="s">
        <v>204</v>
      </c>
      <c r="C194" s="101">
        <v>0</v>
      </c>
      <c r="D194" s="101">
        <v>0</v>
      </c>
      <c r="E194" s="101">
        <v>0</v>
      </c>
      <c r="F194" s="101">
        <v>0</v>
      </c>
      <c r="G194" s="101">
        <v>0</v>
      </c>
      <c r="H194" s="101">
        <v>0</v>
      </c>
      <c r="I194" s="101">
        <v>0</v>
      </c>
      <c r="J194" s="101">
        <v>0</v>
      </c>
      <c r="K194" s="101">
        <v>0</v>
      </c>
      <c r="L194" s="101">
        <v>0</v>
      </c>
      <c r="M194" s="101">
        <v>0</v>
      </c>
      <c r="N194" s="101">
        <v>0</v>
      </c>
      <c r="O194" s="101">
        <v>0</v>
      </c>
      <c r="P194" s="101">
        <v>0</v>
      </c>
      <c r="Q194" s="101">
        <v>0</v>
      </c>
      <c r="R194" s="101">
        <v>0</v>
      </c>
      <c r="S194" s="101">
        <v>0</v>
      </c>
      <c r="T194" s="101">
        <v>0</v>
      </c>
      <c r="U194" s="101">
        <v>0</v>
      </c>
      <c r="V194" s="101">
        <v>0</v>
      </c>
      <c r="W194" s="101">
        <v>0</v>
      </c>
      <c r="X194" s="103">
        <f t="shared" ref="X194:X204" si="8">SUM(C194:W194)</f>
        <v>0</v>
      </c>
      <c r="Y194" s="103">
        <f>SUM(X194:X204)</f>
        <v>22.635999999999999</v>
      </c>
      <c r="Z194" s="98" t="s">
        <v>50</v>
      </c>
      <c r="AA194" s="101">
        <f>$AF$7*$X194</f>
        <v>0</v>
      </c>
    </row>
    <row r="195" spans="1:28">
      <c r="A195" s="99" t="s">
        <v>219</v>
      </c>
      <c r="B195" s="99" t="s">
        <v>205</v>
      </c>
      <c r="C195" s="101">
        <v>0</v>
      </c>
      <c r="D195" s="101">
        <v>0.2</v>
      </c>
      <c r="E195" s="101">
        <v>0</v>
      </c>
      <c r="F195" s="101">
        <v>0</v>
      </c>
      <c r="G195" s="101">
        <v>0</v>
      </c>
      <c r="H195" s="101">
        <v>0</v>
      </c>
      <c r="I195" s="101">
        <v>0</v>
      </c>
      <c r="J195" s="101">
        <v>0</v>
      </c>
      <c r="K195" s="101">
        <v>4.2999999999999997E-2</v>
      </c>
      <c r="L195" s="101">
        <v>0</v>
      </c>
      <c r="M195" s="101">
        <v>0.8</v>
      </c>
      <c r="N195" s="101">
        <v>0</v>
      </c>
      <c r="O195" s="101">
        <v>0</v>
      </c>
      <c r="P195" s="101">
        <v>0</v>
      </c>
      <c r="Q195" s="101">
        <v>0</v>
      </c>
      <c r="R195" s="101">
        <v>0</v>
      </c>
      <c r="S195" s="101">
        <v>0</v>
      </c>
      <c r="T195" s="101">
        <v>4.125</v>
      </c>
      <c r="U195" s="101">
        <v>0</v>
      </c>
      <c r="V195" s="101">
        <v>0</v>
      </c>
      <c r="W195" s="101">
        <v>0</v>
      </c>
      <c r="X195" s="103">
        <f t="shared" si="8"/>
        <v>5.1680000000000001</v>
      </c>
      <c r="AA195" s="101">
        <f>$AF$8*$X195</f>
        <v>3.7372421016734472</v>
      </c>
    </row>
    <row r="196" spans="1:28">
      <c r="A196" s="99" t="s">
        <v>219</v>
      </c>
      <c r="B196" s="99" t="s">
        <v>206</v>
      </c>
      <c r="C196" s="101">
        <v>0</v>
      </c>
      <c r="D196" s="101">
        <v>0</v>
      </c>
      <c r="E196" s="101">
        <v>0</v>
      </c>
      <c r="F196" s="101">
        <v>0</v>
      </c>
      <c r="G196" s="101">
        <v>0</v>
      </c>
      <c r="H196" s="101">
        <v>0</v>
      </c>
      <c r="I196" s="101">
        <v>0</v>
      </c>
      <c r="J196" s="101">
        <v>0</v>
      </c>
      <c r="K196" s="101">
        <v>0</v>
      </c>
      <c r="L196" s="101">
        <v>0</v>
      </c>
      <c r="M196" s="101">
        <v>0</v>
      </c>
      <c r="N196" s="101">
        <v>0</v>
      </c>
      <c r="O196" s="101">
        <v>0</v>
      </c>
      <c r="P196" s="101">
        <v>0</v>
      </c>
      <c r="Q196" s="101">
        <v>0</v>
      </c>
      <c r="R196" s="101">
        <v>0</v>
      </c>
      <c r="S196" s="101">
        <v>0</v>
      </c>
      <c r="T196" s="101">
        <v>0.20200000000000001</v>
      </c>
      <c r="U196" s="101">
        <v>0</v>
      </c>
      <c r="V196" s="101">
        <v>0</v>
      </c>
      <c r="W196" s="101">
        <v>0</v>
      </c>
      <c r="X196" s="103">
        <f t="shared" si="8"/>
        <v>0.20200000000000001</v>
      </c>
      <c r="AA196" s="101">
        <f>$AF$9*$X197</f>
        <v>4.6027916055109861</v>
      </c>
    </row>
    <row r="197" spans="1:28">
      <c r="A197" s="99" t="s">
        <v>219</v>
      </c>
      <c r="B197" s="99" t="s">
        <v>207</v>
      </c>
      <c r="C197" s="101">
        <v>0</v>
      </c>
      <c r="D197" s="101">
        <v>0</v>
      </c>
      <c r="E197" s="101">
        <v>0</v>
      </c>
      <c r="F197" s="101">
        <v>0</v>
      </c>
      <c r="G197" s="101">
        <v>0</v>
      </c>
      <c r="H197" s="101">
        <v>0</v>
      </c>
      <c r="I197" s="101">
        <v>0</v>
      </c>
      <c r="J197" s="101">
        <v>0</v>
      </c>
      <c r="K197" s="101">
        <v>0</v>
      </c>
      <c r="L197" s="101">
        <v>0</v>
      </c>
      <c r="M197" s="101">
        <v>0</v>
      </c>
      <c r="N197" s="101">
        <v>0</v>
      </c>
      <c r="O197" s="101">
        <v>2.9000000000000001E-2</v>
      </c>
      <c r="P197" s="101">
        <v>0</v>
      </c>
      <c r="Q197" s="101">
        <v>0</v>
      </c>
      <c r="R197" s="101">
        <v>0</v>
      </c>
      <c r="S197" s="101">
        <v>0</v>
      </c>
      <c r="T197" s="101">
        <v>0.437</v>
      </c>
      <c r="U197" s="101">
        <v>0</v>
      </c>
      <c r="V197" s="101">
        <v>0</v>
      </c>
      <c r="W197" s="101">
        <v>0</v>
      </c>
      <c r="X197" s="103">
        <f t="shared" si="8"/>
        <v>0.46600000000000003</v>
      </c>
      <c r="AA197" s="101">
        <f>$AF$10*$X202</f>
        <v>2.1184154877911947</v>
      </c>
    </row>
    <row r="198" spans="1:28">
      <c r="A198" s="99" t="s">
        <v>219</v>
      </c>
      <c r="B198" s="99" t="s">
        <v>208</v>
      </c>
      <c r="C198" s="101">
        <v>0.68200000000000005</v>
      </c>
      <c r="D198" s="101">
        <v>0</v>
      </c>
      <c r="E198" s="101">
        <v>0</v>
      </c>
      <c r="F198" s="101">
        <v>0</v>
      </c>
      <c r="G198" s="101">
        <v>0</v>
      </c>
      <c r="H198" s="101">
        <v>0</v>
      </c>
      <c r="I198" s="101">
        <v>0</v>
      </c>
      <c r="J198" s="101">
        <v>0</v>
      </c>
      <c r="K198" s="101">
        <v>0.25600000000000001</v>
      </c>
      <c r="L198" s="101">
        <v>0.04</v>
      </c>
      <c r="M198" s="101">
        <v>0.65600000000000003</v>
      </c>
      <c r="N198" s="101">
        <v>0</v>
      </c>
      <c r="O198" s="101">
        <v>9.5000000000000001E-2</v>
      </c>
      <c r="P198" s="101">
        <v>0</v>
      </c>
      <c r="Q198" s="101">
        <v>0</v>
      </c>
      <c r="R198" s="101">
        <v>0</v>
      </c>
      <c r="S198" s="101">
        <v>0.183</v>
      </c>
      <c r="T198" s="101">
        <v>2.3809999999999998</v>
      </c>
      <c r="U198" s="101">
        <v>0</v>
      </c>
      <c r="V198" s="101">
        <v>0</v>
      </c>
      <c r="W198" s="101">
        <v>0</v>
      </c>
      <c r="X198" s="103">
        <f t="shared" si="8"/>
        <v>4.2930000000000001</v>
      </c>
      <c r="AA198" s="101">
        <f>$AF$11*(X196+X198+$X199+X200+X201+X203+X204)</f>
        <v>27.179187837091821</v>
      </c>
    </row>
    <row r="199" spans="1:28">
      <c r="A199" s="99" t="s">
        <v>219</v>
      </c>
      <c r="B199" s="99" t="s">
        <v>209</v>
      </c>
      <c r="C199" s="101">
        <v>2.5999999999999999E-2</v>
      </c>
      <c r="D199" s="101">
        <v>0</v>
      </c>
      <c r="E199" s="101">
        <v>0</v>
      </c>
      <c r="F199" s="101">
        <v>0</v>
      </c>
      <c r="G199" s="101">
        <v>0</v>
      </c>
      <c r="H199" s="101">
        <v>0</v>
      </c>
      <c r="I199" s="101">
        <v>0</v>
      </c>
      <c r="J199" s="101">
        <v>0</v>
      </c>
      <c r="K199" s="101">
        <v>4.2999999999999997E-2</v>
      </c>
      <c r="L199" s="101">
        <v>0</v>
      </c>
      <c r="M199" s="101">
        <v>0</v>
      </c>
      <c r="N199" s="101">
        <v>0</v>
      </c>
      <c r="O199" s="101">
        <v>7.0000000000000001E-3</v>
      </c>
      <c r="P199" s="101">
        <v>0</v>
      </c>
      <c r="Q199" s="101">
        <v>0</v>
      </c>
      <c r="R199" s="101">
        <v>0</v>
      </c>
      <c r="S199" s="101">
        <v>0</v>
      </c>
      <c r="T199" s="101">
        <v>3.3000000000000002E-2</v>
      </c>
      <c r="U199" s="101">
        <v>0</v>
      </c>
      <c r="V199" s="101">
        <v>0</v>
      </c>
      <c r="W199" s="101">
        <v>0</v>
      </c>
      <c r="X199" s="103">
        <f t="shared" si="8"/>
        <v>0.109</v>
      </c>
    </row>
    <row r="200" spans="1:28">
      <c r="A200" s="99" t="s">
        <v>219</v>
      </c>
      <c r="B200" s="99" t="s">
        <v>210</v>
      </c>
      <c r="C200" s="101">
        <v>0.105</v>
      </c>
      <c r="D200" s="101">
        <v>2.9000000000000001E-2</v>
      </c>
      <c r="E200" s="101">
        <v>0</v>
      </c>
      <c r="F200" s="101">
        <v>0</v>
      </c>
      <c r="G200" s="101">
        <v>0</v>
      </c>
      <c r="H200" s="101">
        <v>4.5999999999999999E-2</v>
      </c>
      <c r="I200" s="101">
        <v>0</v>
      </c>
      <c r="J200" s="101">
        <v>0</v>
      </c>
      <c r="K200" s="101">
        <v>0.29799999999999999</v>
      </c>
      <c r="L200" s="101">
        <v>0.36</v>
      </c>
      <c r="M200" s="101">
        <v>0.2</v>
      </c>
      <c r="N200" s="101">
        <v>0</v>
      </c>
      <c r="O200" s="101">
        <v>1.0029999999999999</v>
      </c>
      <c r="P200" s="101">
        <v>0</v>
      </c>
      <c r="Q200" s="101">
        <v>0</v>
      </c>
      <c r="R200" s="101">
        <v>0</v>
      </c>
      <c r="S200" s="101">
        <v>0</v>
      </c>
      <c r="T200" s="101">
        <v>2.6840000000000002</v>
      </c>
      <c r="U200" s="101">
        <v>0</v>
      </c>
      <c r="V200" s="101">
        <v>0</v>
      </c>
      <c r="W200" s="101">
        <v>0</v>
      </c>
      <c r="X200" s="103">
        <f t="shared" si="8"/>
        <v>4.7249999999999996</v>
      </c>
    </row>
    <row r="201" spans="1:28">
      <c r="A201" s="99" t="s">
        <v>219</v>
      </c>
      <c r="B201" s="99" t="s">
        <v>211</v>
      </c>
      <c r="C201" s="101">
        <v>2.5999999999999999E-2</v>
      </c>
      <c r="D201" s="101">
        <v>0</v>
      </c>
      <c r="E201" s="101">
        <v>0</v>
      </c>
      <c r="F201" s="101">
        <v>0</v>
      </c>
      <c r="G201" s="101">
        <v>0</v>
      </c>
      <c r="H201" s="101">
        <v>0</v>
      </c>
      <c r="I201" s="101">
        <v>0</v>
      </c>
      <c r="J201" s="101">
        <v>0</v>
      </c>
      <c r="K201" s="101">
        <v>0</v>
      </c>
      <c r="L201" s="101">
        <v>0</v>
      </c>
      <c r="M201" s="101">
        <v>0</v>
      </c>
      <c r="N201" s="101">
        <v>0</v>
      </c>
      <c r="O201" s="101">
        <v>4.5999999999999999E-2</v>
      </c>
      <c r="P201" s="101">
        <v>0</v>
      </c>
      <c r="Q201" s="101">
        <v>0</v>
      </c>
      <c r="R201" s="101">
        <v>0</v>
      </c>
      <c r="S201" s="101">
        <v>0</v>
      </c>
      <c r="T201" s="101">
        <v>0.77100000000000002</v>
      </c>
      <c r="U201" s="101">
        <v>0</v>
      </c>
      <c r="V201" s="101">
        <v>0</v>
      </c>
      <c r="W201" s="101">
        <v>0</v>
      </c>
      <c r="X201" s="103">
        <f t="shared" si="8"/>
        <v>0.84299999999999997</v>
      </c>
    </row>
    <row r="202" spans="1:28">
      <c r="A202" s="99" t="s">
        <v>219</v>
      </c>
      <c r="B202" s="99" t="s">
        <v>212</v>
      </c>
      <c r="C202" s="101">
        <v>2.5999999999999999E-2</v>
      </c>
      <c r="D202" s="101">
        <v>0</v>
      </c>
      <c r="E202" s="101">
        <v>0</v>
      </c>
      <c r="F202" s="101">
        <v>0</v>
      </c>
      <c r="G202" s="101">
        <v>0</v>
      </c>
      <c r="H202" s="101">
        <v>0</v>
      </c>
      <c r="I202" s="101">
        <v>0</v>
      </c>
      <c r="J202" s="101">
        <v>0</v>
      </c>
      <c r="K202" s="101">
        <v>0</v>
      </c>
      <c r="L202" s="101">
        <v>0</v>
      </c>
      <c r="M202" s="101">
        <v>0</v>
      </c>
      <c r="N202" s="101">
        <v>0</v>
      </c>
      <c r="O202" s="101">
        <v>2.7E-2</v>
      </c>
      <c r="P202" s="101">
        <v>0</v>
      </c>
      <c r="Q202" s="101">
        <v>0</v>
      </c>
      <c r="R202" s="101">
        <v>0</v>
      </c>
      <c r="S202" s="101">
        <v>0</v>
      </c>
      <c r="T202" s="101">
        <v>0.20200000000000001</v>
      </c>
      <c r="U202" s="101">
        <v>0</v>
      </c>
      <c r="V202" s="101">
        <v>0</v>
      </c>
      <c r="W202" s="101">
        <v>0</v>
      </c>
      <c r="X202" s="103">
        <f t="shared" si="8"/>
        <v>0.255</v>
      </c>
    </row>
    <row r="203" spans="1:28">
      <c r="A203" s="99" t="s">
        <v>219</v>
      </c>
      <c r="B203" s="99" t="s">
        <v>213</v>
      </c>
      <c r="C203" s="101">
        <v>2.5999999999999999E-2</v>
      </c>
      <c r="D203" s="101">
        <v>0</v>
      </c>
      <c r="E203" s="101">
        <v>0</v>
      </c>
      <c r="F203" s="101">
        <v>0</v>
      </c>
      <c r="G203" s="101">
        <v>0</v>
      </c>
      <c r="H203" s="101">
        <v>4.5999999999999999E-2</v>
      </c>
      <c r="I203" s="101">
        <v>0</v>
      </c>
      <c r="J203" s="101">
        <v>0</v>
      </c>
      <c r="K203" s="101">
        <v>4.2999999999999997E-2</v>
      </c>
      <c r="L203" s="101">
        <v>0.04</v>
      </c>
      <c r="M203" s="101">
        <v>0</v>
      </c>
      <c r="N203" s="101">
        <v>0</v>
      </c>
      <c r="O203" s="101">
        <v>0.1</v>
      </c>
      <c r="P203" s="101">
        <v>0</v>
      </c>
      <c r="Q203" s="101">
        <v>0</v>
      </c>
      <c r="R203" s="101">
        <v>0</v>
      </c>
      <c r="S203" s="101">
        <v>0</v>
      </c>
      <c r="T203" s="101">
        <v>0.436</v>
      </c>
      <c r="U203" s="101">
        <v>0</v>
      </c>
      <c r="V203" s="101">
        <v>0</v>
      </c>
      <c r="W203" s="101">
        <v>0</v>
      </c>
      <c r="X203" s="103">
        <f t="shared" si="8"/>
        <v>0.69100000000000006</v>
      </c>
    </row>
    <row r="204" spans="1:28">
      <c r="A204" s="99" t="s">
        <v>219</v>
      </c>
      <c r="B204" s="99" t="s">
        <v>214</v>
      </c>
      <c r="C204" s="101">
        <v>2.5999999999999999E-2</v>
      </c>
      <c r="D204" s="101">
        <v>0</v>
      </c>
      <c r="E204" s="101">
        <v>0</v>
      </c>
      <c r="F204" s="101">
        <v>0</v>
      </c>
      <c r="G204" s="101">
        <v>0</v>
      </c>
      <c r="H204" s="101">
        <v>0</v>
      </c>
      <c r="I204" s="101">
        <v>8.7999999999999995E-2</v>
      </c>
      <c r="J204" s="101">
        <v>0</v>
      </c>
      <c r="K204" s="101">
        <v>0.72399999999999998</v>
      </c>
      <c r="L204" s="101">
        <v>0.04</v>
      </c>
      <c r="M204" s="101">
        <v>0.04</v>
      </c>
      <c r="N204" s="101">
        <v>0</v>
      </c>
      <c r="O204" s="101">
        <v>3.8929999999999998</v>
      </c>
      <c r="P204" s="101">
        <v>0</v>
      </c>
      <c r="Q204" s="101">
        <v>0</v>
      </c>
      <c r="R204" s="101">
        <v>0</v>
      </c>
      <c r="S204" s="101">
        <v>0</v>
      </c>
      <c r="T204" s="101">
        <v>1.073</v>
      </c>
      <c r="U204" s="101">
        <v>0</v>
      </c>
      <c r="V204" s="101">
        <v>0</v>
      </c>
      <c r="W204" s="101">
        <v>0</v>
      </c>
      <c r="X204" s="103">
        <f t="shared" si="8"/>
        <v>5.8840000000000003</v>
      </c>
      <c r="Y204" s="103"/>
    </row>
    <row r="205" spans="1:28">
      <c r="A205" s="99" t="s">
        <v>190</v>
      </c>
      <c r="B205" s="99" t="s">
        <v>204</v>
      </c>
      <c r="C205" s="101">
        <v>0</v>
      </c>
      <c r="D205" s="101">
        <v>0</v>
      </c>
      <c r="E205" s="101">
        <v>0</v>
      </c>
      <c r="F205" s="101">
        <v>0</v>
      </c>
      <c r="G205" s="101">
        <v>0</v>
      </c>
      <c r="H205" s="101">
        <v>0</v>
      </c>
      <c r="I205" s="101">
        <v>0</v>
      </c>
      <c r="J205" s="101">
        <v>0</v>
      </c>
      <c r="K205" s="101">
        <v>0</v>
      </c>
      <c r="L205" s="101">
        <v>0</v>
      </c>
      <c r="M205" s="101">
        <v>0</v>
      </c>
      <c r="N205" s="101">
        <v>0</v>
      </c>
      <c r="O205" s="101">
        <v>0</v>
      </c>
      <c r="P205" s="101">
        <v>0</v>
      </c>
      <c r="Q205" s="101">
        <v>0</v>
      </c>
      <c r="R205" s="101">
        <v>0</v>
      </c>
      <c r="S205" s="101">
        <v>0</v>
      </c>
      <c r="T205" s="101">
        <v>0</v>
      </c>
      <c r="U205" s="101">
        <v>0</v>
      </c>
      <c r="V205" s="101">
        <v>0</v>
      </c>
      <c r="W205" s="101">
        <v>0</v>
      </c>
      <c r="X205" s="103">
        <f t="shared" si="7"/>
        <v>0</v>
      </c>
      <c r="Y205" s="103">
        <f>SUM(X205:X215)</f>
        <v>0</v>
      </c>
      <c r="Z205" s="98" t="s">
        <v>54</v>
      </c>
      <c r="AA205" s="101">
        <f>$AF$7*$X205</f>
        <v>0</v>
      </c>
      <c r="AB205" s="98"/>
    </row>
    <row r="206" spans="1:28">
      <c r="A206" s="99" t="s">
        <v>190</v>
      </c>
      <c r="B206" s="99" t="s">
        <v>205</v>
      </c>
      <c r="C206" s="101">
        <v>0</v>
      </c>
      <c r="D206" s="101">
        <v>0</v>
      </c>
      <c r="E206" s="101">
        <v>0</v>
      </c>
      <c r="F206" s="101">
        <v>0</v>
      </c>
      <c r="G206" s="101">
        <v>0</v>
      </c>
      <c r="H206" s="101">
        <v>0</v>
      </c>
      <c r="I206" s="101">
        <v>0</v>
      </c>
      <c r="J206" s="101">
        <v>0</v>
      </c>
      <c r="K206" s="101">
        <v>0</v>
      </c>
      <c r="L206" s="101">
        <v>0</v>
      </c>
      <c r="M206" s="101">
        <v>0</v>
      </c>
      <c r="N206" s="101">
        <v>0</v>
      </c>
      <c r="O206" s="101">
        <v>0</v>
      </c>
      <c r="P206" s="101">
        <v>0</v>
      </c>
      <c r="Q206" s="101">
        <v>0</v>
      </c>
      <c r="R206" s="101">
        <v>0</v>
      </c>
      <c r="S206" s="101">
        <v>0</v>
      </c>
      <c r="T206" s="101">
        <v>0</v>
      </c>
      <c r="U206" s="101">
        <v>0</v>
      </c>
      <c r="V206" s="101">
        <v>0</v>
      </c>
      <c r="W206" s="101">
        <v>0</v>
      </c>
      <c r="X206" s="103">
        <f t="shared" si="7"/>
        <v>0</v>
      </c>
      <c r="AA206" s="101">
        <f>$AF$8*$X206</f>
        <v>0</v>
      </c>
    </row>
    <row r="207" spans="1:28">
      <c r="A207" s="99" t="s">
        <v>190</v>
      </c>
      <c r="B207" s="99" t="s">
        <v>206</v>
      </c>
      <c r="C207" s="101">
        <v>0</v>
      </c>
      <c r="D207" s="101">
        <v>0</v>
      </c>
      <c r="E207" s="101">
        <v>0</v>
      </c>
      <c r="F207" s="101">
        <v>0</v>
      </c>
      <c r="G207" s="101">
        <v>0</v>
      </c>
      <c r="H207" s="101">
        <v>0</v>
      </c>
      <c r="I207" s="101">
        <v>0</v>
      </c>
      <c r="J207" s="101">
        <v>0</v>
      </c>
      <c r="K207" s="101">
        <v>0</v>
      </c>
      <c r="L207" s="101">
        <v>0</v>
      </c>
      <c r="M207" s="101">
        <v>0</v>
      </c>
      <c r="N207" s="101">
        <v>0</v>
      </c>
      <c r="O207" s="101">
        <v>0</v>
      </c>
      <c r="P207" s="101">
        <v>0</v>
      </c>
      <c r="Q207" s="101">
        <v>0</v>
      </c>
      <c r="R207" s="101">
        <v>0</v>
      </c>
      <c r="S207" s="101">
        <v>0</v>
      </c>
      <c r="T207" s="101">
        <v>0</v>
      </c>
      <c r="U207" s="101">
        <v>0</v>
      </c>
      <c r="V207" s="101">
        <v>0</v>
      </c>
      <c r="W207" s="101">
        <v>0</v>
      </c>
      <c r="X207" s="103">
        <f t="shared" si="7"/>
        <v>0</v>
      </c>
      <c r="AA207" s="101">
        <f>$AF$9*$X208</f>
        <v>0</v>
      </c>
    </row>
    <row r="208" spans="1:28">
      <c r="A208" s="99" t="s">
        <v>190</v>
      </c>
      <c r="B208" s="99" t="s">
        <v>207</v>
      </c>
      <c r="C208" s="101">
        <v>0</v>
      </c>
      <c r="D208" s="101">
        <v>0</v>
      </c>
      <c r="E208" s="101">
        <v>0</v>
      </c>
      <c r="F208" s="101">
        <v>0</v>
      </c>
      <c r="G208" s="101">
        <v>0</v>
      </c>
      <c r="H208" s="101">
        <v>0</v>
      </c>
      <c r="I208" s="101">
        <v>0</v>
      </c>
      <c r="J208" s="101">
        <v>0</v>
      </c>
      <c r="K208" s="101">
        <v>0</v>
      </c>
      <c r="L208" s="101">
        <v>0</v>
      </c>
      <c r="M208" s="101">
        <v>0</v>
      </c>
      <c r="N208" s="101">
        <v>0</v>
      </c>
      <c r="O208" s="101">
        <v>0</v>
      </c>
      <c r="P208" s="101">
        <v>0</v>
      </c>
      <c r="Q208" s="101">
        <v>0</v>
      </c>
      <c r="R208" s="101">
        <v>0</v>
      </c>
      <c r="S208" s="101">
        <v>0</v>
      </c>
      <c r="T208" s="101">
        <v>0</v>
      </c>
      <c r="U208" s="101">
        <v>0</v>
      </c>
      <c r="V208" s="101">
        <v>0</v>
      </c>
      <c r="W208" s="101">
        <v>0</v>
      </c>
      <c r="X208" s="103">
        <f t="shared" si="7"/>
        <v>0</v>
      </c>
      <c r="AA208" s="101">
        <f>$AF$10*$X213</f>
        <v>0</v>
      </c>
    </row>
    <row r="209" spans="1:28">
      <c r="A209" s="99" t="s">
        <v>190</v>
      </c>
      <c r="B209" s="99" t="s">
        <v>208</v>
      </c>
      <c r="C209" s="101">
        <v>0</v>
      </c>
      <c r="D209" s="101">
        <v>0</v>
      </c>
      <c r="E209" s="101">
        <v>0</v>
      </c>
      <c r="F209" s="101">
        <v>0</v>
      </c>
      <c r="G209" s="101">
        <v>0</v>
      </c>
      <c r="H209" s="101">
        <v>0</v>
      </c>
      <c r="I209" s="101">
        <v>0</v>
      </c>
      <c r="J209" s="101">
        <v>0</v>
      </c>
      <c r="K209" s="101">
        <v>0</v>
      </c>
      <c r="L209" s="101">
        <v>0</v>
      </c>
      <c r="M209" s="101">
        <v>0</v>
      </c>
      <c r="N209" s="101">
        <v>0</v>
      </c>
      <c r="O209" s="101">
        <v>0</v>
      </c>
      <c r="P209" s="101">
        <v>0</v>
      </c>
      <c r="Q209" s="101">
        <v>0</v>
      </c>
      <c r="R209" s="101">
        <v>0</v>
      </c>
      <c r="S209" s="101">
        <v>0</v>
      </c>
      <c r="T209" s="101">
        <v>0</v>
      </c>
      <c r="U209" s="101">
        <v>0</v>
      </c>
      <c r="V209" s="101">
        <v>0</v>
      </c>
      <c r="W209" s="101">
        <v>0</v>
      </c>
      <c r="X209" s="103">
        <f t="shared" si="7"/>
        <v>0</v>
      </c>
      <c r="AA209" s="101">
        <f>$AF$11*(X207+X209+$X210+X211+X212+X214+X215)</f>
        <v>0</v>
      </c>
    </row>
    <row r="210" spans="1:28">
      <c r="A210" s="99" t="s">
        <v>190</v>
      </c>
      <c r="B210" s="99" t="s">
        <v>209</v>
      </c>
      <c r="C210" s="101">
        <v>0</v>
      </c>
      <c r="D210" s="101">
        <v>0</v>
      </c>
      <c r="E210" s="101">
        <v>0</v>
      </c>
      <c r="F210" s="101">
        <v>0</v>
      </c>
      <c r="G210" s="101">
        <v>0</v>
      </c>
      <c r="H210" s="101">
        <v>0</v>
      </c>
      <c r="I210" s="101">
        <v>0</v>
      </c>
      <c r="J210" s="101">
        <v>0</v>
      </c>
      <c r="K210" s="101">
        <v>0</v>
      </c>
      <c r="L210" s="101">
        <v>0</v>
      </c>
      <c r="M210" s="101">
        <v>0</v>
      </c>
      <c r="N210" s="101">
        <v>0</v>
      </c>
      <c r="O210" s="101">
        <v>0</v>
      </c>
      <c r="P210" s="101">
        <v>0</v>
      </c>
      <c r="Q210" s="101">
        <v>0</v>
      </c>
      <c r="R210" s="101">
        <v>0</v>
      </c>
      <c r="S210" s="101">
        <v>0</v>
      </c>
      <c r="T210" s="101">
        <v>0</v>
      </c>
      <c r="U210" s="101">
        <v>0</v>
      </c>
      <c r="V210" s="101">
        <v>0</v>
      </c>
      <c r="W210" s="101">
        <v>0</v>
      </c>
      <c r="X210" s="103">
        <f t="shared" si="7"/>
        <v>0</v>
      </c>
    </row>
    <row r="211" spans="1:28">
      <c r="A211" s="99" t="s">
        <v>190</v>
      </c>
      <c r="B211" s="99" t="s">
        <v>210</v>
      </c>
      <c r="C211" s="101">
        <v>0</v>
      </c>
      <c r="D211" s="101">
        <v>0</v>
      </c>
      <c r="E211" s="101">
        <v>0</v>
      </c>
      <c r="F211" s="101">
        <v>0</v>
      </c>
      <c r="G211" s="101">
        <v>0</v>
      </c>
      <c r="H211" s="101">
        <v>0</v>
      </c>
      <c r="I211" s="101">
        <v>0</v>
      </c>
      <c r="J211" s="101">
        <v>0</v>
      </c>
      <c r="K211" s="101">
        <v>0</v>
      </c>
      <c r="L211" s="101">
        <v>0</v>
      </c>
      <c r="M211" s="101">
        <v>0</v>
      </c>
      <c r="N211" s="101">
        <v>0</v>
      </c>
      <c r="O211" s="101">
        <v>0</v>
      </c>
      <c r="P211" s="101">
        <v>0</v>
      </c>
      <c r="Q211" s="101">
        <v>0</v>
      </c>
      <c r="R211" s="101">
        <v>0</v>
      </c>
      <c r="S211" s="101">
        <v>0</v>
      </c>
      <c r="T211" s="101">
        <v>0</v>
      </c>
      <c r="U211" s="101">
        <v>0</v>
      </c>
      <c r="V211" s="101">
        <v>0</v>
      </c>
      <c r="W211" s="101">
        <v>0</v>
      </c>
      <c r="X211" s="103">
        <f t="shared" si="7"/>
        <v>0</v>
      </c>
    </row>
    <row r="212" spans="1:28">
      <c r="A212" s="99" t="s">
        <v>190</v>
      </c>
      <c r="B212" s="99" t="s">
        <v>211</v>
      </c>
      <c r="C212" s="101">
        <v>0</v>
      </c>
      <c r="D212" s="101">
        <v>0</v>
      </c>
      <c r="E212" s="101">
        <v>0</v>
      </c>
      <c r="F212" s="101">
        <v>0</v>
      </c>
      <c r="G212" s="101">
        <v>0</v>
      </c>
      <c r="H212" s="101">
        <v>0</v>
      </c>
      <c r="I212" s="101">
        <v>0</v>
      </c>
      <c r="J212" s="101">
        <v>0</v>
      </c>
      <c r="K212" s="101">
        <v>0</v>
      </c>
      <c r="L212" s="101">
        <v>0</v>
      </c>
      <c r="M212" s="101">
        <v>0</v>
      </c>
      <c r="N212" s="101">
        <v>0</v>
      </c>
      <c r="O212" s="101">
        <v>0</v>
      </c>
      <c r="P212" s="101">
        <v>0</v>
      </c>
      <c r="Q212" s="101">
        <v>0</v>
      </c>
      <c r="R212" s="101">
        <v>0</v>
      </c>
      <c r="S212" s="101">
        <v>0</v>
      </c>
      <c r="T212" s="101">
        <v>0</v>
      </c>
      <c r="U212" s="101">
        <v>0</v>
      </c>
      <c r="V212" s="101">
        <v>0</v>
      </c>
      <c r="W212" s="101">
        <v>0</v>
      </c>
      <c r="X212" s="103">
        <f t="shared" si="7"/>
        <v>0</v>
      </c>
    </row>
    <row r="213" spans="1:28">
      <c r="A213" s="99" t="s">
        <v>190</v>
      </c>
      <c r="B213" s="99" t="s">
        <v>212</v>
      </c>
      <c r="C213" s="101">
        <v>0</v>
      </c>
      <c r="D213" s="101">
        <v>0</v>
      </c>
      <c r="E213" s="101">
        <v>0</v>
      </c>
      <c r="F213" s="101">
        <v>0</v>
      </c>
      <c r="G213" s="101">
        <v>0</v>
      </c>
      <c r="H213" s="101">
        <v>0</v>
      </c>
      <c r="I213" s="101">
        <v>0</v>
      </c>
      <c r="J213" s="101">
        <v>0</v>
      </c>
      <c r="K213" s="101">
        <v>0</v>
      </c>
      <c r="L213" s="101">
        <v>0</v>
      </c>
      <c r="M213" s="101">
        <v>0</v>
      </c>
      <c r="N213" s="101">
        <v>0</v>
      </c>
      <c r="O213" s="101">
        <v>0</v>
      </c>
      <c r="P213" s="101">
        <v>0</v>
      </c>
      <c r="Q213" s="101">
        <v>0</v>
      </c>
      <c r="R213" s="101">
        <v>0</v>
      </c>
      <c r="S213" s="101">
        <v>0</v>
      </c>
      <c r="T213" s="101">
        <v>0</v>
      </c>
      <c r="U213" s="101">
        <v>0</v>
      </c>
      <c r="V213" s="101">
        <v>0</v>
      </c>
      <c r="W213" s="101">
        <v>0</v>
      </c>
      <c r="X213" s="103">
        <f t="shared" si="7"/>
        <v>0</v>
      </c>
    </row>
    <row r="214" spans="1:28">
      <c r="A214" s="99" t="s">
        <v>190</v>
      </c>
      <c r="B214" s="99" t="s">
        <v>213</v>
      </c>
      <c r="C214" s="101">
        <v>0</v>
      </c>
      <c r="D214" s="101">
        <v>0</v>
      </c>
      <c r="E214" s="101">
        <v>0</v>
      </c>
      <c r="F214" s="101">
        <v>0</v>
      </c>
      <c r="G214" s="101">
        <v>0</v>
      </c>
      <c r="H214" s="101">
        <v>0</v>
      </c>
      <c r="I214" s="101">
        <v>0</v>
      </c>
      <c r="J214" s="101">
        <v>0</v>
      </c>
      <c r="K214" s="101">
        <v>0</v>
      </c>
      <c r="L214" s="101">
        <v>0</v>
      </c>
      <c r="M214" s="101">
        <v>0</v>
      </c>
      <c r="N214" s="101">
        <v>0</v>
      </c>
      <c r="O214" s="101">
        <v>0</v>
      </c>
      <c r="P214" s="101">
        <v>0</v>
      </c>
      <c r="Q214" s="101">
        <v>0</v>
      </c>
      <c r="R214" s="101">
        <v>0</v>
      </c>
      <c r="S214" s="101">
        <v>0</v>
      </c>
      <c r="T214" s="101">
        <v>0</v>
      </c>
      <c r="U214" s="101">
        <v>0</v>
      </c>
      <c r="V214" s="101">
        <v>0</v>
      </c>
      <c r="W214" s="101">
        <v>0</v>
      </c>
      <c r="X214" s="103">
        <f t="shared" si="7"/>
        <v>0</v>
      </c>
    </row>
    <row r="215" spans="1:28">
      <c r="A215" s="99" t="s">
        <v>190</v>
      </c>
      <c r="B215" s="99" t="s">
        <v>214</v>
      </c>
      <c r="C215" s="101">
        <v>0</v>
      </c>
      <c r="D215" s="101">
        <v>0</v>
      </c>
      <c r="E215" s="101">
        <v>0</v>
      </c>
      <c r="F215" s="101">
        <v>0</v>
      </c>
      <c r="G215" s="101">
        <v>0</v>
      </c>
      <c r="H215" s="101">
        <v>0</v>
      </c>
      <c r="I215" s="101">
        <v>0</v>
      </c>
      <c r="J215" s="101">
        <v>0</v>
      </c>
      <c r="K215" s="101">
        <v>0</v>
      </c>
      <c r="L215" s="101">
        <v>0</v>
      </c>
      <c r="M215" s="101">
        <v>0</v>
      </c>
      <c r="N215" s="101">
        <v>0</v>
      </c>
      <c r="O215" s="101">
        <v>0</v>
      </c>
      <c r="P215" s="101">
        <v>0</v>
      </c>
      <c r="Q215" s="101">
        <v>0</v>
      </c>
      <c r="R215" s="101">
        <v>0</v>
      </c>
      <c r="S215" s="101">
        <v>0</v>
      </c>
      <c r="T215" s="101">
        <v>0</v>
      </c>
      <c r="U215" s="101">
        <v>0</v>
      </c>
      <c r="V215" s="101">
        <v>0</v>
      </c>
      <c r="W215" s="101">
        <v>0</v>
      </c>
      <c r="X215" s="103">
        <f t="shared" si="7"/>
        <v>0</v>
      </c>
      <c r="Y215" s="103"/>
    </row>
    <row r="216" spans="1:28">
      <c r="A216" s="99" t="s">
        <v>191</v>
      </c>
      <c r="B216" s="99" t="s">
        <v>204</v>
      </c>
      <c r="C216" s="101">
        <v>0</v>
      </c>
      <c r="D216" s="101">
        <v>0</v>
      </c>
      <c r="E216" s="101">
        <v>0</v>
      </c>
      <c r="F216" s="101">
        <v>0</v>
      </c>
      <c r="G216" s="101">
        <v>138.798</v>
      </c>
      <c r="H216" s="101">
        <v>4.5999999999999999E-2</v>
      </c>
      <c r="I216" s="101">
        <v>0</v>
      </c>
      <c r="J216" s="101">
        <v>0</v>
      </c>
      <c r="K216" s="101">
        <v>0</v>
      </c>
      <c r="L216" s="101">
        <v>7.56</v>
      </c>
      <c r="M216" s="101">
        <v>19.88</v>
      </c>
      <c r="N216" s="101">
        <v>0</v>
      </c>
      <c r="O216" s="101">
        <v>0</v>
      </c>
      <c r="P216" s="101">
        <v>0</v>
      </c>
      <c r="Q216" s="101">
        <v>0</v>
      </c>
      <c r="R216" s="101">
        <v>0</v>
      </c>
      <c r="S216" s="101">
        <v>0</v>
      </c>
      <c r="T216" s="101">
        <v>31.56</v>
      </c>
      <c r="U216" s="101">
        <v>0</v>
      </c>
      <c r="V216" s="101">
        <v>0</v>
      </c>
      <c r="W216" s="101">
        <v>0</v>
      </c>
      <c r="X216" s="103">
        <f t="shared" si="7"/>
        <v>197.84399999999999</v>
      </c>
      <c r="Y216" s="103">
        <f>SUM(X216:X226)</f>
        <v>588.20300000000009</v>
      </c>
      <c r="Z216" s="98" t="s">
        <v>55</v>
      </c>
      <c r="AA216" s="101">
        <f>$AF$7*$X216</f>
        <v>475.34612933092319</v>
      </c>
      <c r="AB216" s="98"/>
    </row>
    <row r="217" spans="1:28">
      <c r="A217" s="99" t="s">
        <v>191</v>
      </c>
      <c r="B217" s="99" t="s">
        <v>205</v>
      </c>
      <c r="C217" s="101">
        <v>43.783999999999999</v>
      </c>
      <c r="D217" s="101">
        <v>16.103000000000002</v>
      </c>
      <c r="E217" s="101">
        <v>0</v>
      </c>
      <c r="F217" s="101">
        <v>0</v>
      </c>
      <c r="G217" s="101">
        <v>0</v>
      </c>
      <c r="H217" s="101">
        <v>4.5999999999999999E-2</v>
      </c>
      <c r="I217" s="101">
        <v>0</v>
      </c>
      <c r="J217" s="101">
        <v>0</v>
      </c>
      <c r="K217" s="101">
        <v>0.128</v>
      </c>
      <c r="L217" s="101">
        <v>0</v>
      </c>
      <c r="M217" s="101">
        <v>0</v>
      </c>
      <c r="N217" s="101">
        <v>0</v>
      </c>
      <c r="O217" s="101">
        <v>0</v>
      </c>
      <c r="P217" s="101">
        <v>0</v>
      </c>
      <c r="Q217" s="101">
        <v>0</v>
      </c>
      <c r="R217" s="101">
        <v>0</v>
      </c>
      <c r="S217" s="101">
        <v>0</v>
      </c>
      <c r="T217" s="101">
        <v>12.254</v>
      </c>
      <c r="U217" s="101">
        <v>8.1720000000000006</v>
      </c>
      <c r="V217" s="101">
        <v>12.385999999999999</v>
      </c>
      <c r="W217" s="101">
        <v>0</v>
      </c>
      <c r="X217" s="103">
        <f t="shared" si="7"/>
        <v>92.87299999999999</v>
      </c>
      <c r="AA217" s="101">
        <f>$AF$8*$X217</f>
        <v>67.161162095340174</v>
      </c>
    </row>
    <row r="218" spans="1:28">
      <c r="A218" s="99" t="s">
        <v>191</v>
      </c>
      <c r="B218" s="99" t="s">
        <v>206</v>
      </c>
      <c r="C218" s="101">
        <v>0</v>
      </c>
      <c r="D218" s="101">
        <v>0</v>
      </c>
      <c r="E218" s="101">
        <v>0</v>
      </c>
      <c r="F218" s="101">
        <v>0</v>
      </c>
      <c r="G218" s="101">
        <v>0</v>
      </c>
      <c r="H218" s="101">
        <v>0</v>
      </c>
      <c r="I218" s="101">
        <v>0</v>
      </c>
      <c r="J218" s="101">
        <v>0</v>
      </c>
      <c r="K218" s="101">
        <v>0</v>
      </c>
      <c r="L218" s="101">
        <v>0</v>
      </c>
      <c r="M218" s="101">
        <v>0</v>
      </c>
      <c r="N218" s="101">
        <v>0</v>
      </c>
      <c r="O218" s="101">
        <v>0</v>
      </c>
      <c r="P218" s="101">
        <v>0</v>
      </c>
      <c r="Q218" s="101">
        <v>0</v>
      </c>
      <c r="R218" s="101">
        <v>0</v>
      </c>
      <c r="S218" s="101">
        <v>0</v>
      </c>
      <c r="T218" s="101">
        <v>4.0430000000000001</v>
      </c>
      <c r="U218" s="101">
        <v>0</v>
      </c>
      <c r="V218" s="101">
        <v>0</v>
      </c>
      <c r="W218" s="101">
        <v>0</v>
      </c>
      <c r="X218" s="103">
        <f t="shared" si="7"/>
        <v>4.0430000000000001</v>
      </c>
      <c r="AA218" s="101">
        <f>$AF$9*$X219</f>
        <v>1378.9805614347636</v>
      </c>
    </row>
    <row r="219" spans="1:28">
      <c r="A219" s="99" t="s">
        <v>191</v>
      </c>
      <c r="B219" s="99" t="s">
        <v>207</v>
      </c>
      <c r="C219" s="101">
        <v>0</v>
      </c>
      <c r="D219" s="101">
        <v>0</v>
      </c>
      <c r="E219" s="101">
        <v>0</v>
      </c>
      <c r="F219" s="101">
        <v>0</v>
      </c>
      <c r="G219" s="101">
        <v>53.51</v>
      </c>
      <c r="H219" s="101">
        <v>0</v>
      </c>
      <c r="I219" s="101">
        <v>0</v>
      </c>
      <c r="J219" s="101">
        <v>0.215</v>
      </c>
      <c r="K219" s="101">
        <v>8.5000000000000006E-2</v>
      </c>
      <c r="L219" s="101">
        <v>0</v>
      </c>
      <c r="M219" s="101">
        <v>0</v>
      </c>
      <c r="N219" s="101">
        <v>0</v>
      </c>
      <c r="O219" s="101">
        <v>0</v>
      </c>
      <c r="P219" s="101">
        <v>2.1000000000000001E-2</v>
      </c>
      <c r="Q219" s="101">
        <v>0</v>
      </c>
      <c r="R219" s="101">
        <v>0</v>
      </c>
      <c r="S219" s="101">
        <v>0</v>
      </c>
      <c r="T219" s="101">
        <v>85.781000000000006</v>
      </c>
      <c r="U219" s="101">
        <v>0</v>
      </c>
      <c r="V219" s="101">
        <v>0</v>
      </c>
      <c r="W219" s="101">
        <v>0</v>
      </c>
      <c r="X219" s="103">
        <f t="shared" si="7"/>
        <v>139.61200000000002</v>
      </c>
      <c r="AA219" s="101">
        <f>$AF$10*$X224</f>
        <v>164.7961099267213</v>
      </c>
    </row>
    <row r="220" spans="1:28">
      <c r="A220" s="99" t="s">
        <v>191</v>
      </c>
      <c r="B220" s="99" t="s">
        <v>208</v>
      </c>
      <c r="C220" s="101">
        <v>2.9000000000000001E-2</v>
      </c>
      <c r="D220" s="101">
        <v>0.94099999999999995</v>
      </c>
      <c r="E220" s="101">
        <v>0.48</v>
      </c>
      <c r="F220" s="101">
        <v>0</v>
      </c>
      <c r="G220" s="101">
        <v>0</v>
      </c>
      <c r="H220" s="101">
        <v>4.5999999999999999E-2</v>
      </c>
      <c r="I220" s="101">
        <v>0</v>
      </c>
      <c r="J220" s="101">
        <v>0</v>
      </c>
      <c r="K220" s="101">
        <v>0.17</v>
      </c>
      <c r="L220" s="101">
        <v>0.52</v>
      </c>
      <c r="M220" s="101">
        <v>0</v>
      </c>
      <c r="N220" s="101">
        <v>0</v>
      </c>
      <c r="O220" s="101">
        <v>0</v>
      </c>
      <c r="P220" s="101">
        <v>0</v>
      </c>
      <c r="Q220" s="101">
        <v>0</v>
      </c>
      <c r="R220" s="101">
        <v>0</v>
      </c>
      <c r="S220" s="101">
        <v>0</v>
      </c>
      <c r="T220" s="101">
        <v>23.234999999999999</v>
      </c>
      <c r="U220" s="101">
        <v>0</v>
      </c>
      <c r="V220" s="101">
        <v>0</v>
      </c>
      <c r="W220" s="101">
        <v>0</v>
      </c>
      <c r="X220" s="103">
        <f t="shared" si="7"/>
        <v>25.420999999999999</v>
      </c>
      <c r="AA220" s="101">
        <f>$AF$11*(X218+X220+$X221+X222+X223+X225+X226)</f>
        <v>224.02421636523812</v>
      </c>
    </row>
    <row r="221" spans="1:28">
      <c r="A221" s="99" t="s">
        <v>191</v>
      </c>
      <c r="B221" s="99" t="s">
        <v>209</v>
      </c>
      <c r="C221" s="101">
        <v>0</v>
      </c>
      <c r="D221" s="101">
        <v>0</v>
      </c>
      <c r="E221" s="101">
        <v>0.08</v>
      </c>
      <c r="F221" s="101">
        <v>0</v>
      </c>
      <c r="G221" s="101">
        <v>0</v>
      </c>
      <c r="H221" s="101">
        <v>0</v>
      </c>
      <c r="I221" s="101">
        <v>0</v>
      </c>
      <c r="J221" s="101">
        <v>0</v>
      </c>
      <c r="K221" s="101">
        <v>0.89500000000000002</v>
      </c>
      <c r="L221" s="101">
        <v>0</v>
      </c>
      <c r="M221" s="101">
        <v>0</v>
      </c>
      <c r="N221" s="101">
        <v>0</v>
      </c>
      <c r="O221" s="101">
        <v>0</v>
      </c>
      <c r="P221" s="101">
        <v>0</v>
      </c>
      <c r="Q221" s="101">
        <v>0</v>
      </c>
      <c r="R221" s="101">
        <v>0</v>
      </c>
      <c r="S221" s="101">
        <v>0</v>
      </c>
      <c r="T221" s="101">
        <v>4.5410000000000004</v>
      </c>
      <c r="U221" s="101">
        <v>0</v>
      </c>
      <c r="V221" s="101">
        <v>0</v>
      </c>
      <c r="W221" s="101">
        <v>0</v>
      </c>
      <c r="X221" s="103">
        <f t="shared" si="7"/>
        <v>5.516</v>
      </c>
    </row>
    <row r="222" spans="1:28">
      <c r="A222" s="99" t="s">
        <v>191</v>
      </c>
      <c r="B222" s="99" t="s">
        <v>210</v>
      </c>
      <c r="C222" s="101">
        <v>0.57099999999999995</v>
      </c>
      <c r="D222" s="101">
        <v>0</v>
      </c>
      <c r="E222" s="101">
        <v>0</v>
      </c>
      <c r="F222" s="101">
        <v>0</v>
      </c>
      <c r="G222" s="101">
        <v>0</v>
      </c>
      <c r="H222" s="101">
        <v>0</v>
      </c>
      <c r="I222" s="101">
        <v>0</v>
      </c>
      <c r="J222" s="101">
        <v>0</v>
      </c>
      <c r="K222" s="101">
        <v>0.46899999999999997</v>
      </c>
      <c r="L222" s="101">
        <v>0.2</v>
      </c>
      <c r="M222" s="101">
        <v>0</v>
      </c>
      <c r="N222" s="101">
        <v>0</v>
      </c>
      <c r="O222" s="101">
        <v>0</v>
      </c>
      <c r="P222" s="101">
        <v>0.78300000000000003</v>
      </c>
      <c r="Q222" s="101">
        <v>0</v>
      </c>
      <c r="R222" s="101">
        <v>0</v>
      </c>
      <c r="S222" s="101">
        <v>0</v>
      </c>
      <c r="T222" s="101">
        <v>58.963999999999999</v>
      </c>
      <c r="U222" s="101">
        <v>0</v>
      </c>
      <c r="V222" s="101">
        <v>0</v>
      </c>
      <c r="W222" s="101">
        <v>0</v>
      </c>
      <c r="X222" s="103">
        <f t="shared" si="7"/>
        <v>60.987000000000002</v>
      </c>
    </row>
    <row r="223" spans="1:28">
      <c r="A223" s="99" t="s">
        <v>191</v>
      </c>
      <c r="B223" s="99" t="s">
        <v>211</v>
      </c>
      <c r="C223" s="101">
        <v>5.8999999999999997E-2</v>
      </c>
      <c r="D223" s="101">
        <v>0</v>
      </c>
      <c r="E223" s="101">
        <v>0</v>
      </c>
      <c r="F223" s="101">
        <v>0</v>
      </c>
      <c r="G223" s="101">
        <v>0</v>
      </c>
      <c r="H223" s="101">
        <v>0</v>
      </c>
      <c r="I223" s="101">
        <v>0</v>
      </c>
      <c r="J223" s="101">
        <v>0</v>
      </c>
      <c r="K223" s="101">
        <v>0</v>
      </c>
      <c r="L223" s="101">
        <v>0</v>
      </c>
      <c r="M223" s="101">
        <v>0</v>
      </c>
      <c r="N223" s="101">
        <v>0</v>
      </c>
      <c r="O223" s="101">
        <v>0</v>
      </c>
      <c r="P223" s="101">
        <v>0</v>
      </c>
      <c r="Q223" s="101">
        <v>0</v>
      </c>
      <c r="R223" s="101">
        <v>0</v>
      </c>
      <c r="S223" s="101">
        <v>0</v>
      </c>
      <c r="T223" s="101">
        <v>3.532</v>
      </c>
      <c r="U223" s="101">
        <v>0</v>
      </c>
      <c r="V223" s="101">
        <v>0</v>
      </c>
      <c r="W223" s="101">
        <v>0</v>
      </c>
      <c r="X223" s="103">
        <f t="shared" si="7"/>
        <v>3.5910000000000002</v>
      </c>
    </row>
    <row r="224" spans="1:28">
      <c r="A224" s="99" t="s">
        <v>191</v>
      </c>
      <c r="B224" s="99" t="s">
        <v>212</v>
      </c>
      <c r="C224" s="101">
        <v>0</v>
      </c>
      <c r="D224" s="101">
        <v>0</v>
      </c>
      <c r="E224" s="101">
        <v>0</v>
      </c>
      <c r="F224" s="101">
        <v>0</v>
      </c>
      <c r="G224" s="101">
        <v>0</v>
      </c>
      <c r="H224" s="101">
        <v>0</v>
      </c>
      <c r="I224" s="101">
        <v>0</v>
      </c>
      <c r="J224" s="101">
        <v>0</v>
      </c>
      <c r="K224" s="101">
        <v>0</v>
      </c>
      <c r="L224" s="101">
        <v>0</v>
      </c>
      <c r="M224" s="101">
        <v>0</v>
      </c>
      <c r="N224" s="101">
        <v>0</v>
      </c>
      <c r="O224" s="101">
        <v>0</v>
      </c>
      <c r="P224" s="101">
        <v>0.17599999999999999</v>
      </c>
      <c r="Q224" s="101">
        <v>0</v>
      </c>
      <c r="R224" s="101">
        <v>0</v>
      </c>
      <c r="S224" s="101">
        <v>0</v>
      </c>
      <c r="T224" s="101">
        <v>19.661000000000001</v>
      </c>
      <c r="U224" s="101">
        <v>0</v>
      </c>
      <c r="V224" s="101">
        <v>0</v>
      </c>
      <c r="W224" s="101">
        <v>0</v>
      </c>
      <c r="X224" s="103">
        <f t="shared" si="7"/>
        <v>19.837</v>
      </c>
    </row>
    <row r="225" spans="1:28">
      <c r="A225" s="99" t="s">
        <v>191</v>
      </c>
      <c r="B225" s="99" t="s">
        <v>213</v>
      </c>
      <c r="C225" s="101">
        <v>0</v>
      </c>
      <c r="D225" s="101">
        <v>0</v>
      </c>
      <c r="E225" s="101">
        <v>0</v>
      </c>
      <c r="F225" s="101">
        <v>0</v>
      </c>
      <c r="G225" s="101">
        <v>0</v>
      </c>
      <c r="H225" s="101">
        <v>0.184</v>
      </c>
      <c r="I225" s="101">
        <v>0</v>
      </c>
      <c r="J225" s="101">
        <v>0</v>
      </c>
      <c r="K225" s="101">
        <v>0.55400000000000005</v>
      </c>
      <c r="L225" s="101">
        <v>0</v>
      </c>
      <c r="M225" s="101">
        <v>0</v>
      </c>
      <c r="N225" s="101">
        <v>0</v>
      </c>
      <c r="O225" s="101">
        <v>0</v>
      </c>
      <c r="P225" s="101">
        <v>0</v>
      </c>
      <c r="Q225" s="101">
        <v>0</v>
      </c>
      <c r="R225" s="101">
        <v>0</v>
      </c>
      <c r="S225" s="101">
        <v>0</v>
      </c>
      <c r="T225" s="101">
        <v>16.420000000000002</v>
      </c>
      <c r="U225" s="101">
        <v>0</v>
      </c>
      <c r="V225" s="101">
        <v>0</v>
      </c>
      <c r="W225" s="101">
        <v>0</v>
      </c>
      <c r="X225" s="103">
        <f t="shared" si="7"/>
        <v>17.158000000000001</v>
      </c>
    </row>
    <row r="226" spans="1:28">
      <c r="A226" s="99" t="s">
        <v>191</v>
      </c>
      <c r="B226" s="99" t="s">
        <v>214</v>
      </c>
      <c r="C226" s="101">
        <v>0</v>
      </c>
      <c r="D226" s="101">
        <v>0</v>
      </c>
      <c r="E226" s="101">
        <v>0</v>
      </c>
      <c r="F226" s="101">
        <v>0</v>
      </c>
      <c r="G226" s="101">
        <v>0.19800000000000001</v>
      </c>
      <c r="H226" s="101">
        <v>0.13800000000000001</v>
      </c>
      <c r="I226" s="101">
        <v>0</v>
      </c>
      <c r="J226" s="101">
        <v>0</v>
      </c>
      <c r="K226" s="101">
        <v>4.8559999999999999</v>
      </c>
      <c r="L226" s="101">
        <v>0</v>
      </c>
      <c r="M226" s="101">
        <v>0.04</v>
      </c>
      <c r="N226" s="101">
        <v>0</v>
      </c>
      <c r="O226" s="101">
        <v>3.7330000000000001</v>
      </c>
      <c r="P226" s="101">
        <v>0</v>
      </c>
      <c r="Q226" s="101">
        <v>0</v>
      </c>
      <c r="R226" s="101">
        <v>0</v>
      </c>
      <c r="S226" s="101">
        <v>0</v>
      </c>
      <c r="T226" s="101">
        <v>12.356</v>
      </c>
      <c r="U226" s="101">
        <v>0</v>
      </c>
      <c r="V226" s="101">
        <v>0</v>
      </c>
      <c r="W226" s="101">
        <v>0</v>
      </c>
      <c r="X226" s="103">
        <f t="shared" si="7"/>
        <v>21.320999999999998</v>
      </c>
    </row>
    <row r="227" spans="1:28">
      <c r="A227" s="99" t="s">
        <v>193</v>
      </c>
      <c r="B227" s="99" t="s">
        <v>204</v>
      </c>
      <c r="C227" s="101">
        <v>0</v>
      </c>
      <c r="D227" s="101">
        <v>0</v>
      </c>
      <c r="E227" s="101">
        <v>0</v>
      </c>
      <c r="F227" s="101">
        <v>0</v>
      </c>
      <c r="G227" s="101">
        <v>10.346</v>
      </c>
      <c r="H227" s="101">
        <v>0</v>
      </c>
      <c r="I227" s="101">
        <v>0</v>
      </c>
      <c r="J227" s="101">
        <v>0</v>
      </c>
      <c r="K227" s="101">
        <v>0.29799999999999999</v>
      </c>
      <c r="L227" s="101">
        <v>42.56</v>
      </c>
      <c r="M227" s="101">
        <v>0.59399999999999997</v>
      </c>
      <c r="N227" s="101">
        <v>0</v>
      </c>
      <c r="O227" s="101">
        <v>0</v>
      </c>
      <c r="P227" s="101">
        <v>0</v>
      </c>
      <c r="Q227" s="101">
        <v>0</v>
      </c>
      <c r="R227" s="101">
        <v>0</v>
      </c>
      <c r="S227" s="101">
        <v>0.28499999999999998</v>
      </c>
      <c r="T227" s="101">
        <v>23.04</v>
      </c>
      <c r="U227" s="101">
        <v>0</v>
      </c>
      <c r="V227" s="101">
        <v>0</v>
      </c>
      <c r="W227" s="101">
        <v>0</v>
      </c>
      <c r="X227" s="103">
        <f t="shared" si="7"/>
        <v>77.12299999999999</v>
      </c>
      <c r="Y227" s="103">
        <f>SUM(X227:X237)</f>
        <v>539.6640000000001</v>
      </c>
      <c r="Z227" s="98" t="s">
        <v>57</v>
      </c>
      <c r="AA227" s="101">
        <f>$AF$7*$X227</f>
        <v>185.29811130177708</v>
      </c>
      <c r="AB227" s="98"/>
    </row>
    <row r="228" spans="1:28">
      <c r="A228" s="99" t="s">
        <v>193</v>
      </c>
      <c r="B228" s="99" t="s">
        <v>205</v>
      </c>
      <c r="C228" s="725">
        <v>6.3220000000000001</v>
      </c>
      <c r="D228" s="101">
        <v>50.987000000000002</v>
      </c>
      <c r="E228" s="101">
        <v>0</v>
      </c>
      <c r="F228" s="101">
        <v>0</v>
      </c>
      <c r="G228" s="101">
        <v>0</v>
      </c>
      <c r="H228" s="101">
        <v>0</v>
      </c>
      <c r="I228" s="101">
        <v>0</v>
      </c>
      <c r="J228" s="101">
        <v>0</v>
      </c>
      <c r="K228" s="101">
        <v>8.5000000000000006E-2</v>
      </c>
      <c r="L228" s="101">
        <v>0</v>
      </c>
      <c r="M228" s="101">
        <v>0</v>
      </c>
      <c r="N228" s="101">
        <v>0</v>
      </c>
      <c r="O228" s="101">
        <v>2E-3</v>
      </c>
      <c r="P228" s="101">
        <v>0</v>
      </c>
      <c r="Q228" s="101">
        <v>0</v>
      </c>
      <c r="R228" s="101">
        <v>0</v>
      </c>
      <c r="S228" s="101">
        <v>0.80600000000000005</v>
      </c>
      <c r="T228" s="101">
        <v>19.991</v>
      </c>
      <c r="U228" s="101">
        <v>11.895</v>
      </c>
      <c r="V228" s="101">
        <v>14.566000000000001</v>
      </c>
      <c r="W228" s="101">
        <v>0</v>
      </c>
      <c r="X228" s="103">
        <f t="shared" si="7"/>
        <v>104.65400000000001</v>
      </c>
      <c r="AA228" s="101">
        <f>$AF$8*$X228</f>
        <v>75.680598860010249</v>
      </c>
    </row>
    <row r="229" spans="1:28">
      <c r="A229" s="99" t="s">
        <v>193</v>
      </c>
      <c r="B229" s="99" t="s">
        <v>206</v>
      </c>
      <c r="C229" s="101">
        <v>2.4E-2</v>
      </c>
      <c r="D229" s="101">
        <v>5.8140000000000001</v>
      </c>
      <c r="E229" s="101">
        <v>0</v>
      </c>
      <c r="F229" s="101">
        <v>0</v>
      </c>
      <c r="G229" s="101">
        <v>0</v>
      </c>
      <c r="H229" s="101">
        <v>4.5999999999999999E-2</v>
      </c>
      <c r="I229" s="101">
        <v>0</v>
      </c>
      <c r="J229" s="101">
        <v>0</v>
      </c>
      <c r="K229" s="101">
        <v>0.17</v>
      </c>
      <c r="L229" s="101">
        <v>0.4</v>
      </c>
      <c r="M229" s="101">
        <v>0</v>
      </c>
      <c r="N229" s="101">
        <v>0</v>
      </c>
      <c r="O229" s="101">
        <v>0</v>
      </c>
      <c r="P229" s="101">
        <v>0</v>
      </c>
      <c r="Q229" s="101">
        <v>0</v>
      </c>
      <c r="R229" s="101">
        <v>0</v>
      </c>
      <c r="S229" s="101">
        <v>1.0029999999999999</v>
      </c>
      <c r="T229" s="101">
        <v>6.468</v>
      </c>
      <c r="U229" s="101">
        <v>0</v>
      </c>
      <c r="V229" s="101">
        <v>0</v>
      </c>
      <c r="W229" s="101">
        <v>0</v>
      </c>
      <c r="X229" s="103">
        <f t="shared" si="7"/>
        <v>13.925000000000001</v>
      </c>
      <c r="AA229" s="101">
        <f>$AF$9*$X230</f>
        <v>753.77132743125628</v>
      </c>
    </row>
    <row r="230" spans="1:28">
      <c r="A230" s="99" t="s">
        <v>193</v>
      </c>
      <c r="B230" s="99" t="s">
        <v>207</v>
      </c>
      <c r="C230" s="101">
        <v>30.120999999999999</v>
      </c>
      <c r="D230" s="101">
        <v>1.454</v>
      </c>
      <c r="E230" s="101">
        <v>0</v>
      </c>
      <c r="F230" s="101">
        <v>0</v>
      </c>
      <c r="G230" s="101">
        <v>18.265999999999998</v>
      </c>
      <c r="H230" s="101">
        <v>2.99</v>
      </c>
      <c r="I230" s="101">
        <v>0</v>
      </c>
      <c r="J230" s="101">
        <v>0</v>
      </c>
      <c r="K230" s="101">
        <v>3.7490000000000001</v>
      </c>
      <c r="L230" s="101">
        <v>3.92</v>
      </c>
      <c r="M230" s="101">
        <v>0.03</v>
      </c>
      <c r="N230" s="101">
        <v>0</v>
      </c>
      <c r="O230" s="101">
        <v>0.16500000000000001</v>
      </c>
      <c r="P230" s="101">
        <v>0</v>
      </c>
      <c r="Q230" s="101">
        <v>0</v>
      </c>
      <c r="R230" s="101">
        <v>0</v>
      </c>
      <c r="S230" s="101">
        <v>6.9009999999999998</v>
      </c>
      <c r="T230" s="101">
        <v>8.1039999999999992</v>
      </c>
      <c r="U230" s="101">
        <v>0.60799999999999998</v>
      </c>
      <c r="V230" s="101">
        <v>6.0000000000000001E-3</v>
      </c>
      <c r="W230" s="101">
        <v>0</v>
      </c>
      <c r="X230" s="103">
        <f t="shared" si="7"/>
        <v>76.314000000000007</v>
      </c>
      <c r="AA230" s="101">
        <f>$AF$10*$X235</f>
        <v>303.02479738302594</v>
      </c>
    </row>
    <row r="231" spans="1:28">
      <c r="A231" s="99" t="s">
        <v>193</v>
      </c>
      <c r="B231" s="99" t="s">
        <v>208</v>
      </c>
      <c r="C231" s="101">
        <v>31.22</v>
      </c>
      <c r="D231" s="101">
        <v>2.5939999999999999</v>
      </c>
      <c r="E231" s="101">
        <v>3.5000000000000003E-2</v>
      </c>
      <c r="F231" s="101">
        <v>0</v>
      </c>
      <c r="G231" s="101">
        <v>0</v>
      </c>
      <c r="H231" s="101">
        <v>0.874</v>
      </c>
      <c r="I231" s="101">
        <v>0</v>
      </c>
      <c r="J231" s="101">
        <v>0</v>
      </c>
      <c r="K231" s="101">
        <v>2.173</v>
      </c>
      <c r="L231" s="101">
        <v>4.08</v>
      </c>
      <c r="M231" s="101">
        <v>8.9190000000000005</v>
      </c>
      <c r="N231" s="101">
        <v>0</v>
      </c>
      <c r="O231" s="101">
        <v>0.11</v>
      </c>
      <c r="P231" s="101">
        <v>0</v>
      </c>
      <c r="Q231" s="101">
        <v>0.71699999999999997</v>
      </c>
      <c r="R231" s="101">
        <v>0</v>
      </c>
      <c r="S231" s="101">
        <v>2.7010000000000001</v>
      </c>
      <c r="T231" s="101">
        <v>38.963000000000001</v>
      </c>
      <c r="U231" s="101">
        <v>1.37</v>
      </c>
      <c r="V231" s="101">
        <v>0</v>
      </c>
      <c r="W231" s="101">
        <v>0</v>
      </c>
      <c r="X231" s="103">
        <f t="shared" si="7"/>
        <v>93.756</v>
      </c>
      <c r="AA231" s="101">
        <f>$AF$11*(X229+X231+$X232+X233+X234+X236+X237)</f>
        <v>397.77496872918692</v>
      </c>
    </row>
    <row r="232" spans="1:28">
      <c r="A232" s="99" t="s">
        <v>193</v>
      </c>
      <c r="B232" s="99" t="s">
        <v>209</v>
      </c>
      <c r="C232" s="101">
        <v>0.53700000000000003</v>
      </c>
      <c r="D232" s="101">
        <v>2.9000000000000001E-2</v>
      </c>
      <c r="E232" s="101">
        <v>0</v>
      </c>
      <c r="F232" s="101">
        <v>0</v>
      </c>
      <c r="G232" s="101">
        <v>0</v>
      </c>
      <c r="H232" s="101">
        <v>4.5999999999999999E-2</v>
      </c>
      <c r="I232" s="101">
        <v>0</v>
      </c>
      <c r="J232" s="101">
        <v>0</v>
      </c>
      <c r="K232" s="101">
        <v>2.343</v>
      </c>
      <c r="L232" s="101">
        <v>0</v>
      </c>
      <c r="M232" s="101">
        <v>0</v>
      </c>
      <c r="N232" s="101">
        <v>0</v>
      </c>
      <c r="O232" s="101">
        <v>1E-3</v>
      </c>
      <c r="P232" s="101">
        <v>0</v>
      </c>
      <c r="Q232" s="101">
        <v>0</v>
      </c>
      <c r="R232" s="101">
        <v>0</v>
      </c>
      <c r="S232" s="101">
        <v>0</v>
      </c>
      <c r="T232" s="101">
        <v>0.99299999999999999</v>
      </c>
      <c r="U232" s="101">
        <v>0</v>
      </c>
      <c r="V232" s="101">
        <v>0</v>
      </c>
      <c r="W232" s="101">
        <v>0</v>
      </c>
      <c r="X232" s="103">
        <f t="shared" si="7"/>
        <v>3.9489999999999998</v>
      </c>
    </row>
    <row r="233" spans="1:28">
      <c r="A233" s="99" t="s">
        <v>193</v>
      </c>
      <c r="B233" s="99" t="s">
        <v>210</v>
      </c>
      <c r="C233" s="101">
        <v>35.911000000000001</v>
      </c>
      <c r="D233" s="101">
        <v>0.96899999999999997</v>
      </c>
      <c r="E233" s="101">
        <v>9.1999999999999998E-2</v>
      </c>
      <c r="F233" s="101">
        <v>0</v>
      </c>
      <c r="G233" s="101">
        <v>0</v>
      </c>
      <c r="H233" s="101">
        <v>1.4259999999999999</v>
      </c>
      <c r="I233" s="101">
        <v>4.3999999999999997E-2</v>
      </c>
      <c r="J233" s="101">
        <v>0</v>
      </c>
      <c r="K233" s="101">
        <v>5.3680000000000003</v>
      </c>
      <c r="L233" s="101">
        <v>3.16</v>
      </c>
      <c r="M233" s="101">
        <v>0</v>
      </c>
      <c r="N233" s="101">
        <v>0</v>
      </c>
      <c r="O233" s="101">
        <v>0.214</v>
      </c>
      <c r="P233" s="101">
        <v>6.8000000000000005E-2</v>
      </c>
      <c r="Q233" s="101">
        <v>0</v>
      </c>
      <c r="R233" s="101">
        <v>0</v>
      </c>
      <c r="S233" s="101">
        <v>5.0000000000000001E-3</v>
      </c>
      <c r="T233" s="101">
        <v>17.456</v>
      </c>
      <c r="U233" s="101">
        <v>0</v>
      </c>
      <c r="V233" s="101">
        <v>0</v>
      </c>
      <c r="W233" s="101">
        <v>0</v>
      </c>
      <c r="X233" s="103">
        <f t="shared" si="7"/>
        <v>64.712999999999994</v>
      </c>
    </row>
    <row r="234" spans="1:28">
      <c r="A234" s="99" t="s">
        <v>193</v>
      </c>
      <c r="B234" s="99" t="s">
        <v>211</v>
      </c>
      <c r="C234" s="101">
        <v>2.8610000000000002</v>
      </c>
      <c r="D234" s="101">
        <v>2.9000000000000001E-2</v>
      </c>
      <c r="E234" s="101">
        <v>8.9999999999999993E-3</v>
      </c>
      <c r="F234" s="101">
        <v>0</v>
      </c>
      <c r="G234" s="101">
        <v>0</v>
      </c>
      <c r="H234" s="101">
        <v>0.184</v>
      </c>
      <c r="I234" s="101">
        <v>0</v>
      </c>
      <c r="J234" s="101">
        <v>0</v>
      </c>
      <c r="K234" s="101">
        <v>0.55400000000000005</v>
      </c>
      <c r="L234" s="101">
        <v>0.04</v>
      </c>
      <c r="M234" s="101">
        <v>0</v>
      </c>
      <c r="N234" s="101">
        <v>0</v>
      </c>
      <c r="O234" s="101">
        <v>1E-3</v>
      </c>
      <c r="P234" s="101">
        <v>0</v>
      </c>
      <c r="Q234" s="101">
        <v>0</v>
      </c>
      <c r="R234" s="101">
        <v>0</v>
      </c>
      <c r="S234" s="101">
        <v>0</v>
      </c>
      <c r="T234" s="101">
        <v>2.3029999999999999</v>
      </c>
      <c r="U234" s="101">
        <v>0</v>
      </c>
      <c r="V234" s="101">
        <v>0</v>
      </c>
      <c r="W234" s="101">
        <v>0</v>
      </c>
      <c r="X234" s="103">
        <f t="shared" si="7"/>
        <v>5.9809999999999999</v>
      </c>
    </row>
    <row r="235" spans="1:28">
      <c r="A235" s="99" t="s">
        <v>193</v>
      </c>
      <c r="B235" s="99" t="s">
        <v>212</v>
      </c>
      <c r="C235" s="101">
        <v>13.436</v>
      </c>
      <c r="D235" s="101">
        <v>2.9000000000000001E-2</v>
      </c>
      <c r="E235" s="101">
        <v>0</v>
      </c>
      <c r="F235" s="101">
        <v>0</v>
      </c>
      <c r="G235" s="101">
        <v>0</v>
      </c>
      <c r="H235" s="101">
        <v>4.5999999999999999E-2</v>
      </c>
      <c r="I235" s="101">
        <v>0</v>
      </c>
      <c r="J235" s="101">
        <v>0</v>
      </c>
      <c r="K235" s="101">
        <v>0.34100000000000003</v>
      </c>
      <c r="L235" s="101">
        <v>1.6</v>
      </c>
      <c r="M235" s="101">
        <v>0</v>
      </c>
      <c r="N235" s="101">
        <v>0</v>
      </c>
      <c r="O235" s="101">
        <v>18.611000000000001</v>
      </c>
      <c r="P235" s="101">
        <v>0</v>
      </c>
      <c r="Q235" s="101">
        <v>0</v>
      </c>
      <c r="R235" s="101">
        <v>0</v>
      </c>
      <c r="S235" s="101">
        <v>0.125</v>
      </c>
      <c r="T235" s="101">
        <v>2.2879999999999998</v>
      </c>
      <c r="U235" s="101">
        <v>0</v>
      </c>
      <c r="V235" s="101">
        <v>0</v>
      </c>
      <c r="W235" s="101">
        <v>0</v>
      </c>
      <c r="X235" s="103">
        <f t="shared" si="7"/>
        <v>36.475999999999999</v>
      </c>
    </row>
    <row r="236" spans="1:28">
      <c r="A236" s="99" t="s">
        <v>193</v>
      </c>
      <c r="B236" s="99" t="s">
        <v>213</v>
      </c>
      <c r="C236" s="101">
        <v>6.3029999999999999</v>
      </c>
      <c r="D236" s="101">
        <v>0.45600000000000002</v>
      </c>
      <c r="E236" s="101">
        <v>0</v>
      </c>
      <c r="F236" s="101">
        <v>0</v>
      </c>
      <c r="G236" s="101">
        <v>0</v>
      </c>
      <c r="H236" s="101">
        <v>0.55200000000000005</v>
      </c>
      <c r="I236" s="101">
        <v>8.7999999999999995E-2</v>
      </c>
      <c r="J236" s="101">
        <v>8.5999999999999993E-2</v>
      </c>
      <c r="K236" s="101">
        <v>2.0449999999999999</v>
      </c>
      <c r="L236" s="101">
        <v>0.24</v>
      </c>
      <c r="M236" s="101">
        <v>0</v>
      </c>
      <c r="N236" s="101">
        <v>0</v>
      </c>
      <c r="O236" s="101">
        <v>5.5E-2</v>
      </c>
      <c r="P236" s="101">
        <v>0</v>
      </c>
      <c r="Q236" s="101">
        <v>0</v>
      </c>
      <c r="R236" s="101">
        <v>0</v>
      </c>
      <c r="S236" s="101">
        <v>1.2999999999999999E-2</v>
      </c>
      <c r="T236" s="101">
        <v>11.917</v>
      </c>
      <c r="U236" s="101">
        <v>0.11</v>
      </c>
      <c r="V236" s="101">
        <v>0</v>
      </c>
      <c r="W236" s="101">
        <v>0</v>
      </c>
      <c r="X236" s="103">
        <f t="shared" si="7"/>
        <v>21.865000000000002</v>
      </c>
    </row>
    <row r="237" spans="1:28">
      <c r="A237" s="99" t="s">
        <v>193</v>
      </c>
      <c r="B237" s="99" t="s">
        <v>214</v>
      </c>
      <c r="C237" s="101">
        <v>10.333</v>
      </c>
      <c r="D237" s="101">
        <v>0.114</v>
      </c>
      <c r="E237" s="101">
        <v>0</v>
      </c>
      <c r="F237" s="101">
        <v>0</v>
      </c>
      <c r="G237" s="101">
        <v>0</v>
      </c>
      <c r="H237" s="101">
        <v>0.55200000000000005</v>
      </c>
      <c r="I237" s="101">
        <v>8.7999999999999995E-2</v>
      </c>
      <c r="J237" s="101">
        <v>0</v>
      </c>
      <c r="K237" s="101">
        <v>5.4530000000000003</v>
      </c>
      <c r="L237" s="101">
        <v>2.64</v>
      </c>
      <c r="M237" s="101">
        <v>0.06</v>
      </c>
      <c r="N237" s="101">
        <v>0</v>
      </c>
      <c r="O237" s="101">
        <v>11.861000000000001</v>
      </c>
      <c r="P237" s="101">
        <v>4.0000000000000001E-3</v>
      </c>
      <c r="Q237" s="101">
        <v>0</v>
      </c>
      <c r="R237" s="101">
        <v>0</v>
      </c>
      <c r="S237" s="725">
        <v>1.69</v>
      </c>
      <c r="T237" s="101">
        <v>8.1129999999999995</v>
      </c>
      <c r="U237" s="101">
        <v>0</v>
      </c>
      <c r="V237" s="101">
        <v>0</v>
      </c>
      <c r="W237" s="101">
        <v>0</v>
      </c>
      <c r="X237" s="103">
        <f t="shared" si="7"/>
        <v>40.908000000000001</v>
      </c>
      <c r="Y237" s="103"/>
    </row>
    <row r="238" spans="1:28">
      <c r="A238" s="99" t="s">
        <v>194</v>
      </c>
      <c r="B238" s="99" t="s">
        <v>204</v>
      </c>
      <c r="C238" s="101">
        <v>0</v>
      </c>
      <c r="D238" s="101">
        <v>0</v>
      </c>
      <c r="E238" s="101">
        <v>0</v>
      </c>
      <c r="F238" s="101">
        <v>0</v>
      </c>
      <c r="G238" s="101">
        <v>0</v>
      </c>
      <c r="H238" s="101">
        <v>9.1999999999999998E-2</v>
      </c>
      <c r="I238" s="101">
        <v>0</v>
      </c>
      <c r="J238" s="101">
        <v>0</v>
      </c>
      <c r="K238" s="101">
        <v>0</v>
      </c>
      <c r="L238" s="101">
        <v>0</v>
      </c>
      <c r="M238" s="101">
        <v>33.76</v>
      </c>
      <c r="N238" s="101">
        <v>0</v>
      </c>
      <c r="O238" s="101">
        <v>0</v>
      </c>
      <c r="P238" s="101">
        <v>0</v>
      </c>
      <c r="Q238" s="101">
        <v>0</v>
      </c>
      <c r="R238" s="101">
        <v>0</v>
      </c>
      <c r="S238" s="101">
        <v>0</v>
      </c>
      <c r="T238" s="101">
        <v>3.3260000000000001</v>
      </c>
      <c r="U238" s="101">
        <v>0</v>
      </c>
      <c r="V238" s="101">
        <v>0</v>
      </c>
      <c r="W238" s="101">
        <v>0</v>
      </c>
      <c r="X238" s="103">
        <f t="shared" si="7"/>
        <v>37.177999999999997</v>
      </c>
      <c r="Y238" s="103">
        <f>SUM(X238:X248)</f>
        <v>200.35553600000003</v>
      </c>
      <c r="Z238" s="98" t="s">
        <v>58</v>
      </c>
      <c r="AA238" s="101">
        <f>$AF$7*$X238</f>
        <v>89.325015650032668</v>
      </c>
      <c r="AB238" s="98"/>
    </row>
    <row r="239" spans="1:28">
      <c r="A239" s="99" t="s">
        <v>194</v>
      </c>
      <c r="B239" s="99" t="s">
        <v>205</v>
      </c>
      <c r="C239" s="101">
        <v>0</v>
      </c>
      <c r="D239" s="101">
        <v>0</v>
      </c>
      <c r="E239" s="101">
        <v>0</v>
      </c>
      <c r="F239" s="101">
        <v>0</v>
      </c>
      <c r="G239" s="101">
        <v>0</v>
      </c>
      <c r="H239" s="101">
        <v>0.27600000000000002</v>
      </c>
      <c r="I239" s="101">
        <v>0</v>
      </c>
      <c r="J239" s="101">
        <v>0</v>
      </c>
      <c r="K239" s="101">
        <v>0.17</v>
      </c>
      <c r="L239" s="101">
        <v>1.1599999999999999</v>
      </c>
      <c r="M239" s="101">
        <v>0</v>
      </c>
      <c r="N239" s="101">
        <v>0</v>
      </c>
      <c r="O239" s="101">
        <v>0</v>
      </c>
      <c r="P239" s="101">
        <v>0</v>
      </c>
      <c r="Q239" s="101">
        <v>0</v>
      </c>
      <c r="R239" s="101">
        <v>0</v>
      </c>
      <c r="S239" s="101">
        <v>0</v>
      </c>
      <c r="T239" s="101">
        <v>1.7270000000000001</v>
      </c>
      <c r="U239" s="101">
        <v>0</v>
      </c>
      <c r="V239" s="101">
        <v>0</v>
      </c>
      <c r="W239" s="101">
        <v>0</v>
      </c>
      <c r="X239" s="103">
        <f t="shared" si="7"/>
        <v>3.3330000000000002</v>
      </c>
      <c r="AA239" s="101">
        <f>$AF$8*$X239</f>
        <v>2.4102608213772445</v>
      </c>
    </row>
    <row r="240" spans="1:28">
      <c r="A240" s="99" t="s">
        <v>194</v>
      </c>
      <c r="B240" s="99" t="s">
        <v>206</v>
      </c>
      <c r="C240" s="101">
        <v>0</v>
      </c>
      <c r="D240" s="101">
        <v>0</v>
      </c>
      <c r="E240" s="101">
        <v>0</v>
      </c>
      <c r="F240" s="101">
        <v>0</v>
      </c>
      <c r="G240" s="101">
        <v>0</v>
      </c>
      <c r="H240" s="101">
        <v>0</v>
      </c>
      <c r="I240" s="101">
        <v>0</v>
      </c>
      <c r="J240" s="101">
        <v>0</v>
      </c>
      <c r="K240" s="101">
        <v>0</v>
      </c>
      <c r="L240" s="101">
        <v>0</v>
      </c>
      <c r="M240" s="101">
        <v>0</v>
      </c>
      <c r="N240" s="101">
        <v>0</v>
      </c>
      <c r="O240" s="101">
        <v>0.23300000000000001</v>
      </c>
      <c r="P240" s="101">
        <v>0</v>
      </c>
      <c r="Q240" s="101">
        <v>0</v>
      </c>
      <c r="R240" s="101">
        <v>0</v>
      </c>
      <c r="S240" s="101">
        <v>0</v>
      </c>
      <c r="T240" s="101">
        <v>0.32</v>
      </c>
      <c r="U240" s="101">
        <v>0</v>
      </c>
      <c r="V240" s="101">
        <v>0</v>
      </c>
      <c r="W240" s="101">
        <v>0</v>
      </c>
      <c r="X240" s="103">
        <f t="shared" si="7"/>
        <v>0.55300000000000005</v>
      </c>
      <c r="AA240" s="101">
        <f>$AF$9*$X241</f>
        <v>103.65715847467494</v>
      </c>
    </row>
    <row r="241" spans="1:28">
      <c r="A241" s="99" t="s">
        <v>194</v>
      </c>
      <c r="B241" s="99" t="s">
        <v>207</v>
      </c>
      <c r="C241" s="101">
        <v>0.51</v>
      </c>
      <c r="D241" s="101">
        <v>0.14299999999999999</v>
      </c>
      <c r="E241" s="101">
        <v>0</v>
      </c>
      <c r="F241" s="101">
        <v>0</v>
      </c>
      <c r="G241" s="101">
        <v>0</v>
      </c>
      <c r="H241" s="101">
        <v>1.1499999999999999</v>
      </c>
      <c r="I241" s="101">
        <v>0</v>
      </c>
      <c r="J241" s="101">
        <v>0</v>
      </c>
      <c r="K241" s="101">
        <v>0.98</v>
      </c>
      <c r="L241" s="101">
        <v>0.48</v>
      </c>
      <c r="M241" s="101">
        <v>3.08</v>
      </c>
      <c r="N241" s="101">
        <v>0</v>
      </c>
      <c r="O241" s="101">
        <v>1.472</v>
      </c>
      <c r="P241" s="101">
        <v>0</v>
      </c>
      <c r="Q241" s="101">
        <v>0</v>
      </c>
      <c r="R241" s="101">
        <v>0</v>
      </c>
      <c r="S241" s="101">
        <v>0</v>
      </c>
      <c r="T241" s="725">
        <v>2.6795520000000002</v>
      </c>
      <c r="U241" s="101">
        <v>0</v>
      </c>
      <c r="V241" s="101">
        <v>0</v>
      </c>
      <c r="W241" s="101">
        <v>0</v>
      </c>
      <c r="X241" s="103">
        <f t="shared" si="7"/>
        <v>10.494551999999999</v>
      </c>
      <c r="AA241" s="101">
        <f>$AF$10*$X246</f>
        <v>307.41933816104063</v>
      </c>
    </row>
    <row r="242" spans="1:28">
      <c r="A242" s="99" t="s">
        <v>194</v>
      </c>
      <c r="B242" s="99" t="s">
        <v>208</v>
      </c>
      <c r="C242" s="101">
        <v>0</v>
      </c>
      <c r="D242" s="101">
        <v>0</v>
      </c>
      <c r="E242" s="101">
        <v>0</v>
      </c>
      <c r="F242" s="101">
        <v>0</v>
      </c>
      <c r="G242" s="101">
        <v>0</v>
      </c>
      <c r="H242" s="101">
        <v>0.64400000000000002</v>
      </c>
      <c r="I242" s="101">
        <v>0</v>
      </c>
      <c r="J242" s="101">
        <v>0</v>
      </c>
      <c r="K242" s="101">
        <v>1.4059999999999999</v>
      </c>
      <c r="L242" s="101">
        <v>2.76</v>
      </c>
      <c r="M242" s="101">
        <v>26.4</v>
      </c>
      <c r="N242" s="101">
        <v>0</v>
      </c>
      <c r="O242" s="101">
        <v>14.613</v>
      </c>
      <c r="P242" s="101">
        <v>0</v>
      </c>
      <c r="Q242" s="101">
        <v>0</v>
      </c>
      <c r="R242" s="101">
        <v>0</v>
      </c>
      <c r="S242" s="101">
        <v>0</v>
      </c>
      <c r="T242" s="101">
        <v>21.629000000000001</v>
      </c>
      <c r="U242" s="101">
        <v>0</v>
      </c>
      <c r="V242" s="101">
        <v>0</v>
      </c>
      <c r="W242" s="101">
        <v>0</v>
      </c>
      <c r="X242" s="103">
        <f t="shared" si="7"/>
        <v>67.451999999999998</v>
      </c>
      <c r="AA242" s="101">
        <f>$AF$11*(X240+X242+$X243+X244+X245+X247+X248)</f>
        <v>182.32793082689915</v>
      </c>
    </row>
    <row r="243" spans="1:28">
      <c r="A243" s="99" t="s">
        <v>194</v>
      </c>
      <c r="B243" s="99" t="s">
        <v>209</v>
      </c>
      <c r="C243" s="101">
        <v>0</v>
      </c>
      <c r="D243" s="101">
        <v>0</v>
      </c>
      <c r="E243" s="101">
        <v>0</v>
      </c>
      <c r="F243" s="101">
        <v>0</v>
      </c>
      <c r="G243" s="101">
        <v>0</v>
      </c>
      <c r="H243" s="101">
        <v>4.5999999999999999E-2</v>
      </c>
      <c r="I243" s="101">
        <v>0</v>
      </c>
      <c r="J243" s="101">
        <v>0</v>
      </c>
      <c r="K243" s="101">
        <v>1.7889999999999999</v>
      </c>
      <c r="L243" s="101">
        <v>0.4</v>
      </c>
      <c r="M243" s="101">
        <v>0</v>
      </c>
      <c r="N243" s="101">
        <v>0</v>
      </c>
      <c r="O243" s="101">
        <v>0</v>
      </c>
      <c r="P243" s="101">
        <v>0</v>
      </c>
      <c r="Q243" s="101">
        <v>0</v>
      </c>
      <c r="R243" s="101">
        <v>0</v>
      </c>
      <c r="S243" s="101">
        <v>0</v>
      </c>
      <c r="T243" s="101">
        <v>0.26200000000000001</v>
      </c>
      <c r="U243" s="101">
        <v>0</v>
      </c>
      <c r="V243" s="101">
        <v>0</v>
      </c>
      <c r="W243" s="101">
        <v>0</v>
      </c>
      <c r="X243" s="103">
        <f t="shared" si="7"/>
        <v>2.4969999999999999</v>
      </c>
    </row>
    <row r="244" spans="1:28">
      <c r="A244" s="99" t="s">
        <v>194</v>
      </c>
      <c r="B244" s="99" t="s">
        <v>210</v>
      </c>
      <c r="C244" s="101">
        <v>0</v>
      </c>
      <c r="D244" s="101">
        <v>0</v>
      </c>
      <c r="E244" s="101">
        <v>0</v>
      </c>
      <c r="F244" s="101">
        <v>0</v>
      </c>
      <c r="G244" s="101">
        <v>0</v>
      </c>
      <c r="H244" s="101">
        <v>1.196</v>
      </c>
      <c r="I244" s="101">
        <v>0</v>
      </c>
      <c r="J244" s="101">
        <v>0</v>
      </c>
      <c r="K244" s="101">
        <v>1.4059999999999999</v>
      </c>
      <c r="L244" s="101">
        <v>4.28</v>
      </c>
      <c r="M244" s="101">
        <v>0</v>
      </c>
      <c r="N244" s="101">
        <v>0</v>
      </c>
      <c r="O244" s="101">
        <v>3.7160000000000002</v>
      </c>
      <c r="P244" s="101">
        <v>0</v>
      </c>
      <c r="Q244" s="101">
        <v>0</v>
      </c>
      <c r="R244" s="101">
        <v>0</v>
      </c>
      <c r="S244" s="101">
        <v>0</v>
      </c>
      <c r="T244" s="101">
        <v>2.786</v>
      </c>
      <c r="U244" s="101">
        <v>0</v>
      </c>
      <c r="V244" s="101">
        <v>0</v>
      </c>
      <c r="W244" s="101">
        <v>0</v>
      </c>
      <c r="X244" s="103">
        <f t="shared" si="7"/>
        <v>13.383999999999999</v>
      </c>
    </row>
    <row r="245" spans="1:28">
      <c r="A245" s="99" t="s">
        <v>194</v>
      </c>
      <c r="B245" s="99" t="s">
        <v>211</v>
      </c>
      <c r="C245" s="101">
        <v>0</v>
      </c>
      <c r="D245" s="101">
        <v>0</v>
      </c>
      <c r="E245" s="101">
        <v>0</v>
      </c>
      <c r="F245" s="101">
        <v>0</v>
      </c>
      <c r="G245" s="101">
        <v>0</v>
      </c>
      <c r="H245" s="101">
        <v>0.55200000000000005</v>
      </c>
      <c r="I245" s="101">
        <v>0</v>
      </c>
      <c r="J245" s="101">
        <v>0</v>
      </c>
      <c r="K245" s="101">
        <v>0.21299999999999999</v>
      </c>
      <c r="L245" s="101">
        <v>1.04</v>
      </c>
      <c r="M245" s="101">
        <v>0</v>
      </c>
      <c r="N245" s="101">
        <v>0</v>
      </c>
      <c r="O245" s="101">
        <v>2.2269999999999999</v>
      </c>
      <c r="P245" s="101">
        <v>0</v>
      </c>
      <c r="Q245" s="101">
        <v>0</v>
      </c>
      <c r="R245" s="101">
        <v>0</v>
      </c>
      <c r="S245" s="101">
        <v>0</v>
      </c>
      <c r="T245" s="101">
        <v>5.3869999999999996</v>
      </c>
      <c r="U245" s="101">
        <v>0</v>
      </c>
      <c r="V245" s="101">
        <v>0</v>
      </c>
      <c r="W245" s="101">
        <v>0</v>
      </c>
      <c r="X245" s="103">
        <f t="shared" si="7"/>
        <v>9.4190000000000005</v>
      </c>
    </row>
    <row r="246" spans="1:28">
      <c r="A246" s="99" t="s">
        <v>194</v>
      </c>
      <c r="B246" s="99" t="s">
        <v>212</v>
      </c>
      <c r="C246" s="101">
        <v>0</v>
      </c>
      <c r="D246" s="101">
        <v>0</v>
      </c>
      <c r="E246" s="101">
        <v>0</v>
      </c>
      <c r="F246" s="101">
        <v>0</v>
      </c>
      <c r="G246" s="101">
        <v>0</v>
      </c>
      <c r="H246" s="101">
        <v>9.1999999999999998E-2</v>
      </c>
      <c r="I246" s="101">
        <v>0</v>
      </c>
      <c r="J246" s="101">
        <v>0</v>
      </c>
      <c r="K246" s="101">
        <v>0.17</v>
      </c>
      <c r="L246" s="101">
        <v>2.96</v>
      </c>
      <c r="M246" s="101">
        <v>0</v>
      </c>
      <c r="N246" s="101">
        <v>0</v>
      </c>
      <c r="O246" s="101">
        <v>32.192</v>
      </c>
      <c r="P246" s="101">
        <v>0</v>
      </c>
      <c r="Q246" s="101">
        <v>0</v>
      </c>
      <c r="R246" s="101">
        <v>0</v>
      </c>
      <c r="S246" s="101">
        <v>0</v>
      </c>
      <c r="T246" s="725">
        <v>1.5909840000000002</v>
      </c>
      <c r="U246" s="101">
        <v>0</v>
      </c>
      <c r="V246" s="101">
        <v>0</v>
      </c>
      <c r="W246" s="101">
        <v>0</v>
      </c>
      <c r="X246" s="103">
        <f t="shared" si="7"/>
        <v>37.004984</v>
      </c>
    </row>
    <row r="247" spans="1:28">
      <c r="A247" s="99" t="s">
        <v>194</v>
      </c>
      <c r="B247" s="99" t="s">
        <v>213</v>
      </c>
      <c r="C247" s="101">
        <v>0</v>
      </c>
      <c r="D247" s="101">
        <v>0</v>
      </c>
      <c r="E247" s="101">
        <v>0</v>
      </c>
      <c r="F247" s="101">
        <v>0</v>
      </c>
      <c r="G247" s="101">
        <v>0</v>
      </c>
      <c r="H247" s="101">
        <v>1.288</v>
      </c>
      <c r="I247" s="101">
        <v>0</v>
      </c>
      <c r="J247" s="101">
        <v>0</v>
      </c>
      <c r="K247" s="101">
        <v>0.25600000000000001</v>
      </c>
      <c r="L247" s="101">
        <v>0.08</v>
      </c>
      <c r="M247" s="101">
        <v>0</v>
      </c>
      <c r="N247" s="101">
        <v>0</v>
      </c>
      <c r="O247" s="101">
        <v>1.7000000000000001E-2</v>
      </c>
      <c r="P247" s="101">
        <v>0</v>
      </c>
      <c r="Q247" s="101">
        <v>0</v>
      </c>
      <c r="R247" s="101">
        <v>0</v>
      </c>
      <c r="S247" s="101">
        <v>0</v>
      </c>
      <c r="T247" s="101">
        <v>2.0990000000000002</v>
      </c>
      <c r="U247" s="101">
        <v>0</v>
      </c>
      <c r="V247" s="101">
        <v>0</v>
      </c>
      <c r="W247" s="101">
        <v>0</v>
      </c>
      <c r="X247" s="103">
        <f t="shared" si="7"/>
        <v>3.74</v>
      </c>
    </row>
    <row r="248" spans="1:28">
      <c r="A248" s="99" t="s">
        <v>194</v>
      </c>
      <c r="B248" s="99" t="s">
        <v>214</v>
      </c>
      <c r="C248" s="101">
        <v>0</v>
      </c>
      <c r="D248" s="101">
        <v>0</v>
      </c>
      <c r="E248" s="101">
        <v>0</v>
      </c>
      <c r="F248" s="101">
        <v>0</v>
      </c>
      <c r="G248" s="101">
        <v>0</v>
      </c>
      <c r="H248" s="101">
        <v>0.73599999999999999</v>
      </c>
      <c r="I248" s="101">
        <v>0</v>
      </c>
      <c r="J248" s="101">
        <v>0</v>
      </c>
      <c r="K248" s="101">
        <v>9.3719999999999999</v>
      </c>
      <c r="L248" s="101">
        <v>2</v>
      </c>
      <c r="M248" s="101">
        <v>0</v>
      </c>
      <c r="N248" s="101">
        <v>0</v>
      </c>
      <c r="O248" s="101">
        <v>1.6679999999999999</v>
      </c>
      <c r="P248" s="101">
        <v>0</v>
      </c>
      <c r="Q248" s="101">
        <v>0</v>
      </c>
      <c r="R248" s="101">
        <v>0</v>
      </c>
      <c r="S248" s="101">
        <v>0</v>
      </c>
      <c r="T248" s="101">
        <v>1.524</v>
      </c>
      <c r="U248" s="101">
        <v>0</v>
      </c>
      <c r="V248" s="101">
        <v>0</v>
      </c>
      <c r="W248" s="101">
        <v>0</v>
      </c>
      <c r="X248" s="103">
        <f t="shared" si="7"/>
        <v>15.3</v>
      </c>
    </row>
    <row r="249" spans="1:28">
      <c r="A249" s="99" t="s">
        <v>195</v>
      </c>
      <c r="B249" s="99" t="s">
        <v>204</v>
      </c>
      <c r="C249" s="101">
        <v>0</v>
      </c>
      <c r="D249" s="101">
        <v>0</v>
      </c>
      <c r="E249" s="101">
        <v>0</v>
      </c>
      <c r="F249" s="101">
        <v>0</v>
      </c>
      <c r="G249" s="101">
        <v>26.234999999999999</v>
      </c>
      <c r="H249" s="101">
        <v>0</v>
      </c>
      <c r="I249" s="101">
        <v>0</v>
      </c>
      <c r="J249" s="101">
        <v>0</v>
      </c>
      <c r="K249" s="101">
        <v>0.55000000000000004</v>
      </c>
      <c r="L249" s="101">
        <v>6.24</v>
      </c>
      <c r="M249" s="101">
        <v>8.8320000000000007</v>
      </c>
      <c r="N249" s="101">
        <v>0</v>
      </c>
      <c r="O249" s="101">
        <v>0</v>
      </c>
      <c r="P249" s="101">
        <v>0</v>
      </c>
      <c r="Q249" s="101">
        <v>0</v>
      </c>
      <c r="R249" s="101">
        <v>0</v>
      </c>
      <c r="S249" s="101">
        <v>0.91900000000000004</v>
      </c>
      <c r="T249" s="101">
        <v>12.55</v>
      </c>
      <c r="U249" s="101">
        <v>0</v>
      </c>
      <c r="V249" s="101">
        <v>0</v>
      </c>
      <c r="W249" s="101">
        <v>0</v>
      </c>
      <c r="X249" s="103">
        <f t="shared" si="7"/>
        <v>55.325999999999993</v>
      </c>
      <c r="Y249" s="103">
        <f>SUM(X249:X259)</f>
        <v>373.26499999999999</v>
      </c>
      <c r="Z249" s="98" t="s">
        <v>59</v>
      </c>
      <c r="AA249" s="101">
        <f>$AF$7*$X249</f>
        <v>132.92796320011047</v>
      </c>
      <c r="AB249" s="98"/>
    </row>
    <row r="250" spans="1:28">
      <c r="A250" s="99" t="s">
        <v>195</v>
      </c>
      <c r="B250" s="99" t="s">
        <v>205</v>
      </c>
      <c r="C250" s="101">
        <v>14.129</v>
      </c>
      <c r="D250" s="101">
        <v>47.139000000000003</v>
      </c>
      <c r="E250" s="101">
        <v>0</v>
      </c>
      <c r="F250" s="101">
        <v>0</v>
      </c>
      <c r="G250" s="101">
        <v>0</v>
      </c>
      <c r="H250" s="101">
        <v>0</v>
      </c>
      <c r="I250" s="101">
        <v>0</v>
      </c>
      <c r="J250" s="101">
        <v>0</v>
      </c>
      <c r="K250" s="101">
        <v>0.21199999999999999</v>
      </c>
      <c r="L250" s="101">
        <v>8.2799999999999994</v>
      </c>
      <c r="M250" s="101">
        <v>0</v>
      </c>
      <c r="N250" s="101">
        <v>0</v>
      </c>
      <c r="O250" s="101">
        <v>0</v>
      </c>
      <c r="P250" s="101">
        <v>0</v>
      </c>
      <c r="Q250" s="101">
        <v>0</v>
      </c>
      <c r="R250" s="101">
        <v>0</v>
      </c>
      <c r="S250" s="101">
        <v>0.27100000000000002</v>
      </c>
      <c r="T250" s="101">
        <v>27.122</v>
      </c>
      <c r="U250" s="101">
        <v>4.9690000000000003</v>
      </c>
      <c r="V250" s="101">
        <v>18.577000000000002</v>
      </c>
      <c r="W250" s="101">
        <v>0</v>
      </c>
      <c r="X250" s="103">
        <f t="shared" si="7"/>
        <v>120.699</v>
      </c>
      <c r="AA250" s="101">
        <f>$AF$8*$X250</f>
        <v>87.283549618785486</v>
      </c>
    </row>
    <row r="251" spans="1:28">
      <c r="A251" s="99" t="s">
        <v>195</v>
      </c>
      <c r="B251" s="99" t="s">
        <v>206</v>
      </c>
      <c r="C251" s="101">
        <v>0</v>
      </c>
      <c r="D251" s="101">
        <v>0</v>
      </c>
      <c r="E251" s="101">
        <v>0</v>
      </c>
      <c r="F251" s="101">
        <v>0</v>
      </c>
      <c r="G251" s="101">
        <v>0</v>
      </c>
      <c r="H251" s="101">
        <v>0</v>
      </c>
      <c r="I251" s="101">
        <v>0</v>
      </c>
      <c r="J251" s="101">
        <v>0</v>
      </c>
      <c r="K251" s="101">
        <v>0</v>
      </c>
      <c r="L251" s="101">
        <v>0</v>
      </c>
      <c r="M251" s="101">
        <v>0</v>
      </c>
      <c r="N251" s="101">
        <v>0</v>
      </c>
      <c r="O251" s="101">
        <v>0</v>
      </c>
      <c r="P251" s="101">
        <v>0</v>
      </c>
      <c r="Q251" s="101">
        <v>0</v>
      </c>
      <c r="R251" s="101">
        <v>0</v>
      </c>
      <c r="S251" s="101">
        <v>0</v>
      </c>
      <c r="T251" s="101">
        <v>0</v>
      </c>
      <c r="U251" s="101">
        <v>0</v>
      </c>
      <c r="V251" s="101">
        <v>0</v>
      </c>
      <c r="W251" s="101">
        <v>0</v>
      </c>
      <c r="X251" s="103">
        <f t="shared" si="7"/>
        <v>0</v>
      </c>
      <c r="AA251" s="101">
        <f>$AF$9*$X252</f>
        <v>849.29406909841657</v>
      </c>
    </row>
    <row r="252" spans="1:28">
      <c r="A252" s="99" t="s">
        <v>195</v>
      </c>
      <c r="B252" s="99" t="s">
        <v>207</v>
      </c>
      <c r="C252" s="101">
        <v>1.657</v>
      </c>
      <c r="D252" s="101">
        <v>0.42799999999999999</v>
      </c>
      <c r="E252" s="101">
        <v>3.6150000000000002</v>
      </c>
      <c r="F252" s="101">
        <v>0</v>
      </c>
      <c r="G252" s="101">
        <v>10.94</v>
      </c>
      <c r="H252" s="101">
        <v>4.5999999999999999E-2</v>
      </c>
      <c r="I252" s="101">
        <v>8.7999999999999995E-2</v>
      </c>
      <c r="J252" s="101">
        <v>0</v>
      </c>
      <c r="K252" s="101">
        <v>0.127</v>
      </c>
      <c r="L252" s="101">
        <v>0.36</v>
      </c>
      <c r="M252" s="101">
        <v>2.2069999999999999</v>
      </c>
      <c r="N252" s="101">
        <v>0</v>
      </c>
      <c r="O252" s="101">
        <v>4.0000000000000001E-3</v>
      </c>
      <c r="P252" s="101">
        <v>0</v>
      </c>
      <c r="Q252" s="101">
        <v>0</v>
      </c>
      <c r="R252" s="101">
        <v>0</v>
      </c>
      <c r="S252" s="101">
        <v>2.0720000000000001</v>
      </c>
      <c r="T252" s="101">
        <v>64.441000000000003</v>
      </c>
      <c r="U252" s="101">
        <v>0</v>
      </c>
      <c r="V252" s="101">
        <v>0</v>
      </c>
      <c r="W252" s="101">
        <v>0</v>
      </c>
      <c r="X252" s="103">
        <f t="shared" si="7"/>
        <v>85.984999999999999</v>
      </c>
      <c r="AA252" s="101">
        <f>$AF$10*$X257</f>
        <v>74.568225170250045</v>
      </c>
    </row>
    <row r="253" spans="1:28">
      <c r="A253" s="99" t="s">
        <v>195</v>
      </c>
      <c r="B253" s="99" t="s">
        <v>208</v>
      </c>
      <c r="C253" s="101">
        <v>0</v>
      </c>
      <c r="D253" s="101">
        <v>0.17100000000000001</v>
      </c>
      <c r="E253" s="101">
        <v>1.0569999999999999</v>
      </c>
      <c r="F253" s="101">
        <v>0</v>
      </c>
      <c r="G253" s="101">
        <v>0</v>
      </c>
      <c r="H253" s="101">
        <v>0</v>
      </c>
      <c r="I253" s="101">
        <v>4.3999999999999997E-2</v>
      </c>
      <c r="J253" s="101">
        <v>0</v>
      </c>
      <c r="K253" s="101">
        <v>0.33800000000000002</v>
      </c>
      <c r="L253" s="101">
        <v>0.84</v>
      </c>
      <c r="M253" s="101">
        <v>0</v>
      </c>
      <c r="N253" s="101">
        <v>0</v>
      </c>
      <c r="O253" s="101">
        <v>0.51500000000000001</v>
      </c>
      <c r="P253" s="101">
        <v>0</v>
      </c>
      <c r="Q253" s="101">
        <v>0</v>
      </c>
      <c r="R253" s="101">
        <v>0</v>
      </c>
      <c r="S253" s="101">
        <v>0.105</v>
      </c>
      <c r="T253" s="101">
        <v>22.132999999999999</v>
      </c>
      <c r="U253" s="101">
        <v>0</v>
      </c>
      <c r="V253" s="101">
        <v>0.14399999999999999</v>
      </c>
      <c r="W253" s="101">
        <v>0</v>
      </c>
      <c r="X253" s="103">
        <f t="shared" ref="X253:X281" si="9">SUM(C253:W253)</f>
        <v>25.346999999999998</v>
      </c>
      <c r="AA253" s="101">
        <f>$AF$11*(X251+X253+$X254+X255+X256+X258+X259)</f>
        <v>165.99152999282941</v>
      </c>
    </row>
    <row r="254" spans="1:28">
      <c r="A254" s="99" t="s">
        <v>195</v>
      </c>
      <c r="B254" s="99" t="s">
        <v>209</v>
      </c>
      <c r="C254" s="101">
        <v>0</v>
      </c>
      <c r="D254" s="101">
        <v>0</v>
      </c>
      <c r="E254" s="101">
        <v>0</v>
      </c>
      <c r="F254" s="101">
        <v>0</v>
      </c>
      <c r="G254" s="101">
        <v>0</v>
      </c>
      <c r="H254" s="101">
        <v>0</v>
      </c>
      <c r="I254" s="101">
        <v>0</v>
      </c>
      <c r="J254" s="101">
        <v>0</v>
      </c>
      <c r="K254" s="101">
        <v>0.63500000000000001</v>
      </c>
      <c r="L254" s="101">
        <v>0.2</v>
      </c>
      <c r="M254" s="101">
        <v>0</v>
      </c>
      <c r="N254" s="101">
        <v>0</v>
      </c>
      <c r="O254" s="101">
        <v>1.7000000000000001E-2</v>
      </c>
      <c r="P254" s="101">
        <v>0</v>
      </c>
      <c r="Q254" s="101">
        <v>0</v>
      </c>
      <c r="R254" s="101">
        <v>0</v>
      </c>
      <c r="S254" s="101">
        <v>1.4E-2</v>
      </c>
      <c r="T254" s="101">
        <v>0.33500000000000002</v>
      </c>
      <c r="U254" s="101">
        <v>0</v>
      </c>
      <c r="V254" s="101">
        <v>0</v>
      </c>
      <c r="W254" s="101">
        <v>0</v>
      </c>
      <c r="X254" s="103">
        <f t="shared" si="9"/>
        <v>1.2010000000000001</v>
      </c>
    </row>
    <row r="255" spans="1:28">
      <c r="A255" s="99" t="s">
        <v>195</v>
      </c>
      <c r="B255" s="99" t="s">
        <v>210</v>
      </c>
      <c r="C255" s="101">
        <v>0</v>
      </c>
      <c r="D255" s="101">
        <v>8.5999999999999993E-2</v>
      </c>
      <c r="E255" s="101">
        <v>0</v>
      </c>
      <c r="F255" s="101">
        <v>0</v>
      </c>
      <c r="G255" s="101">
        <v>0</v>
      </c>
      <c r="H255" s="101">
        <v>0.36799999999999999</v>
      </c>
      <c r="I255" s="101">
        <v>8.7999999999999995E-2</v>
      </c>
      <c r="J255" s="101">
        <v>0</v>
      </c>
      <c r="K255" s="101">
        <v>1.5229999999999999</v>
      </c>
      <c r="L255" s="101">
        <v>0.96</v>
      </c>
      <c r="M255" s="101">
        <v>0</v>
      </c>
      <c r="N255" s="101">
        <v>0</v>
      </c>
      <c r="O255" s="101">
        <v>0.68799999999999994</v>
      </c>
      <c r="P255" s="101">
        <v>0</v>
      </c>
      <c r="Q255" s="101">
        <v>0</v>
      </c>
      <c r="R255" s="101">
        <v>0</v>
      </c>
      <c r="S255" s="101">
        <v>0</v>
      </c>
      <c r="T255" s="101">
        <v>24.747</v>
      </c>
      <c r="U255" s="101">
        <v>0</v>
      </c>
      <c r="V255" s="101">
        <v>0</v>
      </c>
      <c r="W255" s="101">
        <v>0</v>
      </c>
      <c r="X255" s="103">
        <f t="shared" si="9"/>
        <v>28.46</v>
      </c>
    </row>
    <row r="256" spans="1:28">
      <c r="A256" s="99" t="s">
        <v>195</v>
      </c>
      <c r="B256" s="99" t="s">
        <v>211</v>
      </c>
      <c r="C256" s="101">
        <v>0</v>
      </c>
      <c r="D256" s="101">
        <v>0</v>
      </c>
      <c r="E256" s="101">
        <v>0</v>
      </c>
      <c r="F256" s="101">
        <v>0</v>
      </c>
      <c r="G256" s="101">
        <v>0</v>
      </c>
      <c r="H256" s="101">
        <v>0.23</v>
      </c>
      <c r="I256" s="101">
        <v>4.3999999999999997E-2</v>
      </c>
      <c r="J256" s="101">
        <v>0</v>
      </c>
      <c r="K256" s="101">
        <v>0.21199999999999999</v>
      </c>
      <c r="L256" s="101">
        <v>0.04</v>
      </c>
      <c r="M256" s="101">
        <v>0</v>
      </c>
      <c r="N256" s="101">
        <v>0</v>
      </c>
      <c r="O256" s="101">
        <v>0.12</v>
      </c>
      <c r="P256" s="101">
        <v>0</v>
      </c>
      <c r="Q256" s="101">
        <v>0</v>
      </c>
      <c r="R256" s="101">
        <v>3.0000000000000001E-3</v>
      </c>
      <c r="S256" s="101">
        <v>2E-3</v>
      </c>
      <c r="T256" s="101">
        <v>4.109</v>
      </c>
      <c r="U256" s="101">
        <v>0</v>
      </c>
      <c r="V256" s="101">
        <v>0</v>
      </c>
      <c r="W256" s="101">
        <v>0</v>
      </c>
      <c r="X256" s="103">
        <f t="shared" si="9"/>
        <v>4.76</v>
      </c>
    </row>
    <row r="257" spans="1:28">
      <c r="A257" s="99" t="s">
        <v>195</v>
      </c>
      <c r="B257" s="99" t="s">
        <v>212</v>
      </c>
      <c r="C257" s="101">
        <v>0</v>
      </c>
      <c r="D257" s="101">
        <v>0</v>
      </c>
      <c r="E257" s="101">
        <v>0</v>
      </c>
      <c r="F257" s="101">
        <v>0</v>
      </c>
      <c r="G257" s="101">
        <v>0</v>
      </c>
      <c r="H257" s="101">
        <v>0</v>
      </c>
      <c r="I257" s="101">
        <v>0</v>
      </c>
      <c r="J257" s="101">
        <v>0</v>
      </c>
      <c r="K257" s="101">
        <v>0</v>
      </c>
      <c r="L257" s="101">
        <v>0.4</v>
      </c>
      <c r="M257" s="101">
        <v>0</v>
      </c>
      <c r="N257" s="101">
        <v>0</v>
      </c>
      <c r="O257" s="101">
        <v>3.96</v>
      </c>
      <c r="P257" s="101">
        <v>0</v>
      </c>
      <c r="Q257" s="101">
        <v>0</v>
      </c>
      <c r="R257" s="101">
        <v>0</v>
      </c>
      <c r="S257" s="101">
        <v>0</v>
      </c>
      <c r="T257" s="101">
        <v>4.6159999999999997</v>
      </c>
      <c r="U257" s="101">
        <v>0</v>
      </c>
      <c r="V257" s="101">
        <v>0</v>
      </c>
      <c r="W257" s="101">
        <v>0</v>
      </c>
      <c r="X257" s="103">
        <f t="shared" si="9"/>
        <v>8.9759999999999991</v>
      </c>
    </row>
    <row r="258" spans="1:28">
      <c r="A258" s="99" t="s">
        <v>195</v>
      </c>
      <c r="B258" s="99" t="s">
        <v>213</v>
      </c>
      <c r="C258" s="101">
        <v>0</v>
      </c>
      <c r="D258" s="101">
        <v>2.9000000000000001E-2</v>
      </c>
      <c r="E258" s="101">
        <v>7.0000000000000001E-3</v>
      </c>
      <c r="F258" s="101">
        <v>0</v>
      </c>
      <c r="G258" s="101">
        <v>0</v>
      </c>
      <c r="H258" s="101">
        <v>0.59799999999999998</v>
      </c>
      <c r="I258" s="101">
        <v>0.26400000000000001</v>
      </c>
      <c r="J258" s="101">
        <v>8.5999999999999993E-2</v>
      </c>
      <c r="K258" s="101">
        <v>0.67700000000000005</v>
      </c>
      <c r="L258" s="101">
        <v>0.4</v>
      </c>
      <c r="M258" s="101">
        <v>0</v>
      </c>
      <c r="N258" s="101">
        <v>0</v>
      </c>
      <c r="O258" s="101">
        <v>3.7999999999999999E-2</v>
      </c>
      <c r="P258" s="101">
        <v>0</v>
      </c>
      <c r="Q258" s="101">
        <v>0</v>
      </c>
      <c r="R258" s="101">
        <v>0</v>
      </c>
      <c r="S258" s="101">
        <v>7.0000000000000001E-3</v>
      </c>
      <c r="T258" s="101">
        <v>13.096</v>
      </c>
      <c r="U258" s="101">
        <v>7.5999999999999998E-2</v>
      </c>
      <c r="V258" s="101">
        <v>0</v>
      </c>
      <c r="W258" s="101">
        <v>0</v>
      </c>
      <c r="X258" s="103">
        <f t="shared" si="9"/>
        <v>15.278</v>
      </c>
    </row>
    <row r="259" spans="1:28">
      <c r="A259" s="99" t="s">
        <v>195</v>
      </c>
      <c r="B259" s="99" t="s">
        <v>214</v>
      </c>
      <c r="C259" s="101">
        <v>0</v>
      </c>
      <c r="D259" s="101">
        <v>0</v>
      </c>
      <c r="E259" s="101">
        <v>0</v>
      </c>
      <c r="F259" s="101">
        <v>0</v>
      </c>
      <c r="G259" s="101">
        <v>0</v>
      </c>
      <c r="H259" s="101">
        <v>0.32200000000000001</v>
      </c>
      <c r="I259" s="101">
        <v>1.804</v>
      </c>
      <c r="J259" s="101">
        <v>4.2999999999999997E-2</v>
      </c>
      <c r="K259" s="101">
        <v>11.506</v>
      </c>
      <c r="L259" s="101">
        <v>0.28000000000000003</v>
      </c>
      <c r="M259" s="101">
        <v>0</v>
      </c>
      <c r="N259" s="101">
        <v>0</v>
      </c>
      <c r="O259" s="101">
        <v>4.9379999999999997</v>
      </c>
      <c r="P259" s="101">
        <v>0</v>
      </c>
      <c r="Q259" s="101">
        <v>0</v>
      </c>
      <c r="R259" s="101">
        <v>0.02</v>
      </c>
      <c r="S259" s="101">
        <v>0</v>
      </c>
      <c r="T259" s="101">
        <v>8.32</v>
      </c>
      <c r="U259" s="101">
        <v>0</v>
      </c>
      <c r="V259" s="101">
        <v>0</v>
      </c>
      <c r="W259" s="101">
        <v>0</v>
      </c>
      <c r="X259" s="103">
        <f t="shared" si="9"/>
        <v>27.233000000000001</v>
      </c>
    </row>
    <row r="260" spans="1:28">
      <c r="A260" s="99" t="s">
        <v>199</v>
      </c>
      <c r="B260" s="99" t="s">
        <v>204</v>
      </c>
      <c r="C260" s="101">
        <v>0</v>
      </c>
      <c r="D260" s="101">
        <v>0</v>
      </c>
      <c r="E260" s="101">
        <v>0</v>
      </c>
      <c r="F260" s="101">
        <v>0</v>
      </c>
      <c r="G260" s="101">
        <v>24.206</v>
      </c>
      <c r="H260" s="101">
        <v>0</v>
      </c>
      <c r="I260" s="101">
        <v>0</v>
      </c>
      <c r="J260" s="101">
        <v>0</v>
      </c>
      <c r="K260" s="101">
        <v>1.0649999999999999</v>
      </c>
      <c r="L260" s="101">
        <v>1.32</v>
      </c>
      <c r="M260" s="101">
        <v>1.792</v>
      </c>
      <c r="N260" s="101">
        <v>0</v>
      </c>
      <c r="O260" s="101">
        <v>0</v>
      </c>
      <c r="P260" s="101">
        <v>0</v>
      </c>
      <c r="Q260" s="101">
        <v>0</v>
      </c>
      <c r="R260" s="101">
        <v>0</v>
      </c>
      <c r="S260" s="101">
        <v>0</v>
      </c>
      <c r="T260" s="101">
        <v>0</v>
      </c>
      <c r="U260" s="101">
        <v>0</v>
      </c>
      <c r="V260" s="101">
        <v>0</v>
      </c>
      <c r="W260" s="101">
        <v>0</v>
      </c>
      <c r="X260" s="103">
        <f t="shared" ref="X260:X270" si="10">SUM(C260:W260)</f>
        <v>28.383000000000003</v>
      </c>
      <c r="Y260" s="103">
        <f>SUM(X260:X270)</f>
        <v>328.64499999999998</v>
      </c>
      <c r="Z260" s="98" t="s">
        <v>63</v>
      </c>
      <c r="AA260" s="101">
        <f>$AF$7*$X260</f>
        <v>68.193875926485489</v>
      </c>
      <c r="AB260" s="98"/>
    </row>
    <row r="261" spans="1:28">
      <c r="A261" s="99" t="s">
        <v>199</v>
      </c>
      <c r="B261" s="99" t="s">
        <v>205</v>
      </c>
      <c r="C261" s="101">
        <v>14.128</v>
      </c>
      <c r="D261" s="101">
        <v>27.673999999999999</v>
      </c>
      <c r="E261" s="101">
        <v>0</v>
      </c>
      <c r="F261" s="101">
        <v>0</v>
      </c>
      <c r="G261" s="101">
        <v>0</v>
      </c>
      <c r="H261" s="101">
        <v>8.6479999999999997</v>
      </c>
      <c r="I261" s="101">
        <v>0</v>
      </c>
      <c r="J261" s="101">
        <v>0</v>
      </c>
      <c r="K261" s="101">
        <v>0.89500000000000002</v>
      </c>
      <c r="L261" s="101">
        <v>5</v>
      </c>
      <c r="M261" s="101">
        <v>0</v>
      </c>
      <c r="N261" s="101">
        <v>0</v>
      </c>
      <c r="O261" s="101">
        <v>0</v>
      </c>
      <c r="P261" s="101">
        <v>0</v>
      </c>
      <c r="Q261" s="101">
        <v>0</v>
      </c>
      <c r="R261" s="101">
        <v>0</v>
      </c>
      <c r="S261" s="101">
        <v>0</v>
      </c>
      <c r="T261" s="101">
        <v>1.135</v>
      </c>
      <c r="U261" s="101">
        <v>3.3650000000000002</v>
      </c>
      <c r="V261" s="101">
        <v>5.5090000000000003</v>
      </c>
      <c r="W261" s="101">
        <v>0</v>
      </c>
      <c r="X261" s="103">
        <f t="shared" si="10"/>
        <v>66.354000000000013</v>
      </c>
      <c r="AA261" s="101">
        <f>$AF$8*$X261</f>
        <v>47.983932355735284</v>
      </c>
    </row>
    <row r="262" spans="1:28">
      <c r="A262" s="99" t="s">
        <v>199</v>
      </c>
      <c r="B262" s="99" t="s">
        <v>206</v>
      </c>
      <c r="C262" s="101">
        <v>1.37</v>
      </c>
      <c r="D262" s="101">
        <v>0</v>
      </c>
      <c r="E262" s="101">
        <v>0</v>
      </c>
      <c r="F262" s="101">
        <v>0</v>
      </c>
      <c r="G262" s="101">
        <v>0</v>
      </c>
      <c r="H262" s="101">
        <v>0.46</v>
      </c>
      <c r="I262" s="101">
        <v>0</v>
      </c>
      <c r="J262" s="101">
        <v>0</v>
      </c>
      <c r="K262" s="101">
        <v>0.128</v>
      </c>
      <c r="L262" s="101">
        <v>0.2</v>
      </c>
      <c r="M262" s="101">
        <v>0</v>
      </c>
      <c r="N262" s="101">
        <v>0</v>
      </c>
      <c r="O262" s="101">
        <v>0</v>
      </c>
      <c r="P262" s="101">
        <v>0</v>
      </c>
      <c r="Q262" s="101">
        <v>0</v>
      </c>
      <c r="R262" s="101">
        <v>0</v>
      </c>
      <c r="S262" s="101">
        <v>0</v>
      </c>
      <c r="T262" s="101">
        <v>0.26500000000000001</v>
      </c>
      <c r="U262" s="101">
        <v>0</v>
      </c>
      <c r="V262" s="101">
        <v>0</v>
      </c>
      <c r="W262" s="101">
        <v>0</v>
      </c>
      <c r="X262" s="103">
        <f t="shared" si="10"/>
        <v>2.4230000000000005</v>
      </c>
      <c r="AA262" s="101">
        <f>$AF$9*$X263</f>
        <v>120.24546138517327</v>
      </c>
    </row>
    <row r="263" spans="1:28">
      <c r="A263" s="99" t="s">
        <v>199</v>
      </c>
      <c r="B263" s="99" t="s">
        <v>207</v>
      </c>
      <c r="C263" s="101">
        <v>0</v>
      </c>
      <c r="D263" s="101">
        <v>0</v>
      </c>
      <c r="E263" s="101">
        <v>0.248</v>
      </c>
      <c r="F263" s="101">
        <v>0.248</v>
      </c>
      <c r="G263" s="101">
        <v>0</v>
      </c>
      <c r="H263" s="101">
        <v>1.518</v>
      </c>
      <c r="I263" s="101">
        <v>0</v>
      </c>
      <c r="J263" s="101">
        <v>0</v>
      </c>
      <c r="K263" s="101">
        <v>1.022</v>
      </c>
      <c r="L263" s="101">
        <v>2.88</v>
      </c>
      <c r="M263" s="101">
        <v>0</v>
      </c>
      <c r="N263" s="101">
        <v>0</v>
      </c>
      <c r="O263" s="101">
        <v>0.754</v>
      </c>
      <c r="P263" s="101">
        <v>0</v>
      </c>
      <c r="Q263" s="101">
        <v>0</v>
      </c>
      <c r="R263" s="101">
        <v>0</v>
      </c>
      <c r="S263" s="101">
        <v>0</v>
      </c>
      <c r="T263" s="101">
        <v>5.4119999999999999</v>
      </c>
      <c r="U263" s="101">
        <v>0</v>
      </c>
      <c r="V263" s="101">
        <v>0</v>
      </c>
      <c r="W263" s="101">
        <v>9.1999999999999998E-2</v>
      </c>
      <c r="X263" s="103">
        <f t="shared" si="10"/>
        <v>12.174000000000001</v>
      </c>
      <c r="AA263" s="101">
        <f>$AF$10*$X268</f>
        <v>1259.0034006853157</v>
      </c>
    </row>
    <row r="264" spans="1:28">
      <c r="A264" s="99" t="s">
        <v>199</v>
      </c>
      <c r="B264" s="99" t="s">
        <v>208</v>
      </c>
      <c r="C264" s="101">
        <v>6.6079999999999997</v>
      </c>
      <c r="D264" s="101">
        <v>0.68400000000000005</v>
      </c>
      <c r="E264" s="101">
        <v>0</v>
      </c>
      <c r="F264" s="101">
        <v>0</v>
      </c>
      <c r="G264" s="101">
        <v>0</v>
      </c>
      <c r="H264" s="101">
        <v>1.196</v>
      </c>
      <c r="I264" s="101">
        <v>0</v>
      </c>
      <c r="J264" s="101">
        <v>0</v>
      </c>
      <c r="K264" s="101">
        <v>1.2350000000000001</v>
      </c>
      <c r="L264" s="101">
        <v>4.28</v>
      </c>
      <c r="M264" s="101">
        <v>0</v>
      </c>
      <c r="N264" s="101">
        <v>0</v>
      </c>
      <c r="O264" s="101">
        <v>0</v>
      </c>
      <c r="P264" s="101">
        <v>0</v>
      </c>
      <c r="Q264" s="101">
        <v>0</v>
      </c>
      <c r="R264" s="101">
        <v>0</v>
      </c>
      <c r="S264" s="101">
        <v>0</v>
      </c>
      <c r="T264" s="101">
        <v>0.71899999999999997</v>
      </c>
      <c r="U264" s="101">
        <v>0</v>
      </c>
      <c r="V264" s="101">
        <v>0</v>
      </c>
      <c r="W264" s="101">
        <v>0</v>
      </c>
      <c r="X264" s="103">
        <f t="shared" si="10"/>
        <v>14.722</v>
      </c>
      <c r="AA264" s="101">
        <f>$AF$11*(X262+X264+$X265+X266+X267+X269+X270)</f>
        <v>113.90363164497833</v>
      </c>
    </row>
    <row r="265" spans="1:28">
      <c r="A265" s="99" t="s">
        <v>199</v>
      </c>
      <c r="B265" s="99" t="s">
        <v>209</v>
      </c>
      <c r="C265" s="101">
        <v>3.411</v>
      </c>
      <c r="D265" s="101">
        <v>0</v>
      </c>
      <c r="E265" s="101">
        <v>0</v>
      </c>
      <c r="F265" s="101">
        <v>0</v>
      </c>
      <c r="G265" s="101">
        <v>0</v>
      </c>
      <c r="H265" s="101">
        <v>0.13800000000000001</v>
      </c>
      <c r="I265" s="101">
        <v>0</v>
      </c>
      <c r="J265" s="101">
        <v>0</v>
      </c>
      <c r="K265" s="101">
        <v>0.72399999999999998</v>
      </c>
      <c r="L265" s="101">
        <v>1.48</v>
      </c>
      <c r="M265" s="101">
        <v>0</v>
      </c>
      <c r="N265" s="101">
        <v>0</v>
      </c>
      <c r="O265" s="101">
        <v>0</v>
      </c>
      <c r="P265" s="101">
        <v>0</v>
      </c>
      <c r="Q265" s="101">
        <v>0</v>
      </c>
      <c r="R265" s="101">
        <v>0</v>
      </c>
      <c r="S265" s="101">
        <v>0</v>
      </c>
      <c r="T265" s="101">
        <v>0</v>
      </c>
      <c r="U265" s="101">
        <v>0.309</v>
      </c>
      <c r="V265" s="101">
        <v>0</v>
      </c>
      <c r="W265" s="101">
        <v>0</v>
      </c>
      <c r="X265" s="103">
        <f t="shared" si="10"/>
        <v>6.0620000000000003</v>
      </c>
    </row>
    <row r="266" spans="1:28">
      <c r="A266" s="99" t="s">
        <v>199</v>
      </c>
      <c r="B266" s="99" t="s">
        <v>210</v>
      </c>
      <c r="C266" s="101">
        <v>0</v>
      </c>
      <c r="D266" s="101">
        <v>8.5999999999999993E-2</v>
      </c>
      <c r="E266" s="101">
        <v>0</v>
      </c>
      <c r="F266" s="101">
        <v>0</v>
      </c>
      <c r="G266" s="101">
        <v>0</v>
      </c>
      <c r="H266" s="101">
        <v>1.242</v>
      </c>
      <c r="I266" s="101">
        <v>0</v>
      </c>
      <c r="J266" s="101">
        <v>0</v>
      </c>
      <c r="K266" s="101">
        <v>1.8740000000000001</v>
      </c>
      <c r="L266" s="101">
        <v>2.56</v>
      </c>
      <c r="M266" s="101">
        <v>0</v>
      </c>
      <c r="N266" s="101">
        <v>0</v>
      </c>
      <c r="O266" s="101">
        <v>0</v>
      </c>
      <c r="P266" s="101">
        <v>0</v>
      </c>
      <c r="Q266" s="101">
        <v>0</v>
      </c>
      <c r="R266" s="101">
        <v>0</v>
      </c>
      <c r="S266" s="101">
        <v>0</v>
      </c>
      <c r="T266" s="101">
        <v>3.8220000000000001</v>
      </c>
      <c r="U266" s="101">
        <v>0</v>
      </c>
      <c r="V266" s="101">
        <v>0</v>
      </c>
      <c r="W266" s="101">
        <v>2.8000000000000001E-2</v>
      </c>
      <c r="X266" s="103">
        <f t="shared" si="10"/>
        <v>9.6120000000000001</v>
      </c>
    </row>
    <row r="267" spans="1:28">
      <c r="A267" s="99" t="s">
        <v>199</v>
      </c>
      <c r="B267" s="99" t="s">
        <v>211</v>
      </c>
      <c r="C267" s="101">
        <v>0</v>
      </c>
      <c r="D267" s="101">
        <v>0</v>
      </c>
      <c r="E267" s="101">
        <v>0</v>
      </c>
      <c r="F267" s="101">
        <v>0</v>
      </c>
      <c r="G267" s="101">
        <v>0</v>
      </c>
      <c r="H267" s="101">
        <v>0.36799999999999999</v>
      </c>
      <c r="I267" s="101">
        <v>0</v>
      </c>
      <c r="J267" s="101">
        <v>0</v>
      </c>
      <c r="K267" s="101">
        <v>0.17</v>
      </c>
      <c r="L267" s="101">
        <v>0.44</v>
      </c>
      <c r="M267" s="101">
        <v>0</v>
      </c>
      <c r="N267" s="101">
        <v>0</v>
      </c>
      <c r="O267" s="101">
        <v>0</v>
      </c>
      <c r="P267" s="101">
        <v>0</v>
      </c>
      <c r="Q267" s="101">
        <v>0</v>
      </c>
      <c r="R267" s="101">
        <v>0</v>
      </c>
      <c r="S267" s="101">
        <v>0</v>
      </c>
      <c r="T267" s="101">
        <v>0.151</v>
      </c>
      <c r="U267" s="101">
        <v>0</v>
      </c>
      <c r="V267" s="101">
        <v>0</v>
      </c>
      <c r="W267" s="101">
        <v>0</v>
      </c>
      <c r="X267" s="103">
        <f t="shared" si="10"/>
        <v>1.129</v>
      </c>
    </row>
    <row r="268" spans="1:28">
      <c r="A268" s="99" t="s">
        <v>199</v>
      </c>
      <c r="B268" s="99" t="s">
        <v>212</v>
      </c>
      <c r="C268" s="101">
        <v>0.94</v>
      </c>
      <c r="D268" s="101">
        <v>0</v>
      </c>
      <c r="E268" s="101">
        <v>0</v>
      </c>
      <c r="F268" s="101">
        <v>0</v>
      </c>
      <c r="G268" s="101">
        <v>0</v>
      </c>
      <c r="H268" s="101">
        <v>2.5299999999999998</v>
      </c>
      <c r="I268" s="101">
        <v>0</v>
      </c>
      <c r="J268" s="101">
        <v>0</v>
      </c>
      <c r="K268" s="101">
        <v>0.85199999999999998</v>
      </c>
      <c r="L268" s="101">
        <v>17.36</v>
      </c>
      <c r="M268" s="101">
        <v>0</v>
      </c>
      <c r="N268" s="101">
        <v>0</v>
      </c>
      <c r="O268" s="101">
        <v>128.733</v>
      </c>
      <c r="P268" s="101">
        <v>0</v>
      </c>
      <c r="Q268" s="101">
        <v>0</v>
      </c>
      <c r="R268" s="101">
        <v>0</v>
      </c>
      <c r="S268" s="101">
        <v>0</v>
      </c>
      <c r="T268" s="101">
        <v>1.135</v>
      </c>
      <c r="U268" s="101">
        <v>0</v>
      </c>
      <c r="V268" s="101">
        <v>0</v>
      </c>
      <c r="W268" s="101">
        <v>0</v>
      </c>
      <c r="X268" s="103">
        <f t="shared" si="10"/>
        <v>151.54999999999998</v>
      </c>
    </row>
    <row r="269" spans="1:28">
      <c r="A269" s="99" t="s">
        <v>199</v>
      </c>
      <c r="B269" s="99" t="s">
        <v>213</v>
      </c>
      <c r="C269" s="101">
        <v>0</v>
      </c>
      <c r="D269" s="101">
        <v>0.39900000000000002</v>
      </c>
      <c r="E269" s="101">
        <v>0</v>
      </c>
      <c r="F269" s="101">
        <v>0</v>
      </c>
      <c r="G269" s="101">
        <v>0</v>
      </c>
      <c r="H269" s="101">
        <v>1.8859999999999999</v>
      </c>
      <c r="I269" s="101">
        <v>0</v>
      </c>
      <c r="J269" s="101">
        <v>0</v>
      </c>
      <c r="K269" s="101">
        <v>4.6859999999999999</v>
      </c>
      <c r="L269" s="101">
        <v>1.1200000000000001</v>
      </c>
      <c r="M269" s="101">
        <v>0</v>
      </c>
      <c r="N269" s="101">
        <v>0</v>
      </c>
      <c r="O269" s="101">
        <v>0</v>
      </c>
      <c r="P269" s="101">
        <v>0</v>
      </c>
      <c r="Q269" s="101">
        <v>0</v>
      </c>
      <c r="R269" s="101">
        <v>0</v>
      </c>
      <c r="S269" s="101">
        <v>0</v>
      </c>
      <c r="T269" s="101">
        <v>0.94699999999999995</v>
      </c>
      <c r="U269" s="101">
        <v>0</v>
      </c>
      <c r="V269" s="101">
        <v>0</v>
      </c>
      <c r="W269" s="101">
        <v>6.0000000000000001E-3</v>
      </c>
      <c r="X269" s="103">
        <f t="shared" si="10"/>
        <v>9.0440000000000005</v>
      </c>
    </row>
    <row r="270" spans="1:28">
      <c r="A270" s="99" t="s">
        <v>199</v>
      </c>
      <c r="B270" s="99" t="s">
        <v>214</v>
      </c>
      <c r="C270" s="101">
        <v>0</v>
      </c>
      <c r="D270" s="101">
        <v>0.68400000000000005</v>
      </c>
      <c r="E270" s="101">
        <v>0</v>
      </c>
      <c r="F270" s="101">
        <v>0</v>
      </c>
      <c r="G270" s="101">
        <v>0</v>
      </c>
      <c r="H270" s="101">
        <v>4.5999999999999999E-2</v>
      </c>
      <c r="I270" s="101">
        <v>0</v>
      </c>
      <c r="J270" s="101">
        <v>0</v>
      </c>
      <c r="K270" s="101">
        <v>5.4530000000000003</v>
      </c>
      <c r="L270" s="101">
        <v>1.24</v>
      </c>
      <c r="M270" s="101">
        <v>0</v>
      </c>
      <c r="N270" s="101">
        <v>0</v>
      </c>
      <c r="O270" s="101">
        <v>19.186</v>
      </c>
      <c r="P270" s="101">
        <v>0</v>
      </c>
      <c r="Q270" s="101">
        <v>0</v>
      </c>
      <c r="R270" s="101">
        <v>0</v>
      </c>
      <c r="S270" s="101">
        <v>0</v>
      </c>
      <c r="T270" s="101">
        <v>0.58299999999999996</v>
      </c>
      <c r="U270" s="101">
        <v>0</v>
      </c>
      <c r="V270" s="101">
        <v>0</v>
      </c>
      <c r="W270" s="101">
        <v>0</v>
      </c>
      <c r="X270" s="103">
        <f t="shared" si="10"/>
        <v>27.192</v>
      </c>
      <c r="Y270" s="103"/>
    </row>
    <row r="271" spans="1:28">
      <c r="A271" s="99" t="s">
        <v>196</v>
      </c>
      <c r="B271" s="99" t="s">
        <v>204</v>
      </c>
      <c r="C271" s="101">
        <v>0</v>
      </c>
      <c r="D271" s="101">
        <v>0</v>
      </c>
      <c r="E271" s="101">
        <v>0</v>
      </c>
      <c r="F271" s="101">
        <v>0</v>
      </c>
      <c r="G271" s="101">
        <v>0</v>
      </c>
      <c r="H271" s="101">
        <v>0</v>
      </c>
      <c r="I271" s="101">
        <v>0</v>
      </c>
      <c r="J271" s="101">
        <v>0</v>
      </c>
      <c r="K271" s="101">
        <v>0</v>
      </c>
      <c r="L271" s="101">
        <v>0</v>
      </c>
      <c r="M271" s="101">
        <v>0</v>
      </c>
      <c r="N271" s="101">
        <v>0</v>
      </c>
      <c r="O271" s="101">
        <v>0</v>
      </c>
      <c r="P271" s="101">
        <v>0</v>
      </c>
      <c r="Q271" s="101">
        <v>0</v>
      </c>
      <c r="R271" s="101">
        <v>0</v>
      </c>
      <c r="S271" s="101">
        <v>0</v>
      </c>
      <c r="T271" s="101">
        <v>0</v>
      </c>
      <c r="U271" s="101">
        <v>0</v>
      </c>
      <c r="V271" s="101">
        <v>0</v>
      </c>
      <c r="W271" s="101">
        <v>0</v>
      </c>
      <c r="X271" s="103">
        <f t="shared" si="9"/>
        <v>0</v>
      </c>
      <c r="Y271" s="103">
        <f>SUM(X271:X281)</f>
        <v>40.950999999999993</v>
      </c>
      <c r="Z271" s="98" t="s">
        <v>60</v>
      </c>
      <c r="AA271" s="101">
        <f>$AF$7*$X271</f>
        <v>0</v>
      </c>
      <c r="AB271" s="98"/>
    </row>
    <row r="272" spans="1:28">
      <c r="A272" s="99" t="s">
        <v>196</v>
      </c>
      <c r="B272" s="99" t="s">
        <v>205</v>
      </c>
      <c r="C272" s="101">
        <v>0</v>
      </c>
      <c r="D272" s="101">
        <v>0.22800000000000001</v>
      </c>
      <c r="E272" s="101">
        <v>0</v>
      </c>
      <c r="F272" s="101">
        <v>0</v>
      </c>
      <c r="G272" s="101">
        <v>0</v>
      </c>
      <c r="H272" s="101">
        <v>9.1999999999999998E-2</v>
      </c>
      <c r="I272" s="101">
        <v>0</v>
      </c>
      <c r="J272" s="101">
        <v>0</v>
      </c>
      <c r="K272" s="101">
        <v>4.2999999999999997E-2</v>
      </c>
      <c r="L272" s="101">
        <v>0</v>
      </c>
      <c r="M272" s="101">
        <v>0</v>
      </c>
      <c r="N272" s="101">
        <v>0</v>
      </c>
      <c r="O272" s="101">
        <v>0</v>
      </c>
      <c r="P272" s="101">
        <v>0</v>
      </c>
      <c r="Q272" s="101">
        <v>0</v>
      </c>
      <c r="R272" s="101">
        <v>0</v>
      </c>
      <c r="S272" s="101">
        <v>0</v>
      </c>
      <c r="T272" s="101">
        <v>3.1989999999999998</v>
      </c>
      <c r="U272" s="101">
        <v>0</v>
      </c>
      <c r="V272" s="101">
        <v>0</v>
      </c>
      <c r="W272" s="101">
        <v>0</v>
      </c>
      <c r="X272" s="103">
        <f t="shared" si="9"/>
        <v>3.5619999999999998</v>
      </c>
      <c r="AA272" s="101">
        <f>$AF$8*$X272</f>
        <v>2.5758622999537186</v>
      </c>
    </row>
    <row r="273" spans="1:28">
      <c r="A273" s="99" t="s">
        <v>196</v>
      </c>
      <c r="B273" s="99" t="s">
        <v>206</v>
      </c>
      <c r="C273" s="101">
        <v>0</v>
      </c>
      <c r="D273" s="101">
        <v>0</v>
      </c>
      <c r="E273" s="101">
        <v>0</v>
      </c>
      <c r="F273" s="101">
        <v>0</v>
      </c>
      <c r="G273" s="101">
        <v>0</v>
      </c>
      <c r="H273" s="101">
        <v>0</v>
      </c>
      <c r="I273" s="101">
        <v>0</v>
      </c>
      <c r="J273" s="101">
        <v>0</v>
      </c>
      <c r="K273" s="101">
        <v>8.5000000000000006E-2</v>
      </c>
      <c r="L273" s="101">
        <v>0.12</v>
      </c>
      <c r="M273" s="101">
        <v>0</v>
      </c>
      <c r="N273" s="101">
        <v>0</v>
      </c>
      <c r="O273" s="101">
        <v>0</v>
      </c>
      <c r="P273" s="101">
        <v>0</v>
      </c>
      <c r="Q273" s="101">
        <v>0</v>
      </c>
      <c r="R273" s="101">
        <v>0</v>
      </c>
      <c r="S273" s="101">
        <v>0</v>
      </c>
      <c r="T273" s="101">
        <v>0.79300000000000004</v>
      </c>
      <c r="U273" s="101">
        <v>0</v>
      </c>
      <c r="V273" s="101">
        <v>0</v>
      </c>
      <c r="W273" s="101">
        <v>0</v>
      </c>
      <c r="X273" s="103">
        <f t="shared" si="9"/>
        <v>0.998</v>
      </c>
      <c r="AA273" s="101">
        <f>$AF$9*$X274</f>
        <v>32.33806806103641</v>
      </c>
    </row>
    <row r="274" spans="1:28">
      <c r="A274" s="99" t="s">
        <v>196</v>
      </c>
      <c r="B274" s="99" t="s">
        <v>207</v>
      </c>
      <c r="C274" s="101">
        <v>0</v>
      </c>
      <c r="D274" s="101">
        <v>0</v>
      </c>
      <c r="E274" s="101">
        <v>0</v>
      </c>
      <c r="F274" s="101">
        <v>0</v>
      </c>
      <c r="G274" s="101">
        <v>0</v>
      </c>
      <c r="H274" s="101">
        <v>0.13800000000000001</v>
      </c>
      <c r="I274" s="101">
        <v>0</v>
      </c>
      <c r="J274" s="101">
        <v>0</v>
      </c>
      <c r="K274" s="101">
        <v>0.128</v>
      </c>
      <c r="L274" s="101">
        <v>0.32</v>
      </c>
      <c r="M274" s="101">
        <v>0</v>
      </c>
      <c r="N274" s="101">
        <v>0</v>
      </c>
      <c r="O274" s="101">
        <v>0.36199999999999999</v>
      </c>
      <c r="P274" s="101">
        <v>0</v>
      </c>
      <c r="Q274" s="101">
        <v>0</v>
      </c>
      <c r="R274" s="101">
        <v>0</v>
      </c>
      <c r="S274" s="101">
        <v>9.1999999999999998E-2</v>
      </c>
      <c r="T274" s="101">
        <v>2.234</v>
      </c>
      <c r="U274" s="101">
        <v>0</v>
      </c>
      <c r="V274" s="101">
        <v>0</v>
      </c>
      <c r="W274" s="101">
        <v>0</v>
      </c>
      <c r="X274" s="103">
        <f t="shared" si="9"/>
        <v>3.274</v>
      </c>
      <c r="AA274" s="101">
        <f>$AF$10*$X279</f>
        <v>76.86940591581147</v>
      </c>
    </row>
    <row r="275" spans="1:28">
      <c r="A275" s="99" t="s">
        <v>196</v>
      </c>
      <c r="B275" s="99" t="s">
        <v>208</v>
      </c>
      <c r="C275" s="101">
        <v>0.85</v>
      </c>
      <c r="D275" s="101">
        <v>0.627</v>
      </c>
      <c r="E275" s="101">
        <v>0</v>
      </c>
      <c r="F275" s="101">
        <v>0</v>
      </c>
      <c r="G275" s="101">
        <v>0</v>
      </c>
      <c r="H275" s="101">
        <v>0.184</v>
      </c>
      <c r="I275" s="101">
        <v>0</v>
      </c>
      <c r="J275" s="101">
        <v>0</v>
      </c>
      <c r="K275" s="101">
        <v>0.25600000000000001</v>
      </c>
      <c r="L275" s="101">
        <v>0.08</v>
      </c>
      <c r="M275" s="101">
        <v>1.472</v>
      </c>
      <c r="N275" s="101">
        <v>0</v>
      </c>
      <c r="O275" s="101">
        <v>0.17599999999999999</v>
      </c>
      <c r="P275" s="101">
        <v>0</v>
      </c>
      <c r="Q275" s="101">
        <v>0</v>
      </c>
      <c r="R275" s="101">
        <v>0</v>
      </c>
      <c r="S275" s="101">
        <v>0.42399999999999999</v>
      </c>
      <c r="T275" s="101">
        <v>4.2530000000000001</v>
      </c>
      <c r="U275" s="101">
        <v>0</v>
      </c>
      <c r="V275" s="101">
        <v>0</v>
      </c>
      <c r="W275" s="101">
        <v>0</v>
      </c>
      <c r="X275" s="103">
        <f t="shared" si="9"/>
        <v>8.3219999999999992</v>
      </c>
      <c r="AA275" s="101">
        <f>$AF$11*(X273+X275+$X276+X277+X278+X280+X281)</f>
        <v>40.349254672823598</v>
      </c>
    </row>
    <row r="276" spans="1:28">
      <c r="A276" s="99" t="s">
        <v>196</v>
      </c>
      <c r="B276" s="99" t="s">
        <v>209</v>
      </c>
      <c r="C276" s="101">
        <v>0</v>
      </c>
      <c r="D276" s="101">
        <v>0</v>
      </c>
      <c r="E276" s="101">
        <v>0</v>
      </c>
      <c r="F276" s="101">
        <v>0</v>
      </c>
      <c r="G276" s="101">
        <v>0</v>
      </c>
      <c r="H276" s="101">
        <v>4.5999999999999999E-2</v>
      </c>
      <c r="I276" s="101">
        <v>0</v>
      </c>
      <c r="J276" s="101">
        <v>0</v>
      </c>
      <c r="K276" s="101">
        <v>0.17</v>
      </c>
      <c r="L276" s="101">
        <v>0</v>
      </c>
      <c r="M276" s="101">
        <v>0</v>
      </c>
      <c r="N276" s="101">
        <v>0</v>
      </c>
      <c r="O276" s="101">
        <v>0</v>
      </c>
      <c r="P276" s="101">
        <v>0</v>
      </c>
      <c r="Q276" s="101">
        <v>0</v>
      </c>
      <c r="R276" s="101">
        <v>0</v>
      </c>
      <c r="S276" s="101">
        <v>0</v>
      </c>
      <c r="T276" s="101">
        <v>0.06</v>
      </c>
      <c r="U276" s="101">
        <v>0</v>
      </c>
      <c r="V276" s="101">
        <v>0</v>
      </c>
      <c r="W276" s="101">
        <v>0</v>
      </c>
      <c r="X276" s="103">
        <f t="shared" si="9"/>
        <v>0.27600000000000002</v>
      </c>
    </row>
    <row r="277" spans="1:28">
      <c r="A277" s="99" t="s">
        <v>196</v>
      </c>
      <c r="B277" s="99" t="s">
        <v>210</v>
      </c>
      <c r="C277" s="101">
        <v>0</v>
      </c>
      <c r="D277" s="101">
        <v>2.9000000000000001E-2</v>
      </c>
      <c r="E277" s="101">
        <v>0</v>
      </c>
      <c r="F277" s="101">
        <v>0</v>
      </c>
      <c r="G277" s="101">
        <v>0</v>
      </c>
      <c r="H277" s="101">
        <v>0.13800000000000001</v>
      </c>
      <c r="I277" s="101">
        <v>0</v>
      </c>
      <c r="J277" s="101">
        <v>0</v>
      </c>
      <c r="K277" s="101">
        <v>0.59599999999999997</v>
      </c>
      <c r="L277" s="101">
        <v>0.52</v>
      </c>
      <c r="M277" s="101">
        <v>0</v>
      </c>
      <c r="N277" s="101">
        <v>0</v>
      </c>
      <c r="O277" s="101">
        <v>0</v>
      </c>
      <c r="P277" s="101">
        <v>0</v>
      </c>
      <c r="Q277" s="101">
        <v>0</v>
      </c>
      <c r="R277" s="101">
        <v>0</v>
      </c>
      <c r="S277" s="101">
        <v>0</v>
      </c>
      <c r="T277" s="101">
        <v>1.3140000000000001</v>
      </c>
      <c r="U277" s="101">
        <v>0</v>
      </c>
      <c r="V277" s="101">
        <v>0</v>
      </c>
      <c r="W277" s="101">
        <v>0</v>
      </c>
      <c r="X277" s="103">
        <f t="shared" si="9"/>
        <v>2.597</v>
      </c>
    </row>
    <row r="278" spans="1:28">
      <c r="A278" s="99" t="s">
        <v>196</v>
      </c>
      <c r="B278" s="99" t="s">
        <v>211</v>
      </c>
      <c r="C278" s="101">
        <v>0</v>
      </c>
      <c r="D278" s="101">
        <v>0</v>
      </c>
      <c r="E278" s="101">
        <v>0</v>
      </c>
      <c r="F278" s="101">
        <v>0</v>
      </c>
      <c r="G278" s="101">
        <v>0</v>
      </c>
      <c r="H278" s="101">
        <v>4.5999999999999999E-2</v>
      </c>
      <c r="I278" s="101">
        <v>0</v>
      </c>
      <c r="J278" s="101">
        <v>0</v>
      </c>
      <c r="K278" s="101">
        <v>0.17</v>
      </c>
      <c r="L278" s="101">
        <v>0.12</v>
      </c>
      <c r="M278" s="101">
        <v>0</v>
      </c>
      <c r="N278" s="101">
        <v>0</v>
      </c>
      <c r="O278" s="101">
        <v>1.7999999999999999E-2</v>
      </c>
      <c r="P278" s="101">
        <v>0</v>
      </c>
      <c r="Q278" s="101">
        <v>0</v>
      </c>
      <c r="R278" s="101">
        <v>0</v>
      </c>
      <c r="S278" s="101">
        <v>0</v>
      </c>
      <c r="T278" s="101">
        <v>1.2909999999999999</v>
      </c>
      <c r="U278" s="101">
        <v>0</v>
      </c>
      <c r="V278" s="101">
        <v>0</v>
      </c>
      <c r="W278" s="101">
        <v>0</v>
      </c>
      <c r="X278" s="103">
        <f t="shared" si="9"/>
        <v>1.645</v>
      </c>
    </row>
    <row r="279" spans="1:28">
      <c r="A279" s="99" t="s">
        <v>196</v>
      </c>
      <c r="B279" s="99" t="s">
        <v>212</v>
      </c>
      <c r="C279" s="101">
        <v>1.5920000000000001</v>
      </c>
      <c r="D279" s="101">
        <v>0</v>
      </c>
      <c r="E279" s="101">
        <v>0</v>
      </c>
      <c r="F279" s="101">
        <v>0</v>
      </c>
      <c r="G279" s="101">
        <v>0</v>
      </c>
      <c r="H279" s="101">
        <v>4.5999999999999999E-2</v>
      </c>
      <c r="I279" s="101">
        <v>0</v>
      </c>
      <c r="J279" s="101">
        <v>0</v>
      </c>
      <c r="K279" s="101">
        <v>4.2999999999999997E-2</v>
      </c>
      <c r="L279" s="101">
        <v>1.1200000000000001</v>
      </c>
      <c r="M279" s="101">
        <v>0</v>
      </c>
      <c r="N279" s="101">
        <v>0</v>
      </c>
      <c r="O279" s="101">
        <v>1.9339999999999999</v>
      </c>
      <c r="P279" s="101">
        <v>0</v>
      </c>
      <c r="Q279" s="101">
        <v>0</v>
      </c>
      <c r="R279" s="101">
        <v>0</v>
      </c>
      <c r="S279" s="101">
        <v>0</v>
      </c>
      <c r="T279" s="101">
        <v>4.5179999999999998</v>
      </c>
      <c r="U279" s="101">
        <v>0</v>
      </c>
      <c r="V279" s="101">
        <v>0</v>
      </c>
      <c r="W279" s="101">
        <v>0</v>
      </c>
      <c r="X279" s="103">
        <f t="shared" si="9"/>
        <v>9.2530000000000001</v>
      </c>
    </row>
    <row r="280" spans="1:28">
      <c r="A280" s="99" t="s">
        <v>196</v>
      </c>
      <c r="B280" s="99" t="s">
        <v>213</v>
      </c>
      <c r="C280" s="101">
        <v>0</v>
      </c>
      <c r="D280" s="101">
        <v>0</v>
      </c>
      <c r="E280" s="101">
        <v>0</v>
      </c>
      <c r="F280" s="101">
        <v>0</v>
      </c>
      <c r="G280" s="101">
        <v>0</v>
      </c>
      <c r="H280" s="101">
        <v>0.32200000000000001</v>
      </c>
      <c r="I280" s="101">
        <v>0</v>
      </c>
      <c r="J280" s="101">
        <v>0</v>
      </c>
      <c r="K280" s="101">
        <v>0.85199999999999998</v>
      </c>
      <c r="L280" s="101">
        <v>0.04</v>
      </c>
      <c r="M280" s="101">
        <v>0</v>
      </c>
      <c r="N280" s="101">
        <v>0</v>
      </c>
      <c r="O280" s="101">
        <v>1.7999999999999999E-2</v>
      </c>
      <c r="P280" s="101">
        <v>0</v>
      </c>
      <c r="Q280" s="101">
        <v>0</v>
      </c>
      <c r="R280" s="101">
        <v>0</v>
      </c>
      <c r="S280" s="101">
        <v>0</v>
      </c>
      <c r="T280" s="101">
        <v>3.15</v>
      </c>
      <c r="U280" s="101">
        <v>0</v>
      </c>
      <c r="V280" s="101">
        <v>0</v>
      </c>
      <c r="W280" s="101">
        <v>0</v>
      </c>
      <c r="X280" s="103">
        <f t="shared" si="9"/>
        <v>4.3819999999999997</v>
      </c>
    </row>
    <row r="281" spans="1:28">
      <c r="A281" s="99" t="s">
        <v>196</v>
      </c>
      <c r="B281" s="99" t="s">
        <v>214</v>
      </c>
      <c r="C281" s="101">
        <v>2.1999999999999999E-2</v>
      </c>
      <c r="D281" s="101">
        <v>0</v>
      </c>
      <c r="E281" s="101">
        <v>0</v>
      </c>
      <c r="F281" s="101">
        <v>0</v>
      </c>
      <c r="G281" s="101">
        <v>0</v>
      </c>
      <c r="H281" s="101">
        <v>0.13800000000000001</v>
      </c>
      <c r="I281" s="101">
        <v>0</v>
      </c>
      <c r="J281" s="101">
        <v>0</v>
      </c>
      <c r="K281" s="101">
        <v>2.3860000000000001</v>
      </c>
      <c r="L281" s="101">
        <v>0.04</v>
      </c>
      <c r="M281" s="101">
        <v>0</v>
      </c>
      <c r="N281" s="101">
        <v>0</v>
      </c>
      <c r="O281" s="101">
        <v>2.2250000000000001</v>
      </c>
      <c r="P281" s="101">
        <v>0</v>
      </c>
      <c r="Q281" s="101">
        <v>0</v>
      </c>
      <c r="R281" s="101">
        <v>0</v>
      </c>
      <c r="S281" s="101">
        <v>0</v>
      </c>
      <c r="T281" s="101">
        <v>1.831</v>
      </c>
      <c r="U281" s="101">
        <v>0</v>
      </c>
      <c r="V281" s="101">
        <v>0</v>
      </c>
      <c r="W281" s="101">
        <v>0</v>
      </c>
      <c r="X281" s="103">
        <f t="shared" si="9"/>
        <v>6.6419999999999995</v>
      </c>
    </row>
    <row r="282" spans="1:28">
      <c r="A282" s="99" t="s">
        <v>197</v>
      </c>
      <c r="B282" s="99" t="s">
        <v>204</v>
      </c>
      <c r="C282" s="101">
        <v>0</v>
      </c>
      <c r="D282" s="101">
        <v>0</v>
      </c>
      <c r="E282" s="101">
        <v>0</v>
      </c>
      <c r="F282" s="101">
        <v>0</v>
      </c>
      <c r="G282" s="101">
        <v>18.265999999999998</v>
      </c>
      <c r="H282" s="101">
        <v>0</v>
      </c>
      <c r="I282" s="101">
        <v>0</v>
      </c>
      <c r="J282" s="101">
        <v>0</v>
      </c>
      <c r="K282" s="101">
        <v>0</v>
      </c>
      <c r="L282" s="101">
        <v>3.84</v>
      </c>
      <c r="M282" s="101">
        <v>1.792</v>
      </c>
      <c r="N282" s="101">
        <v>0</v>
      </c>
      <c r="O282" s="101">
        <v>0</v>
      </c>
      <c r="P282" s="101">
        <v>0</v>
      </c>
      <c r="Q282" s="101">
        <v>0</v>
      </c>
      <c r="R282" s="101">
        <v>0</v>
      </c>
      <c r="S282" s="101">
        <v>0</v>
      </c>
      <c r="T282" s="101">
        <v>6.0229999999999997</v>
      </c>
      <c r="U282" s="101">
        <v>0</v>
      </c>
      <c r="V282" s="101">
        <v>0</v>
      </c>
      <c r="W282" s="101">
        <v>0</v>
      </c>
      <c r="X282" s="103">
        <f t="shared" ref="X282:X294" si="11">SUM(C282:W282)</f>
        <v>29.920999999999999</v>
      </c>
      <c r="Y282" s="103">
        <f>SUM(X271:X292)</f>
        <v>214.96599999999998</v>
      </c>
      <c r="Z282" s="98" t="s">
        <v>61</v>
      </c>
      <c r="AA282" s="101">
        <f>$AF$7*$X282</f>
        <v>71.889122418221191</v>
      </c>
    </row>
    <row r="283" spans="1:28">
      <c r="A283" s="99" t="s">
        <v>197</v>
      </c>
      <c r="B283" s="99" t="s">
        <v>205</v>
      </c>
      <c r="C283" s="101">
        <v>22.030999999999999</v>
      </c>
      <c r="D283" s="101">
        <v>29.155999999999999</v>
      </c>
      <c r="E283" s="101">
        <v>1.0999999999999999E-2</v>
      </c>
      <c r="F283" s="101">
        <v>0</v>
      </c>
      <c r="G283" s="101">
        <v>0</v>
      </c>
      <c r="H283" s="101">
        <v>0</v>
      </c>
      <c r="I283" s="101">
        <v>0</v>
      </c>
      <c r="J283" s="101">
        <v>0</v>
      </c>
      <c r="K283" s="101">
        <v>0</v>
      </c>
      <c r="L283" s="101">
        <v>0.08</v>
      </c>
      <c r="M283" s="101">
        <v>0</v>
      </c>
      <c r="N283" s="101">
        <v>0</v>
      </c>
      <c r="O283" s="101">
        <v>6.4000000000000001E-2</v>
      </c>
      <c r="P283" s="101">
        <v>0</v>
      </c>
      <c r="Q283" s="101">
        <v>0</v>
      </c>
      <c r="R283" s="101">
        <v>0</v>
      </c>
      <c r="S283" s="101">
        <v>0</v>
      </c>
      <c r="T283" s="101">
        <v>6.1020000000000003</v>
      </c>
      <c r="U283" s="101">
        <v>6.9279999999999999</v>
      </c>
      <c r="V283" s="101">
        <v>8.4809999999999999</v>
      </c>
      <c r="W283" s="101">
        <v>0</v>
      </c>
      <c r="X283" s="103">
        <f t="shared" si="11"/>
        <v>72.852999999999994</v>
      </c>
      <c r="AA283" s="101">
        <f>$AF$8*$X283</f>
        <v>52.683687854724383</v>
      </c>
      <c r="AB283" s="98"/>
    </row>
    <row r="284" spans="1:28">
      <c r="A284" s="99" t="s">
        <v>197</v>
      </c>
      <c r="B284" s="99" t="s">
        <v>206</v>
      </c>
      <c r="C284" s="101">
        <v>0.23400000000000001</v>
      </c>
      <c r="D284" s="101">
        <v>0.14299999999999999</v>
      </c>
      <c r="E284" s="101">
        <v>0</v>
      </c>
      <c r="F284" s="101">
        <v>0</v>
      </c>
      <c r="G284" s="101">
        <v>0</v>
      </c>
      <c r="H284" s="101">
        <v>0</v>
      </c>
      <c r="I284" s="101">
        <v>0</v>
      </c>
      <c r="J284" s="101">
        <v>0</v>
      </c>
      <c r="K284" s="101">
        <v>0</v>
      </c>
      <c r="L284" s="101">
        <v>0</v>
      </c>
      <c r="M284" s="101">
        <v>0</v>
      </c>
      <c r="N284" s="101">
        <v>0</v>
      </c>
      <c r="O284" s="101">
        <v>0</v>
      </c>
      <c r="P284" s="101">
        <v>0</v>
      </c>
      <c r="Q284" s="101">
        <v>0</v>
      </c>
      <c r="R284" s="101">
        <v>0</v>
      </c>
      <c r="S284" s="101">
        <v>0</v>
      </c>
      <c r="T284" s="101">
        <v>1.165</v>
      </c>
      <c r="U284" s="101">
        <v>0</v>
      </c>
      <c r="V284" s="101">
        <v>0</v>
      </c>
      <c r="W284" s="101">
        <v>0</v>
      </c>
      <c r="X284" s="103">
        <f t="shared" si="11"/>
        <v>1.542</v>
      </c>
      <c r="AA284" s="101">
        <f>$AF$9*$X285</f>
        <v>128.95718283594726</v>
      </c>
    </row>
    <row r="285" spans="1:28">
      <c r="A285" s="99" t="s">
        <v>197</v>
      </c>
      <c r="B285" s="99" t="s">
        <v>207</v>
      </c>
      <c r="C285" s="101">
        <v>0</v>
      </c>
      <c r="D285" s="101">
        <v>2.9000000000000001E-2</v>
      </c>
      <c r="E285" s="101">
        <v>0.48899999999999999</v>
      </c>
      <c r="F285" s="101">
        <v>0</v>
      </c>
      <c r="G285" s="101">
        <v>1.881</v>
      </c>
      <c r="H285" s="101">
        <v>0.73599999999999999</v>
      </c>
      <c r="I285" s="101">
        <v>0</v>
      </c>
      <c r="J285" s="101">
        <v>0</v>
      </c>
      <c r="K285" s="101">
        <v>0</v>
      </c>
      <c r="L285" s="101">
        <v>6.28</v>
      </c>
      <c r="M285" s="101">
        <v>0</v>
      </c>
      <c r="N285" s="101">
        <v>0</v>
      </c>
      <c r="O285" s="101">
        <v>0</v>
      </c>
      <c r="P285" s="101">
        <v>0</v>
      </c>
      <c r="Q285" s="101">
        <v>0</v>
      </c>
      <c r="R285" s="101">
        <v>0</v>
      </c>
      <c r="S285" s="101">
        <v>0.60499999999999998</v>
      </c>
      <c r="T285" s="101">
        <v>3.036</v>
      </c>
      <c r="U285" s="101">
        <v>0</v>
      </c>
      <c r="V285" s="101">
        <v>0</v>
      </c>
      <c r="W285" s="101">
        <v>0</v>
      </c>
      <c r="X285" s="103">
        <f t="shared" si="11"/>
        <v>13.055999999999999</v>
      </c>
      <c r="AA285" s="101">
        <f>$AF$10*$X290</f>
        <v>128.03537057975646</v>
      </c>
    </row>
    <row r="286" spans="1:28">
      <c r="A286" s="99" t="s">
        <v>197</v>
      </c>
      <c r="B286" s="99" t="s">
        <v>208</v>
      </c>
      <c r="C286" s="101">
        <v>4.4169999999999998</v>
      </c>
      <c r="D286" s="101">
        <v>0.77</v>
      </c>
      <c r="E286" s="101">
        <v>0</v>
      </c>
      <c r="F286" s="101">
        <v>0</v>
      </c>
      <c r="G286" s="101">
        <v>0</v>
      </c>
      <c r="H286" s="101">
        <v>0</v>
      </c>
      <c r="I286" s="101">
        <v>0</v>
      </c>
      <c r="J286" s="101">
        <v>0</v>
      </c>
      <c r="K286" s="101">
        <v>8.5000000000000006E-2</v>
      </c>
      <c r="L286" s="101">
        <v>0.96</v>
      </c>
      <c r="M286" s="101">
        <v>1.4079999999999999</v>
      </c>
      <c r="N286" s="101">
        <v>0</v>
      </c>
      <c r="O286" s="101">
        <v>0</v>
      </c>
      <c r="P286" s="101">
        <v>0</v>
      </c>
      <c r="Q286" s="101">
        <v>0</v>
      </c>
      <c r="R286" s="101">
        <v>0</v>
      </c>
      <c r="S286" s="101">
        <v>0</v>
      </c>
      <c r="T286" s="101">
        <v>9.9260000000000002</v>
      </c>
      <c r="U286" s="101">
        <v>0</v>
      </c>
      <c r="V286" s="101">
        <v>0</v>
      </c>
      <c r="W286" s="101">
        <v>0</v>
      </c>
      <c r="X286" s="103">
        <f t="shared" si="11"/>
        <v>17.565999999999999</v>
      </c>
      <c r="AA286" s="101">
        <f>$AF$11*(X284+X286+$X287+X288+X289+X291+X292)</f>
        <v>69.417531579144239</v>
      </c>
    </row>
    <row r="287" spans="1:28">
      <c r="A287" s="99" t="s">
        <v>197</v>
      </c>
      <c r="B287" s="99" t="s">
        <v>209</v>
      </c>
      <c r="C287" s="101">
        <v>0</v>
      </c>
      <c r="D287" s="101">
        <v>0</v>
      </c>
      <c r="E287" s="101">
        <v>2.1000000000000001E-2</v>
      </c>
      <c r="F287" s="101">
        <v>0</v>
      </c>
      <c r="G287" s="101">
        <v>0</v>
      </c>
      <c r="H287" s="101">
        <v>0</v>
      </c>
      <c r="I287" s="101">
        <v>0</v>
      </c>
      <c r="J287" s="101">
        <v>0</v>
      </c>
      <c r="K287" s="101">
        <v>0.127</v>
      </c>
      <c r="L287" s="101">
        <v>0</v>
      </c>
      <c r="M287" s="101">
        <v>0</v>
      </c>
      <c r="N287" s="101">
        <v>0</v>
      </c>
      <c r="O287" s="101">
        <v>1E-3</v>
      </c>
      <c r="P287" s="101">
        <v>0</v>
      </c>
      <c r="Q287" s="101">
        <v>0</v>
      </c>
      <c r="R287" s="101">
        <v>0</v>
      </c>
      <c r="S287" s="101">
        <v>0</v>
      </c>
      <c r="T287" s="101">
        <v>1.2989999999999999</v>
      </c>
      <c r="U287" s="101">
        <v>0</v>
      </c>
      <c r="V287" s="101">
        <v>0</v>
      </c>
      <c r="W287" s="101">
        <v>0</v>
      </c>
      <c r="X287" s="103">
        <f t="shared" si="11"/>
        <v>1.448</v>
      </c>
    </row>
    <row r="288" spans="1:28">
      <c r="A288" s="99" t="s">
        <v>197</v>
      </c>
      <c r="B288" s="99" t="s">
        <v>210</v>
      </c>
      <c r="C288" s="101">
        <v>0</v>
      </c>
      <c r="D288" s="101">
        <v>0.114</v>
      </c>
      <c r="E288" s="101">
        <v>3.2000000000000001E-2</v>
      </c>
      <c r="F288" s="101">
        <v>0</v>
      </c>
      <c r="G288" s="101">
        <v>0</v>
      </c>
      <c r="H288" s="101">
        <v>0</v>
      </c>
      <c r="I288" s="101">
        <v>0</v>
      </c>
      <c r="J288" s="101">
        <v>0</v>
      </c>
      <c r="K288" s="101">
        <v>4.2000000000000003E-2</v>
      </c>
      <c r="L288" s="101">
        <v>0.08</v>
      </c>
      <c r="M288" s="101">
        <v>0</v>
      </c>
      <c r="N288" s="101">
        <v>0</v>
      </c>
      <c r="O288" s="101">
        <v>0.03</v>
      </c>
      <c r="P288" s="101">
        <v>0</v>
      </c>
      <c r="Q288" s="101">
        <v>0</v>
      </c>
      <c r="R288" s="101">
        <v>0</v>
      </c>
      <c r="S288" s="101">
        <v>4.2000000000000003E-2</v>
      </c>
      <c r="T288" s="101">
        <v>6.5209999999999999</v>
      </c>
      <c r="U288" s="101">
        <v>0</v>
      </c>
      <c r="V288" s="101">
        <v>0</v>
      </c>
      <c r="W288" s="101">
        <v>0</v>
      </c>
      <c r="X288" s="103">
        <f t="shared" si="11"/>
        <v>6.8609999999999998</v>
      </c>
    </row>
    <row r="289" spans="1:28">
      <c r="A289" s="99" t="s">
        <v>197</v>
      </c>
      <c r="B289" s="99" t="s">
        <v>211</v>
      </c>
      <c r="C289" s="101">
        <v>2.5999999999999999E-2</v>
      </c>
      <c r="D289" s="101">
        <v>0</v>
      </c>
      <c r="E289" s="101">
        <v>1.0999999999999999E-2</v>
      </c>
      <c r="F289" s="101">
        <v>0</v>
      </c>
      <c r="G289" s="101">
        <v>0</v>
      </c>
      <c r="H289" s="101">
        <v>0</v>
      </c>
      <c r="I289" s="101">
        <v>0</v>
      </c>
      <c r="J289" s="101">
        <v>0</v>
      </c>
      <c r="K289" s="101">
        <v>0</v>
      </c>
      <c r="L289" s="101">
        <v>0.04</v>
      </c>
      <c r="M289" s="101">
        <v>0</v>
      </c>
      <c r="N289" s="101">
        <v>0</v>
      </c>
      <c r="O289" s="101">
        <v>0</v>
      </c>
      <c r="P289" s="101">
        <v>0</v>
      </c>
      <c r="Q289" s="101">
        <v>0</v>
      </c>
      <c r="R289" s="101">
        <v>0</v>
      </c>
      <c r="S289" s="101">
        <v>0</v>
      </c>
      <c r="T289" s="101">
        <v>1.5980000000000001</v>
      </c>
      <c r="U289" s="101">
        <v>0</v>
      </c>
      <c r="V289" s="101">
        <v>0</v>
      </c>
      <c r="W289" s="101">
        <v>0</v>
      </c>
      <c r="X289" s="103">
        <f t="shared" si="11"/>
        <v>1.675</v>
      </c>
    </row>
    <row r="290" spans="1:28">
      <c r="A290" s="99" t="s">
        <v>197</v>
      </c>
      <c r="B290" s="99" t="s">
        <v>212</v>
      </c>
      <c r="C290" s="101">
        <v>1.611</v>
      </c>
      <c r="D290" s="101">
        <v>0</v>
      </c>
      <c r="E290" s="101">
        <v>1.381</v>
      </c>
      <c r="F290" s="101">
        <v>0</v>
      </c>
      <c r="G290" s="101">
        <v>0</v>
      </c>
      <c r="H290" s="101">
        <v>0</v>
      </c>
      <c r="I290" s="101">
        <v>0</v>
      </c>
      <c r="J290" s="101">
        <v>0</v>
      </c>
      <c r="K290" s="101">
        <v>0</v>
      </c>
      <c r="L290" s="101">
        <v>0.2</v>
      </c>
      <c r="M290" s="101">
        <v>0</v>
      </c>
      <c r="N290" s="101">
        <v>0</v>
      </c>
      <c r="O290" s="101">
        <v>9.8840000000000003</v>
      </c>
      <c r="P290" s="101">
        <v>1.4999999999999999E-2</v>
      </c>
      <c r="Q290" s="101">
        <v>0</v>
      </c>
      <c r="R290" s="101">
        <v>0</v>
      </c>
      <c r="S290" s="101">
        <v>0</v>
      </c>
      <c r="T290" s="101">
        <v>2.3210000000000002</v>
      </c>
      <c r="U290" s="101">
        <v>0</v>
      </c>
      <c r="V290" s="101">
        <v>0</v>
      </c>
      <c r="W290" s="101">
        <v>0</v>
      </c>
      <c r="X290" s="103">
        <f t="shared" si="11"/>
        <v>15.412000000000001</v>
      </c>
    </row>
    <row r="291" spans="1:28">
      <c r="A291" s="99" t="s">
        <v>197</v>
      </c>
      <c r="B291" s="99" t="s">
        <v>213</v>
      </c>
      <c r="C291" s="101">
        <v>5.1999999999999998E-2</v>
      </c>
      <c r="D291" s="101">
        <v>2.9000000000000001E-2</v>
      </c>
      <c r="E291" s="101">
        <v>0.14899999999999999</v>
      </c>
      <c r="F291" s="101">
        <v>0</v>
      </c>
      <c r="G291" s="101">
        <v>0</v>
      </c>
      <c r="H291" s="101">
        <v>4.5999999999999999E-2</v>
      </c>
      <c r="I291" s="101">
        <v>0</v>
      </c>
      <c r="J291" s="101">
        <v>0</v>
      </c>
      <c r="K291" s="101">
        <v>4.2000000000000003E-2</v>
      </c>
      <c r="L291" s="101">
        <v>0</v>
      </c>
      <c r="M291" s="101">
        <v>0</v>
      </c>
      <c r="N291" s="101">
        <v>0</v>
      </c>
      <c r="O291" s="101">
        <v>0.22</v>
      </c>
      <c r="P291" s="101">
        <v>0</v>
      </c>
      <c r="Q291" s="101">
        <v>0</v>
      </c>
      <c r="R291" s="101">
        <v>0</v>
      </c>
      <c r="S291" s="101">
        <v>0</v>
      </c>
      <c r="T291" s="101">
        <v>5.21</v>
      </c>
      <c r="U291" s="101">
        <v>0</v>
      </c>
      <c r="V291" s="101">
        <v>0</v>
      </c>
      <c r="W291" s="101">
        <v>0</v>
      </c>
      <c r="X291" s="103">
        <f t="shared" si="11"/>
        <v>5.7480000000000002</v>
      </c>
    </row>
    <row r="292" spans="1:28">
      <c r="A292" s="99" t="s">
        <v>197</v>
      </c>
      <c r="B292" s="99" t="s">
        <v>214</v>
      </c>
      <c r="C292" s="101">
        <v>0</v>
      </c>
      <c r="D292" s="101">
        <v>0</v>
      </c>
      <c r="E292" s="101">
        <v>1.0999999999999999E-2</v>
      </c>
      <c r="F292" s="101">
        <v>0</v>
      </c>
      <c r="G292" s="101">
        <v>0</v>
      </c>
      <c r="H292" s="101">
        <v>9.1999999999999998E-2</v>
      </c>
      <c r="I292" s="101">
        <v>0</v>
      </c>
      <c r="J292" s="101">
        <v>0</v>
      </c>
      <c r="K292" s="101">
        <v>0.50800000000000001</v>
      </c>
      <c r="L292" s="101">
        <v>0.04</v>
      </c>
      <c r="M292" s="101">
        <v>0.37</v>
      </c>
      <c r="N292" s="101">
        <v>0</v>
      </c>
      <c r="O292" s="101">
        <v>1.399</v>
      </c>
      <c r="P292" s="101">
        <v>0</v>
      </c>
      <c r="Q292" s="101">
        <v>0</v>
      </c>
      <c r="R292" s="101">
        <v>0</v>
      </c>
      <c r="S292" s="101">
        <v>1.2999999999999999E-2</v>
      </c>
      <c r="T292" s="101">
        <v>3.3980000000000001</v>
      </c>
      <c r="U292" s="101">
        <v>2.1019999999999999</v>
      </c>
      <c r="V292" s="101">
        <v>0</v>
      </c>
      <c r="W292" s="101">
        <v>0</v>
      </c>
      <c r="X292" s="103">
        <f t="shared" si="11"/>
        <v>7.9329999999999998</v>
      </c>
    </row>
    <row r="293" spans="1:28">
      <c r="A293" s="99" t="s">
        <v>221</v>
      </c>
      <c r="B293" s="99" t="s">
        <v>204</v>
      </c>
      <c r="C293" s="101">
        <v>0</v>
      </c>
      <c r="D293" s="101">
        <v>0</v>
      </c>
      <c r="E293" s="101">
        <v>0</v>
      </c>
      <c r="F293" s="101">
        <v>0</v>
      </c>
      <c r="G293" s="101">
        <v>136.422</v>
      </c>
      <c r="H293" s="101">
        <v>1.748</v>
      </c>
      <c r="I293" s="101">
        <v>0</v>
      </c>
      <c r="J293" s="101">
        <v>0</v>
      </c>
      <c r="K293" s="101">
        <v>8.7759999999999998</v>
      </c>
      <c r="L293" s="101">
        <v>68.64</v>
      </c>
      <c r="M293" s="101">
        <v>38.624000000000002</v>
      </c>
      <c r="N293" s="101">
        <v>0</v>
      </c>
      <c r="O293" s="101">
        <v>0</v>
      </c>
      <c r="P293" s="101">
        <v>0</v>
      </c>
      <c r="Q293" s="101">
        <v>0</v>
      </c>
      <c r="R293" s="101">
        <v>0</v>
      </c>
      <c r="S293" s="101">
        <v>0</v>
      </c>
      <c r="T293" s="101">
        <v>13.848000000000001</v>
      </c>
      <c r="U293" s="101">
        <v>0</v>
      </c>
      <c r="V293" s="101">
        <v>0</v>
      </c>
      <c r="W293" s="101">
        <v>0</v>
      </c>
      <c r="X293" s="103">
        <f t="shared" si="11"/>
        <v>268.05799999999999</v>
      </c>
      <c r="Y293" s="103">
        <f>SUM(X293:X303)</f>
        <v>1240.5793159999998</v>
      </c>
      <c r="Z293" s="98" t="s">
        <v>64</v>
      </c>
      <c r="AA293" s="101">
        <f>$AF$7*$X293</f>
        <v>644.04446299199674</v>
      </c>
    </row>
    <row r="294" spans="1:28">
      <c r="A294" s="99" t="s">
        <v>221</v>
      </c>
      <c r="B294" s="99" t="s">
        <v>205</v>
      </c>
      <c r="C294" s="101">
        <v>30.382000000000001</v>
      </c>
      <c r="D294" s="101">
        <v>80.997</v>
      </c>
      <c r="E294" s="101">
        <v>0</v>
      </c>
      <c r="F294" s="101">
        <v>0</v>
      </c>
      <c r="G294" s="101">
        <v>0</v>
      </c>
      <c r="H294" s="101">
        <v>0</v>
      </c>
      <c r="I294" s="101">
        <v>0</v>
      </c>
      <c r="J294" s="101">
        <v>0</v>
      </c>
      <c r="K294" s="101">
        <v>0</v>
      </c>
      <c r="L294" s="101">
        <v>11.32</v>
      </c>
      <c r="M294" s="101">
        <v>0</v>
      </c>
      <c r="N294" s="101">
        <v>0</v>
      </c>
      <c r="O294" s="101">
        <v>0</v>
      </c>
      <c r="P294" s="101">
        <v>0</v>
      </c>
      <c r="Q294" s="101">
        <v>0</v>
      </c>
      <c r="R294" s="101">
        <v>0</v>
      </c>
      <c r="S294" s="101">
        <v>0</v>
      </c>
      <c r="T294" s="101">
        <v>27.44</v>
      </c>
      <c r="U294" s="101">
        <v>5.3659999999999997</v>
      </c>
      <c r="V294" s="101">
        <v>16.254000000000001</v>
      </c>
      <c r="W294" s="101">
        <v>0</v>
      </c>
      <c r="X294" s="103">
        <f t="shared" si="11"/>
        <v>171.75899999999999</v>
      </c>
      <c r="AA294" s="101">
        <f>$AF$8*$X294</f>
        <v>124.20761728740897</v>
      </c>
      <c r="AB294" s="98"/>
    </row>
    <row r="295" spans="1:28">
      <c r="A295" s="99" t="s">
        <v>221</v>
      </c>
      <c r="B295" s="99" t="s">
        <v>206</v>
      </c>
      <c r="C295" s="101">
        <v>1.0589999999999999</v>
      </c>
      <c r="D295" s="101">
        <v>0</v>
      </c>
      <c r="E295" s="101">
        <v>0</v>
      </c>
      <c r="F295" s="101">
        <v>0</v>
      </c>
      <c r="G295" s="101">
        <v>0</v>
      </c>
      <c r="H295" s="101">
        <v>0</v>
      </c>
      <c r="I295" s="101">
        <v>0</v>
      </c>
      <c r="J295" s="101">
        <v>0</v>
      </c>
      <c r="K295" s="101">
        <v>1.1930000000000001</v>
      </c>
      <c r="L295" s="101">
        <v>0.88</v>
      </c>
      <c r="M295" s="101">
        <v>0</v>
      </c>
      <c r="N295" s="101">
        <v>0</v>
      </c>
      <c r="O295" s="101">
        <v>0</v>
      </c>
      <c r="P295" s="101">
        <v>0</v>
      </c>
      <c r="Q295" s="101">
        <v>0</v>
      </c>
      <c r="R295" s="101">
        <v>0</v>
      </c>
      <c r="S295" s="101">
        <v>0</v>
      </c>
      <c r="T295" s="101">
        <v>10.426</v>
      </c>
      <c r="U295" s="101">
        <v>0</v>
      </c>
      <c r="V295" s="101">
        <v>0</v>
      </c>
      <c r="W295" s="101">
        <v>0</v>
      </c>
      <c r="X295" s="103">
        <f t="shared" ref="X295:X303" si="12">SUM(C295:W295)</f>
        <v>13.558</v>
      </c>
      <c r="AA295" s="101">
        <f>$AF$9*$X296</f>
        <v>1423.0657043429392</v>
      </c>
    </row>
    <row r="296" spans="1:28">
      <c r="A296" s="99" t="s">
        <v>221</v>
      </c>
      <c r="B296" s="99" t="s">
        <v>207</v>
      </c>
      <c r="C296" s="725">
        <v>3.391308</v>
      </c>
      <c r="D296" s="101">
        <v>0</v>
      </c>
      <c r="E296" s="101">
        <v>0</v>
      </c>
      <c r="F296" s="101">
        <v>0</v>
      </c>
      <c r="G296" s="101">
        <v>0</v>
      </c>
      <c r="H296" s="101">
        <v>0</v>
      </c>
      <c r="I296" s="101">
        <v>0</v>
      </c>
      <c r="J296" s="101">
        <v>0</v>
      </c>
      <c r="K296" s="101">
        <v>4.7290000000000001</v>
      </c>
      <c r="L296" s="101">
        <v>2.88</v>
      </c>
      <c r="M296" s="101">
        <v>0</v>
      </c>
      <c r="N296" s="101">
        <v>0</v>
      </c>
      <c r="O296" s="101">
        <v>0</v>
      </c>
      <c r="P296" s="101">
        <v>0</v>
      </c>
      <c r="Q296" s="101">
        <v>0</v>
      </c>
      <c r="R296" s="101">
        <v>0</v>
      </c>
      <c r="S296" s="101">
        <v>0</v>
      </c>
      <c r="T296" s="101">
        <v>133.07499999999999</v>
      </c>
      <c r="U296" s="101">
        <v>0</v>
      </c>
      <c r="V296" s="101">
        <v>0</v>
      </c>
      <c r="W296" s="101">
        <v>0</v>
      </c>
      <c r="X296" s="103">
        <f t="shared" si="12"/>
        <v>144.07530799999998</v>
      </c>
      <c r="AA296" s="101">
        <f>$AF$10*$X301</f>
        <v>426.50941273444454</v>
      </c>
    </row>
    <row r="297" spans="1:28">
      <c r="A297" s="99" t="s">
        <v>221</v>
      </c>
      <c r="B297" s="99" t="s">
        <v>208</v>
      </c>
      <c r="C297" s="101">
        <v>28.942</v>
      </c>
      <c r="D297" s="101">
        <v>0</v>
      </c>
      <c r="E297" s="101">
        <v>0</v>
      </c>
      <c r="F297" s="101">
        <v>0</v>
      </c>
      <c r="G297" s="101">
        <v>0</v>
      </c>
      <c r="H297" s="101">
        <v>0</v>
      </c>
      <c r="I297" s="101">
        <v>0</v>
      </c>
      <c r="J297" s="101">
        <v>0</v>
      </c>
      <c r="K297" s="101">
        <v>8.3919999999999995</v>
      </c>
      <c r="L297" s="101">
        <v>0.04</v>
      </c>
      <c r="M297" s="101">
        <v>0</v>
      </c>
      <c r="N297" s="101">
        <v>0</v>
      </c>
      <c r="O297" s="101">
        <v>0</v>
      </c>
      <c r="P297" s="101">
        <v>0</v>
      </c>
      <c r="Q297" s="101">
        <v>0</v>
      </c>
      <c r="R297" s="101">
        <v>0</v>
      </c>
      <c r="S297" s="101">
        <v>0</v>
      </c>
      <c r="T297" s="101">
        <v>43.088999999999999</v>
      </c>
      <c r="U297" s="101">
        <v>0</v>
      </c>
      <c r="V297" s="101">
        <v>0</v>
      </c>
      <c r="W297" s="101">
        <v>0</v>
      </c>
      <c r="X297" s="103">
        <f t="shared" si="12"/>
        <v>80.462999999999994</v>
      </c>
      <c r="AA297" s="101">
        <f>$AF$11*(X295+X297+$X298+X299+X300+X302+X303)</f>
        <v>982.43472114800863</v>
      </c>
    </row>
    <row r="298" spans="1:28">
      <c r="A298" s="99" t="s">
        <v>221</v>
      </c>
      <c r="B298" s="99" t="s">
        <v>209</v>
      </c>
      <c r="C298" s="101">
        <v>0</v>
      </c>
      <c r="D298" s="101">
        <v>0</v>
      </c>
      <c r="E298" s="101">
        <v>0</v>
      </c>
      <c r="F298" s="101">
        <v>0</v>
      </c>
      <c r="G298" s="101">
        <v>0</v>
      </c>
      <c r="H298" s="101">
        <v>0</v>
      </c>
      <c r="I298" s="101">
        <v>0</v>
      </c>
      <c r="J298" s="101">
        <v>0</v>
      </c>
      <c r="K298" s="101">
        <v>0</v>
      </c>
      <c r="L298" s="101">
        <v>0</v>
      </c>
      <c r="M298" s="101">
        <v>0</v>
      </c>
      <c r="N298" s="101">
        <v>0</v>
      </c>
      <c r="O298" s="101">
        <v>0</v>
      </c>
      <c r="P298" s="101">
        <v>0</v>
      </c>
      <c r="Q298" s="101">
        <v>0</v>
      </c>
      <c r="R298" s="101">
        <v>0</v>
      </c>
      <c r="S298" s="101">
        <v>0</v>
      </c>
      <c r="T298" s="101">
        <v>0</v>
      </c>
      <c r="U298" s="101">
        <v>0</v>
      </c>
      <c r="V298" s="101">
        <v>0</v>
      </c>
      <c r="W298" s="101">
        <v>0</v>
      </c>
      <c r="X298" s="103">
        <f t="shared" si="12"/>
        <v>0</v>
      </c>
    </row>
    <row r="299" spans="1:28">
      <c r="A299" s="99" t="s">
        <v>221</v>
      </c>
      <c r="B299" s="99" t="s">
        <v>210</v>
      </c>
      <c r="C299" s="101">
        <v>0.67200000000000004</v>
      </c>
      <c r="D299" s="101">
        <v>0</v>
      </c>
      <c r="E299" s="101">
        <v>0</v>
      </c>
      <c r="F299" s="101">
        <v>0</v>
      </c>
      <c r="G299" s="101">
        <v>0</v>
      </c>
      <c r="H299" s="101">
        <v>0</v>
      </c>
      <c r="I299" s="101">
        <v>0</v>
      </c>
      <c r="J299" s="101">
        <v>0</v>
      </c>
      <c r="K299" s="101">
        <v>11.032999999999999</v>
      </c>
      <c r="L299" s="101">
        <v>1.56</v>
      </c>
      <c r="M299" s="101">
        <v>0</v>
      </c>
      <c r="N299" s="101">
        <v>0</v>
      </c>
      <c r="O299" s="101">
        <v>0</v>
      </c>
      <c r="P299" s="101">
        <v>0</v>
      </c>
      <c r="Q299" s="101">
        <v>0</v>
      </c>
      <c r="R299" s="101">
        <v>0</v>
      </c>
      <c r="S299" s="101">
        <v>0</v>
      </c>
      <c r="T299" s="101">
        <v>90.453999999999994</v>
      </c>
      <c r="U299" s="101">
        <v>0</v>
      </c>
      <c r="V299" s="101">
        <v>0</v>
      </c>
      <c r="W299" s="101">
        <v>0</v>
      </c>
      <c r="X299" s="103">
        <f t="shared" si="12"/>
        <v>103.71899999999999</v>
      </c>
    </row>
    <row r="300" spans="1:28">
      <c r="A300" s="99" t="s">
        <v>221</v>
      </c>
      <c r="B300" s="99" t="s">
        <v>211</v>
      </c>
      <c r="C300" s="101">
        <v>1.835</v>
      </c>
      <c r="D300" s="101">
        <v>0</v>
      </c>
      <c r="E300" s="101">
        <v>0</v>
      </c>
      <c r="F300" s="101">
        <v>0</v>
      </c>
      <c r="G300" s="101">
        <v>0</v>
      </c>
      <c r="H300" s="101">
        <v>0</v>
      </c>
      <c r="I300" s="101">
        <v>0</v>
      </c>
      <c r="J300" s="101">
        <v>0</v>
      </c>
      <c r="K300" s="101">
        <v>3.9620000000000002</v>
      </c>
      <c r="L300" s="101">
        <v>0.36</v>
      </c>
      <c r="M300" s="101">
        <v>0</v>
      </c>
      <c r="N300" s="101">
        <v>0</v>
      </c>
      <c r="O300" s="101">
        <v>0</v>
      </c>
      <c r="P300" s="101">
        <v>0</v>
      </c>
      <c r="Q300" s="101">
        <v>0</v>
      </c>
      <c r="R300" s="101">
        <v>0</v>
      </c>
      <c r="S300" s="101">
        <v>0</v>
      </c>
      <c r="T300" s="101">
        <v>23.103000000000002</v>
      </c>
      <c r="U300" s="101">
        <v>0</v>
      </c>
      <c r="V300" s="101">
        <v>0</v>
      </c>
      <c r="W300" s="101">
        <v>0</v>
      </c>
      <c r="X300" s="103">
        <f t="shared" si="12"/>
        <v>29.26</v>
      </c>
    </row>
    <row r="301" spans="1:28">
      <c r="A301" s="99" t="s">
        <v>221</v>
      </c>
      <c r="B301" s="99" t="s">
        <v>212</v>
      </c>
      <c r="C301" s="101">
        <v>3.669</v>
      </c>
      <c r="D301" s="101">
        <v>0</v>
      </c>
      <c r="E301" s="101">
        <v>0</v>
      </c>
      <c r="F301" s="101">
        <v>0</v>
      </c>
      <c r="G301" s="101">
        <v>0</v>
      </c>
      <c r="H301" s="101">
        <v>0</v>
      </c>
      <c r="I301" s="101">
        <v>0</v>
      </c>
      <c r="J301" s="101">
        <v>0</v>
      </c>
      <c r="K301" s="101">
        <v>2.173</v>
      </c>
      <c r="L301" s="101">
        <v>1.1599999999999999</v>
      </c>
      <c r="M301" s="101">
        <v>0</v>
      </c>
      <c r="N301" s="101">
        <v>0</v>
      </c>
      <c r="O301" s="101">
        <v>0</v>
      </c>
      <c r="P301" s="101">
        <v>0</v>
      </c>
      <c r="Q301" s="101">
        <v>0</v>
      </c>
      <c r="R301" s="101">
        <v>0</v>
      </c>
      <c r="S301" s="101">
        <v>0</v>
      </c>
      <c r="T301" s="101">
        <v>44.338212000000006</v>
      </c>
      <c r="U301" s="101">
        <v>0</v>
      </c>
      <c r="V301" s="101">
        <v>0</v>
      </c>
      <c r="W301" s="101">
        <v>0</v>
      </c>
      <c r="X301" s="103">
        <f t="shared" si="12"/>
        <v>51.340212000000008</v>
      </c>
    </row>
    <row r="302" spans="1:28">
      <c r="A302" s="99" t="s">
        <v>221</v>
      </c>
      <c r="B302" s="99" t="s">
        <v>213</v>
      </c>
      <c r="C302" s="101">
        <v>1.861</v>
      </c>
      <c r="D302" s="101">
        <v>0</v>
      </c>
      <c r="E302" s="101">
        <v>0</v>
      </c>
      <c r="F302" s="101">
        <v>0</v>
      </c>
      <c r="G302" s="101">
        <v>0</v>
      </c>
      <c r="H302" s="101">
        <v>0</v>
      </c>
      <c r="I302" s="101">
        <v>0</v>
      </c>
      <c r="J302" s="101">
        <v>1.548</v>
      </c>
      <c r="K302" s="101">
        <v>8.4770000000000003</v>
      </c>
      <c r="L302" s="101">
        <v>1.52</v>
      </c>
      <c r="M302" s="101">
        <v>0</v>
      </c>
      <c r="N302" s="101">
        <v>0</v>
      </c>
      <c r="O302" s="101">
        <v>0</v>
      </c>
      <c r="P302" s="101">
        <v>0</v>
      </c>
      <c r="Q302" s="101">
        <v>0</v>
      </c>
      <c r="R302" s="101">
        <v>0</v>
      </c>
      <c r="S302" s="101">
        <v>0</v>
      </c>
      <c r="T302" s="101">
        <v>75.385000000000005</v>
      </c>
      <c r="U302" s="101">
        <v>0</v>
      </c>
      <c r="V302" s="101">
        <v>0</v>
      </c>
      <c r="W302" s="101">
        <v>0</v>
      </c>
      <c r="X302" s="103">
        <f t="shared" si="12"/>
        <v>88.790999999999997</v>
      </c>
    </row>
    <row r="303" spans="1:28">
      <c r="A303" s="99" t="s">
        <v>221</v>
      </c>
      <c r="B303" s="99" t="s">
        <v>214</v>
      </c>
      <c r="C303" s="101">
        <v>4.5999999999999996</v>
      </c>
      <c r="D303" s="101">
        <v>2.3090000000000002</v>
      </c>
      <c r="E303" s="101">
        <v>0</v>
      </c>
      <c r="F303" s="101">
        <v>0</v>
      </c>
      <c r="G303" s="101">
        <v>3.5150000000000001</v>
      </c>
      <c r="H303" s="101">
        <v>36.432000000000002</v>
      </c>
      <c r="I303" s="101">
        <v>0</v>
      </c>
      <c r="J303" s="101">
        <v>64.069999999999993</v>
      </c>
      <c r="K303" s="101">
        <v>106.372</v>
      </c>
      <c r="L303" s="101">
        <v>22.48</v>
      </c>
      <c r="M303" s="101">
        <v>0</v>
      </c>
      <c r="N303" s="101">
        <v>0</v>
      </c>
      <c r="O303" s="101">
        <v>3.331</v>
      </c>
      <c r="P303" s="101">
        <v>0.52800000000000002</v>
      </c>
      <c r="Q303" s="725">
        <v>1.9677960000000001</v>
      </c>
      <c r="R303" s="101">
        <v>0</v>
      </c>
      <c r="S303" s="101">
        <v>0</v>
      </c>
      <c r="T303" s="725">
        <v>43.186999999999998</v>
      </c>
      <c r="U303" s="101">
        <v>0.76400000000000001</v>
      </c>
      <c r="V303" s="101">
        <v>0</v>
      </c>
      <c r="W303" s="101">
        <v>0</v>
      </c>
      <c r="X303" s="103">
        <f t="shared" si="12"/>
        <v>289.55579599999999</v>
      </c>
      <c r="Y303" s="103"/>
    </row>
    <row r="304" spans="1:28">
      <c r="A304" s="99" t="s">
        <v>222</v>
      </c>
      <c r="B304" s="99" t="s">
        <v>204</v>
      </c>
      <c r="C304" s="101">
        <v>0</v>
      </c>
      <c r="D304" s="101">
        <v>0</v>
      </c>
      <c r="E304" s="101">
        <v>0</v>
      </c>
      <c r="F304" s="101">
        <v>0</v>
      </c>
      <c r="G304" s="101">
        <v>11.93</v>
      </c>
      <c r="H304" s="101">
        <v>0</v>
      </c>
      <c r="I304" s="101">
        <v>0</v>
      </c>
      <c r="J304" s="101">
        <v>0</v>
      </c>
      <c r="K304" s="101">
        <v>0</v>
      </c>
      <c r="L304" s="101">
        <v>0.88</v>
      </c>
      <c r="M304" s="101">
        <v>1.8240000000000001</v>
      </c>
      <c r="N304" s="101">
        <v>0</v>
      </c>
      <c r="O304" s="101">
        <v>0</v>
      </c>
      <c r="P304" s="101">
        <v>0</v>
      </c>
      <c r="Q304" s="101">
        <v>0</v>
      </c>
      <c r="R304" s="101">
        <v>0</v>
      </c>
      <c r="S304" s="101">
        <v>0</v>
      </c>
      <c r="T304" s="101">
        <v>0</v>
      </c>
      <c r="U304" s="101">
        <v>0</v>
      </c>
      <c r="V304" s="101">
        <v>0</v>
      </c>
      <c r="W304" s="101">
        <v>0</v>
      </c>
      <c r="X304" s="103">
        <f t="shared" ref="X304:X336" si="13">SUM(C304:W304)</f>
        <v>14.634</v>
      </c>
      <c r="Y304" s="103">
        <f>SUM(X304:X314)</f>
        <v>112.41996</v>
      </c>
      <c r="Z304" s="98" t="s">
        <v>81</v>
      </c>
      <c r="AA304" s="101">
        <f>$AF$7*$X304</f>
        <v>35.160102184694658</v>
      </c>
    </row>
    <row r="305" spans="1:28">
      <c r="A305" s="99" t="s">
        <v>222</v>
      </c>
      <c r="B305" s="99" t="s">
        <v>205</v>
      </c>
      <c r="C305" s="101">
        <v>0</v>
      </c>
      <c r="D305" s="101">
        <v>0</v>
      </c>
      <c r="E305" s="101">
        <v>0</v>
      </c>
      <c r="F305" s="101">
        <v>0</v>
      </c>
      <c r="G305" s="101">
        <v>0</v>
      </c>
      <c r="H305" s="101">
        <v>0</v>
      </c>
      <c r="I305" s="101">
        <v>0</v>
      </c>
      <c r="J305" s="101">
        <v>0</v>
      </c>
      <c r="K305" s="101">
        <v>0.51100000000000001</v>
      </c>
      <c r="L305" s="101">
        <v>0.04</v>
      </c>
      <c r="M305" s="101">
        <v>0</v>
      </c>
      <c r="N305" s="101">
        <v>0</v>
      </c>
      <c r="O305" s="101">
        <v>0.129</v>
      </c>
      <c r="P305" s="101">
        <v>0</v>
      </c>
      <c r="Q305" s="101">
        <v>0</v>
      </c>
      <c r="R305" s="101">
        <v>0</v>
      </c>
      <c r="S305" s="101">
        <v>0</v>
      </c>
      <c r="T305" s="101">
        <v>2.6059999999999999</v>
      </c>
      <c r="U305" s="101">
        <v>0</v>
      </c>
      <c r="V305" s="101">
        <v>0</v>
      </c>
      <c r="W305" s="101">
        <v>0</v>
      </c>
      <c r="X305" s="103">
        <f t="shared" si="13"/>
        <v>3.286</v>
      </c>
      <c r="AA305" s="101">
        <f>$AF$8*$X305</f>
        <v>2.3762727449881864</v>
      </c>
      <c r="AB305" s="98"/>
    </row>
    <row r="306" spans="1:28">
      <c r="A306" s="99" t="s">
        <v>222</v>
      </c>
      <c r="B306" s="99" t="s">
        <v>206</v>
      </c>
      <c r="C306" s="101">
        <v>0</v>
      </c>
      <c r="D306" s="101">
        <v>0</v>
      </c>
      <c r="E306" s="101">
        <v>0</v>
      </c>
      <c r="F306" s="101">
        <v>0</v>
      </c>
      <c r="G306" s="101">
        <v>0</v>
      </c>
      <c r="H306" s="101">
        <v>0</v>
      </c>
      <c r="I306" s="101">
        <v>0</v>
      </c>
      <c r="J306" s="101">
        <v>0</v>
      </c>
      <c r="K306" s="101">
        <v>0.17</v>
      </c>
      <c r="L306" s="101">
        <v>0</v>
      </c>
      <c r="M306" s="101">
        <v>0</v>
      </c>
      <c r="N306" s="101">
        <v>0</v>
      </c>
      <c r="O306" s="101">
        <v>0</v>
      </c>
      <c r="P306" s="101">
        <v>0</v>
      </c>
      <c r="Q306" s="101">
        <v>0</v>
      </c>
      <c r="R306" s="101">
        <v>0</v>
      </c>
      <c r="S306" s="101">
        <v>5.2999999999999999E-2</v>
      </c>
      <c r="T306" s="101">
        <v>0.85399999999999998</v>
      </c>
      <c r="U306" s="101">
        <v>0</v>
      </c>
      <c r="V306" s="101">
        <v>0</v>
      </c>
      <c r="W306" s="101">
        <v>0</v>
      </c>
      <c r="X306" s="103">
        <f t="shared" si="13"/>
        <v>1.077</v>
      </c>
      <c r="AA306" s="101">
        <f>$AF$9*$X307</f>
        <v>176.3975435253663</v>
      </c>
    </row>
    <row r="307" spans="1:28">
      <c r="A307" s="99" t="s">
        <v>222</v>
      </c>
      <c r="B307" s="99" t="s">
        <v>207</v>
      </c>
      <c r="C307" s="101">
        <v>0</v>
      </c>
      <c r="D307" s="101">
        <v>0</v>
      </c>
      <c r="E307" s="101">
        <v>0</v>
      </c>
      <c r="F307" s="101">
        <v>0</v>
      </c>
      <c r="G307" s="101">
        <v>0</v>
      </c>
      <c r="H307" s="101">
        <v>9.1999999999999998E-2</v>
      </c>
      <c r="I307" s="101">
        <v>0</v>
      </c>
      <c r="J307" s="101">
        <v>0</v>
      </c>
      <c r="K307" s="101">
        <v>3.7909999999999999</v>
      </c>
      <c r="L307" s="101">
        <v>0.04</v>
      </c>
      <c r="M307" s="101">
        <v>0</v>
      </c>
      <c r="N307" s="101">
        <v>0</v>
      </c>
      <c r="O307" s="101">
        <v>0</v>
      </c>
      <c r="P307" s="101">
        <v>0</v>
      </c>
      <c r="Q307" s="101">
        <v>0</v>
      </c>
      <c r="R307" s="101">
        <v>0</v>
      </c>
      <c r="S307" s="101">
        <v>1.698</v>
      </c>
      <c r="T307" s="101">
        <v>12.238</v>
      </c>
      <c r="U307" s="101">
        <v>0</v>
      </c>
      <c r="V307" s="101">
        <v>0</v>
      </c>
      <c r="W307" s="101">
        <v>0</v>
      </c>
      <c r="X307" s="103">
        <f t="shared" si="13"/>
        <v>17.859000000000002</v>
      </c>
      <c r="AA307" s="101">
        <f>$AF$10*$X312</f>
        <v>119.05461811339647</v>
      </c>
    </row>
    <row r="308" spans="1:28">
      <c r="A308" s="99" t="s">
        <v>222</v>
      </c>
      <c r="B308" s="99" t="s">
        <v>208</v>
      </c>
      <c r="C308" s="101">
        <v>4.9459999999999997</v>
      </c>
      <c r="D308" s="101">
        <v>0</v>
      </c>
      <c r="E308" s="101">
        <v>0.78400000000000003</v>
      </c>
      <c r="F308" s="101">
        <v>0</v>
      </c>
      <c r="G308" s="101">
        <v>0</v>
      </c>
      <c r="H308" s="101">
        <v>0</v>
      </c>
      <c r="I308" s="101">
        <v>0</v>
      </c>
      <c r="J308" s="101">
        <v>0</v>
      </c>
      <c r="K308" s="101">
        <v>1.619</v>
      </c>
      <c r="L308" s="101">
        <v>2.4</v>
      </c>
      <c r="M308" s="101">
        <v>0</v>
      </c>
      <c r="N308" s="101">
        <v>0</v>
      </c>
      <c r="O308" s="101">
        <v>0</v>
      </c>
      <c r="P308" s="101">
        <v>0</v>
      </c>
      <c r="Q308" s="101">
        <v>0</v>
      </c>
      <c r="R308" s="101">
        <v>0</v>
      </c>
      <c r="S308" s="101">
        <v>4.915</v>
      </c>
      <c r="T308" s="101">
        <v>1.601</v>
      </c>
      <c r="U308" s="101">
        <v>0</v>
      </c>
      <c r="V308" s="101">
        <v>0</v>
      </c>
      <c r="W308" s="101">
        <v>0</v>
      </c>
      <c r="X308" s="103">
        <f t="shared" si="13"/>
        <v>16.264999999999997</v>
      </c>
      <c r="AA308" s="101">
        <f>$AF$11*(X306+X308+$X309+X310+X311+X313+X314)</f>
        <v>101.12469063887212</v>
      </c>
    </row>
    <row r="309" spans="1:28">
      <c r="A309" s="99" t="s">
        <v>222</v>
      </c>
      <c r="B309" s="99" t="s">
        <v>209</v>
      </c>
      <c r="C309" s="101">
        <v>0</v>
      </c>
      <c r="D309" s="101">
        <v>0</v>
      </c>
      <c r="E309" s="101">
        <v>0</v>
      </c>
      <c r="F309" s="101">
        <v>0</v>
      </c>
      <c r="G309" s="101">
        <v>0</v>
      </c>
      <c r="H309" s="101">
        <v>0</v>
      </c>
      <c r="I309" s="101">
        <v>0</v>
      </c>
      <c r="J309" s="101">
        <v>0</v>
      </c>
      <c r="K309" s="101">
        <v>0</v>
      </c>
      <c r="L309" s="101">
        <v>0</v>
      </c>
      <c r="M309" s="101">
        <v>0</v>
      </c>
      <c r="N309" s="101">
        <v>0</v>
      </c>
      <c r="O309" s="101">
        <v>0</v>
      </c>
      <c r="P309" s="101">
        <v>0</v>
      </c>
      <c r="Q309" s="101">
        <v>0</v>
      </c>
      <c r="R309" s="101">
        <v>0</v>
      </c>
      <c r="S309" s="101">
        <v>0</v>
      </c>
      <c r="T309" s="101">
        <v>0</v>
      </c>
      <c r="U309" s="101">
        <v>0</v>
      </c>
      <c r="V309" s="101">
        <v>0</v>
      </c>
      <c r="W309" s="101">
        <v>0</v>
      </c>
      <c r="X309" s="103">
        <f t="shared" si="13"/>
        <v>0</v>
      </c>
    </row>
    <row r="310" spans="1:28">
      <c r="A310" s="99" t="s">
        <v>222</v>
      </c>
      <c r="B310" s="99" t="s">
        <v>210</v>
      </c>
      <c r="C310" s="101">
        <v>0</v>
      </c>
      <c r="D310" s="101">
        <v>0</v>
      </c>
      <c r="E310" s="101">
        <v>0</v>
      </c>
      <c r="F310" s="101">
        <v>0</v>
      </c>
      <c r="G310" s="101">
        <v>0</v>
      </c>
      <c r="H310" s="101">
        <v>0</v>
      </c>
      <c r="I310" s="101">
        <v>0</v>
      </c>
      <c r="J310" s="101">
        <v>0</v>
      </c>
      <c r="K310" s="101">
        <v>5.1120000000000001</v>
      </c>
      <c r="L310" s="101">
        <v>0</v>
      </c>
      <c r="M310" s="101">
        <v>0</v>
      </c>
      <c r="N310" s="101">
        <v>0</v>
      </c>
      <c r="O310" s="101">
        <v>2.9000000000000001E-2</v>
      </c>
      <c r="P310" s="101">
        <v>0</v>
      </c>
      <c r="Q310" s="101">
        <v>0</v>
      </c>
      <c r="R310" s="101">
        <v>0</v>
      </c>
      <c r="S310" s="101">
        <v>0</v>
      </c>
      <c r="T310" s="101">
        <v>6.1</v>
      </c>
      <c r="U310" s="101">
        <v>0</v>
      </c>
      <c r="V310" s="101">
        <v>0</v>
      </c>
      <c r="W310" s="101">
        <v>0</v>
      </c>
      <c r="X310" s="103">
        <f t="shared" si="13"/>
        <v>11.241</v>
      </c>
    </row>
    <row r="311" spans="1:28">
      <c r="A311" s="99" t="s">
        <v>222</v>
      </c>
      <c r="B311" s="99" t="s">
        <v>211</v>
      </c>
      <c r="C311" s="101">
        <v>0</v>
      </c>
      <c r="D311" s="101">
        <v>0</v>
      </c>
      <c r="E311" s="101">
        <v>0</v>
      </c>
      <c r="F311" s="101">
        <v>0</v>
      </c>
      <c r="G311" s="101">
        <v>0</v>
      </c>
      <c r="H311" s="101">
        <v>0</v>
      </c>
      <c r="I311" s="101">
        <v>0</v>
      </c>
      <c r="J311" s="101">
        <v>0</v>
      </c>
      <c r="K311" s="101">
        <v>0.98</v>
      </c>
      <c r="L311" s="101">
        <v>0.04</v>
      </c>
      <c r="M311" s="101">
        <v>0</v>
      </c>
      <c r="N311" s="101">
        <v>0</v>
      </c>
      <c r="O311" s="101">
        <v>7.2999999999999995E-2</v>
      </c>
      <c r="P311" s="101">
        <v>0</v>
      </c>
      <c r="Q311" s="101">
        <v>0</v>
      </c>
      <c r="R311" s="101">
        <v>0</v>
      </c>
      <c r="S311" s="101">
        <v>0</v>
      </c>
      <c r="T311" s="101">
        <v>0.48599999999999999</v>
      </c>
      <c r="U311" s="101">
        <v>0</v>
      </c>
      <c r="V311" s="101">
        <v>0</v>
      </c>
      <c r="W311" s="101">
        <v>0</v>
      </c>
      <c r="X311" s="103">
        <f t="shared" si="13"/>
        <v>1.579</v>
      </c>
    </row>
    <row r="312" spans="1:28">
      <c r="A312" s="99" t="s">
        <v>222</v>
      </c>
      <c r="B312" s="99" t="s">
        <v>212</v>
      </c>
      <c r="C312" s="101">
        <v>0</v>
      </c>
      <c r="D312" s="101">
        <v>0</v>
      </c>
      <c r="E312" s="101">
        <v>0</v>
      </c>
      <c r="F312" s="101">
        <v>0</v>
      </c>
      <c r="G312" s="101">
        <v>0</v>
      </c>
      <c r="H312" s="101">
        <v>0</v>
      </c>
      <c r="I312" s="101">
        <v>0</v>
      </c>
      <c r="J312" s="101">
        <v>0</v>
      </c>
      <c r="K312" s="101">
        <v>1.7889999999999999</v>
      </c>
      <c r="L312" s="101">
        <v>1.92</v>
      </c>
      <c r="M312" s="101">
        <v>0</v>
      </c>
      <c r="N312" s="101">
        <v>0</v>
      </c>
      <c r="O312" s="101">
        <v>1.411</v>
      </c>
      <c r="P312" s="101">
        <v>0</v>
      </c>
      <c r="Q312" s="101">
        <v>0</v>
      </c>
      <c r="R312" s="101">
        <v>0</v>
      </c>
      <c r="S312" s="725">
        <v>3.475044</v>
      </c>
      <c r="T312" s="725">
        <v>5.7359160000000005</v>
      </c>
      <c r="U312" s="101">
        <v>0</v>
      </c>
      <c r="V312" s="101">
        <v>0</v>
      </c>
      <c r="W312" s="101">
        <v>0</v>
      </c>
      <c r="X312" s="103">
        <f t="shared" si="13"/>
        <v>14.330960000000001</v>
      </c>
    </row>
    <row r="313" spans="1:28">
      <c r="A313" s="99" t="s">
        <v>222</v>
      </c>
      <c r="B313" s="99" t="s">
        <v>213</v>
      </c>
      <c r="C313" s="101">
        <v>0</v>
      </c>
      <c r="D313" s="101">
        <v>0</v>
      </c>
      <c r="E313" s="101">
        <v>0</v>
      </c>
      <c r="F313" s="101">
        <v>0</v>
      </c>
      <c r="G313" s="101">
        <v>0</v>
      </c>
      <c r="H313" s="101">
        <v>0</v>
      </c>
      <c r="I313" s="101">
        <v>0</v>
      </c>
      <c r="J313" s="101">
        <v>0</v>
      </c>
      <c r="K313" s="101">
        <v>7.1989999999999998</v>
      </c>
      <c r="L313" s="101">
        <v>0</v>
      </c>
      <c r="M313" s="101">
        <v>0</v>
      </c>
      <c r="N313" s="101">
        <v>0</v>
      </c>
      <c r="O313" s="101">
        <v>0.17399999999999999</v>
      </c>
      <c r="P313" s="101">
        <v>0</v>
      </c>
      <c r="Q313" s="101">
        <v>0</v>
      </c>
      <c r="R313" s="101">
        <v>0</v>
      </c>
      <c r="S313" s="101">
        <v>0</v>
      </c>
      <c r="T313" s="101">
        <v>2.7210000000000001</v>
      </c>
      <c r="U313" s="101">
        <v>0</v>
      </c>
      <c r="V313" s="101">
        <v>0</v>
      </c>
      <c r="W313" s="101">
        <v>0</v>
      </c>
      <c r="X313" s="103">
        <f t="shared" si="13"/>
        <v>10.094000000000001</v>
      </c>
    </row>
    <row r="314" spans="1:28">
      <c r="A314" s="99" t="s">
        <v>222</v>
      </c>
      <c r="B314" s="99" t="s">
        <v>214</v>
      </c>
      <c r="C314" s="101">
        <v>0.19700000000000001</v>
      </c>
      <c r="D314" s="101">
        <v>0.56200000000000006</v>
      </c>
      <c r="E314" s="101">
        <v>0</v>
      </c>
      <c r="F314" s="101">
        <v>0</v>
      </c>
      <c r="G314" s="101">
        <v>0</v>
      </c>
      <c r="H314" s="101">
        <v>0</v>
      </c>
      <c r="I314" s="101">
        <v>0</v>
      </c>
      <c r="J314" s="101">
        <v>8.5999999999999993E-2</v>
      </c>
      <c r="K314" s="101">
        <v>9.8409999999999993</v>
      </c>
      <c r="L314" s="101">
        <v>0.04</v>
      </c>
      <c r="M314" s="101">
        <v>0</v>
      </c>
      <c r="N314" s="101">
        <v>1.6E-2</v>
      </c>
      <c r="O314" s="101">
        <v>8.2840000000000007</v>
      </c>
      <c r="P314" s="101">
        <v>0.19400000000000001</v>
      </c>
      <c r="Q314" s="101">
        <v>0</v>
      </c>
      <c r="R314" s="101">
        <v>0</v>
      </c>
      <c r="S314" s="101">
        <v>0.33400000000000002</v>
      </c>
      <c r="T314" s="101">
        <v>2.4900000000000002</v>
      </c>
      <c r="U314" s="101">
        <v>0</v>
      </c>
      <c r="V314" s="101">
        <v>0</v>
      </c>
      <c r="W314" s="101">
        <v>0.01</v>
      </c>
      <c r="X314" s="103">
        <f t="shared" si="13"/>
        <v>22.053999999999998</v>
      </c>
    </row>
    <row r="315" spans="1:28">
      <c r="A315" s="99" t="s">
        <v>179</v>
      </c>
      <c r="B315" s="99" t="s">
        <v>204</v>
      </c>
      <c r="C315" s="101">
        <v>0</v>
      </c>
      <c r="D315" s="101">
        <v>0</v>
      </c>
      <c r="E315" s="101">
        <v>0</v>
      </c>
      <c r="F315" s="101">
        <v>0</v>
      </c>
      <c r="G315" s="101">
        <v>0</v>
      </c>
      <c r="H315" s="101">
        <v>0</v>
      </c>
      <c r="I315" s="101">
        <v>0</v>
      </c>
      <c r="J315" s="101">
        <v>0</v>
      </c>
      <c r="K315" s="101">
        <v>0</v>
      </c>
      <c r="L315" s="101">
        <v>0</v>
      </c>
      <c r="M315" s="101">
        <v>0</v>
      </c>
      <c r="N315" s="101">
        <v>0</v>
      </c>
      <c r="O315" s="101">
        <v>0</v>
      </c>
      <c r="P315" s="101">
        <v>0</v>
      </c>
      <c r="Q315" s="101">
        <v>0</v>
      </c>
      <c r="R315" s="101">
        <v>0</v>
      </c>
      <c r="S315" s="101">
        <v>0</v>
      </c>
      <c r="T315" s="101">
        <v>0</v>
      </c>
      <c r="U315" s="101">
        <v>0</v>
      </c>
      <c r="V315" s="101">
        <v>0</v>
      </c>
      <c r="W315" s="101">
        <v>0</v>
      </c>
      <c r="X315" s="103">
        <f t="shared" si="13"/>
        <v>0</v>
      </c>
      <c r="Y315" s="103">
        <f>SUM(X315:X325)</f>
        <v>10.832999999999998</v>
      </c>
      <c r="Z315" s="98" t="s">
        <v>83</v>
      </c>
      <c r="AA315" s="101">
        <f>$AF$7*$X315</f>
        <v>0</v>
      </c>
    </row>
    <row r="316" spans="1:28">
      <c r="A316" s="99" t="s">
        <v>179</v>
      </c>
      <c r="B316" s="99" t="s">
        <v>205</v>
      </c>
      <c r="C316" s="101">
        <v>2.8889999999999998</v>
      </c>
      <c r="D316" s="101">
        <v>0.94099999999999995</v>
      </c>
      <c r="E316" s="101">
        <v>0</v>
      </c>
      <c r="F316" s="101">
        <v>0</v>
      </c>
      <c r="G316" s="101">
        <v>0</v>
      </c>
      <c r="H316" s="101">
        <v>0</v>
      </c>
      <c r="I316" s="101">
        <v>0</v>
      </c>
      <c r="J316" s="101">
        <v>0</v>
      </c>
      <c r="K316" s="101">
        <v>0</v>
      </c>
      <c r="L316" s="101">
        <v>0</v>
      </c>
      <c r="M316" s="101">
        <v>0</v>
      </c>
      <c r="N316" s="101">
        <v>0</v>
      </c>
      <c r="O316" s="101">
        <v>0</v>
      </c>
      <c r="P316" s="101">
        <v>0</v>
      </c>
      <c r="Q316" s="101">
        <v>0</v>
      </c>
      <c r="R316" s="101">
        <v>0</v>
      </c>
      <c r="S316" s="101">
        <v>0</v>
      </c>
      <c r="T316" s="101">
        <v>0</v>
      </c>
      <c r="U316" s="101">
        <v>0</v>
      </c>
      <c r="V316" s="101">
        <v>0</v>
      </c>
      <c r="W316" s="101">
        <v>0</v>
      </c>
      <c r="X316" s="103">
        <f t="shared" si="13"/>
        <v>3.8299999999999996</v>
      </c>
      <c r="AA316" s="101">
        <f>$AF$8*$X316</f>
        <v>2.7696666504274963</v>
      </c>
    </row>
    <row r="317" spans="1:28">
      <c r="A317" s="99" t="s">
        <v>179</v>
      </c>
      <c r="B317" s="99" t="s">
        <v>206</v>
      </c>
      <c r="C317" s="101">
        <v>0</v>
      </c>
      <c r="D317" s="101">
        <v>0</v>
      </c>
      <c r="E317" s="101">
        <v>0</v>
      </c>
      <c r="F317" s="101">
        <v>0</v>
      </c>
      <c r="G317" s="101">
        <v>0</v>
      </c>
      <c r="H317" s="101">
        <v>4.5999999999999999E-2</v>
      </c>
      <c r="I317" s="101">
        <v>0</v>
      </c>
      <c r="J317" s="101">
        <v>0</v>
      </c>
      <c r="K317" s="101">
        <v>0.25600000000000001</v>
      </c>
      <c r="L317" s="101">
        <v>0</v>
      </c>
      <c r="M317" s="101">
        <v>0</v>
      </c>
      <c r="N317" s="101">
        <v>0</v>
      </c>
      <c r="O317" s="101">
        <v>0</v>
      </c>
      <c r="P317" s="101">
        <v>0</v>
      </c>
      <c r="Q317" s="101">
        <v>0</v>
      </c>
      <c r="R317" s="101">
        <v>0</v>
      </c>
      <c r="S317" s="101">
        <v>0</v>
      </c>
      <c r="T317" s="101">
        <v>0</v>
      </c>
      <c r="U317" s="101">
        <v>0</v>
      </c>
      <c r="V317" s="101">
        <v>0</v>
      </c>
      <c r="W317" s="101">
        <v>0</v>
      </c>
      <c r="X317" s="103">
        <f t="shared" si="13"/>
        <v>0.30199999999999999</v>
      </c>
      <c r="AA317" s="101">
        <f>$AF$9*$X318</f>
        <v>0</v>
      </c>
    </row>
    <row r="318" spans="1:28">
      <c r="A318" s="99" t="s">
        <v>179</v>
      </c>
      <c r="B318" s="99" t="s">
        <v>207</v>
      </c>
      <c r="C318" s="101">
        <v>0</v>
      </c>
      <c r="D318" s="101">
        <v>0</v>
      </c>
      <c r="E318" s="101">
        <v>0</v>
      </c>
      <c r="F318" s="101">
        <v>0</v>
      </c>
      <c r="G318" s="101">
        <v>0</v>
      </c>
      <c r="H318" s="101">
        <v>0</v>
      </c>
      <c r="I318" s="101">
        <v>0</v>
      </c>
      <c r="J318" s="101">
        <v>0</v>
      </c>
      <c r="K318" s="101">
        <v>0</v>
      </c>
      <c r="L318" s="101">
        <v>0</v>
      </c>
      <c r="M318" s="101">
        <v>0</v>
      </c>
      <c r="N318" s="101">
        <v>0</v>
      </c>
      <c r="O318" s="101">
        <v>0</v>
      </c>
      <c r="P318" s="101">
        <v>0</v>
      </c>
      <c r="Q318" s="101">
        <v>0</v>
      </c>
      <c r="R318" s="101">
        <v>0</v>
      </c>
      <c r="S318" s="101">
        <v>0</v>
      </c>
      <c r="T318" s="101">
        <v>0</v>
      </c>
      <c r="U318" s="101">
        <v>0</v>
      </c>
      <c r="V318" s="101">
        <v>0</v>
      </c>
      <c r="W318" s="101">
        <v>0</v>
      </c>
      <c r="X318" s="103">
        <f t="shared" si="13"/>
        <v>0</v>
      </c>
      <c r="AA318" s="101">
        <f>$AF$10*$X323</f>
        <v>0</v>
      </c>
    </row>
    <row r="319" spans="1:28">
      <c r="A319" s="99" t="s">
        <v>179</v>
      </c>
      <c r="B319" s="99" t="s">
        <v>208</v>
      </c>
      <c r="C319" s="101">
        <v>0.39300000000000002</v>
      </c>
      <c r="D319" s="101">
        <v>0</v>
      </c>
      <c r="E319" s="101">
        <v>0</v>
      </c>
      <c r="F319" s="101">
        <v>0</v>
      </c>
      <c r="G319" s="101">
        <v>0</v>
      </c>
      <c r="H319" s="101">
        <v>0</v>
      </c>
      <c r="I319" s="101">
        <v>0</v>
      </c>
      <c r="J319" s="101">
        <v>0</v>
      </c>
      <c r="K319" s="101">
        <v>0</v>
      </c>
      <c r="L319" s="101">
        <v>0</v>
      </c>
      <c r="M319" s="101">
        <v>0</v>
      </c>
      <c r="N319" s="101">
        <v>0</v>
      </c>
      <c r="O319" s="101">
        <v>0</v>
      </c>
      <c r="P319" s="101">
        <v>0</v>
      </c>
      <c r="Q319" s="101">
        <v>0</v>
      </c>
      <c r="R319" s="101">
        <v>0</v>
      </c>
      <c r="S319" s="101">
        <v>0</v>
      </c>
      <c r="T319" s="101">
        <v>0</v>
      </c>
      <c r="U319" s="101">
        <v>0</v>
      </c>
      <c r="V319" s="101">
        <v>0</v>
      </c>
      <c r="W319" s="101">
        <v>0</v>
      </c>
      <c r="X319" s="103">
        <f t="shared" si="13"/>
        <v>0.39300000000000002</v>
      </c>
      <c r="AA319" s="101">
        <f>$AF$11*(X317+X319+$X320+X321+X322+X324+X325)</f>
        <v>11.365370061691886</v>
      </c>
    </row>
    <row r="320" spans="1:28">
      <c r="A320" s="99" t="s">
        <v>179</v>
      </c>
      <c r="B320" s="99" t="s">
        <v>209</v>
      </c>
      <c r="C320" s="101">
        <v>0</v>
      </c>
      <c r="D320" s="101">
        <v>0</v>
      </c>
      <c r="E320" s="101">
        <v>0</v>
      </c>
      <c r="F320" s="101">
        <v>0</v>
      </c>
      <c r="G320" s="101">
        <v>0</v>
      </c>
      <c r="H320" s="101">
        <v>0</v>
      </c>
      <c r="I320" s="101">
        <v>0</v>
      </c>
      <c r="J320" s="101">
        <v>0</v>
      </c>
      <c r="K320" s="101">
        <v>0</v>
      </c>
      <c r="L320" s="101">
        <v>0</v>
      </c>
      <c r="M320" s="101">
        <v>0</v>
      </c>
      <c r="N320" s="101">
        <v>0</v>
      </c>
      <c r="O320" s="101">
        <v>0</v>
      </c>
      <c r="P320" s="101">
        <v>0</v>
      </c>
      <c r="Q320" s="101">
        <v>0</v>
      </c>
      <c r="R320" s="101">
        <v>1.3</v>
      </c>
      <c r="S320" s="101">
        <v>0</v>
      </c>
      <c r="T320" s="101">
        <v>0</v>
      </c>
      <c r="U320" s="101">
        <v>0</v>
      </c>
      <c r="V320" s="101">
        <v>0</v>
      </c>
      <c r="W320" s="101">
        <v>0</v>
      </c>
      <c r="X320" s="103">
        <f t="shared" si="13"/>
        <v>1.3</v>
      </c>
    </row>
    <row r="321" spans="1:27">
      <c r="A321" s="99" t="s">
        <v>179</v>
      </c>
      <c r="B321" s="99" t="s">
        <v>210</v>
      </c>
      <c r="C321" s="101">
        <v>0</v>
      </c>
      <c r="D321" s="101">
        <v>0</v>
      </c>
      <c r="E321" s="101">
        <v>0</v>
      </c>
      <c r="F321" s="101">
        <v>0</v>
      </c>
      <c r="G321" s="101">
        <v>0</v>
      </c>
      <c r="H321" s="101">
        <v>0</v>
      </c>
      <c r="I321" s="101">
        <v>0</v>
      </c>
      <c r="J321" s="101">
        <v>0</v>
      </c>
      <c r="K321" s="101">
        <v>0.42599999999999999</v>
      </c>
      <c r="L321" s="101">
        <v>1.4</v>
      </c>
      <c r="M321" s="101">
        <v>0</v>
      </c>
      <c r="N321" s="101">
        <v>0</v>
      </c>
      <c r="O321" s="101">
        <v>0</v>
      </c>
      <c r="P321" s="101">
        <v>0</v>
      </c>
      <c r="Q321" s="101">
        <v>0</v>
      </c>
      <c r="R321" s="101">
        <v>0.2</v>
      </c>
      <c r="S321" s="101">
        <v>0</v>
      </c>
      <c r="T321" s="101">
        <v>0</v>
      </c>
      <c r="U321" s="101">
        <v>0</v>
      </c>
      <c r="V321" s="101">
        <v>0</v>
      </c>
      <c r="W321" s="101">
        <v>0</v>
      </c>
      <c r="X321" s="103">
        <f t="shared" si="13"/>
        <v>2.0259999999999998</v>
      </c>
    </row>
    <row r="322" spans="1:27">
      <c r="A322" s="99" t="s">
        <v>179</v>
      </c>
      <c r="B322" s="99" t="s">
        <v>211</v>
      </c>
      <c r="C322" s="101">
        <v>0</v>
      </c>
      <c r="D322" s="101">
        <v>0</v>
      </c>
      <c r="E322" s="101">
        <v>0</v>
      </c>
      <c r="F322" s="101">
        <v>0</v>
      </c>
      <c r="G322" s="101">
        <v>0</v>
      </c>
      <c r="H322" s="101">
        <v>0</v>
      </c>
      <c r="I322" s="101">
        <v>0</v>
      </c>
      <c r="J322" s="101">
        <v>0</v>
      </c>
      <c r="K322" s="101">
        <v>0</v>
      </c>
      <c r="L322" s="101">
        <v>0</v>
      </c>
      <c r="M322" s="101">
        <v>0</v>
      </c>
      <c r="N322" s="101">
        <v>0</v>
      </c>
      <c r="O322" s="101">
        <v>0</v>
      </c>
      <c r="P322" s="101">
        <v>0</v>
      </c>
      <c r="Q322" s="101">
        <v>0</v>
      </c>
      <c r="R322" s="101">
        <v>0</v>
      </c>
      <c r="S322" s="101">
        <v>0</v>
      </c>
      <c r="T322" s="101">
        <v>0</v>
      </c>
      <c r="U322" s="101">
        <v>0</v>
      </c>
      <c r="V322" s="101">
        <v>0</v>
      </c>
      <c r="W322" s="101">
        <v>0</v>
      </c>
      <c r="X322" s="103">
        <f t="shared" si="13"/>
        <v>0</v>
      </c>
    </row>
    <row r="323" spans="1:27">
      <c r="A323" s="99" t="s">
        <v>179</v>
      </c>
      <c r="B323" s="99" t="s">
        <v>212</v>
      </c>
      <c r="C323" s="101">
        <v>0</v>
      </c>
      <c r="D323" s="101">
        <v>0</v>
      </c>
      <c r="E323" s="101">
        <v>0</v>
      </c>
      <c r="F323" s="101">
        <v>0</v>
      </c>
      <c r="G323" s="101">
        <v>0</v>
      </c>
      <c r="H323" s="101">
        <v>0</v>
      </c>
      <c r="I323" s="101">
        <v>0</v>
      </c>
      <c r="J323" s="101">
        <v>0</v>
      </c>
      <c r="K323" s="101">
        <v>0</v>
      </c>
      <c r="L323" s="101">
        <v>0</v>
      </c>
      <c r="M323" s="101">
        <v>0</v>
      </c>
      <c r="N323" s="101">
        <v>0</v>
      </c>
      <c r="O323" s="101">
        <v>0</v>
      </c>
      <c r="P323" s="101">
        <v>0</v>
      </c>
      <c r="Q323" s="101">
        <v>0</v>
      </c>
      <c r="R323" s="101">
        <v>0</v>
      </c>
      <c r="S323" s="101">
        <v>0</v>
      </c>
      <c r="T323" s="101">
        <v>0</v>
      </c>
      <c r="U323" s="101">
        <v>0</v>
      </c>
      <c r="V323" s="101">
        <v>0</v>
      </c>
      <c r="W323" s="101">
        <v>0</v>
      </c>
      <c r="X323" s="103">
        <f t="shared" si="13"/>
        <v>0</v>
      </c>
    </row>
    <row r="324" spans="1:27">
      <c r="A324" s="99" t="s">
        <v>179</v>
      </c>
      <c r="B324" s="99" t="s">
        <v>213</v>
      </c>
      <c r="C324" s="101">
        <v>0</v>
      </c>
      <c r="D324" s="101">
        <v>0</v>
      </c>
      <c r="E324" s="101">
        <v>0</v>
      </c>
      <c r="F324" s="101">
        <v>0</v>
      </c>
      <c r="G324" s="101">
        <v>0</v>
      </c>
      <c r="H324" s="101">
        <v>0</v>
      </c>
      <c r="I324" s="101">
        <v>0</v>
      </c>
      <c r="J324" s="101">
        <v>0</v>
      </c>
      <c r="K324" s="101">
        <v>0</v>
      </c>
      <c r="L324" s="101">
        <v>0</v>
      </c>
      <c r="M324" s="101">
        <v>0</v>
      </c>
      <c r="N324" s="101">
        <v>0</v>
      </c>
      <c r="O324" s="101">
        <v>0</v>
      </c>
      <c r="P324" s="101">
        <v>0</v>
      </c>
      <c r="Q324" s="101">
        <v>0</v>
      </c>
      <c r="R324" s="101">
        <v>0</v>
      </c>
      <c r="S324" s="101">
        <v>0</v>
      </c>
      <c r="T324" s="101">
        <v>0</v>
      </c>
      <c r="U324" s="101">
        <v>0</v>
      </c>
      <c r="V324" s="101">
        <v>0</v>
      </c>
      <c r="W324" s="101">
        <v>0</v>
      </c>
      <c r="X324" s="103">
        <f t="shared" si="13"/>
        <v>0</v>
      </c>
    </row>
    <row r="325" spans="1:27">
      <c r="A325" s="99" t="s">
        <v>179</v>
      </c>
      <c r="B325" s="99" t="s">
        <v>214</v>
      </c>
      <c r="C325" s="101">
        <v>0</v>
      </c>
      <c r="D325" s="101">
        <v>0</v>
      </c>
      <c r="E325" s="101">
        <v>0</v>
      </c>
      <c r="F325" s="101">
        <v>0</v>
      </c>
      <c r="G325" s="101">
        <v>0</v>
      </c>
      <c r="H325" s="101">
        <v>0</v>
      </c>
      <c r="I325" s="101">
        <v>0</v>
      </c>
      <c r="J325" s="101">
        <v>0</v>
      </c>
      <c r="K325" s="101">
        <v>2.9820000000000002</v>
      </c>
      <c r="L325" s="101">
        <v>0</v>
      </c>
      <c r="M325" s="101">
        <v>0</v>
      </c>
      <c r="N325" s="101">
        <v>0</v>
      </c>
      <c r="O325" s="101">
        <v>0</v>
      </c>
      <c r="P325" s="101">
        <v>0</v>
      </c>
      <c r="Q325" s="101">
        <v>0</v>
      </c>
      <c r="R325" s="101">
        <v>0</v>
      </c>
      <c r="S325" s="101">
        <v>0</v>
      </c>
      <c r="T325" s="101">
        <v>0</v>
      </c>
      <c r="U325" s="101">
        <v>0</v>
      </c>
      <c r="V325" s="101">
        <v>0</v>
      </c>
      <c r="W325" s="101">
        <v>0</v>
      </c>
      <c r="X325" s="103">
        <f t="shared" si="13"/>
        <v>2.9820000000000002</v>
      </c>
      <c r="Y325" s="103"/>
    </row>
    <row r="326" spans="1:27">
      <c r="A326" s="99" t="s">
        <v>178</v>
      </c>
      <c r="B326" s="99" t="s">
        <v>204</v>
      </c>
      <c r="C326" s="101">
        <v>0</v>
      </c>
      <c r="D326" s="101">
        <v>0</v>
      </c>
      <c r="E326" s="101">
        <v>0</v>
      </c>
      <c r="F326" s="101">
        <v>0</v>
      </c>
      <c r="G326" s="101">
        <v>20.097000000000001</v>
      </c>
      <c r="H326" s="101">
        <v>0</v>
      </c>
      <c r="I326" s="101">
        <v>0</v>
      </c>
      <c r="J326" s="101">
        <v>0</v>
      </c>
      <c r="K326" s="101">
        <v>0</v>
      </c>
      <c r="L326" s="101">
        <v>0</v>
      </c>
      <c r="M326" s="101">
        <v>0</v>
      </c>
      <c r="N326" s="101">
        <v>0</v>
      </c>
      <c r="O326" s="101">
        <v>0</v>
      </c>
      <c r="P326" s="101">
        <v>0</v>
      </c>
      <c r="Q326" s="101">
        <v>0</v>
      </c>
      <c r="R326" s="101">
        <v>0</v>
      </c>
      <c r="S326" s="101">
        <v>0</v>
      </c>
      <c r="T326" s="101">
        <v>0</v>
      </c>
      <c r="U326" s="101">
        <v>0</v>
      </c>
      <c r="V326" s="101">
        <v>0</v>
      </c>
      <c r="W326" s="101">
        <v>0</v>
      </c>
      <c r="X326" s="103">
        <f t="shared" si="13"/>
        <v>20.097000000000001</v>
      </c>
      <c r="Y326" s="103">
        <f>SUM(X326:X336)</f>
        <v>106.97900000000001</v>
      </c>
      <c r="Z326" s="98" t="s">
        <v>84</v>
      </c>
      <c r="AA326" s="101">
        <f>$AF$7*$X326</f>
        <v>48.285675386484122</v>
      </c>
    </row>
    <row r="327" spans="1:27">
      <c r="A327" s="99" t="s">
        <v>178</v>
      </c>
      <c r="B327" s="99" t="s">
        <v>205</v>
      </c>
      <c r="C327" s="101">
        <v>8.8230000000000004</v>
      </c>
      <c r="D327" s="101">
        <v>8.9779999999999998</v>
      </c>
      <c r="E327" s="101">
        <v>0</v>
      </c>
      <c r="F327" s="101">
        <v>0</v>
      </c>
      <c r="G327" s="101">
        <v>0</v>
      </c>
      <c r="H327" s="101">
        <v>9.1999999999999998E-2</v>
      </c>
      <c r="I327" s="101">
        <v>0</v>
      </c>
      <c r="J327" s="101">
        <v>0</v>
      </c>
      <c r="K327" s="101">
        <v>0.46899999999999997</v>
      </c>
      <c r="L327" s="101">
        <v>0</v>
      </c>
      <c r="M327" s="101">
        <v>0</v>
      </c>
      <c r="N327" s="101">
        <v>0</v>
      </c>
      <c r="O327" s="101">
        <v>8.6999999999999994E-2</v>
      </c>
      <c r="P327" s="101">
        <v>0</v>
      </c>
      <c r="Q327" s="101">
        <v>0</v>
      </c>
      <c r="R327" s="101">
        <v>0</v>
      </c>
      <c r="S327" s="101">
        <v>0</v>
      </c>
      <c r="T327" s="101">
        <v>6.7000000000000004E-2</v>
      </c>
      <c r="U327" s="101">
        <v>0</v>
      </c>
      <c r="V327" s="101">
        <v>0.309</v>
      </c>
      <c r="W327" s="101">
        <v>0</v>
      </c>
      <c r="X327" s="103">
        <f t="shared" si="13"/>
        <v>18.825000000000003</v>
      </c>
      <c r="AA327" s="101">
        <f>$AF$8*$X327</f>
        <v>13.613309319659955</v>
      </c>
    </row>
    <row r="328" spans="1:27">
      <c r="A328" s="99" t="s">
        <v>178</v>
      </c>
      <c r="B328" s="99" t="s">
        <v>206</v>
      </c>
      <c r="C328" s="101">
        <v>0</v>
      </c>
      <c r="D328" s="101">
        <v>0</v>
      </c>
      <c r="E328" s="101">
        <v>0</v>
      </c>
      <c r="F328" s="101">
        <v>0</v>
      </c>
      <c r="G328" s="101">
        <v>0</v>
      </c>
      <c r="H328" s="101">
        <v>1.1499999999999999</v>
      </c>
      <c r="I328" s="101">
        <v>0</v>
      </c>
      <c r="J328" s="101">
        <v>0</v>
      </c>
      <c r="K328" s="101">
        <v>0.34100000000000003</v>
      </c>
      <c r="L328" s="101">
        <v>0</v>
      </c>
      <c r="M328" s="101">
        <v>0</v>
      </c>
      <c r="N328" s="101">
        <v>0</v>
      </c>
      <c r="O328" s="101">
        <v>0</v>
      </c>
      <c r="P328" s="101">
        <v>0</v>
      </c>
      <c r="Q328" s="101">
        <v>0</v>
      </c>
      <c r="R328" s="101">
        <v>0</v>
      </c>
      <c r="S328" s="101">
        <v>0</v>
      </c>
      <c r="T328" s="101">
        <v>1.6519999999999999</v>
      </c>
      <c r="U328" s="101">
        <v>0</v>
      </c>
      <c r="V328" s="101">
        <v>0</v>
      </c>
      <c r="W328" s="101">
        <v>0</v>
      </c>
      <c r="X328" s="103">
        <f t="shared" si="13"/>
        <v>3.1429999999999998</v>
      </c>
      <c r="AA328" s="101">
        <f>$AF$9*$X329</f>
        <v>159.84329732185464</v>
      </c>
    </row>
    <row r="329" spans="1:27">
      <c r="A329" s="99" t="s">
        <v>178</v>
      </c>
      <c r="B329" s="99" t="s">
        <v>207</v>
      </c>
      <c r="C329" s="101">
        <v>5.1989999999999998</v>
      </c>
      <c r="D329" s="101">
        <v>1.026</v>
      </c>
      <c r="E329" s="101">
        <v>0</v>
      </c>
      <c r="F329" s="101">
        <v>0</v>
      </c>
      <c r="G329" s="101">
        <v>0</v>
      </c>
      <c r="H329" s="101">
        <v>2.484</v>
      </c>
      <c r="I329" s="101">
        <v>0</v>
      </c>
      <c r="J329" s="101">
        <v>0</v>
      </c>
      <c r="K329" s="101">
        <v>0.38300000000000001</v>
      </c>
      <c r="L329" s="101">
        <v>2.16</v>
      </c>
      <c r="M329" s="101">
        <v>0</v>
      </c>
      <c r="N329" s="101">
        <v>0</v>
      </c>
      <c r="O329" s="101">
        <v>0.25700000000000001</v>
      </c>
      <c r="P329" s="101">
        <v>0</v>
      </c>
      <c r="Q329" s="101">
        <v>0</v>
      </c>
      <c r="R329" s="101">
        <v>0</v>
      </c>
      <c r="S329" s="101">
        <v>0</v>
      </c>
      <c r="T329" s="101">
        <v>4.2009999999999996</v>
      </c>
      <c r="U329" s="101">
        <v>0</v>
      </c>
      <c r="V329" s="101">
        <v>0.47299999999999998</v>
      </c>
      <c r="W329" s="101">
        <v>0</v>
      </c>
      <c r="X329" s="103">
        <f t="shared" si="13"/>
        <v>16.182999999999996</v>
      </c>
      <c r="AA329" s="101">
        <f>$AF$10*$X334</f>
        <v>142.61505364278997</v>
      </c>
    </row>
    <row r="330" spans="1:27">
      <c r="A330" s="99" t="s">
        <v>178</v>
      </c>
      <c r="B330" s="99" t="s">
        <v>208</v>
      </c>
      <c r="C330" s="101">
        <v>5.3949999999999996</v>
      </c>
      <c r="D330" s="101">
        <v>0.48499999999999999</v>
      </c>
      <c r="E330" s="101">
        <v>0</v>
      </c>
      <c r="F330" s="101">
        <v>0</v>
      </c>
      <c r="G330" s="101">
        <v>0</v>
      </c>
      <c r="H330" s="101">
        <v>3.0819999999999999</v>
      </c>
      <c r="I330" s="101">
        <v>0</v>
      </c>
      <c r="J330" s="101">
        <v>0</v>
      </c>
      <c r="K330" s="101">
        <v>1.4910000000000001</v>
      </c>
      <c r="L330" s="101">
        <v>0.92</v>
      </c>
      <c r="M330" s="101">
        <v>0</v>
      </c>
      <c r="N330" s="101">
        <v>0</v>
      </c>
      <c r="O330" s="101">
        <v>0.19400000000000001</v>
      </c>
      <c r="P330" s="101">
        <v>0</v>
      </c>
      <c r="Q330" s="101">
        <v>1.3919999999999999</v>
      </c>
      <c r="R330" s="101">
        <v>0</v>
      </c>
      <c r="S330" s="101">
        <v>0</v>
      </c>
      <c r="T330" s="101">
        <v>7.0999999999999994E-2</v>
      </c>
      <c r="U330" s="101">
        <v>0</v>
      </c>
      <c r="V330" s="101">
        <v>0.13300000000000001</v>
      </c>
      <c r="W330" s="101">
        <v>0</v>
      </c>
      <c r="X330" s="103">
        <f t="shared" si="13"/>
        <v>13.163</v>
      </c>
      <c r="AA330" s="101">
        <f>$AF$11*(X328+X330+$X331+X332+X333+X335+X336)</f>
        <v>56.326988252340456</v>
      </c>
    </row>
    <row r="331" spans="1:27">
      <c r="A331" s="99" t="s">
        <v>178</v>
      </c>
      <c r="B331" s="99" t="s">
        <v>209</v>
      </c>
      <c r="C331" s="101">
        <v>0</v>
      </c>
      <c r="D331" s="101">
        <v>0</v>
      </c>
      <c r="E331" s="101">
        <v>0</v>
      </c>
      <c r="F331" s="101">
        <v>0</v>
      </c>
      <c r="G331" s="101">
        <v>0</v>
      </c>
      <c r="H331" s="101">
        <v>4.5999999999999999E-2</v>
      </c>
      <c r="I331" s="101">
        <v>0</v>
      </c>
      <c r="J331" s="101">
        <v>0</v>
      </c>
      <c r="K331" s="101">
        <v>1.8320000000000001</v>
      </c>
      <c r="L331" s="101">
        <v>0</v>
      </c>
      <c r="M331" s="101">
        <v>0</v>
      </c>
      <c r="N331" s="101">
        <v>0</v>
      </c>
      <c r="O331" s="101">
        <v>0</v>
      </c>
      <c r="P331" s="101">
        <v>0</v>
      </c>
      <c r="Q331" s="101">
        <v>0</v>
      </c>
      <c r="R331" s="101">
        <v>0</v>
      </c>
      <c r="S331" s="101">
        <v>0</v>
      </c>
      <c r="T331" s="101">
        <v>0.17899999999999999</v>
      </c>
      <c r="U331" s="101">
        <v>0</v>
      </c>
      <c r="V331" s="101">
        <v>0</v>
      </c>
      <c r="W331" s="101">
        <v>0</v>
      </c>
      <c r="X331" s="103">
        <f t="shared" si="13"/>
        <v>2.0569999999999999</v>
      </c>
    </row>
    <row r="332" spans="1:27">
      <c r="A332" s="99" t="s">
        <v>178</v>
      </c>
      <c r="B332" s="99" t="s">
        <v>210</v>
      </c>
      <c r="C332" s="101">
        <v>0</v>
      </c>
      <c r="D332" s="101">
        <v>0</v>
      </c>
      <c r="E332" s="101">
        <v>0</v>
      </c>
      <c r="F332" s="101">
        <v>0</v>
      </c>
      <c r="G332" s="101">
        <v>0</v>
      </c>
      <c r="H332" s="101">
        <v>0.55200000000000005</v>
      </c>
      <c r="I332" s="101">
        <v>0</v>
      </c>
      <c r="J332" s="101">
        <v>0</v>
      </c>
      <c r="K332" s="101">
        <v>2.343</v>
      </c>
      <c r="L332" s="101">
        <v>0.64</v>
      </c>
      <c r="M332" s="101">
        <v>0</v>
      </c>
      <c r="N332" s="101">
        <v>0</v>
      </c>
      <c r="O332" s="101">
        <v>1.2999999999999999E-2</v>
      </c>
      <c r="P332" s="101">
        <v>0</v>
      </c>
      <c r="Q332" s="101">
        <v>0</v>
      </c>
      <c r="R332" s="101">
        <v>0</v>
      </c>
      <c r="S332" s="101">
        <v>0</v>
      </c>
      <c r="T332" s="101">
        <v>0.84899999999999998</v>
      </c>
      <c r="U332" s="101">
        <v>0</v>
      </c>
      <c r="V332" s="101">
        <v>0</v>
      </c>
      <c r="W332" s="101">
        <v>0</v>
      </c>
      <c r="X332" s="103">
        <f t="shared" si="13"/>
        <v>4.3970000000000002</v>
      </c>
    </row>
    <row r="333" spans="1:27">
      <c r="A333" s="99" t="s">
        <v>178</v>
      </c>
      <c r="B333" s="99" t="s">
        <v>211</v>
      </c>
      <c r="C333" s="101">
        <v>0</v>
      </c>
      <c r="D333" s="101">
        <v>0</v>
      </c>
      <c r="E333" s="101">
        <v>0</v>
      </c>
      <c r="F333" s="101">
        <v>0</v>
      </c>
      <c r="G333" s="101">
        <v>0</v>
      </c>
      <c r="H333" s="101">
        <v>4.5999999999999999E-2</v>
      </c>
      <c r="I333" s="101">
        <v>0</v>
      </c>
      <c r="J333" s="101">
        <v>0</v>
      </c>
      <c r="K333" s="101">
        <v>0.128</v>
      </c>
      <c r="L333" s="101">
        <v>0.04</v>
      </c>
      <c r="M333" s="101">
        <v>0</v>
      </c>
      <c r="N333" s="101">
        <v>0</v>
      </c>
      <c r="O333" s="101">
        <v>0</v>
      </c>
      <c r="P333" s="101">
        <v>0</v>
      </c>
      <c r="Q333" s="101">
        <v>0</v>
      </c>
      <c r="R333" s="101">
        <v>0</v>
      </c>
      <c r="S333" s="101">
        <v>0</v>
      </c>
      <c r="T333" s="101">
        <v>6.0000000000000001E-3</v>
      </c>
      <c r="U333" s="101">
        <v>0</v>
      </c>
      <c r="V333" s="101">
        <v>0</v>
      </c>
      <c r="W333" s="101">
        <v>0</v>
      </c>
      <c r="X333" s="103">
        <f t="shared" si="13"/>
        <v>0.22</v>
      </c>
    </row>
    <row r="334" spans="1:27">
      <c r="A334" s="99" t="s">
        <v>178</v>
      </c>
      <c r="B334" s="99" t="s">
        <v>212</v>
      </c>
      <c r="C334" s="101">
        <v>0</v>
      </c>
      <c r="D334" s="101">
        <v>0</v>
      </c>
      <c r="E334" s="101">
        <v>0</v>
      </c>
      <c r="F334" s="101">
        <v>0</v>
      </c>
      <c r="G334" s="101">
        <v>0</v>
      </c>
      <c r="H334" s="101">
        <v>0.55200000000000005</v>
      </c>
      <c r="I334" s="101">
        <v>0</v>
      </c>
      <c r="J334" s="101">
        <v>0</v>
      </c>
      <c r="K334" s="101">
        <v>0.17</v>
      </c>
      <c r="L334" s="101">
        <v>4.5999999999999996</v>
      </c>
      <c r="M334" s="101">
        <v>0</v>
      </c>
      <c r="N334" s="101">
        <v>0</v>
      </c>
      <c r="O334" s="101">
        <v>11.548</v>
      </c>
      <c r="P334" s="101">
        <v>0</v>
      </c>
      <c r="Q334" s="101">
        <v>0</v>
      </c>
      <c r="R334" s="101">
        <v>0</v>
      </c>
      <c r="S334" s="101">
        <v>0</v>
      </c>
      <c r="T334" s="101">
        <v>0.29699999999999999</v>
      </c>
      <c r="U334" s="101">
        <v>0</v>
      </c>
      <c r="V334" s="101">
        <v>0</v>
      </c>
      <c r="W334" s="101">
        <v>0</v>
      </c>
      <c r="X334" s="103">
        <f t="shared" si="13"/>
        <v>17.167000000000002</v>
      </c>
    </row>
    <row r="335" spans="1:27">
      <c r="A335" s="99" t="s">
        <v>178</v>
      </c>
      <c r="B335" s="99" t="s">
        <v>213</v>
      </c>
      <c r="C335" s="101">
        <v>0</v>
      </c>
      <c r="D335" s="101">
        <v>0</v>
      </c>
      <c r="E335" s="101">
        <v>0</v>
      </c>
      <c r="F335" s="101">
        <v>0</v>
      </c>
      <c r="G335" s="101">
        <v>0</v>
      </c>
      <c r="H335" s="101">
        <v>0.50600000000000001</v>
      </c>
      <c r="I335" s="101">
        <v>0</v>
      </c>
      <c r="J335" s="101">
        <v>0</v>
      </c>
      <c r="K335" s="101">
        <v>1.1499999999999999</v>
      </c>
      <c r="L335" s="101">
        <v>0</v>
      </c>
      <c r="M335" s="101">
        <v>0</v>
      </c>
      <c r="N335" s="101">
        <v>0</v>
      </c>
      <c r="O335" s="101">
        <v>1.7999999999999999E-2</v>
      </c>
      <c r="P335" s="101">
        <v>0</v>
      </c>
      <c r="Q335" s="101">
        <v>0</v>
      </c>
      <c r="R335" s="101">
        <v>0</v>
      </c>
      <c r="S335" s="101">
        <v>0</v>
      </c>
      <c r="T335" s="101">
        <v>0.28699999999999998</v>
      </c>
      <c r="U335" s="101">
        <v>0</v>
      </c>
      <c r="V335" s="101">
        <v>0</v>
      </c>
      <c r="W335" s="101">
        <v>0</v>
      </c>
      <c r="X335" s="103">
        <f t="shared" si="13"/>
        <v>1.9609999999999999</v>
      </c>
    </row>
    <row r="336" spans="1:27">
      <c r="A336" s="99" t="s">
        <v>178</v>
      </c>
      <c r="B336" s="99" t="s">
        <v>214</v>
      </c>
      <c r="C336" s="101">
        <v>0</v>
      </c>
      <c r="D336" s="101">
        <v>0</v>
      </c>
      <c r="E336" s="101">
        <v>0</v>
      </c>
      <c r="F336" s="101">
        <v>0</v>
      </c>
      <c r="G336" s="101">
        <v>0</v>
      </c>
      <c r="H336" s="101">
        <v>0.73599999999999999</v>
      </c>
      <c r="I336" s="101">
        <v>0</v>
      </c>
      <c r="J336" s="101">
        <v>0</v>
      </c>
      <c r="K336" s="101">
        <v>5.1120000000000001</v>
      </c>
      <c r="L336" s="101">
        <v>0.4</v>
      </c>
      <c r="M336" s="101">
        <v>0</v>
      </c>
      <c r="N336" s="101">
        <v>0</v>
      </c>
      <c r="O336" s="101">
        <v>3.415</v>
      </c>
      <c r="P336" s="101">
        <v>0</v>
      </c>
      <c r="Q336" s="101">
        <v>0</v>
      </c>
      <c r="R336" s="101">
        <v>0</v>
      </c>
      <c r="S336" s="101">
        <v>0</v>
      </c>
      <c r="T336" s="101">
        <v>0.10299999999999999</v>
      </c>
      <c r="U336" s="101">
        <v>0</v>
      </c>
      <c r="V336" s="101">
        <v>0</v>
      </c>
      <c r="W336" s="101">
        <v>0</v>
      </c>
      <c r="X336" s="103">
        <f t="shared" si="13"/>
        <v>9.766</v>
      </c>
    </row>
  </sheetData>
  <phoneticPr fontId="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29"/>
  <sheetViews>
    <sheetView workbookViewId="0">
      <selection activeCell="I36" sqref="I36"/>
    </sheetView>
  </sheetViews>
  <sheetFormatPr defaultColWidth="9.140625" defaultRowHeight="14.25"/>
  <cols>
    <col min="1" max="1" width="64.7109375" style="530" bestFit="1" customWidth="1"/>
    <col min="2" max="2" width="26.42578125" style="530" bestFit="1" customWidth="1"/>
    <col min="3" max="3" width="9.140625" style="530"/>
    <col min="4" max="4" width="7.7109375" style="530" bestFit="1" customWidth="1"/>
    <col min="5" max="5" width="14" style="530" bestFit="1" customWidth="1"/>
    <col min="6" max="16384" width="9.140625" style="530"/>
  </cols>
  <sheetData>
    <row r="1" spans="1:35">
      <c r="A1" s="529" t="s">
        <v>575</v>
      </c>
    </row>
    <row r="3" spans="1:35">
      <c r="A3" s="529" t="s">
        <v>269</v>
      </c>
      <c r="B3" s="531">
        <v>41353.59097222222</v>
      </c>
    </row>
    <row r="4" spans="1:35">
      <c r="A4" s="529" t="s">
        <v>271</v>
      </c>
      <c r="B4" s="531">
        <v>41389.371528344906</v>
      </c>
    </row>
    <row r="5" spans="1:35">
      <c r="A5" s="529" t="s">
        <v>273</v>
      </c>
      <c r="B5" s="529" t="s">
        <v>67</v>
      </c>
    </row>
    <row r="7" spans="1:35">
      <c r="A7" s="529" t="s">
        <v>340</v>
      </c>
      <c r="B7" s="529" t="s">
        <v>576</v>
      </c>
    </row>
    <row r="8" spans="1:35">
      <c r="A8" s="529" t="s">
        <v>341</v>
      </c>
      <c r="B8" s="529" t="s">
        <v>577</v>
      </c>
    </row>
    <row r="9" spans="1:35">
      <c r="A9" s="529" t="s">
        <v>578</v>
      </c>
      <c r="B9" s="529" t="s">
        <v>298</v>
      </c>
    </row>
    <row r="11" spans="1:35">
      <c r="A11" s="532" t="s">
        <v>579</v>
      </c>
      <c r="B11" s="532" t="s">
        <v>580</v>
      </c>
      <c r="C11" s="532" t="s">
        <v>180</v>
      </c>
      <c r="D11" s="532" t="s">
        <v>181</v>
      </c>
      <c r="E11" s="532" t="s">
        <v>215</v>
      </c>
      <c r="F11" s="532" t="s">
        <v>182</v>
      </c>
      <c r="G11" s="532" t="s">
        <v>581</v>
      </c>
      <c r="H11" s="532" t="s">
        <v>217</v>
      </c>
      <c r="I11" s="532" t="s">
        <v>218</v>
      </c>
      <c r="J11" s="532" t="s">
        <v>183</v>
      </c>
      <c r="K11" s="532" t="s">
        <v>184</v>
      </c>
      <c r="L11" s="532" t="s">
        <v>185</v>
      </c>
      <c r="M11" s="532" t="s">
        <v>186</v>
      </c>
      <c r="N11" s="532" t="s">
        <v>187</v>
      </c>
      <c r="O11" s="532" t="s">
        <v>219</v>
      </c>
      <c r="P11" s="532" t="s">
        <v>188</v>
      </c>
      <c r="Q11" s="532" t="s">
        <v>474</v>
      </c>
      <c r="R11" s="532" t="s">
        <v>189</v>
      </c>
      <c r="S11" s="532" t="s">
        <v>190</v>
      </c>
      <c r="T11" s="532" t="s">
        <v>191</v>
      </c>
      <c r="U11" s="532" t="s">
        <v>192</v>
      </c>
      <c r="V11" s="532" t="s">
        <v>193</v>
      </c>
      <c r="W11" s="532" t="s">
        <v>194</v>
      </c>
      <c r="X11" s="532" t="s">
        <v>195</v>
      </c>
      <c r="Y11" s="532" t="s">
        <v>196</v>
      </c>
      <c r="Z11" s="532" t="s">
        <v>197</v>
      </c>
      <c r="AA11" s="532" t="s">
        <v>198</v>
      </c>
      <c r="AB11" s="532" t="s">
        <v>199</v>
      </c>
      <c r="AC11" s="532" t="s">
        <v>221</v>
      </c>
      <c r="AD11" s="532" t="s">
        <v>179</v>
      </c>
      <c r="AE11" s="532" t="s">
        <v>178</v>
      </c>
      <c r="AF11" s="532" t="s">
        <v>222</v>
      </c>
      <c r="AG11" s="532" t="s">
        <v>299</v>
      </c>
      <c r="AH11" s="532" t="s">
        <v>582</v>
      </c>
      <c r="AI11" s="532" t="s">
        <v>300</v>
      </c>
    </row>
    <row r="12" spans="1:35">
      <c r="A12" s="532" t="s">
        <v>583</v>
      </c>
      <c r="B12" s="533">
        <v>15610298</v>
      </c>
      <c r="C12" s="533">
        <v>306688</v>
      </c>
      <c r="D12" s="533">
        <v>262896</v>
      </c>
      <c r="E12" s="533">
        <v>578080</v>
      </c>
      <c r="F12" s="533">
        <v>262833</v>
      </c>
      <c r="G12" s="533">
        <v>3329524</v>
      </c>
      <c r="H12" s="533">
        <v>107651</v>
      </c>
      <c r="I12" s="533">
        <v>194756</v>
      </c>
      <c r="J12" s="533">
        <v>513332</v>
      </c>
      <c r="K12" s="533">
        <v>1292164</v>
      </c>
      <c r="L12" s="533">
        <v>431875</v>
      </c>
      <c r="M12" s="533">
        <v>2175574</v>
      </c>
      <c r="N12" s="533">
        <v>44842</v>
      </c>
      <c r="O12" s="533">
        <v>23147</v>
      </c>
      <c r="P12" s="533">
        <v>49987</v>
      </c>
      <c r="Q12" s="533">
        <v>18869</v>
      </c>
      <c r="R12" s="533">
        <v>233494</v>
      </c>
      <c r="S12" s="533">
        <v>30497</v>
      </c>
      <c r="T12" s="533">
        <v>687535</v>
      </c>
      <c r="U12" s="533">
        <v>175177</v>
      </c>
      <c r="V12" s="533">
        <v>1510396</v>
      </c>
      <c r="W12" s="533">
        <v>285747</v>
      </c>
      <c r="X12" s="533">
        <v>397100</v>
      </c>
      <c r="Y12" s="533">
        <v>60721</v>
      </c>
      <c r="Z12" s="533">
        <v>89617</v>
      </c>
      <c r="AA12" s="533">
        <v>258332</v>
      </c>
      <c r="AB12" s="533">
        <v>128694</v>
      </c>
      <c r="AC12" s="533">
        <v>2160769</v>
      </c>
      <c r="AD12" s="533">
        <v>59385</v>
      </c>
      <c r="AE12" s="533">
        <v>5055</v>
      </c>
      <c r="AF12" s="533">
        <v>2206</v>
      </c>
      <c r="AG12" s="533">
        <v>58106</v>
      </c>
      <c r="AH12" s="533">
        <v>55163</v>
      </c>
      <c r="AI12" s="533">
        <v>841373</v>
      </c>
    </row>
    <row r="13" spans="1:35">
      <c r="A13" s="532" t="s">
        <v>584</v>
      </c>
      <c r="B13" s="533">
        <v>10528659</v>
      </c>
      <c r="C13" s="533">
        <v>254675</v>
      </c>
      <c r="D13" s="533">
        <v>177899</v>
      </c>
      <c r="E13" s="533">
        <v>358299</v>
      </c>
      <c r="F13" s="533">
        <v>168</v>
      </c>
      <c r="G13" s="533">
        <v>2559389</v>
      </c>
      <c r="H13" s="533">
        <v>89979</v>
      </c>
      <c r="I13" s="533">
        <v>194756</v>
      </c>
      <c r="J13" s="533">
        <v>442485</v>
      </c>
      <c r="K13" s="533">
        <v>1292164</v>
      </c>
      <c r="L13" s="533">
        <v>317837</v>
      </c>
      <c r="M13" s="533">
        <v>1522797</v>
      </c>
      <c r="N13" s="533">
        <v>44842</v>
      </c>
      <c r="O13" s="533">
        <v>0</v>
      </c>
      <c r="P13" s="533">
        <v>0</v>
      </c>
      <c r="Q13" s="533">
        <v>18869</v>
      </c>
      <c r="R13" s="533">
        <v>140918</v>
      </c>
      <c r="S13" s="533">
        <v>30497</v>
      </c>
      <c r="T13" s="533">
        <v>296243</v>
      </c>
      <c r="U13" s="533">
        <v>115991</v>
      </c>
      <c r="V13" s="533">
        <v>0</v>
      </c>
      <c r="W13" s="533">
        <v>274524</v>
      </c>
      <c r="X13" s="533">
        <v>173147</v>
      </c>
      <c r="Y13" s="533">
        <v>6734</v>
      </c>
      <c r="Z13" s="533">
        <v>9921</v>
      </c>
      <c r="AA13" s="533">
        <v>44214</v>
      </c>
      <c r="AB13" s="533">
        <v>1543</v>
      </c>
      <c r="AC13" s="533">
        <v>2160769</v>
      </c>
      <c r="AD13" s="533">
        <v>18409</v>
      </c>
      <c r="AE13" s="533">
        <v>519</v>
      </c>
      <c r="AF13" s="533">
        <v>0</v>
      </c>
      <c r="AG13" s="533">
        <v>35159</v>
      </c>
      <c r="AH13" s="533">
        <v>55163</v>
      </c>
      <c r="AI13" s="533">
        <v>815390</v>
      </c>
    </row>
    <row r="14" spans="1:35">
      <c r="A14" s="532" t="s">
        <v>585</v>
      </c>
      <c r="B14" s="533">
        <v>5081639</v>
      </c>
      <c r="C14" s="533">
        <v>52013</v>
      </c>
      <c r="D14" s="533">
        <v>84998</v>
      </c>
      <c r="E14" s="533">
        <v>219781</v>
      </c>
      <c r="F14" s="533">
        <v>262665</v>
      </c>
      <c r="G14" s="533">
        <v>770136</v>
      </c>
      <c r="H14" s="533">
        <v>17672</v>
      </c>
      <c r="I14" s="533">
        <v>0</v>
      </c>
      <c r="J14" s="533">
        <v>70847</v>
      </c>
      <c r="K14" s="533">
        <v>0</v>
      </c>
      <c r="L14" s="533">
        <v>114038</v>
      </c>
      <c r="M14" s="533">
        <v>652777</v>
      </c>
      <c r="N14" s="533">
        <v>0</v>
      </c>
      <c r="O14" s="533">
        <v>23147</v>
      </c>
      <c r="P14" s="533">
        <v>49987</v>
      </c>
      <c r="Q14" s="533">
        <v>0</v>
      </c>
      <c r="R14" s="533">
        <v>92577</v>
      </c>
      <c r="S14" s="533">
        <v>0</v>
      </c>
      <c r="T14" s="533">
        <v>391292</v>
      </c>
      <c r="U14" s="533">
        <v>59186</v>
      </c>
      <c r="V14" s="533">
        <v>1510396</v>
      </c>
      <c r="W14" s="533">
        <v>11223</v>
      </c>
      <c r="X14" s="533">
        <v>223953</v>
      </c>
      <c r="Y14" s="533">
        <v>53987</v>
      </c>
      <c r="Z14" s="533">
        <v>79696</v>
      </c>
      <c r="AA14" s="533">
        <v>214118</v>
      </c>
      <c r="AB14" s="533">
        <v>127151</v>
      </c>
      <c r="AC14" s="533">
        <v>0</v>
      </c>
      <c r="AD14" s="533">
        <v>40976</v>
      </c>
      <c r="AE14" s="533">
        <v>4536</v>
      </c>
      <c r="AF14" s="533">
        <v>2206</v>
      </c>
      <c r="AG14" s="533">
        <v>22947</v>
      </c>
      <c r="AH14" s="533">
        <v>0</v>
      </c>
      <c r="AI14" s="533">
        <v>25983</v>
      </c>
    </row>
    <row r="15" spans="1:35">
      <c r="A15" s="532" t="s">
        <v>586</v>
      </c>
      <c r="B15" s="533">
        <v>2302641</v>
      </c>
      <c r="C15" s="533">
        <v>14759</v>
      </c>
      <c r="D15" s="533">
        <v>16260</v>
      </c>
      <c r="E15" s="533">
        <v>79052</v>
      </c>
      <c r="F15" s="533">
        <v>35550</v>
      </c>
      <c r="G15" s="533">
        <v>524732</v>
      </c>
      <c r="H15" s="533">
        <v>1096</v>
      </c>
      <c r="I15" s="533">
        <v>4546</v>
      </c>
      <c r="J15" s="533">
        <v>2398</v>
      </c>
      <c r="K15" s="533">
        <v>189920</v>
      </c>
      <c r="L15" s="533">
        <v>278222</v>
      </c>
      <c r="M15" s="533">
        <v>290919</v>
      </c>
      <c r="N15" s="533">
        <v>240</v>
      </c>
      <c r="O15" s="533">
        <v>949</v>
      </c>
      <c r="P15" s="533">
        <v>1373</v>
      </c>
      <c r="Q15" s="533">
        <v>5302</v>
      </c>
      <c r="R15" s="533">
        <v>3143</v>
      </c>
      <c r="S15" s="533">
        <v>0</v>
      </c>
      <c r="T15" s="533">
        <v>127896</v>
      </c>
      <c r="U15" s="533">
        <v>51778</v>
      </c>
      <c r="V15" s="533">
        <v>94149</v>
      </c>
      <c r="W15" s="533">
        <v>45557</v>
      </c>
      <c r="X15" s="533">
        <v>25832</v>
      </c>
      <c r="Y15" s="533">
        <v>2424</v>
      </c>
      <c r="Z15" s="533">
        <v>15774</v>
      </c>
      <c r="AA15" s="533">
        <v>65938</v>
      </c>
      <c r="AB15" s="533">
        <v>58566</v>
      </c>
      <c r="AC15" s="533">
        <v>366267</v>
      </c>
      <c r="AD15" s="533">
        <v>0</v>
      </c>
      <c r="AE15" s="533">
        <v>3691</v>
      </c>
      <c r="AF15" s="533">
        <v>43914</v>
      </c>
      <c r="AG15" s="533">
        <v>3871</v>
      </c>
      <c r="AH15" s="533">
        <v>1124</v>
      </c>
      <c r="AI15" s="533">
        <v>147990</v>
      </c>
    </row>
    <row r="16" spans="1:35">
      <c r="A16" s="532" t="s">
        <v>587</v>
      </c>
      <c r="B16" s="533">
        <v>628034</v>
      </c>
      <c r="C16" s="533">
        <v>28</v>
      </c>
      <c r="D16" s="533">
        <v>1538</v>
      </c>
      <c r="E16" s="533">
        <v>8920</v>
      </c>
      <c r="F16" s="533">
        <v>20</v>
      </c>
      <c r="G16" s="533">
        <v>207050</v>
      </c>
      <c r="H16" s="533">
        <v>203</v>
      </c>
      <c r="I16" s="533">
        <v>0</v>
      </c>
      <c r="J16" s="533">
        <v>213</v>
      </c>
      <c r="K16" s="533">
        <v>18091</v>
      </c>
      <c r="L16" s="533">
        <v>96431</v>
      </c>
      <c r="M16" s="533">
        <v>30017</v>
      </c>
      <c r="N16" s="533">
        <v>0</v>
      </c>
      <c r="O16" s="533">
        <v>19</v>
      </c>
      <c r="P16" s="533">
        <v>0</v>
      </c>
      <c r="Q16" s="533">
        <v>0</v>
      </c>
      <c r="R16" s="533">
        <v>16</v>
      </c>
      <c r="S16" s="533">
        <v>0</v>
      </c>
      <c r="T16" s="533">
        <v>33038</v>
      </c>
      <c r="U16" s="533">
        <v>28302</v>
      </c>
      <c r="V16" s="533">
        <v>0</v>
      </c>
      <c r="W16" s="533">
        <v>9633</v>
      </c>
      <c r="X16" s="533">
        <v>944</v>
      </c>
      <c r="Y16" s="533">
        <v>101</v>
      </c>
      <c r="Z16" s="533">
        <v>6</v>
      </c>
      <c r="AA16" s="533">
        <v>11458</v>
      </c>
      <c r="AB16" s="533">
        <v>3101</v>
      </c>
      <c r="AC16" s="533">
        <v>178905</v>
      </c>
      <c r="AD16" s="533">
        <v>0</v>
      </c>
      <c r="AE16" s="533">
        <v>3691</v>
      </c>
      <c r="AF16" s="533">
        <v>3488</v>
      </c>
      <c r="AG16" s="533">
        <v>0</v>
      </c>
      <c r="AH16" s="533">
        <v>0</v>
      </c>
      <c r="AI16" s="533">
        <v>99245</v>
      </c>
    </row>
    <row r="17" spans="1:35">
      <c r="A17" s="532" t="s">
        <v>588</v>
      </c>
      <c r="B17" s="533">
        <v>1674607</v>
      </c>
      <c r="C17" s="533">
        <v>14731</v>
      </c>
      <c r="D17" s="533">
        <v>14723</v>
      </c>
      <c r="E17" s="533">
        <v>70131</v>
      </c>
      <c r="F17" s="533">
        <v>35530</v>
      </c>
      <c r="G17" s="533">
        <v>317682</v>
      </c>
      <c r="H17" s="533">
        <v>893</v>
      </c>
      <c r="I17" s="533">
        <v>4546</v>
      </c>
      <c r="J17" s="533">
        <v>2185</v>
      </c>
      <c r="K17" s="533">
        <v>171829</v>
      </c>
      <c r="L17" s="533">
        <v>181791</v>
      </c>
      <c r="M17" s="533">
        <v>260902</v>
      </c>
      <c r="N17" s="533">
        <v>240</v>
      </c>
      <c r="O17" s="533">
        <v>930</v>
      </c>
      <c r="P17" s="533">
        <v>1373</v>
      </c>
      <c r="Q17" s="533">
        <v>5302</v>
      </c>
      <c r="R17" s="533">
        <v>3126</v>
      </c>
      <c r="S17" s="533">
        <v>0</v>
      </c>
      <c r="T17" s="533">
        <v>94858</v>
      </c>
      <c r="U17" s="533">
        <v>23476</v>
      </c>
      <c r="V17" s="533">
        <v>94149</v>
      </c>
      <c r="W17" s="533">
        <v>35925</v>
      </c>
      <c r="X17" s="533">
        <v>24889</v>
      </c>
      <c r="Y17" s="533">
        <v>2323</v>
      </c>
      <c r="Z17" s="533">
        <v>15768</v>
      </c>
      <c r="AA17" s="533">
        <v>54480</v>
      </c>
      <c r="AB17" s="533">
        <v>55465</v>
      </c>
      <c r="AC17" s="533">
        <v>187362</v>
      </c>
      <c r="AD17" s="533">
        <v>0</v>
      </c>
      <c r="AE17" s="533">
        <v>0</v>
      </c>
      <c r="AF17" s="533">
        <v>40425</v>
      </c>
      <c r="AG17" s="533">
        <v>3871</v>
      </c>
      <c r="AH17" s="533">
        <v>1124</v>
      </c>
      <c r="AI17" s="533">
        <v>48746</v>
      </c>
    </row>
    <row r="19" spans="1:35">
      <c r="A19" s="529" t="s">
        <v>589</v>
      </c>
    </row>
    <row r="20" spans="1:35">
      <c r="A20" s="529" t="s">
        <v>36</v>
      </c>
      <c r="B20" s="529" t="s">
        <v>590</v>
      </c>
    </row>
    <row r="23" spans="1:35">
      <c r="C23" s="530" t="str">
        <f>C11</f>
        <v>Belgium</v>
      </c>
      <c r="D23" s="530" t="str">
        <f t="shared" ref="D23:AH23" si="0">D11</f>
        <v>Bulgaria</v>
      </c>
      <c r="E23" s="530" t="str">
        <f t="shared" si="0"/>
        <v>Czech Republic</v>
      </c>
      <c r="F23" s="530" t="str">
        <f t="shared" si="0"/>
        <v>Denmark</v>
      </c>
      <c r="G23" s="530" t="str">
        <f t="shared" si="0"/>
        <v>Germany (until 1990 former territory of the FRG)</v>
      </c>
      <c r="H23" s="530" t="str">
        <f t="shared" si="0"/>
        <v>Estonia</v>
      </c>
      <c r="I23" s="530" t="str">
        <f t="shared" si="0"/>
        <v>Ireland</v>
      </c>
      <c r="J23" s="530" t="str">
        <f t="shared" si="0"/>
        <v>Greece</v>
      </c>
      <c r="K23" s="530" t="str">
        <f t="shared" si="0"/>
        <v>Spain</v>
      </c>
      <c r="L23" s="530" t="str">
        <f t="shared" si="0"/>
        <v>France</v>
      </c>
      <c r="M23" s="530" t="str">
        <f t="shared" si="0"/>
        <v>Italy</v>
      </c>
      <c r="N23" s="530" t="str">
        <f t="shared" si="0"/>
        <v>Cyprus</v>
      </c>
      <c r="O23" s="530" t="str">
        <f t="shared" si="0"/>
        <v>Latvia</v>
      </c>
      <c r="P23" s="530" t="str">
        <f t="shared" si="0"/>
        <v>Lithuania</v>
      </c>
      <c r="Q23" s="530" t="str">
        <f t="shared" si="0"/>
        <v>Luxembourg</v>
      </c>
      <c r="R23" s="530" t="str">
        <f t="shared" si="0"/>
        <v>Hungary</v>
      </c>
      <c r="S23" s="530" t="str">
        <f t="shared" si="0"/>
        <v>Malta</v>
      </c>
      <c r="T23" s="530" t="str">
        <f t="shared" si="0"/>
        <v>Netherlands</v>
      </c>
      <c r="U23" s="530" t="str">
        <f t="shared" si="0"/>
        <v>Austria</v>
      </c>
      <c r="V23" s="530" t="str">
        <f t="shared" si="0"/>
        <v>Poland</v>
      </c>
      <c r="W23" s="530" t="str">
        <f t="shared" si="0"/>
        <v>Portugal</v>
      </c>
      <c r="X23" s="530" t="str">
        <f t="shared" si="0"/>
        <v>Romania</v>
      </c>
      <c r="Y23" s="530" t="str">
        <f t="shared" si="0"/>
        <v>Slovenia</v>
      </c>
      <c r="Z23" s="530" t="str">
        <f t="shared" si="0"/>
        <v>Slovakia</v>
      </c>
      <c r="AA23" s="530" t="str">
        <f t="shared" si="0"/>
        <v>Finland</v>
      </c>
      <c r="AB23" s="530" t="str">
        <f t="shared" si="0"/>
        <v>Sweden</v>
      </c>
      <c r="AC23" s="530" t="str">
        <f t="shared" si="0"/>
        <v>United Kingdom</v>
      </c>
      <c r="AD23" s="530" t="str">
        <f t="shared" si="0"/>
        <v>Iceland</v>
      </c>
      <c r="AE23" s="530" t="str">
        <f t="shared" si="0"/>
        <v>Norway</v>
      </c>
      <c r="AF23" s="530" t="str">
        <f t="shared" si="0"/>
        <v>Switzerland</v>
      </c>
      <c r="AG23" s="530" t="str">
        <f t="shared" si="0"/>
        <v>Croatia</v>
      </c>
      <c r="AH23" s="530" t="str">
        <f t="shared" si="0"/>
        <v>Former Yugoslav Republic of Macedonia, the</v>
      </c>
      <c r="AI23" s="530" t="str">
        <f>AI11</f>
        <v>Turkey</v>
      </c>
    </row>
    <row r="24" spans="1:35">
      <c r="C24" s="530">
        <f>C16/1000</f>
        <v>2.8000000000000001E-2</v>
      </c>
      <c r="D24" s="530">
        <f t="shared" ref="D24:AI24" si="1">D16/1000</f>
        <v>1.538</v>
      </c>
      <c r="E24" s="530">
        <f t="shared" si="1"/>
        <v>8.92</v>
      </c>
      <c r="F24" s="530">
        <f t="shared" si="1"/>
        <v>0.02</v>
      </c>
      <c r="G24" s="530">
        <f t="shared" si="1"/>
        <v>207.05</v>
      </c>
      <c r="H24" s="530">
        <f t="shared" si="1"/>
        <v>0.20300000000000001</v>
      </c>
      <c r="I24" s="530">
        <f t="shared" si="1"/>
        <v>0</v>
      </c>
      <c r="J24" s="530">
        <f t="shared" si="1"/>
        <v>0.21299999999999999</v>
      </c>
      <c r="K24" s="530">
        <f t="shared" si="1"/>
        <v>18.091000000000001</v>
      </c>
      <c r="L24" s="530">
        <f t="shared" si="1"/>
        <v>96.430999999999997</v>
      </c>
      <c r="M24" s="530">
        <f t="shared" si="1"/>
        <v>30.016999999999999</v>
      </c>
      <c r="N24" s="530">
        <f t="shared" si="1"/>
        <v>0</v>
      </c>
      <c r="O24" s="530">
        <f t="shared" si="1"/>
        <v>1.9E-2</v>
      </c>
      <c r="P24" s="530">
        <f t="shared" si="1"/>
        <v>0</v>
      </c>
      <c r="Q24" s="530">
        <f t="shared" si="1"/>
        <v>0</v>
      </c>
      <c r="R24" s="530">
        <f t="shared" si="1"/>
        <v>1.6E-2</v>
      </c>
      <c r="S24" s="530">
        <f t="shared" si="1"/>
        <v>0</v>
      </c>
      <c r="T24" s="530">
        <f t="shared" si="1"/>
        <v>33.037999999999997</v>
      </c>
      <c r="U24" s="530">
        <f t="shared" si="1"/>
        <v>28.302</v>
      </c>
      <c r="V24" s="530">
        <f t="shared" si="1"/>
        <v>0</v>
      </c>
      <c r="W24" s="530">
        <f t="shared" si="1"/>
        <v>9.6329999999999991</v>
      </c>
      <c r="X24" s="530">
        <f t="shared" si="1"/>
        <v>0.94399999999999995</v>
      </c>
      <c r="Y24" s="530">
        <f t="shared" si="1"/>
        <v>0.10100000000000001</v>
      </c>
      <c r="Z24" s="530">
        <f t="shared" si="1"/>
        <v>6.0000000000000001E-3</v>
      </c>
      <c r="AA24" s="530">
        <f t="shared" si="1"/>
        <v>11.458</v>
      </c>
      <c r="AB24" s="530">
        <f t="shared" si="1"/>
        <v>3.101</v>
      </c>
      <c r="AC24" s="530">
        <f t="shared" si="1"/>
        <v>178.905</v>
      </c>
      <c r="AD24" s="530">
        <f t="shared" si="1"/>
        <v>0</v>
      </c>
      <c r="AE24" s="530">
        <f t="shared" si="1"/>
        <v>3.6909999999999998</v>
      </c>
      <c r="AF24" s="530">
        <f>AF16/1000</f>
        <v>3.488</v>
      </c>
      <c r="AG24" s="530">
        <f t="shared" si="1"/>
        <v>0</v>
      </c>
      <c r="AH24" s="530">
        <f t="shared" si="1"/>
        <v>0</v>
      </c>
      <c r="AI24" s="530">
        <f t="shared" si="1"/>
        <v>99.245000000000005</v>
      </c>
    </row>
    <row r="28" spans="1:35">
      <c r="C28" s="530" t="s">
        <v>56</v>
      </c>
      <c r="D28" s="530" t="s">
        <v>39</v>
      </c>
      <c r="E28" s="530" t="s">
        <v>40</v>
      </c>
      <c r="F28" s="530" t="s">
        <v>49</v>
      </c>
      <c r="G28" s="530" t="s">
        <v>41</v>
      </c>
      <c r="H28" s="530" t="s">
        <v>43</v>
      </c>
      <c r="I28" s="530" t="s">
        <v>42</v>
      </c>
      <c r="J28" s="530" t="s">
        <v>44</v>
      </c>
      <c r="K28" s="530" t="s">
        <v>45</v>
      </c>
      <c r="L28" s="530" t="s">
        <v>62</v>
      </c>
      <c r="M28" s="530" t="s">
        <v>46</v>
      </c>
      <c r="N28" s="530" t="s">
        <v>82</v>
      </c>
      <c r="O28" s="530" t="s">
        <v>53</v>
      </c>
      <c r="P28" s="530" t="s">
        <v>47</v>
      </c>
      <c r="Q28" s="530" t="s">
        <v>48</v>
      </c>
      <c r="R28" s="530" t="s">
        <v>51</v>
      </c>
      <c r="S28" s="530" t="s">
        <v>52</v>
      </c>
      <c r="T28" s="530" t="s">
        <v>50</v>
      </c>
      <c r="U28" s="530" t="s">
        <v>54</v>
      </c>
      <c r="V28" s="530" t="s">
        <v>55</v>
      </c>
      <c r="W28" s="530" t="s">
        <v>57</v>
      </c>
      <c r="X28" s="530" t="s">
        <v>58</v>
      </c>
      <c r="Y28" s="530" t="s">
        <v>59</v>
      </c>
      <c r="Z28" s="530" t="s">
        <v>63</v>
      </c>
      <c r="AA28" s="530" t="s">
        <v>60</v>
      </c>
      <c r="AB28" s="530" t="s">
        <v>61</v>
      </c>
      <c r="AC28" s="530" t="s">
        <v>64</v>
      </c>
      <c r="AD28" s="530" t="s">
        <v>81</v>
      </c>
      <c r="AE28" s="530" t="s">
        <v>83</v>
      </c>
      <c r="AF28" s="530" t="s">
        <v>84</v>
      </c>
    </row>
    <row r="29" spans="1:35">
      <c r="C29" s="530">
        <f>U24</f>
        <v>28.302</v>
      </c>
      <c r="D29" s="530">
        <f>C24</f>
        <v>2.8000000000000001E-2</v>
      </c>
      <c r="E29" s="530">
        <f>D24</f>
        <v>1.538</v>
      </c>
      <c r="F29" s="530">
        <f>N24</f>
        <v>0</v>
      </c>
      <c r="G29" s="530">
        <f>E24</f>
        <v>8.92</v>
      </c>
      <c r="H29" s="530">
        <f>G24</f>
        <v>207.05</v>
      </c>
      <c r="I29" s="530">
        <f>F24</f>
        <v>0.02</v>
      </c>
      <c r="J29" s="530">
        <f>H24</f>
        <v>0.20300000000000001</v>
      </c>
      <c r="K29" s="530">
        <f>K24</f>
        <v>18.091000000000001</v>
      </c>
      <c r="L29" s="530">
        <f>AA24</f>
        <v>11.458</v>
      </c>
      <c r="M29" s="530">
        <f>L24</f>
        <v>96.430999999999997</v>
      </c>
      <c r="N29" s="530">
        <f>J24</f>
        <v>0.21299999999999999</v>
      </c>
      <c r="O29" s="530">
        <f>R24</f>
        <v>1.6E-2</v>
      </c>
      <c r="P29" s="530">
        <f>I24</f>
        <v>0</v>
      </c>
      <c r="Q29" s="530">
        <f>M24</f>
        <v>30.016999999999999</v>
      </c>
      <c r="R29" s="530">
        <f>P24</f>
        <v>0</v>
      </c>
      <c r="S29" s="530">
        <f>Q24</f>
        <v>0</v>
      </c>
      <c r="T29" s="530">
        <f>O24</f>
        <v>1.9E-2</v>
      </c>
      <c r="U29" s="530">
        <f>S24</f>
        <v>0</v>
      </c>
      <c r="V29" s="530">
        <f>T24</f>
        <v>33.037999999999997</v>
      </c>
      <c r="W29" s="530">
        <f>V24</f>
        <v>0</v>
      </c>
      <c r="X29" s="530">
        <f>W24</f>
        <v>9.6329999999999991</v>
      </c>
      <c r="Y29" s="530">
        <f>X24</f>
        <v>0.94399999999999995</v>
      </c>
      <c r="Z29" s="530">
        <f>AB24</f>
        <v>3.101</v>
      </c>
      <c r="AA29" s="530">
        <f>Y24</f>
        <v>0.10100000000000001</v>
      </c>
      <c r="AB29" s="530">
        <f>Z24</f>
        <v>6.0000000000000001E-3</v>
      </c>
      <c r="AC29" s="530">
        <f>AC24</f>
        <v>178.905</v>
      </c>
      <c r="AD29" s="530">
        <f>AF24</f>
        <v>3.488</v>
      </c>
      <c r="AE29" s="530">
        <f>AD24</f>
        <v>0</v>
      </c>
      <c r="AF29" s="530">
        <f>AE24</f>
        <v>3.6909999999999998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AL284"/>
  <sheetViews>
    <sheetView topLeftCell="A20" workbookViewId="0">
      <pane xSplit="3" ySplit="15" topLeftCell="Z188" activePane="bottomRight" state="frozen"/>
      <selection activeCell="A20" sqref="A20"/>
      <selection pane="topRight" activeCell="D20" sqref="D20"/>
      <selection pane="bottomLeft" activeCell="A35" sqref="A35"/>
      <selection pane="bottomRight" activeCell="AJ225" sqref="AJ225"/>
    </sheetView>
  </sheetViews>
  <sheetFormatPr defaultColWidth="9.140625" defaultRowHeight="14.25"/>
  <cols>
    <col min="1" max="2" width="9.140625" style="530"/>
    <col min="3" max="3" width="90.28515625" style="530" bestFit="1" customWidth="1"/>
    <col min="4" max="4" width="29" style="530" customWidth="1"/>
    <col min="5" max="32" width="14.42578125" style="530" customWidth="1"/>
    <col min="33" max="16384" width="9.140625" style="530"/>
  </cols>
  <sheetData>
    <row r="1" spans="3:37">
      <c r="C1" s="536" t="s">
        <v>575</v>
      </c>
    </row>
    <row r="3" spans="3:37">
      <c r="C3" s="529" t="s">
        <v>269</v>
      </c>
      <c r="D3" s="531">
        <v>41353.59097222222</v>
      </c>
    </row>
    <row r="4" spans="3:37">
      <c r="C4" s="529" t="s">
        <v>271</v>
      </c>
      <c r="D4" s="531">
        <v>41389.404232430556</v>
      </c>
    </row>
    <row r="5" spans="3:37">
      <c r="C5" s="529" t="s">
        <v>273</v>
      </c>
      <c r="D5" s="529" t="s">
        <v>67</v>
      </c>
    </row>
    <row r="7" spans="3:37">
      <c r="C7" s="529" t="s">
        <v>340</v>
      </c>
      <c r="D7" s="529" t="s">
        <v>576</v>
      </c>
    </row>
    <row r="8" spans="3:37">
      <c r="C8" s="529" t="s">
        <v>341</v>
      </c>
      <c r="D8" s="529" t="s">
        <v>577</v>
      </c>
    </row>
    <row r="9" spans="3:37">
      <c r="C9" s="529" t="s">
        <v>578</v>
      </c>
      <c r="D9" s="529" t="s">
        <v>298</v>
      </c>
    </row>
    <row r="11" spans="3:37">
      <c r="C11" s="532" t="s">
        <v>579</v>
      </c>
      <c r="D11" s="532" t="s">
        <v>580</v>
      </c>
      <c r="E11" s="532" t="s">
        <v>180</v>
      </c>
      <c r="F11" s="532" t="s">
        <v>181</v>
      </c>
      <c r="G11" s="532" t="s">
        <v>215</v>
      </c>
      <c r="H11" s="532" t="s">
        <v>182</v>
      </c>
      <c r="I11" s="532" t="s">
        <v>581</v>
      </c>
      <c r="J11" s="532" t="s">
        <v>217</v>
      </c>
      <c r="K11" s="532" t="s">
        <v>218</v>
      </c>
      <c r="L11" s="532" t="s">
        <v>183</v>
      </c>
      <c r="M11" s="532" t="s">
        <v>184</v>
      </c>
      <c r="N11" s="532" t="s">
        <v>185</v>
      </c>
      <c r="O11" s="532" t="s">
        <v>186</v>
      </c>
      <c r="P11" s="532" t="s">
        <v>187</v>
      </c>
      <c r="Q11" s="532" t="s">
        <v>219</v>
      </c>
      <c r="R11" s="532" t="s">
        <v>188</v>
      </c>
      <c r="S11" s="532" t="s">
        <v>474</v>
      </c>
      <c r="T11" s="532" t="s">
        <v>189</v>
      </c>
      <c r="U11" s="532" t="s">
        <v>190</v>
      </c>
      <c r="V11" s="532" t="s">
        <v>191</v>
      </c>
      <c r="W11" s="532" t="s">
        <v>192</v>
      </c>
      <c r="X11" s="532" t="s">
        <v>193</v>
      </c>
      <c r="Y11" s="532" t="s">
        <v>194</v>
      </c>
      <c r="Z11" s="532" t="s">
        <v>195</v>
      </c>
      <c r="AA11" s="532" t="s">
        <v>196</v>
      </c>
      <c r="AB11" s="532" t="s">
        <v>197</v>
      </c>
      <c r="AC11" s="532" t="s">
        <v>198</v>
      </c>
      <c r="AD11" s="532" t="s">
        <v>199</v>
      </c>
      <c r="AE11" s="532" t="s">
        <v>221</v>
      </c>
      <c r="AF11" s="532" t="s">
        <v>179</v>
      </c>
      <c r="AG11" s="532" t="s">
        <v>178</v>
      </c>
      <c r="AH11" s="532" t="s">
        <v>222</v>
      </c>
      <c r="AI11" s="532" t="s">
        <v>299</v>
      </c>
      <c r="AJ11" s="532" t="s">
        <v>582</v>
      </c>
      <c r="AK11" s="532" t="s">
        <v>300</v>
      </c>
    </row>
    <row r="12" spans="3:37">
      <c r="C12" s="532" t="s">
        <v>655</v>
      </c>
      <c r="D12" s="533">
        <v>7478559</v>
      </c>
      <c r="E12" s="533">
        <v>148484</v>
      </c>
      <c r="F12" s="533">
        <v>107420</v>
      </c>
      <c r="G12" s="533">
        <v>252826</v>
      </c>
      <c r="H12" s="533">
        <v>187194</v>
      </c>
      <c r="I12" s="533">
        <v>1650053</v>
      </c>
      <c r="J12" s="533">
        <v>45214</v>
      </c>
      <c r="K12" s="533">
        <v>83711</v>
      </c>
      <c r="L12" s="533">
        <v>189454</v>
      </c>
      <c r="M12" s="533">
        <v>548888</v>
      </c>
      <c r="N12" s="533">
        <v>224713</v>
      </c>
      <c r="O12" s="533">
        <v>934513</v>
      </c>
      <c r="P12" s="533">
        <v>15653</v>
      </c>
      <c r="Q12" s="533">
        <v>19472</v>
      </c>
      <c r="R12" s="533">
        <v>34519</v>
      </c>
      <c r="S12" s="533">
        <v>11102</v>
      </c>
      <c r="T12" s="533">
        <v>117385</v>
      </c>
      <c r="U12" s="533">
        <v>8064</v>
      </c>
      <c r="V12" s="533">
        <v>416358</v>
      </c>
      <c r="W12" s="533">
        <v>105815</v>
      </c>
      <c r="X12" s="533">
        <v>705859</v>
      </c>
      <c r="Y12" s="533">
        <v>126804</v>
      </c>
      <c r="Z12" s="533">
        <v>207269</v>
      </c>
      <c r="AA12" s="533">
        <v>26416</v>
      </c>
      <c r="AB12" s="533">
        <v>45666</v>
      </c>
      <c r="AC12" s="533">
        <v>200898</v>
      </c>
      <c r="AD12" s="533">
        <v>112274</v>
      </c>
      <c r="AE12" s="533">
        <v>952535</v>
      </c>
      <c r="AF12" s="533">
        <v>14069</v>
      </c>
      <c r="AG12" s="533">
        <v>4449</v>
      </c>
      <c r="AH12" s="533">
        <v>1606</v>
      </c>
      <c r="AI12" s="533">
        <v>29665</v>
      </c>
      <c r="AJ12" s="533">
        <v>19609</v>
      </c>
      <c r="AK12" s="533">
        <v>396589</v>
      </c>
    </row>
    <row r="13" spans="3:37">
      <c r="C13" s="532" t="s">
        <v>656</v>
      </c>
      <c r="D13" s="533">
        <v>1540289</v>
      </c>
      <c r="E13" s="533">
        <v>8943</v>
      </c>
      <c r="F13" s="533">
        <v>6519</v>
      </c>
      <c r="G13" s="533">
        <v>50422</v>
      </c>
      <c r="H13" s="533">
        <v>25239</v>
      </c>
      <c r="I13" s="533">
        <v>446777</v>
      </c>
      <c r="J13" s="533">
        <v>773</v>
      </c>
      <c r="K13" s="533">
        <v>2268</v>
      </c>
      <c r="L13" s="533">
        <v>3910</v>
      </c>
      <c r="M13" s="533">
        <v>143377</v>
      </c>
      <c r="N13" s="533">
        <v>184235</v>
      </c>
      <c r="O13" s="533">
        <v>188780</v>
      </c>
      <c r="P13" s="533">
        <v>101</v>
      </c>
      <c r="Q13" s="533">
        <v>723</v>
      </c>
      <c r="R13" s="533">
        <v>6313</v>
      </c>
      <c r="S13" s="533">
        <v>1210</v>
      </c>
      <c r="T13" s="533">
        <v>1781</v>
      </c>
      <c r="U13" s="533">
        <v>0</v>
      </c>
      <c r="V13" s="533">
        <v>77350</v>
      </c>
      <c r="W13" s="533">
        <v>29513</v>
      </c>
      <c r="X13" s="533">
        <v>64998</v>
      </c>
      <c r="Y13" s="533">
        <v>29760</v>
      </c>
      <c r="Z13" s="533">
        <v>13973</v>
      </c>
      <c r="AA13" s="533">
        <v>1467</v>
      </c>
      <c r="AB13" s="533">
        <v>10584</v>
      </c>
      <c r="AC13" s="533">
        <v>47906</v>
      </c>
      <c r="AD13" s="533">
        <v>44402</v>
      </c>
      <c r="AE13" s="533">
        <v>148968</v>
      </c>
      <c r="AF13" s="533">
        <v>4</v>
      </c>
      <c r="AG13" s="533">
        <v>2844</v>
      </c>
      <c r="AH13" s="533">
        <v>20737</v>
      </c>
      <c r="AI13" s="533">
        <v>1822</v>
      </c>
      <c r="AJ13" s="533">
        <v>575</v>
      </c>
      <c r="AK13" s="533">
        <v>79417</v>
      </c>
    </row>
    <row r="15" spans="3:37">
      <c r="C15" s="529" t="s">
        <v>589</v>
      </c>
    </row>
    <row r="16" spans="3:37">
      <c r="C16" s="529" t="s">
        <v>36</v>
      </c>
      <c r="D16" s="529" t="s">
        <v>590</v>
      </c>
    </row>
    <row r="22" spans="1:38">
      <c r="C22" s="536" t="s">
        <v>657</v>
      </c>
    </row>
    <row r="24" spans="1:38">
      <c r="C24" s="529" t="s">
        <v>269</v>
      </c>
      <c r="D24" s="531">
        <v>41353.593414351853</v>
      </c>
    </row>
    <row r="25" spans="1:38">
      <c r="C25" s="529" t="s">
        <v>271</v>
      </c>
      <c r="D25" s="531">
        <v>41389.410540416669</v>
      </c>
    </row>
    <row r="26" spans="1:38">
      <c r="C26" s="529" t="s">
        <v>273</v>
      </c>
      <c r="D26" s="529" t="s">
        <v>67</v>
      </c>
    </row>
    <row r="28" spans="1:38">
      <c r="C28" s="529" t="s">
        <v>340</v>
      </c>
      <c r="D28" s="529" t="s">
        <v>576</v>
      </c>
    </row>
    <row r="29" spans="1:38">
      <c r="C29" s="529" t="s">
        <v>341</v>
      </c>
      <c r="D29" s="529" t="s">
        <v>658</v>
      </c>
    </row>
    <row r="30" spans="1:38">
      <c r="C30" s="529" t="s">
        <v>578</v>
      </c>
      <c r="D30" s="529" t="s">
        <v>298</v>
      </c>
    </row>
    <row r="32" spans="1:38">
      <c r="A32" s="537"/>
      <c r="B32" s="537"/>
      <c r="C32" s="538" t="s">
        <v>579</v>
      </c>
      <c r="D32" s="538" t="s">
        <v>580</v>
      </c>
      <c r="E32" s="538" t="s">
        <v>180</v>
      </c>
      <c r="F32" s="538" t="s">
        <v>181</v>
      </c>
      <c r="G32" s="538" t="s">
        <v>215</v>
      </c>
      <c r="H32" s="538" t="s">
        <v>182</v>
      </c>
      <c r="I32" s="538" t="s">
        <v>581</v>
      </c>
      <c r="J32" s="538" t="s">
        <v>217</v>
      </c>
      <c r="K32" s="538" t="s">
        <v>218</v>
      </c>
      <c r="L32" s="538" t="s">
        <v>183</v>
      </c>
      <c r="M32" s="538" t="s">
        <v>184</v>
      </c>
      <c r="N32" s="538" t="s">
        <v>185</v>
      </c>
      <c r="O32" s="538" t="s">
        <v>186</v>
      </c>
      <c r="P32" s="538" t="s">
        <v>187</v>
      </c>
      <c r="Q32" s="538" t="s">
        <v>219</v>
      </c>
      <c r="R32" s="538" t="s">
        <v>188</v>
      </c>
      <c r="S32" s="538" t="s">
        <v>474</v>
      </c>
      <c r="T32" s="538" t="s">
        <v>189</v>
      </c>
      <c r="U32" s="538" t="s">
        <v>190</v>
      </c>
      <c r="V32" s="538" t="s">
        <v>191</v>
      </c>
      <c r="W32" s="538" t="s">
        <v>192</v>
      </c>
      <c r="X32" s="538" t="s">
        <v>193</v>
      </c>
      <c r="Y32" s="538" t="s">
        <v>194</v>
      </c>
      <c r="Z32" s="538" t="s">
        <v>195</v>
      </c>
      <c r="AA32" s="538" t="s">
        <v>196</v>
      </c>
      <c r="AB32" s="538" t="s">
        <v>197</v>
      </c>
      <c r="AC32" s="538" t="s">
        <v>198</v>
      </c>
      <c r="AD32" s="538" t="s">
        <v>199</v>
      </c>
      <c r="AE32" s="538" t="s">
        <v>221</v>
      </c>
      <c r="AF32" s="538" t="s">
        <v>659</v>
      </c>
      <c r="AG32" s="538" t="s">
        <v>179</v>
      </c>
      <c r="AH32" s="538" t="s">
        <v>178</v>
      </c>
      <c r="AI32" s="538" t="s">
        <v>222</v>
      </c>
      <c r="AJ32" s="538" t="s">
        <v>299</v>
      </c>
      <c r="AK32" s="538" t="s">
        <v>582</v>
      </c>
      <c r="AL32" s="538" t="s">
        <v>300</v>
      </c>
    </row>
    <row r="33" spans="1:38" hidden="1">
      <c r="A33" s="539" t="s">
        <v>660</v>
      </c>
      <c r="B33" s="539" t="s">
        <v>661</v>
      </c>
      <c r="C33" s="538" t="s">
        <v>662</v>
      </c>
      <c r="D33" s="540">
        <v>4964</v>
      </c>
      <c r="E33" s="540">
        <v>0</v>
      </c>
      <c r="F33" s="540">
        <v>0</v>
      </c>
      <c r="G33" s="540">
        <v>1</v>
      </c>
      <c r="H33" s="540">
        <v>0</v>
      </c>
      <c r="I33" s="540">
        <v>4616</v>
      </c>
      <c r="J33" s="540">
        <v>0</v>
      </c>
      <c r="K33" s="540">
        <v>0</v>
      </c>
      <c r="L33" s="540">
        <v>3</v>
      </c>
      <c r="M33" s="540">
        <v>112</v>
      </c>
      <c r="N33" s="540">
        <v>8</v>
      </c>
      <c r="O33" s="540">
        <v>112</v>
      </c>
      <c r="P33" s="540">
        <v>0</v>
      </c>
      <c r="Q33" s="540">
        <v>0</v>
      </c>
      <c r="R33" s="540">
        <v>0</v>
      </c>
      <c r="S33" s="540">
        <v>0</v>
      </c>
      <c r="T33" s="540">
        <v>0</v>
      </c>
      <c r="U33" s="541" t="s">
        <v>36</v>
      </c>
      <c r="V33" s="540">
        <v>8</v>
      </c>
      <c r="W33" s="540">
        <v>76</v>
      </c>
      <c r="X33" s="540">
        <v>0</v>
      </c>
      <c r="Y33" s="540">
        <v>11</v>
      </c>
      <c r="Z33" s="540">
        <v>0</v>
      </c>
      <c r="AA33" s="540">
        <v>0</v>
      </c>
      <c r="AB33" s="540">
        <v>0</v>
      </c>
      <c r="AC33" s="540">
        <v>9</v>
      </c>
      <c r="AD33" s="540">
        <v>8</v>
      </c>
      <c r="AE33" s="540">
        <v>0</v>
      </c>
      <c r="AF33" s="540">
        <v>4962</v>
      </c>
      <c r="AG33" s="540">
        <v>0</v>
      </c>
      <c r="AH33" s="540">
        <v>0</v>
      </c>
      <c r="AI33" s="540">
        <v>0</v>
      </c>
      <c r="AJ33" s="540">
        <v>0</v>
      </c>
      <c r="AK33" s="540">
        <v>0</v>
      </c>
      <c r="AL33" s="540">
        <v>0</v>
      </c>
    </row>
    <row r="34" spans="1:38" hidden="1">
      <c r="A34" s="539" t="s">
        <v>660</v>
      </c>
      <c r="B34" s="539" t="s">
        <v>661</v>
      </c>
      <c r="C34" s="538" t="s">
        <v>663</v>
      </c>
      <c r="D34" s="540">
        <v>0</v>
      </c>
      <c r="E34" s="540">
        <v>0</v>
      </c>
      <c r="F34" s="540">
        <v>0</v>
      </c>
      <c r="G34" s="540">
        <v>0</v>
      </c>
      <c r="H34" s="540">
        <v>0</v>
      </c>
      <c r="I34" s="540">
        <v>0</v>
      </c>
      <c r="J34" s="540">
        <v>0</v>
      </c>
      <c r="K34" s="540">
        <v>0</v>
      </c>
      <c r="L34" s="540">
        <v>0</v>
      </c>
      <c r="M34" s="540">
        <v>0</v>
      </c>
      <c r="N34" s="540">
        <v>0</v>
      </c>
      <c r="O34" s="540">
        <v>0</v>
      </c>
      <c r="P34" s="540">
        <v>0</v>
      </c>
      <c r="Q34" s="540">
        <v>0</v>
      </c>
      <c r="R34" s="540">
        <v>0</v>
      </c>
      <c r="S34" s="540">
        <v>0</v>
      </c>
      <c r="T34" s="540">
        <v>0</v>
      </c>
      <c r="U34" s="541" t="s">
        <v>36</v>
      </c>
      <c r="V34" s="540">
        <v>0</v>
      </c>
      <c r="W34" s="540">
        <v>0</v>
      </c>
      <c r="X34" s="540">
        <v>0</v>
      </c>
      <c r="Y34" s="540">
        <v>0</v>
      </c>
      <c r="Z34" s="540">
        <v>0</v>
      </c>
      <c r="AA34" s="540">
        <v>0</v>
      </c>
      <c r="AB34" s="540">
        <v>0</v>
      </c>
      <c r="AC34" s="540">
        <v>0</v>
      </c>
      <c r="AD34" s="540">
        <v>0</v>
      </c>
      <c r="AE34" s="540">
        <v>0</v>
      </c>
      <c r="AF34" s="540">
        <v>0</v>
      </c>
      <c r="AG34" s="540">
        <v>0</v>
      </c>
      <c r="AH34" s="540">
        <v>0</v>
      </c>
      <c r="AI34" s="540">
        <v>0</v>
      </c>
      <c r="AJ34" s="540">
        <v>0</v>
      </c>
      <c r="AK34" s="540">
        <v>0</v>
      </c>
      <c r="AL34" s="540">
        <v>0</v>
      </c>
    </row>
    <row r="35" spans="1:38">
      <c r="A35" s="539" t="s">
        <v>664</v>
      </c>
      <c r="B35" s="539" t="s">
        <v>661</v>
      </c>
      <c r="C35" s="568" t="s">
        <v>665</v>
      </c>
      <c r="D35" s="540">
        <v>288</v>
      </c>
      <c r="E35" s="540">
        <v>5</v>
      </c>
      <c r="F35" s="540">
        <v>0</v>
      </c>
      <c r="G35" s="540">
        <v>0</v>
      </c>
      <c r="H35" s="540">
        <v>8</v>
      </c>
      <c r="I35" s="540">
        <v>0</v>
      </c>
      <c r="J35" s="540">
        <v>0</v>
      </c>
      <c r="K35" s="540">
        <v>0</v>
      </c>
      <c r="L35" s="540">
        <v>0</v>
      </c>
      <c r="M35" s="540">
        <v>37</v>
      </c>
      <c r="N35" s="540">
        <v>30</v>
      </c>
      <c r="O35" s="540">
        <v>0</v>
      </c>
      <c r="P35" s="540">
        <v>2</v>
      </c>
      <c r="Q35" s="540">
        <v>0</v>
      </c>
      <c r="R35" s="540">
        <v>0</v>
      </c>
      <c r="S35" s="540">
        <v>64</v>
      </c>
      <c r="T35" s="540">
        <v>0</v>
      </c>
      <c r="U35" s="541" t="s">
        <v>36</v>
      </c>
      <c r="V35" s="540">
        <v>114</v>
      </c>
      <c r="W35" s="540">
        <v>0</v>
      </c>
      <c r="X35" s="540">
        <v>0</v>
      </c>
      <c r="Y35" s="540">
        <v>0</v>
      </c>
      <c r="Z35" s="540">
        <v>0</v>
      </c>
      <c r="AA35" s="540">
        <v>0</v>
      </c>
      <c r="AB35" s="540">
        <v>0</v>
      </c>
      <c r="AC35" s="540">
        <v>0</v>
      </c>
      <c r="AD35" s="540">
        <v>0</v>
      </c>
      <c r="AE35" s="540">
        <v>29</v>
      </c>
      <c r="AF35" s="540">
        <v>286</v>
      </c>
      <c r="AG35" s="540">
        <v>0</v>
      </c>
      <c r="AH35" s="540">
        <v>0</v>
      </c>
      <c r="AI35" s="540">
        <v>68</v>
      </c>
      <c r="AJ35" s="540">
        <v>0</v>
      </c>
      <c r="AK35" s="540">
        <v>0</v>
      </c>
      <c r="AL35" s="540">
        <v>0</v>
      </c>
    </row>
    <row r="36" spans="1:38">
      <c r="A36" s="539" t="s">
        <v>664</v>
      </c>
      <c r="B36" s="539" t="s">
        <v>661</v>
      </c>
      <c r="C36" s="568" t="s">
        <v>666</v>
      </c>
      <c r="D36" s="540">
        <v>0</v>
      </c>
      <c r="E36" s="540">
        <v>0</v>
      </c>
      <c r="F36" s="540">
        <v>0</v>
      </c>
      <c r="G36" s="540">
        <v>0</v>
      </c>
      <c r="H36" s="540">
        <v>0</v>
      </c>
      <c r="I36" s="540">
        <v>0</v>
      </c>
      <c r="J36" s="540">
        <v>0</v>
      </c>
      <c r="K36" s="540">
        <v>0</v>
      </c>
      <c r="L36" s="540">
        <v>0</v>
      </c>
      <c r="M36" s="540">
        <v>0</v>
      </c>
      <c r="N36" s="540">
        <v>0</v>
      </c>
      <c r="O36" s="540">
        <v>0</v>
      </c>
      <c r="P36" s="540">
        <v>0</v>
      </c>
      <c r="Q36" s="540">
        <v>0</v>
      </c>
      <c r="R36" s="540">
        <v>0</v>
      </c>
      <c r="S36" s="540">
        <v>0</v>
      </c>
      <c r="T36" s="540">
        <v>0</v>
      </c>
      <c r="U36" s="541" t="s">
        <v>36</v>
      </c>
      <c r="V36" s="540">
        <v>0</v>
      </c>
      <c r="W36" s="540">
        <v>0</v>
      </c>
      <c r="X36" s="540">
        <v>0</v>
      </c>
      <c r="Y36" s="540">
        <v>0</v>
      </c>
      <c r="Z36" s="540">
        <v>0</v>
      </c>
      <c r="AA36" s="540">
        <v>0</v>
      </c>
      <c r="AB36" s="540">
        <v>0</v>
      </c>
      <c r="AC36" s="540">
        <v>0</v>
      </c>
      <c r="AD36" s="540">
        <v>0</v>
      </c>
      <c r="AE36" s="540">
        <v>0</v>
      </c>
      <c r="AF36" s="540">
        <v>0</v>
      </c>
      <c r="AG36" s="540">
        <v>0</v>
      </c>
      <c r="AH36" s="540">
        <v>0</v>
      </c>
      <c r="AI36" s="540">
        <v>0</v>
      </c>
      <c r="AJ36" s="540">
        <v>0</v>
      </c>
      <c r="AK36" s="540">
        <v>0</v>
      </c>
      <c r="AL36" s="540">
        <v>0</v>
      </c>
    </row>
    <row r="37" spans="1:38" hidden="1">
      <c r="A37" s="539" t="s">
        <v>660</v>
      </c>
      <c r="B37" s="539" t="s">
        <v>661</v>
      </c>
      <c r="C37" s="538" t="s">
        <v>667</v>
      </c>
      <c r="D37" s="540">
        <v>3490686</v>
      </c>
      <c r="E37" s="540">
        <v>171342</v>
      </c>
      <c r="F37" s="540">
        <v>67151</v>
      </c>
      <c r="G37" s="540">
        <v>89021</v>
      </c>
      <c r="H37" s="540">
        <v>0</v>
      </c>
      <c r="I37" s="540">
        <v>586998</v>
      </c>
      <c r="J37" s="540">
        <v>0</v>
      </c>
      <c r="K37" s="540">
        <v>0</v>
      </c>
      <c r="L37" s="540">
        <v>0</v>
      </c>
      <c r="M37" s="540">
        <v>207140</v>
      </c>
      <c r="N37" s="540">
        <v>1625504</v>
      </c>
      <c r="O37" s="540">
        <v>0</v>
      </c>
      <c r="P37" s="540">
        <v>0</v>
      </c>
      <c r="Q37" s="540">
        <v>0</v>
      </c>
      <c r="R37" s="540">
        <v>0</v>
      </c>
      <c r="S37" s="540">
        <v>0</v>
      </c>
      <c r="T37" s="540">
        <v>49802</v>
      </c>
      <c r="U37" s="540">
        <v>0</v>
      </c>
      <c r="V37" s="540">
        <v>14389</v>
      </c>
      <c r="W37" s="540">
        <v>0</v>
      </c>
      <c r="X37" s="540">
        <v>0</v>
      </c>
      <c r="Y37" s="540">
        <v>0</v>
      </c>
      <c r="Z37" s="540">
        <v>19998</v>
      </c>
      <c r="AA37" s="540">
        <v>21182</v>
      </c>
      <c r="AB37" s="540">
        <v>0</v>
      </c>
      <c r="AC37" s="540">
        <v>83776</v>
      </c>
      <c r="AD37" s="540">
        <v>260557</v>
      </c>
      <c r="AE37" s="540">
        <v>293825</v>
      </c>
      <c r="AF37" s="540">
        <v>3243532</v>
      </c>
      <c r="AG37" s="540">
        <v>0</v>
      </c>
      <c r="AH37" s="540">
        <v>0</v>
      </c>
      <c r="AI37" s="540">
        <v>84028</v>
      </c>
      <c r="AJ37" s="540">
        <v>0</v>
      </c>
      <c r="AK37" s="540">
        <v>0</v>
      </c>
      <c r="AL37" s="540">
        <v>0</v>
      </c>
    </row>
    <row r="38" spans="1:38" hidden="1">
      <c r="A38" s="539" t="s">
        <v>660</v>
      </c>
      <c r="B38" s="539" t="s">
        <v>668</v>
      </c>
      <c r="C38" s="538" t="s">
        <v>669</v>
      </c>
      <c r="D38" s="540">
        <v>101030</v>
      </c>
      <c r="E38" s="540">
        <v>0</v>
      </c>
      <c r="F38" s="540">
        <v>0</v>
      </c>
      <c r="G38" s="540">
        <v>0</v>
      </c>
      <c r="H38" s="540">
        <v>0</v>
      </c>
      <c r="I38" s="540">
        <v>0</v>
      </c>
      <c r="J38" s="540">
        <v>0</v>
      </c>
      <c r="K38" s="540">
        <v>0</v>
      </c>
      <c r="L38" s="540">
        <v>0</v>
      </c>
      <c r="M38" s="540">
        <v>0</v>
      </c>
      <c r="N38" s="540">
        <v>0</v>
      </c>
      <c r="O38" s="540">
        <v>0</v>
      </c>
      <c r="P38" s="540">
        <v>0</v>
      </c>
      <c r="Q38" s="540">
        <v>0</v>
      </c>
      <c r="R38" s="540">
        <v>37213</v>
      </c>
      <c r="S38" s="540">
        <v>0</v>
      </c>
      <c r="T38" s="540">
        <v>0</v>
      </c>
      <c r="U38" s="540">
        <v>0</v>
      </c>
      <c r="V38" s="540">
        <v>0</v>
      </c>
      <c r="W38" s="540">
        <v>0</v>
      </c>
      <c r="X38" s="540">
        <v>0</v>
      </c>
      <c r="Y38" s="540">
        <v>0</v>
      </c>
      <c r="Z38" s="540">
        <v>0</v>
      </c>
      <c r="AA38" s="540">
        <v>0</v>
      </c>
      <c r="AB38" s="540">
        <v>63817</v>
      </c>
      <c r="AC38" s="540">
        <v>0</v>
      </c>
      <c r="AD38" s="540">
        <v>0</v>
      </c>
      <c r="AE38" s="540">
        <v>0</v>
      </c>
      <c r="AF38" s="540">
        <v>0</v>
      </c>
      <c r="AG38" s="540">
        <v>0</v>
      </c>
      <c r="AH38" s="540">
        <v>0</v>
      </c>
      <c r="AI38" s="540">
        <v>0</v>
      </c>
      <c r="AJ38" s="540">
        <v>0</v>
      </c>
      <c r="AK38" s="540">
        <v>0</v>
      </c>
      <c r="AL38" s="540">
        <v>0</v>
      </c>
    </row>
    <row r="39" spans="1:38">
      <c r="A39" s="539" t="s">
        <v>664</v>
      </c>
      <c r="B39" s="539" t="s">
        <v>661</v>
      </c>
      <c r="C39" s="568" t="s">
        <v>670</v>
      </c>
      <c r="D39" s="540">
        <v>0</v>
      </c>
      <c r="E39" s="540">
        <v>0</v>
      </c>
      <c r="F39" s="540">
        <v>0</v>
      </c>
      <c r="G39" s="540">
        <v>0</v>
      </c>
      <c r="H39" s="540">
        <v>0</v>
      </c>
      <c r="I39" s="540">
        <v>0</v>
      </c>
      <c r="J39" s="540">
        <v>0</v>
      </c>
      <c r="K39" s="540">
        <v>0</v>
      </c>
      <c r="L39" s="540">
        <v>0</v>
      </c>
      <c r="M39" s="540">
        <v>0</v>
      </c>
      <c r="N39" s="540">
        <v>0</v>
      </c>
      <c r="O39" s="540">
        <v>0</v>
      </c>
      <c r="P39" s="540">
        <v>0</v>
      </c>
      <c r="Q39" s="540">
        <v>0</v>
      </c>
      <c r="R39" s="540">
        <v>0</v>
      </c>
      <c r="S39" s="540">
        <v>0</v>
      </c>
      <c r="T39" s="540">
        <v>0</v>
      </c>
      <c r="U39" s="540">
        <v>0</v>
      </c>
      <c r="V39" s="540">
        <v>0</v>
      </c>
      <c r="W39" s="540">
        <v>0</v>
      </c>
      <c r="X39" s="540">
        <v>0</v>
      </c>
      <c r="Y39" s="540">
        <v>0</v>
      </c>
      <c r="Z39" s="540">
        <v>0</v>
      </c>
      <c r="AA39" s="540">
        <v>0</v>
      </c>
      <c r="AB39" s="540">
        <v>0</v>
      </c>
      <c r="AC39" s="540">
        <v>0</v>
      </c>
      <c r="AD39" s="540">
        <v>0</v>
      </c>
      <c r="AE39" s="540">
        <v>0</v>
      </c>
      <c r="AF39" s="540">
        <v>0</v>
      </c>
      <c r="AG39" s="540">
        <v>0</v>
      </c>
      <c r="AH39" s="540">
        <v>0</v>
      </c>
      <c r="AI39" s="540">
        <v>0</v>
      </c>
      <c r="AJ39" s="540">
        <v>0</v>
      </c>
      <c r="AK39" s="540">
        <v>0</v>
      </c>
      <c r="AL39" s="540">
        <v>0</v>
      </c>
    </row>
    <row r="40" spans="1:38">
      <c r="A40" s="539" t="s">
        <v>664</v>
      </c>
      <c r="B40" s="539" t="s">
        <v>668</v>
      </c>
      <c r="C40" s="568" t="s">
        <v>671</v>
      </c>
      <c r="D40" s="540">
        <v>0</v>
      </c>
      <c r="E40" s="540">
        <v>0</v>
      </c>
      <c r="F40" s="540">
        <v>0</v>
      </c>
      <c r="G40" s="540">
        <v>0</v>
      </c>
      <c r="H40" s="540">
        <v>0</v>
      </c>
      <c r="I40" s="540">
        <v>0</v>
      </c>
      <c r="J40" s="540">
        <v>0</v>
      </c>
      <c r="K40" s="540">
        <v>0</v>
      </c>
      <c r="L40" s="540">
        <v>0</v>
      </c>
      <c r="M40" s="540">
        <v>0</v>
      </c>
      <c r="N40" s="540">
        <v>0</v>
      </c>
      <c r="O40" s="540">
        <v>0</v>
      </c>
      <c r="P40" s="540">
        <v>0</v>
      </c>
      <c r="Q40" s="540">
        <v>0</v>
      </c>
      <c r="R40" s="540">
        <v>0</v>
      </c>
      <c r="S40" s="540">
        <v>0</v>
      </c>
      <c r="T40" s="540">
        <v>0</v>
      </c>
      <c r="U40" s="540">
        <v>0</v>
      </c>
      <c r="V40" s="540">
        <v>0</v>
      </c>
      <c r="W40" s="540">
        <v>0</v>
      </c>
      <c r="X40" s="540">
        <v>0</v>
      </c>
      <c r="Y40" s="540">
        <v>0</v>
      </c>
      <c r="Z40" s="540">
        <v>0</v>
      </c>
      <c r="AA40" s="540">
        <v>0</v>
      </c>
      <c r="AB40" s="540">
        <v>0</v>
      </c>
      <c r="AC40" s="540">
        <v>0</v>
      </c>
      <c r="AD40" s="540">
        <v>0</v>
      </c>
      <c r="AE40" s="540">
        <v>0</v>
      </c>
      <c r="AF40" s="540">
        <v>0</v>
      </c>
      <c r="AG40" s="540">
        <v>0</v>
      </c>
      <c r="AH40" s="540">
        <v>0</v>
      </c>
      <c r="AI40" s="540">
        <v>0</v>
      </c>
      <c r="AJ40" s="540">
        <v>0</v>
      </c>
      <c r="AK40" s="540">
        <v>0</v>
      </c>
      <c r="AL40" s="540">
        <v>0</v>
      </c>
    </row>
    <row r="41" spans="1:38" hidden="1">
      <c r="A41" s="539" t="s">
        <v>660</v>
      </c>
      <c r="B41" s="539" t="s">
        <v>661</v>
      </c>
      <c r="C41" s="538" t="s">
        <v>672</v>
      </c>
      <c r="D41" s="540">
        <v>1204765</v>
      </c>
      <c r="E41" s="540">
        <v>5774</v>
      </c>
      <c r="F41" s="540">
        <v>17028</v>
      </c>
      <c r="G41" s="540">
        <v>8917</v>
      </c>
      <c r="H41" s="540">
        <v>83</v>
      </c>
      <c r="I41" s="540">
        <v>94882</v>
      </c>
      <c r="J41" s="540">
        <v>79</v>
      </c>
      <c r="K41" s="540">
        <v>3510</v>
      </c>
      <c r="L41" s="540">
        <v>20196</v>
      </c>
      <c r="M41" s="540">
        <v>81630</v>
      </c>
      <c r="N41" s="540">
        <v>200326</v>
      </c>
      <c r="O41" s="540">
        <v>151661</v>
      </c>
      <c r="P41" s="540">
        <v>0</v>
      </c>
      <c r="Q41" s="540">
        <v>11938</v>
      </c>
      <c r="R41" s="540">
        <v>2952</v>
      </c>
      <c r="S41" s="540">
        <v>3143</v>
      </c>
      <c r="T41" s="540">
        <v>727</v>
      </c>
      <c r="U41" s="540">
        <v>0</v>
      </c>
      <c r="V41" s="540">
        <v>317</v>
      </c>
      <c r="W41" s="540">
        <v>136033</v>
      </c>
      <c r="X41" s="540">
        <v>13594</v>
      </c>
      <c r="Y41" s="540">
        <v>18396</v>
      </c>
      <c r="Z41" s="540">
        <v>72472</v>
      </c>
      <c r="AA41" s="540">
        <v>11650</v>
      </c>
      <c r="AB41" s="540">
        <v>16772</v>
      </c>
      <c r="AC41" s="540">
        <v>46058</v>
      </c>
      <c r="AD41" s="540">
        <v>262307</v>
      </c>
      <c r="AE41" s="540">
        <v>24322</v>
      </c>
      <c r="AF41" s="540">
        <v>1544933</v>
      </c>
      <c r="AG41" s="540">
        <v>25254</v>
      </c>
      <c r="AH41" s="540">
        <v>471042</v>
      </c>
      <c r="AI41" s="540">
        <v>110689</v>
      </c>
      <c r="AJ41" s="540">
        <v>23119</v>
      </c>
      <c r="AK41" s="540">
        <v>5371</v>
      </c>
      <c r="AL41" s="540">
        <v>139414</v>
      </c>
    </row>
    <row r="42" spans="1:38">
      <c r="A42" s="539" t="s">
        <v>664</v>
      </c>
      <c r="B42" s="539" t="s">
        <v>661</v>
      </c>
      <c r="C42" s="568" t="s">
        <v>673</v>
      </c>
      <c r="D42" s="540">
        <v>23778</v>
      </c>
      <c r="E42" s="540">
        <v>0</v>
      </c>
      <c r="F42" s="540">
        <v>0</v>
      </c>
      <c r="G42" s="540">
        <v>1980</v>
      </c>
      <c r="H42" s="540">
        <v>0</v>
      </c>
      <c r="I42" s="540">
        <v>1300</v>
      </c>
      <c r="J42" s="540">
        <v>0</v>
      </c>
      <c r="K42" s="540">
        <v>0</v>
      </c>
      <c r="L42" s="540">
        <v>0</v>
      </c>
      <c r="M42" s="540">
        <v>1260</v>
      </c>
      <c r="N42" s="540">
        <v>2905</v>
      </c>
      <c r="O42" s="540">
        <v>2876</v>
      </c>
      <c r="P42" s="540">
        <v>0</v>
      </c>
      <c r="Q42" s="540">
        <v>36</v>
      </c>
      <c r="R42" s="540">
        <v>0</v>
      </c>
      <c r="S42" s="540">
        <v>18</v>
      </c>
      <c r="T42" s="540">
        <v>0</v>
      </c>
      <c r="U42" s="540">
        <v>0</v>
      </c>
      <c r="V42" s="540">
        <v>0</v>
      </c>
      <c r="W42" s="540">
        <v>4439</v>
      </c>
      <c r="X42" s="540">
        <v>7</v>
      </c>
      <c r="Y42" s="540">
        <v>29</v>
      </c>
      <c r="Z42" s="540">
        <v>274</v>
      </c>
      <c r="AA42" s="540">
        <v>810</v>
      </c>
      <c r="AB42" s="540">
        <v>295</v>
      </c>
      <c r="AC42" s="540">
        <v>3564</v>
      </c>
      <c r="AD42" s="540">
        <v>40</v>
      </c>
      <c r="AE42" s="540">
        <v>3946</v>
      </c>
      <c r="AF42" s="540">
        <v>40561</v>
      </c>
      <c r="AG42" s="540">
        <v>14</v>
      </c>
      <c r="AH42" s="540">
        <v>20185</v>
      </c>
      <c r="AI42" s="540">
        <v>8420</v>
      </c>
      <c r="AJ42" s="540">
        <v>58</v>
      </c>
      <c r="AK42" s="540">
        <v>0</v>
      </c>
      <c r="AL42" s="540">
        <v>3006</v>
      </c>
    </row>
    <row r="43" spans="1:38" hidden="1">
      <c r="A43" s="539" t="s">
        <v>660</v>
      </c>
      <c r="B43" s="539" t="s">
        <v>661</v>
      </c>
      <c r="C43" s="538" t="s">
        <v>674</v>
      </c>
      <c r="D43" s="540">
        <v>126688</v>
      </c>
      <c r="E43" s="540">
        <v>4738</v>
      </c>
      <c r="F43" s="540">
        <v>1415</v>
      </c>
      <c r="G43" s="540">
        <v>2329</v>
      </c>
      <c r="H43" s="540">
        <v>0</v>
      </c>
      <c r="I43" s="540">
        <v>25690</v>
      </c>
      <c r="J43" s="540">
        <v>0</v>
      </c>
      <c r="K43" s="540">
        <v>1238</v>
      </c>
      <c r="L43" s="540">
        <v>2135</v>
      </c>
      <c r="M43" s="540">
        <v>16675</v>
      </c>
      <c r="N43" s="540">
        <v>16942</v>
      </c>
      <c r="O43" s="540">
        <v>24696</v>
      </c>
      <c r="P43" s="540">
        <v>0</v>
      </c>
      <c r="Q43" s="540">
        <v>0</v>
      </c>
      <c r="R43" s="540">
        <v>1328</v>
      </c>
      <c r="S43" s="540">
        <v>2822</v>
      </c>
      <c r="T43" s="540">
        <v>0</v>
      </c>
      <c r="U43" s="540">
        <v>0</v>
      </c>
      <c r="V43" s="540">
        <v>0</v>
      </c>
      <c r="W43" s="540">
        <v>8435</v>
      </c>
      <c r="X43" s="540">
        <v>5677</v>
      </c>
      <c r="Y43" s="540">
        <v>1393</v>
      </c>
      <c r="Z43" s="540">
        <v>0</v>
      </c>
      <c r="AA43" s="540">
        <v>0</v>
      </c>
      <c r="AB43" s="540">
        <v>371</v>
      </c>
      <c r="AC43" s="540">
        <v>0</v>
      </c>
      <c r="AD43" s="540">
        <v>256</v>
      </c>
      <c r="AE43" s="540">
        <v>10548</v>
      </c>
      <c r="AF43" s="540">
        <v>118231</v>
      </c>
      <c r="AG43" s="540">
        <v>0</v>
      </c>
      <c r="AH43" s="540">
        <v>2664</v>
      </c>
      <c r="AI43" s="540">
        <v>6613</v>
      </c>
      <c r="AJ43" s="540">
        <v>378</v>
      </c>
      <c r="AK43" s="540">
        <v>0</v>
      </c>
      <c r="AL43" s="540">
        <v>0</v>
      </c>
    </row>
    <row r="44" spans="1:38">
      <c r="A44" s="539" t="s">
        <v>664</v>
      </c>
      <c r="B44" s="539" t="s">
        <v>661</v>
      </c>
      <c r="C44" s="568" t="s">
        <v>675</v>
      </c>
      <c r="D44" s="540">
        <v>0</v>
      </c>
      <c r="E44" s="540">
        <v>0</v>
      </c>
      <c r="F44" s="540">
        <v>0</v>
      </c>
      <c r="G44" s="540">
        <v>0</v>
      </c>
      <c r="H44" s="540">
        <v>0</v>
      </c>
      <c r="I44" s="540">
        <v>0</v>
      </c>
      <c r="J44" s="540">
        <v>0</v>
      </c>
      <c r="K44" s="540">
        <v>0</v>
      </c>
      <c r="L44" s="540">
        <v>0</v>
      </c>
      <c r="M44" s="540">
        <v>0</v>
      </c>
      <c r="N44" s="540">
        <v>0</v>
      </c>
      <c r="O44" s="540">
        <v>0</v>
      </c>
      <c r="P44" s="540">
        <v>0</v>
      </c>
      <c r="Q44" s="540">
        <v>0</v>
      </c>
      <c r="R44" s="540">
        <v>0</v>
      </c>
      <c r="S44" s="540">
        <v>0</v>
      </c>
      <c r="T44" s="540">
        <v>0</v>
      </c>
      <c r="U44" s="540">
        <v>0</v>
      </c>
      <c r="V44" s="540">
        <v>0</v>
      </c>
      <c r="W44" s="540">
        <v>0</v>
      </c>
      <c r="X44" s="540">
        <v>0</v>
      </c>
      <c r="Y44" s="540">
        <v>0</v>
      </c>
      <c r="Z44" s="540">
        <v>0</v>
      </c>
      <c r="AA44" s="540">
        <v>0</v>
      </c>
      <c r="AB44" s="540">
        <v>0</v>
      </c>
      <c r="AC44" s="540">
        <v>0</v>
      </c>
      <c r="AD44" s="540">
        <v>0</v>
      </c>
      <c r="AE44" s="540">
        <v>0</v>
      </c>
      <c r="AF44" s="540">
        <v>86</v>
      </c>
      <c r="AG44" s="540">
        <v>0</v>
      </c>
      <c r="AH44" s="540">
        <v>86</v>
      </c>
      <c r="AI44" s="540">
        <v>83</v>
      </c>
      <c r="AJ44" s="540">
        <v>0</v>
      </c>
      <c r="AK44" s="540">
        <v>0</v>
      </c>
      <c r="AL44" s="540">
        <v>0</v>
      </c>
    </row>
    <row r="45" spans="1:38" hidden="1">
      <c r="A45" s="539" t="s">
        <v>660</v>
      </c>
      <c r="B45" s="539" t="s">
        <v>661</v>
      </c>
      <c r="C45" s="538" t="s">
        <v>676</v>
      </c>
      <c r="D45" s="540">
        <v>19429</v>
      </c>
      <c r="E45" s="540">
        <v>0</v>
      </c>
      <c r="F45" s="540">
        <v>0</v>
      </c>
      <c r="G45" s="540">
        <v>0</v>
      </c>
      <c r="H45" s="540">
        <v>0</v>
      </c>
      <c r="I45" s="540">
        <v>0</v>
      </c>
      <c r="J45" s="540">
        <v>0</v>
      </c>
      <c r="K45" s="540">
        <v>0</v>
      </c>
      <c r="L45" s="540">
        <v>0</v>
      </c>
      <c r="M45" s="540">
        <v>0</v>
      </c>
      <c r="N45" s="540">
        <v>0</v>
      </c>
      <c r="O45" s="540">
        <v>19166</v>
      </c>
      <c r="P45" s="540">
        <v>0</v>
      </c>
      <c r="Q45" s="540">
        <v>0</v>
      </c>
      <c r="R45" s="540">
        <v>0</v>
      </c>
      <c r="S45" s="540">
        <v>0</v>
      </c>
      <c r="T45" s="540">
        <v>0</v>
      </c>
      <c r="U45" s="540">
        <v>0</v>
      </c>
      <c r="V45" s="540">
        <v>0</v>
      </c>
      <c r="W45" s="540">
        <v>7</v>
      </c>
      <c r="X45" s="540">
        <v>0</v>
      </c>
      <c r="Y45" s="540">
        <v>256</v>
      </c>
      <c r="Z45" s="540">
        <v>0</v>
      </c>
      <c r="AA45" s="540">
        <v>0</v>
      </c>
      <c r="AB45" s="540">
        <v>0</v>
      </c>
      <c r="AC45" s="540">
        <v>0</v>
      </c>
      <c r="AD45" s="540">
        <v>0</v>
      </c>
      <c r="AE45" s="540">
        <v>0</v>
      </c>
      <c r="AF45" s="540">
        <v>21204</v>
      </c>
      <c r="AG45" s="540">
        <v>1832</v>
      </c>
      <c r="AH45" s="540">
        <v>0</v>
      </c>
      <c r="AI45" s="540">
        <v>0</v>
      </c>
      <c r="AJ45" s="540">
        <v>0</v>
      </c>
      <c r="AK45" s="540">
        <v>0</v>
      </c>
      <c r="AL45" s="540">
        <v>338</v>
      </c>
    </row>
    <row r="46" spans="1:38" hidden="1">
      <c r="A46" s="539" t="s">
        <v>660</v>
      </c>
      <c r="B46" s="539" t="s">
        <v>668</v>
      </c>
      <c r="C46" s="538" t="s">
        <v>677</v>
      </c>
      <c r="D46" s="540">
        <v>0</v>
      </c>
      <c r="E46" s="540">
        <v>0</v>
      </c>
      <c r="F46" s="540">
        <v>0</v>
      </c>
      <c r="G46" s="540">
        <v>0</v>
      </c>
      <c r="H46" s="540">
        <v>0</v>
      </c>
      <c r="I46" s="540">
        <v>0</v>
      </c>
      <c r="J46" s="540">
        <v>0</v>
      </c>
      <c r="K46" s="540">
        <v>0</v>
      </c>
      <c r="L46" s="540">
        <v>0</v>
      </c>
      <c r="M46" s="540">
        <v>0</v>
      </c>
      <c r="N46" s="540">
        <v>0</v>
      </c>
      <c r="O46" s="540">
        <v>0</v>
      </c>
      <c r="P46" s="540">
        <v>0</v>
      </c>
      <c r="Q46" s="540">
        <v>0</v>
      </c>
      <c r="R46" s="540">
        <v>0</v>
      </c>
      <c r="S46" s="540">
        <v>0</v>
      </c>
      <c r="T46" s="540">
        <v>0</v>
      </c>
      <c r="U46" s="540">
        <v>0</v>
      </c>
      <c r="V46" s="540">
        <v>0</v>
      </c>
      <c r="W46" s="540">
        <v>0</v>
      </c>
      <c r="X46" s="540">
        <v>0</v>
      </c>
      <c r="Y46" s="540">
        <v>0</v>
      </c>
      <c r="Z46" s="540">
        <v>0</v>
      </c>
      <c r="AA46" s="540">
        <v>0</v>
      </c>
      <c r="AB46" s="540">
        <v>0</v>
      </c>
      <c r="AC46" s="540">
        <v>0</v>
      </c>
      <c r="AD46" s="540">
        <v>0</v>
      </c>
      <c r="AE46" s="540">
        <v>0</v>
      </c>
      <c r="AF46" s="540">
        <v>4194</v>
      </c>
      <c r="AG46" s="540">
        <v>4136</v>
      </c>
      <c r="AH46" s="540">
        <v>0</v>
      </c>
      <c r="AI46" s="540">
        <v>0</v>
      </c>
      <c r="AJ46" s="540">
        <v>0</v>
      </c>
      <c r="AK46" s="540">
        <v>0</v>
      </c>
      <c r="AL46" s="540">
        <v>0</v>
      </c>
    </row>
    <row r="47" spans="1:38">
      <c r="A47" s="539" t="s">
        <v>664</v>
      </c>
      <c r="B47" s="539" t="s">
        <v>661</v>
      </c>
      <c r="C47" s="568" t="s">
        <v>678</v>
      </c>
      <c r="D47" s="540">
        <v>0</v>
      </c>
      <c r="E47" s="540">
        <v>0</v>
      </c>
      <c r="F47" s="540">
        <v>0</v>
      </c>
      <c r="G47" s="540">
        <v>0</v>
      </c>
      <c r="H47" s="540">
        <v>0</v>
      </c>
      <c r="I47" s="540">
        <v>0</v>
      </c>
      <c r="J47" s="540">
        <v>0</v>
      </c>
      <c r="K47" s="540">
        <v>0</v>
      </c>
      <c r="L47" s="540">
        <v>0</v>
      </c>
      <c r="M47" s="540">
        <v>0</v>
      </c>
      <c r="N47" s="540">
        <v>0</v>
      </c>
      <c r="O47" s="540">
        <v>0</v>
      </c>
      <c r="P47" s="540">
        <v>0</v>
      </c>
      <c r="Q47" s="540">
        <v>0</v>
      </c>
      <c r="R47" s="540">
        <v>0</v>
      </c>
      <c r="S47" s="540">
        <v>0</v>
      </c>
      <c r="T47" s="540">
        <v>0</v>
      </c>
      <c r="U47" s="540">
        <v>0</v>
      </c>
      <c r="V47" s="540">
        <v>0</v>
      </c>
      <c r="W47" s="540">
        <v>0</v>
      </c>
      <c r="X47" s="540">
        <v>0</v>
      </c>
      <c r="Y47" s="540">
        <v>0</v>
      </c>
      <c r="Z47" s="540">
        <v>0</v>
      </c>
      <c r="AA47" s="540">
        <v>0</v>
      </c>
      <c r="AB47" s="540">
        <v>0</v>
      </c>
      <c r="AC47" s="540">
        <v>0</v>
      </c>
      <c r="AD47" s="540">
        <v>0</v>
      </c>
      <c r="AE47" s="540">
        <v>0</v>
      </c>
      <c r="AF47" s="540">
        <v>0</v>
      </c>
      <c r="AG47" s="540">
        <v>0</v>
      </c>
      <c r="AH47" s="540">
        <v>0</v>
      </c>
      <c r="AI47" s="540">
        <v>0</v>
      </c>
      <c r="AJ47" s="540">
        <v>0</v>
      </c>
      <c r="AK47" s="540">
        <v>0</v>
      </c>
      <c r="AL47" s="540">
        <v>0</v>
      </c>
    </row>
    <row r="48" spans="1:38">
      <c r="A48" s="539" t="s">
        <v>664</v>
      </c>
      <c r="B48" s="539" t="s">
        <v>668</v>
      </c>
      <c r="C48" s="568" t="s">
        <v>679</v>
      </c>
      <c r="D48" s="540">
        <v>0</v>
      </c>
      <c r="E48" s="540">
        <v>0</v>
      </c>
      <c r="F48" s="540">
        <v>0</v>
      </c>
      <c r="G48" s="540">
        <v>0</v>
      </c>
      <c r="H48" s="540">
        <v>0</v>
      </c>
      <c r="I48" s="540">
        <v>0</v>
      </c>
      <c r="J48" s="540">
        <v>0</v>
      </c>
      <c r="K48" s="540">
        <v>0</v>
      </c>
      <c r="L48" s="540">
        <v>0</v>
      </c>
      <c r="M48" s="540">
        <v>0</v>
      </c>
      <c r="N48" s="540">
        <v>0</v>
      </c>
      <c r="O48" s="540">
        <v>0</v>
      </c>
      <c r="P48" s="540">
        <v>0</v>
      </c>
      <c r="Q48" s="540">
        <v>0</v>
      </c>
      <c r="R48" s="540">
        <v>0</v>
      </c>
      <c r="S48" s="540">
        <v>0</v>
      </c>
      <c r="T48" s="540">
        <v>0</v>
      </c>
      <c r="U48" s="540">
        <v>0</v>
      </c>
      <c r="V48" s="540">
        <v>0</v>
      </c>
      <c r="W48" s="540">
        <v>0</v>
      </c>
      <c r="X48" s="540">
        <v>0</v>
      </c>
      <c r="Y48" s="540">
        <v>0</v>
      </c>
      <c r="Z48" s="540">
        <v>0</v>
      </c>
      <c r="AA48" s="540">
        <v>0</v>
      </c>
      <c r="AB48" s="540">
        <v>0</v>
      </c>
      <c r="AC48" s="540">
        <v>0</v>
      </c>
      <c r="AD48" s="540">
        <v>0</v>
      </c>
      <c r="AE48" s="540">
        <v>0</v>
      </c>
      <c r="AF48" s="540">
        <v>0</v>
      </c>
      <c r="AG48" s="540">
        <v>0</v>
      </c>
      <c r="AH48" s="540">
        <v>0</v>
      </c>
      <c r="AI48" s="540">
        <v>0</v>
      </c>
      <c r="AJ48" s="540">
        <v>0</v>
      </c>
      <c r="AK48" s="540">
        <v>0</v>
      </c>
      <c r="AL48" s="540">
        <v>0</v>
      </c>
    </row>
    <row r="49" spans="1:38">
      <c r="A49" s="539" t="s">
        <v>664</v>
      </c>
      <c r="B49" s="539" t="s">
        <v>661</v>
      </c>
      <c r="C49" s="568" t="s">
        <v>680</v>
      </c>
      <c r="D49" s="540">
        <v>288</v>
      </c>
      <c r="E49" s="540">
        <v>4</v>
      </c>
      <c r="F49" s="540">
        <v>0</v>
      </c>
      <c r="G49" s="540">
        <v>0</v>
      </c>
      <c r="H49" s="540">
        <v>7</v>
      </c>
      <c r="I49" s="540">
        <v>0</v>
      </c>
      <c r="J49" s="540">
        <v>0</v>
      </c>
      <c r="K49" s="540">
        <v>0</v>
      </c>
      <c r="L49" s="540">
        <v>0</v>
      </c>
      <c r="M49" s="540">
        <v>36</v>
      </c>
      <c r="N49" s="540">
        <v>29</v>
      </c>
      <c r="O49" s="540">
        <v>0</v>
      </c>
      <c r="P49" s="540">
        <v>4</v>
      </c>
      <c r="Q49" s="540">
        <v>0</v>
      </c>
      <c r="R49" s="540">
        <v>0</v>
      </c>
      <c r="S49" s="540">
        <v>65</v>
      </c>
      <c r="T49" s="540">
        <v>0</v>
      </c>
      <c r="U49" s="540">
        <v>0</v>
      </c>
      <c r="V49" s="540">
        <v>115</v>
      </c>
      <c r="W49" s="540">
        <v>0</v>
      </c>
      <c r="X49" s="540">
        <v>0</v>
      </c>
      <c r="Y49" s="540">
        <v>0</v>
      </c>
      <c r="Z49" s="540">
        <v>0</v>
      </c>
      <c r="AA49" s="540">
        <v>0</v>
      </c>
      <c r="AB49" s="540">
        <v>0</v>
      </c>
      <c r="AC49" s="540">
        <v>0</v>
      </c>
      <c r="AD49" s="540">
        <v>0</v>
      </c>
      <c r="AE49" s="540">
        <v>29</v>
      </c>
      <c r="AF49" s="540">
        <v>284</v>
      </c>
      <c r="AG49" s="540">
        <v>0</v>
      </c>
      <c r="AH49" s="540">
        <v>0</v>
      </c>
      <c r="AI49" s="540">
        <v>68</v>
      </c>
      <c r="AJ49" s="540">
        <v>0</v>
      </c>
      <c r="AK49" s="540">
        <v>0</v>
      </c>
      <c r="AL49" s="540">
        <v>0</v>
      </c>
    </row>
    <row r="50" spans="1:38" hidden="1">
      <c r="A50" s="539" t="s">
        <v>660</v>
      </c>
      <c r="B50" s="539" t="s">
        <v>661</v>
      </c>
      <c r="C50" s="538" t="s">
        <v>681</v>
      </c>
      <c r="D50" s="540">
        <v>1922</v>
      </c>
      <c r="E50" s="540">
        <v>0</v>
      </c>
      <c r="F50" s="540">
        <v>0</v>
      </c>
      <c r="G50" s="540">
        <v>0</v>
      </c>
      <c r="H50" s="540">
        <v>0</v>
      </c>
      <c r="I50" s="540">
        <v>0</v>
      </c>
      <c r="J50" s="540">
        <v>0</v>
      </c>
      <c r="K50" s="540">
        <v>0</v>
      </c>
      <c r="L50" s="540">
        <v>0</v>
      </c>
      <c r="M50" s="540">
        <v>0</v>
      </c>
      <c r="N50" s="540">
        <v>1922</v>
      </c>
      <c r="O50" s="540">
        <v>0</v>
      </c>
      <c r="P50" s="540">
        <v>0</v>
      </c>
      <c r="Q50" s="540">
        <v>0</v>
      </c>
      <c r="R50" s="540">
        <v>0</v>
      </c>
      <c r="S50" s="540">
        <v>0</v>
      </c>
      <c r="T50" s="540">
        <v>0</v>
      </c>
      <c r="U50" s="540">
        <v>0</v>
      </c>
      <c r="V50" s="540">
        <v>0</v>
      </c>
      <c r="W50" s="540">
        <v>0</v>
      </c>
      <c r="X50" s="540">
        <v>0</v>
      </c>
      <c r="Y50" s="540">
        <v>0</v>
      </c>
      <c r="Z50" s="540">
        <v>0</v>
      </c>
      <c r="AA50" s="540">
        <v>0</v>
      </c>
      <c r="AB50" s="540">
        <v>0</v>
      </c>
      <c r="AC50" s="540">
        <v>0</v>
      </c>
      <c r="AD50" s="540">
        <v>0</v>
      </c>
      <c r="AE50" s="540">
        <v>0</v>
      </c>
      <c r="AF50" s="540">
        <v>1922</v>
      </c>
      <c r="AG50" s="540">
        <v>0</v>
      </c>
      <c r="AH50" s="540">
        <v>0</v>
      </c>
      <c r="AI50" s="540">
        <v>0</v>
      </c>
      <c r="AJ50" s="540">
        <v>0</v>
      </c>
      <c r="AK50" s="540">
        <v>0</v>
      </c>
      <c r="AL50" s="540">
        <v>0</v>
      </c>
    </row>
    <row r="51" spans="1:38">
      <c r="A51" s="539" t="s">
        <v>664</v>
      </c>
      <c r="B51" s="539" t="s">
        <v>661</v>
      </c>
      <c r="C51" s="568" t="s">
        <v>682</v>
      </c>
      <c r="D51" s="540">
        <v>0</v>
      </c>
      <c r="E51" s="540">
        <v>0</v>
      </c>
      <c r="F51" s="540">
        <v>0</v>
      </c>
      <c r="G51" s="540">
        <v>0</v>
      </c>
      <c r="H51" s="540">
        <v>0</v>
      </c>
      <c r="I51" s="540">
        <v>0</v>
      </c>
      <c r="J51" s="540">
        <v>0</v>
      </c>
      <c r="K51" s="540">
        <v>0</v>
      </c>
      <c r="L51" s="540">
        <v>0</v>
      </c>
      <c r="M51" s="540">
        <v>0</v>
      </c>
      <c r="N51" s="540">
        <v>0</v>
      </c>
      <c r="O51" s="540">
        <v>0</v>
      </c>
      <c r="P51" s="540">
        <v>0</v>
      </c>
      <c r="Q51" s="540">
        <v>0</v>
      </c>
      <c r="R51" s="540">
        <v>0</v>
      </c>
      <c r="S51" s="540">
        <v>0</v>
      </c>
      <c r="T51" s="540">
        <v>0</v>
      </c>
      <c r="U51" s="540">
        <v>0</v>
      </c>
      <c r="V51" s="540">
        <v>0</v>
      </c>
      <c r="W51" s="540">
        <v>0</v>
      </c>
      <c r="X51" s="540">
        <v>0</v>
      </c>
      <c r="Y51" s="540">
        <v>0</v>
      </c>
      <c r="Z51" s="540">
        <v>0</v>
      </c>
      <c r="AA51" s="540">
        <v>0</v>
      </c>
      <c r="AB51" s="540">
        <v>0</v>
      </c>
      <c r="AC51" s="540">
        <v>0</v>
      </c>
      <c r="AD51" s="540">
        <v>0</v>
      </c>
      <c r="AE51" s="540">
        <v>0</v>
      </c>
      <c r="AF51" s="540">
        <v>0</v>
      </c>
      <c r="AG51" s="540">
        <v>0</v>
      </c>
      <c r="AH51" s="540">
        <v>0</v>
      </c>
      <c r="AI51" s="540">
        <v>0</v>
      </c>
      <c r="AJ51" s="540">
        <v>0</v>
      </c>
      <c r="AK51" s="540">
        <v>0</v>
      </c>
      <c r="AL51" s="540">
        <v>0</v>
      </c>
    </row>
    <row r="52" spans="1:38" hidden="1">
      <c r="A52" s="539" t="s">
        <v>660</v>
      </c>
      <c r="B52" s="539" t="s">
        <v>661</v>
      </c>
      <c r="C52" s="538" t="s">
        <v>683</v>
      </c>
      <c r="D52" s="540">
        <v>241643</v>
      </c>
      <c r="E52" s="540">
        <v>810</v>
      </c>
      <c r="F52" s="540">
        <v>18</v>
      </c>
      <c r="G52" s="540">
        <v>76</v>
      </c>
      <c r="H52" s="540">
        <v>23810</v>
      </c>
      <c r="I52" s="540">
        <v>98024</v>
      </c>
      <c r="J52" s="540">
        <v>191</v>
      </c>
      <c r="K52" s="540">
        <v>4003</v>
      </c>
      <c r="L52" s="540">
        <v>4558</v>
      </c>
      <c r="M52" s="540">
        <v>76180</v>
      </c>
      <c r="N52" s="540">
        <v>3082</v>
      </c>
      <c r="O52" s="540">
        <v>8428</v>
      </c>
      <c r="P52" s="540">
        <v>0</v>
      </c>
      <c r="Q52" s="540">
        <v>169</v>
      </c>
      <c r="R52" s="540">
        <v>7</v>
      </c>
      <c r="S52" s="540">
        <v>187</v>
      </c>
      <c r="T52" s="540">
        <v>36</v>
      </c>
      <c r="U52" s="540">
        <v>0</v>
      </c>
      <c r="V52" s="540">
        <v>6422</v>
      </c>
      <c r="W52" s="540">
        <v>4792</v>
      </c>
      <c r="X52" s="540">
        <v>486</v>
      </c>
      <c r="Y52" s="540">
        <v>6383</v>
      </c>
      <c r="Z52" s="540">
        <v>0</v>
      </c>
      <c r="AA52" s="540">
        <v>0</v>
      </c>
      <c r="AB52" s="540">
        <v>0</v>
      </c>
      <c r="AC52" s="540">
        <v>612</v>
      </c>
      <c r="AD52" s="540">
        <v>3370</v>
      </c>
      <c r="AE52" s="540">
        <v>0</v>
      </c>
      <c r="AF52" s="540">
        <v>242456</v>
      </c>
      <c r="AG52" s="540">
        <v>0</v>
      </c>
      <c r="AH52" s="540">
        <v>1796</v>
      </c>
      <c r="AI52" s="540">
        <v>29</v>
      </c>
      <c r="AJ52" s="540">
        <v>36</v>
      </c>
      <c r="AK52" s="540">
        <v>0</v>
      </c>
      <c r="AL52" s="540">
        <v>191</v>
      </c>
    </row>
    <row r="53" spans="1:38">
      <c r="A53" s="539" t="s">
        <v>664</v>
      </c>
      <c r="B53" s="539" t="s">
        <v>661</v>
      </c>
      <c r="C53" s="568" t="s">
        <v>684</v>
      </c>
      <c r="D53" s="540">
        <v>11952</v>
      </c>
      <c r="E53" s="540">
        <v>7</v>
      </c>
      <c r="F53" s="540">
        <v>0</v>
      </c>
      <c r="G53" s="540">
        <v>0</v>
      </c>
      <c r="H53" s="540">
        <v>0</v>
      </c>
      <c r="I53" s="540">
        <v>0</v>
      </c>
      <c r="J53" s="540">
        <v>4</v>
      </c>
      <c r="K53" s="540">
        <v>0</v>
      </c>
      <c r="L53" s="540">
        <v>0</v>
      </c>
      <c r="M53" s="540">
        <v>54</v>
      </c>
      <c r="N53" s="540">
        <v>382</v>
      </c>
      <c r="O53" s="540">
        <v>11</v>
      </c>
      <c r="P53" s="540">
        <v>0</v>
      </c>
      <c r="Q53" s="540">
        <v>0</v>
      </c>
      <c r="R53" s="540">
        <v>0</v>
      </c>
      <c r="S53" s="540">
        <v>0</v>
      </c>
      <c r="T53" s="540">
        <v>0</v>
      </c>
      <c r="U53" s="540">
        <v>0</v>
      </c>
      <c r="V53" s="540">
        <v>1019</v>
      </c>
      <c r="W53" s="540">
        <v>0</v>
      </c>
      <c r="X53" s="540">
        <v>0</v>
      </c>
      <c r="Y53" s="540">
        <v>0</v>
      </c>
      <c r="Z53" s="540">
        <v>0</v>
      </c>
      <c r="AA53" s="540">
        <v>0</v>
      </c>
      <c r="AB53" s="540">
        <v>22</v>
      </c>
      <c r="AC53" s="540">
        <v>0</v>
      </c>
      <c r="AD53" s="540">
        <v>0</v>
      </c>
      <c r="AE53" s="540">
        <v>10454</v>
      </c>
      <c r="AF53" s="540">
        <v>11927</v>
      </c>
      <c r="AG53" s="540">
        <v>0</v>
      </c>
      <c r="AH53" s="540">
        <v>0</v>
      </c>
      <c r="AI53" s="540">
        <v>0</v>
      </c>
      <c r="AJ53" s="540">
        <v>0</v>
      </c>
      <c r="AK53" s="540">
        <v>0</v>
      </c>
      <c r="AL53" s="540">
        <v>22</v>
      </c>
    </row>
    <row r="54" spans="1:38" hidden="1">
      <c r="A54" s="539" t="s">
        <v>660</v>
      </c>
      <c r="B54" s="539" t="s">
        <v>661</v>
      </c>
      <c r="C54" s="538" t="s">
        <v>685</v>
      </c>
      <c r="D54" s="540">
        <v>4272624</v>
      </c>
      <c r="E54" s="540">
        <v>107212</v>
      </c>
      <c r="F54" s="540">
        <v>53896</v>
      </c>
      <c r="G54" s="540">
        <v>122213</v>
      </c>
      <c r="H54" s="540">
        <v>50</v>
      </c>
      <c r="I54" s="540">
        <v>1066090</v>
      </c>
      <c r="J54" s="540">
        <v>32605</v>
      </c>
      <c r="K54" s="540">
        <v>83711</v>
      </c>
      <c r="L54" s="540">
        <v>161924</v>
      </c>
      <c r="M54" s="540">
        <v>548888</v>
      </c>
      <c r="N54" s="540">
        <v>124020</v>
      </c>
      <c r="O54" s="540">
        <v>563519</v>
      </c>
      <c r="P54" s="540">
        <v>15653</v>
      </c>
      <c r="Q54" s="540">
        <v>0</v>
      </c>
      <c r="R54" s="540">
        <v>0</v>
      </c>
      <c r="S54" s="540">
        <v>9853</v>
      </c>
      <c r="T54" s="540">
        <v>46724</v>
      </c>
      <c r="U54" s="540">
        <v>8064</v>
      </c>
      <c r="V54" s="540">
        <v>121918</v>
      </c>
      <c r="W54" s="540">
        <v>54392</v>
      </c>
      <c r="X54" s="540">
        <v>0</v>
      </c>
      <c r="Y54" s="540">
        <v>119282</v>
      </c>
      <c r="Z54" s="540">
        <v>57280</v>
      </c>
      <c r="AA54" s="540">
        <v>2398</v>
      </c>
      <c r="AB54" s="540">
        <v>2596</v>
      </c>
      <c r="AC54" s="540">
        <v>17176</v>
      </c>
      <c r="AD54" s="540">
        <v>626</v>
      </c>
      <c r="AE54" s="540">
        <v>952535</v>
      </c>
      <c r="AF54" s="540">
        <v>3931585</v>
      </c>
      <c r="AG54" s="540">
        <v>29</v>
      </c>
      <c r="AH54" s="540">
        <v>360</v>
      </c>
      <c r="AI54" s="540">
        <v>0</v>
      </c>
      <c r="AJ54" s="540">
        <v>13061</v>
      </c>
      <c r="AK54" s="540">
        <v>19609</v>
      </c>
      <c r="AL54" s="540">
        <v>373896</v>
      </c>
    </row>
    <row r="55" spans="1:38" hidden="1">
      <c r="A55" s="539" t="s">
        <v>660</v>
      </c>
      <c r="B55" s="539" t="s">
        <v>668</v>
      </c>
      <c r="C55" s="538" t="s">
        <v>686</v>
      </c>
      <c r="D55" s="540">
        <v>1679123</v>
      </c>
      <c r="E55" s="540">
        <v>22100</v>
      </c>
      <c r="F55" s="540">
        <v>15671</v>
      </c>
      <c r="G55" s="540">
        <v>40622</v>
      </c>
      <c r="H55" s="540">
        <v>96181</v>
      </c>
      <c r="I55" s="540">
        <v>223286</v>
      </c>
      <c r="J55" s="540">
        <v>3326</v>
      </c>
      <c r="K55" s="540">
        <v>0</v>
      </c>
      <c r="L55" s="540">
        <v>25481</v>
      </c>
      <c r="M55" s="540">
        <v>0</v>
      </c>
      <c r="N55" s="540">
        <v>41058</v>
      </c>
      <c r="O55" s="540">
        <v>277153</v>
      </c>
      <c r="P55" s="540">
        <v>0</v>
      </c>
      <c r="Q55" s="540">
        <v>5234</v>
      </c>
      <c r="R55" s="540">
        <v>11707</v>
      </c>
      <c r="S55" s="540">
        <v>396</v>
      </c>
      <c r="T55" s="540">
        <v>29952</v>
      </c>
      <c r="U55" s="540">
        <v>0</v>
      </c>
      <c r="V55" s="540">
        <v>162238</v>
      </c>
      <c r="W55" s="540">
        <v>13849</v>
      </c>
      <c r="X55" s="540">
        <v>521636</v>
      </c>
      <c r="Y55" s="540">
        <v>3431</v>
      </c>
      <c r="Z55" s="540">
        <v>55526</v>
      </c>
      <c r="AA55" s="540">
        <v>17071</v>
      </c>
      <c r="AB55" s="540">
        <v>21290</v>
      </c>
      <c r="AC55" s="540">
        <v>66272</v>
      </c>
      <c r="AD55" s="540">
        <v>25639</v>
      </c>
      <c r="AE55" s="540">
        <v>0</v>
      </c>
      <c r="AF55" s="540">
        <v>957510</v>
      </c>
      <c r="AG55" s="540">
        <v>0</v>
      </c>
      <c r="AH55" s="540">
        <v>425</v>
      </c>
      <c r="AI55" s="540">
        <v>515</v>
      </c>
      <c r="AJ55" s="540">
        <v>6757</v>
      </c>
      <c r="AK55" s="540">
        <v>0</v>
      </c>
      <c r="AL55" s="540">
        <v>7686</v>
      </c>
    </row>
    <row r="56" spans="1:38">
      <c r="A56" s="539" t="s">
        <v>664</v>
      </c>
      <c r="B56" s="539" t="s">
        <v>661</v>
      </c>
      <c r="C56" s="569" t="s">
        <v>687</v>
      </c>
      <c r="D56" s="540">
        <v>189320</v>
      </c>
      <c r="E56" s="540">
        <v>18</v>
      </c>
      <c r="F56" s="540">
        <v>619</v>
      </c>
      <c r="G56" s="540">
        <v>2452</v>
      </c>
      <c r="H56" s="540">
        <v>7</v>
      </c>
      <c r="I56" s="540">
        <v>73584</v>
      </c>
      <c r="J56" s="540">
        <v>119</v>
      </c>
      <c r="K56" s="540">
        <v>0</v>
      </c>
      <c r="L56" s="540">
        <v>86</v>
      </c>
      <c r="M56" s="540">
        <v>4054</v>
      </c>
      <c r="N56" s="540">
        <v>26899</v>
      </c>
      <c r="O56" s="540">
        <v>3589</v>
      </c>
      <c r="P56" s="540">
        <v>0</v>
      </c>
      <c r="Q56" s="540">
        <v>4</v>
      </c>
      <c r="R56" s="540">
        <v>0</v>
      </c>
      <c r="S56" s="540">
        <v>0</v>
      </c>
      <c r="T56" s="540">
        <v>7</v>
      </c>
      <c r="U56" s="540">
        <v>0</v>
      </c>
      <c r="V56" s="540">
        <v>7708</v>
      </c>
      <c r="W56" s="540">
        <v>11682</v>
      </c>
      <c r="X56" s="540">
        <v>0</v>
      </c>
      <c r="Y56" s="540">
        <v>2347</v>
      </c>
      <c r="Z56" s="540">
        <v>472</v>
      </c>
      <c r="AA56" s="540">
        <v>32</v>
      </c>
      <c r="AB56" s="540">
        <v>4</v>
      </c>
      <c r="AC56" s="540">
        <v>3708</v>
      </c>
      <c r="AD56" s="540">
        <v>889</v>
      </c>
      <c r="AE56" s="540">
        <v>51041</v>
      </c>
      <c r="AF56" s="540">
        <v>188111</v>
      </c>
      <c r="AG56" s="540">
        <v>4</v>
      </c>
      <c r="AH56" s="540">
        <v>2498</v>
      </c>
      <c r="AI56" s="540">
        <v>796</v>
      </c>
      <c r="AJ56" s="540">
        <v>0</v>
      </c>
      <c r="AK56" s="540">
        <v>0</v>
      </c>
      <c r="AL56" s="540">
        <v>40298</v>
      </c>
    </row>
    <row r="57" spans="1:38">
      <c r="A57" s="539" t="s">
        <v>664</v>
      </c>
      <c r="B57" s="539" t="s">
        <v>668</v>
      </c>
      <c r="C57" s="569" t="s">
        <v>688</v>
      </c>
      <c r="D57" s="540">
        <v>651197</v>
      </c>
      <c r="E57" s="540">
        <v>5065</v>
      </c>
      <c r="F57" s="540">
        <v>5332</v>
      </c>
      <c r="G57" s="540">
        <v>31997</v>
      </c>
      <c r="H57" s="540">
        <v>10346</v>
      </c>
      <c r="I57" s="540">
        <v>85288</v>
      </c>
      <c r="J57" s="540">
        <v>414</v>
      </c>
      <c r="K57" s="540">
        <v>2268</v>
      </c>
      <c r="L57" s="540">
        <v>3823</v>
      </c>
      <c r="M57" s="540">
        <v>121345</v>
      </c>
      <c r="N57" s="540">
        <v>48200</v>
      </c>
      <c r="O57" s="540">
        <v>62784</v>
      </c>
      <c r="P57" s="540">
        <v>101</v>
      </c>
      <c r="Q57" s="540">
        <v>281</v>
      </c>
      <c r="R57" s="540">
        <v>623</v>
      </c>
      <c r="S57" s="540">
        <v>1210</v>
      </c>
      <c r="T57" s="540">
        <v>1472</v>
      </c>
      <c r="U57" s="540">
        <v>0</v>
      </c>
      <c r="V57" s="540">
        <v>45713</v>
      </c>
      <c r="W57" s="540">
        <v>13792</v>
      </c>
      <c r="X57" s="540">
        <v>29246</v>
      </c>
      <c r="Y57" s="540">
        <v>17536</v>
      </c>
      <c r="Z57" s="540">
        <v>7866</v>
      </c>
      <c r="AA57" s="540">
        <v>1278</v>
      </c>
      <c r="AB57" s="540">
        <v>8370</v>
      </c>
      <c r="AC57" s="540">
        <v>31986</v>
      </c>
      <c r="AD57" s="540">
        <v>16934</v>
      </c>
      <c r="AE57" s="540">
        <v>97927</v>
      </c>
      <c r="AF57" s="540">
        <v>564217</v>
      </c>
      <c r="AG57" s="540">
        <v>0</v>
      </c>
      <c r="AH57" s="540">
        <v>0</v>
      </c>
      <c r="AI57" s="540">
        <v>10184</v>
      </c>
      <c r="AJ57" s="540">
        <v>1822</v>
      </c>
      <c r="AK57" s="540">
        <v>22</v>
      </c>
      <c r="AL57" s="540">
        <v>18191</v>
      </c>
    </row>
    <row r="58" spans="1:38">
      <c r="A58" s="539" t="s">
        <v>664</v>
      </c>
      <c r="B58" s="539" t="s">
        <v>661</v>
      </c>
      <c r="C58" s="569" t="s">
        <v>689</v>
      </c>
      <c r="D58" s="540">
        <v>742</v>
      </c>
      <c r="E58" s="540">
        <v>547</v>
      </c>
      <c r="F58" s="540">
        <v>0</v>
      </c>
      <c r="G58" s="540">
        <v>0</v>
      </c>
      <c r="H58" s="540">
        <v>0</v>
      </c>
      <c r="I58" s="540">
        <v>0</v>
      </c>
      <c r="J58" s="540">
        <v>0</v>
      </c>
      <c r="K58" s="540">
        <v>0</v>
      </c>
      <c r="L58" s="540">
        <v>0</v>
      </c>
      <c r="M58" s="540">
        <v>0</v>
      </c>
      <c r="N58" s="540">
        <v>0</v>
      </c>
      <c r="O58" s="540">
        <v>0</v>
      </c>
      <c r="P58" s="540">
        <v>0</v>
      </c>
      <c r="Q58" s="540">
        <v>0</v>
      </c>
      <c r="R58" s="540">
        <v>0</v>
      </c>
      <c r="S58" s="540">
        <v>0</v>
      </c>
      <c r="T58" s="540">
        <v>0</v>
      </c>
      <c r="U58" s="540">
        <v>0</v>
      </c>
      <c r="V58" s="540">
        <v>0</v>
      </c>
      <c r="W58" s="540">
        <v>11</v>
      </c>
      <c r="X58" s="540">
        <v>0</v>
      </c>
      <c r="Y58" s="540">
        <v>0</v>
      </c>
      <c r="Z58" s="540">
        <v>0</v>
      </c>
      <c r="AA58" s="540">
        <v>0</v>
      </c>
      <c r="AB58" s="540">
        <v>0</v>
      </c>
      <c r="AC58" s="540">
        <v>184</v>
      </c>
      <c r="AD58" s="540">
        <v>0</v>
      </c>
      <c r="AE58" s="540">
        <v>0</v>
      </c>
      <c r="AF58" s="540">
        <v>1087</v>
      </c>
      <c r="AG58" s="540">
        <v>0</v>
      </c>
      <c r="AH58" s="540">
        <v>346</v>
      </c>
      <c r="AI58" s="540">
        <v>0</v>
      </c>
      <c r="AJ58" s="540">
        <v>0</v>
      </c>
      <c r="AK58" s="540">
        <v>0</v>
      </c>
      <c r="AL58" s="540">
        <v>0</v>
      </c>
    </row>
    <row r="59" spans="1:38">
      <c r="A59" s="539" t="s">
        <v>664</v>
      </c>
      <c r="B59" s="539" t="s">
        <v>668</v>
      </c>
      <c r="C59" s="569" t="s">
        <v>690</v>
      </c>
      <c r="D59" s="540">
        <v>1724</v>
      </c>
      <c r="E59" s="540">
        <v>410</v>
      </c>
      <c r="F59" s="540">
        <v>0</v>
      </c>
      <c r="G59" s="540">
        <v>4</v>
      </c>
      <c r="H59" s="540">
        <v>0</v>
      </c>
      <c r="I59" s="540">
        <v>0</v>
      </c>
      <c r="J59" s="540">
        <v>0</v>
      </c>
      <c r="K59" s="540">
        <v>0</v>
      </c>
      <c r="L59" s="540">
        <v>0</v>
      </c>
      <c r="M59" s="540">
        <v>0</v>
      </c>
      <c r="N59" s="540">
        <v>0</v>
      </c>
      <c r="O59" s="540">
        <v>0</v>
      </c>
      <c r="P59" s="540">
        <v>0</v>
      </c>
      <c r="Q59" s="540">
        <v>0</v>
      </c>
      <c r="R59" s="540">
        <v>720</v>
      </c>
      <c r="S59" s="540">
        <v>0</v>
      </c>
      <c r="T59" s="540">
        <v>0</v>
      </c>
      <c r="U59" s="540">
        <v>0</v>
      </c>
      <c r="V59" s="540">
        <v>0</v>
      </c>
      <c r="W59" s="540">
        <v>0</v>
      </c>
      <c r="X59" s="540">
        <v>0</v>
      </c>
      <c r="Y59" s="540">
        <v>0</v>
      </c>
      <c r="Z59" s="540">
        <v>0</v>
      </c>
      <c r="AA59" s="540">
        <v>0</v>
      </c>
      <c r="AB59" s="540">
        <v>0</v>
      </c>
      <c r="AC59" s="540">
        <v>590</v>
      </c>
      <c r="AD59" s="540">
        <v>0</v>
      </c>
      <c r="AE59" s="540">
        <v>0</v>
      </c>
      <c r="AF59" s="540">
        <v>1001</v>
      </c>
      <c r="AG59" s="540">
        <v>0</v>
      </c>
      <c r="AH59" s="540">
        <v>0</v>
      </c>
      <c r="AI59" s="540">
        <v>0</v>
      </c>
      <c r="AJ59" s="540">
        <v>0</v>
      </c>
      <c r="AK59" s="540">
        <v>0</v>
      </c>
      <c r="AL59" s="540">
        <v>0</v>
      </c>
    </row>
    <row r="60" spans="1:38" hidden="1">
      <c r="A60" s="539" t="s">
        <v>660</v>
      </c>
      <c r="B60" s="539" t="s">
        <v>661</v>
      </c>
      <c r="C60" s="538" t="s">
        <v>691</v>
      </c>
      <c r="D60" s="540">
        <v>2210</v>
      </c>
      <c r="E60" s="540">
        <v>0</v>
      </c>
      <c r="F60" s="540">
        <v>0</v>
      </c>
      <c r="G60" s="540">
        <v>0</v>
      </c>
      <c r="H60" s="540">
        <v>0</v>
      </c>
      <c r="I60" s="540">
        <v>0</v>
      </c>
      <c r="J60" s="540">
        <v>0</v>
      </c>
      <c r="K60" s="540">
        <v>0</v>
      </c>
      <c r="L60" s="540">
        <v>0</v>
      </c>
      <c r="M60" s="540">
        <v>0</v>
      </c>
      <c r="N60" s="540">
        <v>0</v>
      </c>
      <c r="O60" s="540">
        <v>2034</v>
      </c>
      <c r="P60" s="540">
        <v>0</v>
      </c>
      <c r="Q60" s="540">
        <v>0</v>
      </c>
      <c r="R60" s="540">
        <v>0</v>
      </c>
      <c r="S60" s="540">
        <v>0</v>
      </c>
      <c r="T60" s="540">
        <v>0</v>
      </c>
      <c r="U60" s="540">
        <v>0</v>
      </c>
      <c r="V60" s="540">
        <v>176</v>
      </c>
      <c r="W60" s="540">
        <v>0</v>
      </c>
      <c r="X60" s="540">
        <v>0</v>
      </c>
      <c r="Y60" s="540">
        <v>0</v>
      </c>
      <c r="Z60" s="540">
        <v>0</v>
      </c>
      <c r="AA60" s="540">
        <v>0</v>
      </c>
      <c r="AB60" s="540">
        <v>0</v>
      </c>
      <c r="AC60" s="540">
        <v>0</v>
      </c>
      <c r="AD60" s="540">
        <v>0</v>
      </c>
      <c r="AE60" s="540">
        <v>0</v>
      </c>
      <c r="AF60" s="540">
        <v>2390</v>
      </c>
      <c r="AG60" s="540">
        <v>0</v>
      </c>
      <c r="AH60" s="540">
        <v>180</v>
      </c>
      <c r="AI60" s="540">
        <v>0</v>
      </c>
      <c r="AJ60" s="540">
        <v>0</v>
      </c>
      <c r="AK60" s="540">
        <v>0</v>
      </c>
      <c r="AL60" s="540">
        <v>0</v>
      </c>
    </row>
    <row r="61" spans="1:38" hidden="1">
      <c r="A61" s="539" t="s">
        <v>660</v>
      </c>
      <c r="B61" s="539" t="s">
        <v>668</v>
      </c>
      <c r="C61" s="538" t="s">
        <v>692</v>
      </c>
      <c r="D61" s="540">
        <v>0</v>
      </c>
      <c r="E61" s="540">
        <v>0</v>
      </c>
      <c r="F61" s="540">
        <v>0</v>
      </c>
      <c r="G61" s="540">
        <v>0</v>
      </c>
      <c r="H61" s="540">
        <v>0</v>
      </c>
      <c r="I61" s="540">
        <v>0</v>
      </c>
      <c r="J61" s="540">
        <v>0</v>
      </c>
      <c r="K61" s="540">
        <v>0</v>
      </c>
      <c r="L61" s="540">
        <v>0</v>
      </c>
      <c r="M61" s="540">
        <v>0</v>
      </c>
      <c r="N61" s="540">
        <v>0</v>
      </c>
      <c r="O61" s="540">
        <v>0</v>
      </c>
      <c r="P61" s="540">
        <v>0</v>
      </c>
      <c r="Q61" s="540">
        <v>0</v>
      </c>
      <c r="R61" s="540">
        <v>0</v>
      </c>
      <c r="S61" s="540">
        <v>0</v>
      </c>
      <c r="T61" s="540">
        <v>0</v>
      </c>
      <c r="U61" s="540">
        <v>0</v>
      </c>
      <c r="V61" s="540">
        <v>0</v>
      </c>
      <c r="W61" s="540">
        <v>0</v>
      </c>
      <c r="X61" s="540">
        <v>0</v>
      </c>
      <c r="Y61" s="540">
        <v>0</v>
      </c>
      <c r="Z61" s="540">
        <v>0</v>
      </c>
      <c r="AA61" s="540">
        <v>0</v>
      </c>
      <c r="AB61" s="540">
        <v>0</v>
      </c>
      <c r="AC61" s="540">
        <v>0</v>
      </c>
      <c r="AD61" s="540">
        <v>0</v>
      </c>
      <c r="AE61" s="540">
        <v>0</v>
      </c>
      <c r="AF61" s="540">
        <v>0</v>
      </c>
      <c r="AG61" s="540">
        <v>0</v>
      </c>
      <c r="AH61" s="540">
        <v>0</v>
      </c>
      <c r="AI61" s="540">
        <v>0</v>
      </c>
      <c r="AJ61" s="540">
        <v>0</v>
      </c>
      <c r="AK61" s="540">
        <v>0</v>
      </c>
      <c r="AL61" s="540">
        <v>0</v>
      </c>
    </row>
    <row r="62" spans="1:38">
      <c r="A62" s="539" t="s">
        <v>664</v>
      </c>
      <c r="B62" s="539" t="s">
        <v>661</v>
      </c>
      <c r="C62" s="569" t="s">
        <v>693</v>
      </c>
      <c r="D62" s="540">
        <v>2750</v>
      </c>
      <c r="E62" s="540">
        <v>0</v>
      </c>
      <c r="F62" s="540">
        <v>0</v>
      </c>
      <c r="G62" s="540">
        <v>0</v>
      </c>
      <c r="H62" s="540">
        <v>0</v>
      </c>
      <c r="I62" s="540">
        <v>0</v>
      </c>
      <c r="J62" s="540">
        <v>0</v>
      </c>
      <c r="K62" s="540">
        <v>0</v>
      </c>
      <c r="L62" s="540">
        <v>0</v>
      </c>
      <c r="M62" s="540">
        <v>0</v>
      </c>
      <c r="N62" s="540">
        <v>0</v>
      </c>
      <c r="O62" s="540">
        <v>1984</v>
      </c>
      <c r="P62" s="540">
        <v>0</v>
      </c>
      <c r="Q62" s="540">
        <v>0</v>
      </c>
      <c r="R62" s="540">
        <v>0</v>
      </c>
      <c r="S62" s="540">
        <v>0</v>
      </c>
      <c r="T62" s="540">
        <v>0</v>
      </c>
      <c r="U62" s="540">
        <v>0</v>
      </c>
      <c r="V62" s="540">
        <v>767</v>
      </c>
      <c r="W62" s="540">
        <v>0</v>
      </c>
      <c r="X62" s="540">
        <v>0</v>
      </c>
      <c r="Y62" s="540">
        <v>0</v>
      </c>
      <c r="Z62" s="540">
        <v>0</v>
      </c>
      <c r="AA62" s="540">
        <v>0</v>
      </c>
      <c r="AB62" s="540">
        <v>0</v>
      </c>
      <c r="AC62" s="540">
        <v>0</v>
      </c>
      <c r="AD62" s="540">
        <v>0</v>
      </c>
      <c r="AE62" s="540">
        <v>0</v>
      </c>
      <c r="AF62" s="540">
        <v>2750</v>
      </c>
      <c r="AG62" s="540">
        <v>0</v>
      </c>
      <c r="AH62" s="540">
        <v>0</v>
      </c>
      <c r="AI62" s="540">
        <v>0</v>
      </c>
      <c r="AJ62" s="540">
        <v>0</v>
      </c>
      <c r="AK62" s="540">
        <v>0</v>
      </c>
      <c r="AL62" s="540">
        <v>0</v>
      </c>
    </row>
    <row r="63" spans="1:38">
      <c r="A63" s="539" t="s">
        <v>664</v>
      </c>
      <c r="B63" s="539" t="s">
        <v>668</v>
      </c>
      <c r="C63" s="569" t="s">
        <v>694</v>
      </c>
      <c r="D63" s="540">
        <v>18050</v>
      </c>
      <c r="E63" s="540">
        <v>0</v>
      </c>
      <c r="F63" s="540">
        <v>0</v>
      </c>
      <c r="G63" s="540">
        <v>0</v>
      </c>
      <c r="H63" s="540">
        <v>0</v>
      </c>
      <c r="I63" s="540">
        <v>0</v>
      </c>
      <c r="J63" s="540">
        <v>0</v>
      </c>
      <c r="K63" s="540">
        <v>0</v>
      </c>
      <c r="L63" s="540">
        <v>0</v>
      </c>
      <c r="M63" s="540">
        <v>17978</v>
      </c>
      <c r="N63" s="540">
        <v>0</v>
      </c>
      <c r="O63" s="540">
        <v>0</v>
      </c>
      <c r="P63" s="540">
        <v>0</v>
      </c>
      <c r="Q63" s="540">
        <v>0</v>
      </c>
      <c r="R63" s="540">
        <v>0</v>
      </c>
      <c r="S63" s="540">
        <v>0</v>
      </c>
      <c r="T63" s="540">
        <v>0</v>
      </c>
      <c r="U63" s="540">
        <v>0</v>
      </c>
      <c r="V63" s="540">
        <v>0</v>
      </c>
      <c r="W63" s="540">
        <v>0</v>
      </c>
      <c r="X63" s="540">
        <v>0</v>
      </c>
      <c r="Y63" s="540">
        <v>0</v>
      </c>
      <c r="Z63" s="540">
        <v>0</v>
      </c>
      <c r="AA63" s="540">
        <v>0</v>
      </c>
      <c r="AB63" s="540">
        <v>72</v>
      </c>
      <c r="AC63" s="540">
        <v>0</v>
      </c>
      <c r="AD63" s="540">
        <v>0</v>
      </c>
      <c r="AE63" s="540">
        <v>0</v>
      </c>
      <c r="AF63" s="540">
        <v>17978</v>
      </c>
      <c r="AG63" s="540">
        <v>0</v>
      </c>
      <c r="AH63" s="540">
        <v>0</v>
      </c>
      <c r="AI63" s="540">
        <v>0</v>
      </c>
      <c r="AJ63" s="540">
        <v>0</v>
      </c>
      <c r="AK63" s="540">
        <v>0</v>
      </c>
      <c r="AL63" s="540">
        <v>0</v>
      </c>
    </row>
    <row r="64" spans="1:38">
      <c r="A64" s="539" t="s">
        <v>695</v>
      </c>
      <c r="B64" s="539" t="s">
        <v>695</v>
      </c>
      <c r="C64" s="542" t="s">
        <v>696</v>
      </c>
      <c r="D64" s="540">
        <v>11918318</v>
      </c>
      <c r="E64" s="540">
        <v>313290</v>
      </c>
      <c r="F64" s="540">
        <v>159714</v>
      </c>
      <c r="G64" s="540">
        <v>297281</v>
      </c>
      <c r="H64" s="540">
        <v>130486</v>
      </c>
      <c r="I64" s="540">
        <v>2234066</v>
      </c>
      <c r="J64" s="540">
        <v>36738</v>
      </c>
      <c r="K64" s="540">
        <v>93492</v>
      </c>
      <c r="L64" s="540">
        <v>216072</v>
      </c>
      <c r="M64" s="540">
        <v>1058677</v>
      </c>
      <c r="N64" s="540">
        <v>2074334</v>
      </c>
      <c r="O64" s="540">
        <v>1093316</v>
      </c>
      <c r="P64" s="540">
        <v>15757</v>
      </c>
      <c r="Q64" s="540">
        <v>17662</v>
      </c>
      <c r="R64" s="540">
        <v>53222</v>
      </c>
      <c r="S64" s="540">
        <v>14872</v>
      </c>
      <c r="T64" s="540">
        <v>128722</v>
      </c>
      <c r="U64" s="540">
        <v>8064</v>
      </c>
      <c r="V64" s="540">
        <v>360788</v>
      </c>
      <c r="W64" s="540">
        <v>239072</v>
      </c>
      <c r="X64" s="540">
        <v>564970</v>
      </c>
      <c r="Y64" s="540">
        <v>167670</v>
      </c>
      <c r="Z64" s="540">
        <v>213887</v>
      </c>
      <c r="AA64" s="540">
        <v>54421</v>
      </c>
      <c r="AB64" s="540">
        <v>113238</v>
      </c>
      <c r="AC64" s="540">
        <v>254059</v>
      </c>
      <c r="AD64" s="540">
        <v>570370</v>
      </c>
      <c r="AE64" s="540">
        <v>1434078</v>
      </c>
      <c r="AF64" s="540">
        <v>10782727</v>
      </c>
      <c r="AG64" s="540">
        <v>31270</v>
      </c>
      <c r="AH64" s="540">
        <v>496832</v>
      </c>
      <c r="AI64" s="540">
        <v>214729</v>
      </c>
      <c r="AJ64" s="540">
        <v>44852</v>
      </c>
      <c r="AK64" s="540">
        <v>25002</v>
      </c>
      <c r="AL64" s="540">
        <v>583042</v>
      </c>
    </row>
    <row r="65" spans="1:38" hidden="1">
      <c r="A65" s="539" t="s">
        <v>660</v>
      </c>
      <c r="B65" s="539" t="s">
        <v>661</v>
      </c>
      <c r="C65" s="538" t="s">
        <v>697</v>
      </c>
      <c r="D65" s="540">
        <v>58896</v>
      </c>
      <c r="E65" s="540">
        <v>0</v>
      </c>
      <c r="F65" s="540">
        <v>8989</v>
      </c>
      <c r="G65" s="540">
        <v>0</v>
      </c>
      <c r="H65" s="540">
        <v>0</v>
      </c>
      <c r="I65" s="540">
        <v>19897</v>
      </c>
      <c r="J65" s="540">
        <v>0</v>
      </c>
      <c r="K65" s="540">
        <v>0</v>
      </c>
      <c r="L65" s="540">
        <v>0</v>
      </c>
      <c r="M65" s="540">
        <v>30010</v>
      </c>
      <c r="N65" s="540">
        <v>0</v>
      </c>
      <c r="O65" s="540">
        <v>0</v>
      </c>
      <c r="P65" s="540">
        <v>0</v>
      </c>
      <c r="Q65" s="540">
        <v>0</v>
      </c>
      <c r="R65" s="540">
        <v>0</v>
      </c>
      <c r="S65" s="540">
        <v>0</v>
      </c>
      <c r="T65" s="540">
        <v>0</v>
      </c>
      <c r="U65" s="540">
        <v>0</v>
      </c>
      <c r="V65" s="540">
        <v>0</v>
      </c>
      <c r="W65" s="540">
        <v>0</v>
      </c>
      <c r="X65" s="540">
        <v>0</v>
      </c>
      <c r="Y65" s="540">
        <v>0</v>
      </c>
      <c r="Z65" s="540">
        <v>0</v>
      </c>
      <c r="AA65" s="540">
        <v>0</v>
      </c>
      <c r="AB65" s="540">
        <v>0</v>
      </c>
      <c r="AC65" s="540">
        <v>0</v>
      </c>
      <c r="AD65" s="540">
        <v>0</v>
      </c>
      <c r="AE65" s="540">
        <v>0</v>
      </c>
      <c r="AF65" s="540">
        <v>49907</v>
      </c>
      <c r="AG65" s="540">
        <v>0</v>
      </c>
      <c r="AH65" s="540">
        <v>0</v>
      </c>
      <c r="AI65" s="540">
        <v>0</v>
      </c>
      <c r="AJ65" s="540">
        <v>0</v>
      </c>
      <c r="AK65" s="540">
        <v>0</v>
      </c>
      <c r="AL65" s="540">
        <v>0</v>
      </c>
    </row>
    <row r="66" spans="1:38" hidden="1">
      <c r="A66" s="539" t="s">
        <v>660</v>
      </c>
      <c r="B66" s="539" t="s">
        <v>668</v>
      </c>
      <c r="C66" s="538" t="s">
        <v>698</v>
      </c>
      <c r="D66" s="540">
        <v>706</v>
      </c>
      <c r="E66" s="540">
        <v>0</v>
      </c>
      <c r="F66" s="540">
        <v>0</v>
      </c>
      <c r="G66" s="540">
        <v>0</v>
      </c>
      <c r="H66" s="540">
        <v>0</v>
      </c>
      <c r="I66" s="540">
        <v>0</v>
      </c>
      <c r="J66" s="540">
        <v>0</v>
      </c>
      <c r="K66" s="540">
        <v>0</v>
      </c>
      <c r="L66" s="540">
        <v>0</v>
      </c>
      <c r="M66" s="540">
        <v>0</v>
      </c>
      <c r="N66" s="540">
        <v>0</v>
      </c>
      <c r="O66" s="540">
        <v>0</v>
      </c>
      <c r="P66" s="540">
        <v>0</v>
      </c>
      <c r="Q66" s="540">
        <v>0</v>
      </c>
      <c r="R66" s="540">
        <v>0</v>
      </c>
      <c r="S66" s="540">
        <v>0</v>
      </c>
      <c r="T66" s="540">
        <v>0</v>
      </c>
      <c r="U66" s="540">
        <v>0</v>
      </c>
      <c r="V66" s="540">
        <v>0</v>
      </c>
      <c r="W66" s="540">
        <v>0</v>
      </c>
      <c r="X66" s="540">
        <v>0</v>
      </c>
      <c r="Y66" s="540">
        <v>0</v>
      </c>
      <c r="Z66" s="540">
        <v>0</v>
      </c>
      <c r="AA66" s="540">
        <v>0</v>
      </c>
      <c r="AB66" s="540">
        <v>706</v>
      </c>
      <c r="AC66" s="540">
        <v>0</v>
      </c>
      <c r="AD66" s="540">
        <v>0</v>
      </c>
      <c r="AE66" s="540">
        <v>0</v>
      </c>
      <c r="AF66" s="540">
        <v>0</v>
      </c>
      <c r="AG66" s="540">
        <v>0</v>
      </c>
      <c r="AH66" s="540">
        <v>0</v>
      </c>
      <c r="AI66" s="540">
        <v>0</v>
      </c>
      <c r="AJ66" s="540">
        <v>0</v>
      </c>
      <c r="AK66" s="540">
        <v>0</v>
      </c>
      <c r="AL66" s="540">
        <v>0</v>
      </c>
    </row>
    <row r="67" spans="1:38">
      <c r="A67" s="539" t="s">
        <v>664</v>
      </c>
      <c r="B67" s="539" t="s">
        <v>661</v>
      </c>
      <c r="C67" s="538" t="s">
        <v>699</v>
      </c>
      <c r="D67" s="540">
        <v>1692</v>
      </c>
      <c r="E67" s="540">
        <v>0</v>
      </c>
      <c r="F67" s="540">
        <v>0</v>
      </c>
      <c r="G67" s="540">
        <v>0</v>
      </c>
      <c r="H67" s="540">
        <v>0</v>
      </c>
      <c r="I67" s="540">
        <v>1692</v>
      </c>
      <c r="J67" s="540">
        <v>0</v>
      </c>
      <c r="K67" s="540">
        <v>0</v>
      </c>
      <c r="L67" s="540">
        <v>0</v>
      </c>
      <c r="M67" s="540">
        <v>0</v>
      </c>
      <c r="N67" s="540">
        <v>0</v>
      </c>
      <c r="O67" s="540">
        <v>0</v>
      </c>
      <c r="P67" s="540">
        <v>0</v>
      </c>
      <c r="Q67" s="540">
        <v>0</v>
      </c>
      <c r="R67" s="540">
        <v>0</v>
      </c>
      <c r="S67" s="540">
        <v>0</v>
      </c>
      <c r="T67" s="540">
        <v>0</v>
      </c>
      <c r="U67" s="540">
        <v>0</v>
      </c>
      <c r="V67" s="540">
        <v>0</v>
      </c>
      <c r="W67" s="540">
        <v>0</v>
      </c>
      <c r="X67" s="540">
        <v>0</v>
      </c>
      <c r="Y67" s="540">
        <v>0</v>
      </c>
      <c r="Z67" s="540">
        <v>0</v>
      </c>
      <c r="AA67" s="540">
        <v>0</v>
      </c>
      <c r="AB67" s="540">
        <v>0</v>
      </c>
      <c r="AC67" s="540">
        <v>0</v>
      </c>
      <c r="AD67" s="540">
        <v>0</v>
      </c>
      <c r="AE67" s="540">
        <v>0</v>
      </c>
      <c r="AF67" s="540">
        <v>1692</v>
      </c>
      <c r="AG67" s="540">
        <v>0</v>
      </c>
      <c r="AH67" s="540">
        <v>0</v>
      </c>
      <c r="AI67" s="540">
        <v>0</v>
      </c>
      <c r="AJ67" s="540">
        <v>0</v>
      </c>
      <c r="AK67" s="540">
        <v>0</v>
      </c>
      <c r="AL67" s="540">
        <v>0</v>
      </c>
    </row>
    <row r="68" spans="1:38">
      <c r="A68" s="539" t="s">
        <v>664</v>
      </c>
      <c r="B68" s="539" t="s">
        <v>668</v>
      </c>
      <c r="C68" s="538" t="s">
        <v>700</v>
      </c>
      <c r="D68" s="540">
        <v>0</v>
      </c>
      <c r="E68" s="540">
        <v>0</v>
      </c>
      <c r="F68" s="540">
        <v>0</v>
      </c>
      <c r="G68" s="540">
        <v>0</v>
      </c>
      <c r="H68" s="540">
        <v>0</v>
      </c>
      <c r="I68" s="540">
        <v>0</v>
      </c>
      <c r="J68" s="540">
        <v>0</v>
      </c>
      <c r="K68" s="540">
        <v>0</v>
      </c>
      <c r="L68" s="540">
        <v>0</v>
      </c>
      <c r="M68" s="540">
        <v>0</v>
      </c>
      <c r="N68" s="540">
        <v>0</v>
      </c>
      <c r="O68" s="540">
        <v>0</v>
      </c>
      <c r="P68" s="540">
        <v>0</v>
      </c>
      <c r="Q68" s="540">
        <v>0</v>
      </c>
      <c r="R68" s="540">
        <v>0</v>
      </c>
      <c r="S68" s="540">
        <v>0</v>
      </c>
      <c r="T68" s="540">
        <v>0</v>
      </c>
      <c r="U68" s="540">
        <v>0</v>
      </c>
      <c r="V68" s="540">
        <v>0</v>
      </c>
      <c r="W68" s="540">
        <v>0</v>
      </c>
      <c r="X68" s="540">
        <v>0</v>
      </c>
      <c r="Y68" s="540">
        <v>0</v>
      </c>
      <c r="Z68" s="540">
        <v>0</v>
      </c>
      <c r="AA68" s="540">
        <v>0</v>
      </c>
      <c r="AB68" s="540">
        <v>0</v>
      </c>
      <c r="AC68" s="540">
        <v>0</v>
      </c>
      <c r="AD68" s="540">
        <v>0</v>
      </c>
      <c r="AE68" s="540">
        <v>0</v>
      </c>
      <c r="AF68" s="540">
        <v>0</v>
      </c>
      <c r="AG68" s="540">
        <v>0</v>
      </c>
      <c r="AH68" s="540">
        <v>0</v>
      </c>
      <c r="AI68" s="540">
        <v>0</v>
      </c>
      <c r="AJ68" s="540">
        <v>0</v>
      </c>
      <c r="AK68" s="540">
        <v>0</v>
      </c>
      <c r="AL68" s="540">
        <v>0</v>
      </c>
    </row>
    <row r="69" spans="1:38" hidden="1">
      <c r="A69" s="539" t="s">
        <v>660</v>
      </c>
      <c r="B69" s="539" t="s">
        <v>661</v>
      </c>
      <c r="C69" s="538" t="s">
        <v>701</v>
      </c>
      <c r="D69" s="540">
        <v>102964</v>
      </c>
      <c r="E69" s="540">
        <v>0</v>
      </c>
      <c r="F69" s="540">
        <v>0</v>
      </c>
      <c r="G69" s="540">
        <v>0</v>
      </c>
      <c r="H69" s="540">
        <v>0</v>
      </c>
      <c r="I69" s="540">
        <v>102964</v>
      </c>
      <c r="J69" s="540">
        <v>0</v>
      </c>
      <c r="K69" s="540">
        <v>0</v>
      </c>
      <c r="L69" s="540">
        <v>0</v>
      </c>
      <c r="M69" s="540">
        <v>0</v>
      </c>
      <c r="N69" s="540">
        <v>0</v>
      </c>
      <c r="O69" s="540">
        <v>0</v>
      </c>
      <c r="P69" s="540">
        <v>0</v>
      </c>
      <c r="Q69" s="540">
        <v>0</v>
      </c>
      <c r="R69" s="540">
        <v>0</v>
      </c>
      <c r="S69" s="540">
        <v>0</v>
      </c>
      <c r="T69" s="540">
        <v>0</v>
      </c>
      <c r="U69" s="540">
        <v>0</v>
      </c>
      <c r="V69" s="540">
        <v>0</v>
      </c>
      <c r="W69" s="540">
        <v>0</v>
      </c>
      <c r="X69" s="540">
        <v>0</v>
      </c>
      <c r="Y69" s="540">
        <v>0</v>
      </c>
      <c r="Z69" s="540">
        <v>0</v>
      </c>
      <c r="AA69" s="540">
        <v>0</v>
      </c>
      <c r="AB69" s="540">
        <v>0</v>
      </c>
      <c r="AC69" s="540">
        <v>0</v>
      </c>
      <c r="AD69" s="540">
        <v>0</v>
      </c>
      <c r="AE69" s="540">
        <v>0</v>
      </c>
      <c r="AF69" s="540">
        <v>102964</v>
      </c>
      <c r="AG69" s="540">
        <v>0</v>
      </c>
      <c r="AH69" s="540">
        <v>0</v>
      </c>
      <c r="AI69" s="540">
        <v>0</v>
      </c>
      <c r="AJ69" s="540">
        <v>0</v>
      </c>
      <c r="AK69" s="540">
        <v>0</v>
      </c>
      <c r="AL69" s="540">
        <v>0</v>
      </c>
    </row>
    <row r="70" spans="1:38" hidden="1">
      <c r="A70" s="539" t="s">
        <v>660</v>
      </c>
      <c r="B70" s="539" t="s">
        <v>668</v>
      </c>
      <c r="C70" s="538" t="s">
        <v>702</v>
      </c>
      <c r="D70" s="540">
        <v>14191</v>
      </c>
      <c r="E70" s="540">
        <v>0</v>
      </c>
      <c r="F70" s="540">
        <v>0</v>
      </c>
      <c r="G70" s="540">
        <v>0</v>
      </c>
      <c r="H70" s="540">
        <v>0</v>
      </c>
      <c r="I70" s="540">
        <v>14191</v>
      </c>
      <c r="J70" s="540">
        <v>0</v>
      </c>
      <c r="K70" s="540">
        <v>0</v>
      </c>
      <c r="L70" s="540">
        <v>0</v>
      </c>
      <c r="M70" s="540">
        <v>0</v>
      </c>
      <c r="N70" s="540">
        <v>0</v>
      </c>
      <c r="O70" s="540">
        <v>0</v>
      </c>
      <c r="P70" s="540">
        <v>0</v>
      </c>
      <c r="Q70" s="540">
        <v>0</v>
      </c>
      <c r="R70" s="540">
        <v>0</v>
      </c>
      <c r="S70" s="540">
        <v>0</v>
      </c>
      <c r="T70" s="540">
        <v>0</v>
      </c>
      <c r="U70" s="540">
        <v>0</v>
      </c>
      <c r="V70" s="540">
        <v>0</v>
      </c>
      <c r="W70" s="540">
        <v>0</v>
      </c>
      <c r="X70" s="540">
        <v>0</v>
      </c>
      <c r="Y70" s="540">
        <v>0</v>
      </c>
      <c r="Z70" s="540">
        <v>0</v>
      </c>
      <c r="AA70" s="540">
        <v>0</v>
      </c>
      <c r="AB70" s="540">
        <v>0</v>
      </c>
      <c r="AC70" s="540">
        <v>0</v>
      </c>
      <c r="AD70" s="540">
        <v>0</v>
      </c>
      <c r="AE70" s="540">
        <v>0</v>
      </c>
      <c r="AF70" s="540">
        <v>14191</v>
      </c>
      <c r="AG70" s="540">
        <v>0</v>
      </c>
      <c r="AH70" s="540">
        <v>0</v>
      </c>
      <c r="AI70" s="540">
        <v>0</v>
      </c>
      <c r="AJ70" s="540">
        <v>0</v>
      </c>
      <c r="AK70" s="540">
        <v>0</v>
      </c>
      <c r="AL70" s="540">
        <v>0</v>
      </c>
    </row>
    <row r="71" spans="1:38">
      <c r="A71" s="539" t="s">
        <v>664</v>
      </c>
      <c r="B71" s="539" t="s">
        <v>661</v>
      </c>
      <c r="C71" s="538" t="s">
        <v>703</v>
      </c>
      <c r="D71" s="540">
        <v>9720</v>
      </c>
      <c r="E71" s="540">
        <v>0</v>
      </c>
      <c r="F71" s="540">
        <v>0</v>
      </c>
      <c r="G71" s="540">
        <v>0</v>
      </c>
      <c r="H71" s="540">
        <v>0</v>
      </c>
      <c r="I71" s="540">
        <v>9720</v>
      </c>
      <c r="J71" s="540">
        <v>0</v>
      </c>
      <c r="K71" s="540">
        <v>0</v>
      </c>
      <c r="L71" s="540">
        <v>0</v>
      </c>
      <c r="M71" s="540">
        <v>0</v>
      </c>
      <c r="N71" s="540">
        <v>0</v>
      </c>
      <c r="O71" s="540">
        <v>0</v>
      </c>
      <c r="P71" s="540">
        <v>0</v>
      </c>
      <c r="Q71" s="540">
        <v>0</v>
      </c>
      <c r="R71" s="540">
        <v>0</v>
      </c>
      <c r="S71" s="540">
        <v>0</v>
      </c>
      <c r="T71" s="540">
        <v>0</v>
      </c>
      <c r="U71" s="540">
        <v>0</v>
      </c>
      <c r="V71" s="540">
        <v>0</v>
      </c>
      <c r="W71" s="540">
        <v>0</v>
      </c>
      <c r="X71" s="540">
        <v>0</v>
      </c>
      <c r="Y71" s="540">
        <v>0</v>
      </c>
      <c r="Z71" s="540">
        <v>0</v>
      </c>
      <c r="AA71" s="540">
        <v>0</v>
      </c>
      <c r="AB71" s="540">
        <v>0</v>
      </c>
      <c r="AC71" s="540">
        <v>0</v>
      </c>
      <c r="AD71" s="540">
        <v>0</v>
      </c>
      <c r="AE71" s="540">
        <v>0</v>
      </c>
      <c r="AF71" s="540">
        <v>9720</v>
      </c>
      <c r="AG71" s="540">
        <v>0</v>
      </c>
      <c r="AH71" s="540">
        <v>0</v>
      </c>
      <c r="AI71" s="540">
        <v>0</v>
      </c>
      <c r="AJ71" s="540">
        <v>0</v>
      </c>
      <c r="AK71" s="540">
        <v>0</v>
      </c>
      <c r="AL71" s="540">
        <v>5627</v>
      </c>
    </row>
    <row r="72" spans="1:38">
      <c r="A72" s="539" t="s">
        <v>664</v>
      </c>
      <c r="B72" s="539" t="s">
        <v>668</v>
      </c>
      <c r="C72" s="538" t="s">
        <v>704</v>
      </c>
      <c r="D72" s="540">
        <v>4648</v>
      </c>
      <c r="E72" s="540">
        <v>0</v>
      </c>
      <c r="F72" s="540">
        <v>0</v>
      </c>
      <c r="G72" s="540">
        <v>0</v>
      </c>
      <c r="H72" s="540">
        <v>0</v>
      </c>
      <c r="I72" s="540">
        <v>4648</v>
      </c>
      <c r="J72" s="540">
        <v>0</v>
      </c>
      <c r="K72" s="540">
        <v>0</v>
      </c>
      <c r="L72" s="540">
        <v>0</v>
      </c>
      <c r="M72" s="540">
        <v>0</v>
      </c>
      <c r="N72" s="540">
        <v>0</v>
      </c>
      <c r="O72" s="540">
        <v>0</v>
      </c>
      <c r="P72" s="540">
        <v>0</v>
      </c>
      <c r="Q72" s="540">
        <v>0</v>
      </c>
      <c r="R72" s="540">
        <v>0</v>
      </c>
      <c r="S72" s="540">
        <v>0</v>
      </c>
      <c r="T72" s="540">
        <v>0</v>
      </c>
      <c r="U72" s="540">
        <v>0</v>
      </c>
      <c r="V72" s="540">
        <v>0</v>
      </c>
      <c r="W72" s="540">
        <v>0</v>
      </c>
      <c r="X72" s="540">
        <v>0</v>
      </c>
      <c r="Y72" s="540">
        <v>0</v>
      </c>
      <c r="Z72" s="540">
        <v>0</v>
      </c>
      <c r="AA72" s="540">
        <v>0</v>
      </c>
      <c r="AB72" s="540">
        <v>0</v>
      </c>
      <c r="AC72" s="540">
        <v>0</v>
      </c>
      <c r="AD72" s="540">
        <v>0</v>
      </c>
      <c r="AE72" s="540">
        <v>0</v>
      </c>
      <c r="AF72" s="540">
        <v>4648</v>
      </c>
      <c r="AG72" s="540">
        <v>0</v>
      </c>
      <c r="AH72" s="540">
        <v>0</v>
      </c>
      <c r="AI72" s="540">
        <v>0</v>
      </c>
      <c r="AJ72" s="540">
        <v>0</v>
      </c>
      <c r="AK72" s="540">
        <v>0</v>
      </c>
      <c r="AL72" s="540">
        <v>421</v>
      </c>
    </row>
    <row r="73" spans="1:38" hidden="1">
      <c r="A73" s="539" t="s">
        <v>660</v>
      </c>
      <c r="B73" s="539" t="s">
        <v>661</v>
      </c>
      <c r="C73" s="538" t="s">
        <v>705</v>
      </c>
      <c r="D73" s="540">
        <v>1387458</v>
      </c>
      <c r="E73" s="540">
        <v>29117</v>
      </c>
      <c r="F73" s="540">
        <v>846</v>
      </c>
      <c r="G73" s="540">
        <v>9072</v>
      </c>
      <c r="H73" s="540">
        <v>0</v>
      </c>
      <c r="I73" s="540">
        <v>253764</v>
      </c>
      <c r="J73" s="540">
        <v>0</v>
      </c>
      <c r="K73" s="540">
        <v>22867</v>
      </c>
      <c r="L73" s="540">
        <v>0</v>
      </c>
      <c r="M73" s="540">
        <v>217066</v>
      </c>
      <c r="N73" s="540">
        <v>95213</v>
      </c>
      <c r="O73" s="540">
        <v>154775</v>
      </c>
      <c r="P73" s="540">
        <v>0</v>
      </c>
      <c r="Q73" s="540">
        <v>0</v>
      </c>
      <c r="R73" s="540">
        <v>0</v>
      </c>
      <c r="S73" s="540">
        <v>0</v>
      </c>
      <c r="T73" s="540">
        <v>295</v>
      </c>
      <c r="U73" s="540">
        <v>0</v>
      </c>
      <c r="V73" s="540">
        <v>50256</v>
      </c>
      <c r="W73" s="540">
        <v>20624</v>
      </c>
      <c r="X73" s="540">
        <v>0</v>
      </c>
      <c r="Y73" s="540">
        <v>54814</v>
      </c>
      <c r="Z73" s="540">
        <v>0</v>
      </c>
      <c r="AA73" s="540">
        <v>0</v>
      </c>
      <c r="AB73" s="540">
        <v>0</v>
      </c>
      <c r="AC73" s="540">
        <v>8266</v>
      </c>
      <c r="AD73" s="540">
        <v>0</v>
      </c>
      <c r="AE73" s="540">
        <v>470484</v>
      </c>
      <c r="AF73" s="540">
        <v>1377245</v>
      </c>
      <c r="AG73" s="540">
        <v>0</v>
      </c>
      <c r="AH73" s="540">
        <v>0</v>
      </c>
      <c r="AI73" s="540">
        <v>0</v>
      </c>
      <c r="AJ73" s="540">
        <v>8316</v>
      </c>
      <c r="AK73" s="540">
        <v>0</v>
      </c>
      <c r="AL73" s="540">
        <v>38063</v>
      </c>
    </row>
    <row r="74" spans="1:38" hidden="1">
      <c r="A74" s="539" t="s">
        <v>660</v>
      </c>
      <c r="B74" s="539" t="s">
        <v>668</v>
      </c>
      <c r="C74" s="538" t="s">
        <v>706</v>
      </c>
      <c r="D74" s="540">
        <v>464375</v>
      </c>
      <c r="E74" s="540">
        <v>0</v>
      </c>
      <c r="F74" s="540">
        <v>4316</v>
      </c>
      <c r="G74" s="540">
        <v>10721</v>
      </c>
      <c r="H74" s="540">
        <v>55620</v>
      </c>
      <c r="I74" s="540">
        <v>30074</v>
      </c>
      <c r="J74" s="540">
        <v>0</v>
      </c>
      <c r="K74" s="540">
        <v>0</v>
      </c>
      <c r="L74" s="540">
        <v>0</v>
      </c>
      <c r="M74" s="540">
        <v>0</v>
      </c>
      <c r="N74" s="540">
        <v>497</v>
      </c>
      <c r="O74" s="540">
        <v>1321</v>
      </c>
      <c r="P74" s="540">
        <v>0</v>
      </c>
      <c r="Q74" s="540">
        <v>0</v>
      </c>
      <c r="R74" s="540">
        <v>0</v>
      </c>
      <c r="S74" s="540">
        <v>0</v>
      </c>
      <c r="T74" s="540">
        <v>252</v>
      </c>
      <c r="U74" s="540">
        <v>0</v>
      </c>
      <c r="V74" s="540">
        <v>34344</v>
      </c>
      <c r="W74" s="540">
        <v>497</v>
      </c>
      <c r="X74" s="540">
        <v>300578</v>
      </c>
      <c r="Y74" s="540">
        <v>0</v>
      </c>
      <c r="Z74" s="540">
        <v>0</v>
      </c>
      <c r="AA74" s="540">
        <v>0</v>
      </c>
      <c r="AB74" s="540">
        <v>9094</v>
      </c>
      <c r="AC74" s="540">
        <v>14796</v>
      </c>
      <c r="AD74" s="540">
        <v>2264</v>
      </c>
      <c r="AE74" s="540">
        <v>0</v>
      </c>
      <c r="AF74" s="540">
        <v>139565</v>
      </c>
      <c r="AG74" s="540">
        <v>0</v>
      </c>
      <c r="AH74" s="540">
        <v>151</v>
      </c>
      <c r="AI74" s="540">
        <v>0</v>
      </c>
      <c r="AJ74" s="540">
        <v>0</v>
      </c>
      <c r="AK74" s="540">
        <v>0</v>
      </c>
      <c r="AL74" s="540">
        <v>0</v>
      </c>
    </row>
    <row r="75" spans="1:38">
      <c r="A75" s="539" t="s">
        <v>664</v>
      </c>
      <c r="B75" s="539" t="s">
        <v>661</v>
      </c>
      <c r="C75" s="538" t="s">
        <v>707</v>
      </c>
      <c r="D75" s="540">
        <v>34920</v>
      </c>
      <c r="E75" s="540">
        <v>0</v>
      </c>
      <c r="F75" s="540">
        <v>0</v>
      </c>
      <c r="G75" s="540">
        <v>0</v>
      </c>
      <c r="H75" s="540">
        <v>0</v>
      </c>
      <c r="I75" s="540">
        <v>21737</v>
      </c>
      <c r="J75" s="540">
        <v>0</v>
      </c>
      <c r="K75" s="540">
        <v>0</v>
      </c>
      <c r="L75" s="540">
        <v>0</v>
      </c>
      <c r="M75" s="540">
        <v>0</v>
      </c>
      <c r="N75" s="540">
        <v>958</v>
      </c>
      <c r="O75" s="540">
        <v>274</v>
      </c>
      <c r="P75" s="540">
        <v>0</v>
      </c>
      <c r="Q75" s="540">
        <v>0</v>
      </c>
      <c r="R75" s="540">
        <v>0</v>
      </c>
      <c r="S75" s="540">
        <v>0</v>
      </c>
      <c r="T75" s="540">
        <v>0</v>
      </c>
      <c r="U75" s="540">
        <v>0</v>
      </c>
      <c r="V75" s="540">
        <v>0</v>
      </c>
      <c r="W75" s="540">
        <v>79</v>
      </c>
      <c r="X75" s="540">
        <v>0</v>
      </c>
      <c r="Y75" s="540">
        <v>0</v>
      </c>
      <c r="Z75" s="540">
        <v>0</v>
      </c>
      <c r="AA75" s="540">
        <v>0</v>
      </c>
      <c r="AB75" s="540">
        <v>0</v>
      </c>
      <c r="AC75" s="540">
        <v>4</v>
      </c>
      <c r="AD75" s="540">
        <v>0</v>
      </c>
      <c r="AE75" s="540">
        <v>11869</v>
      </c>
      <c r="AF75" s="540">
        <v>34920</v>
      </c>
      <c r="AG75" s="540">
        <v>0</v>
      </c>
      <c r="AH75" s="540">
        <v>0</v>
      </c>
      <c r="AI75" s="540">
        <v>0</v>
      </c>
      <c r="AJ75" s="540">
        <v>0</v>
      </c>
      <c r="AK75" s="540">
        <v>0</v>
      </c>
      <c r="AL75" s="540">
        <v>0</v>
      </c>
    </row>
    <row r="76" spans="1:38">
      <c r="A76" s="539" t="s">
        <v>664</v>
      </c>
      <c r="B76" s="539" t="s">
        <v>668</v>
      </c>
      <c r="C76" s="538" t="s">
        <v>708</v>
      </c>
      <c r="D76" s="540">
        <v>28735</v>
      </c>
      <c r="E76" s="540">
        <v>400</v>
      </c>
      <c r="F76" s="540">
        <v>1364</v>
      </c>
      <c r="G76" s="540">
        <v>0</v>
      </c>
      <c r="H76" s="540">
        <v>47</v>
      </c>
      <c r="I76" s="540">
        <v>2052</v>
      </c>
      <c r="J76" s="540">
        <v>0</v>
      </c>
      <c r="K76" s="540">
        <v>133</v>
      </c>
      <c r="L76" s="540">
        <v>0</v>
      </c>
      <c r="M76" s="540">
        <v>1429</v>
      </c>
      <c r="N76" s="540">
        <v>2387</v>
      </c>
      <c r="O76" s="540">
        <v>612</v>
      </c>
      <c r="P76" s="540">
        <v>0</v>
      </c>
      <c r="Q76" s="540">
        <v>0</v>
      </c>
      <c r="R76" s="540">
        <v>0</v>
      </c>
      <c r="S76" s="540">
        <v>0</v>
      </c>
      <c r="T76" s="540">
        <v>0</v>
      </c>
      <c r="U76" s="540">
        <v>0</v>
      </c>
      <c r="V76" s="540">
        <v>0</v>
      </c>
      <c r="W76" s="540">
        <v>652</v>
      </c>
      <c r="X76" s="540">
        <v>14069</v>
      </c>
      <c r="Y76" s="540">
        <v>0</v>
      </c>
      <c r="Z76" s="540">
        <v>0</v>
      </c>
      <c r="AA76" s="540">
        <v>0</v>
      </c>
      <c r="AB76" s="540">
        <v>2873</v>
      </c>
      <c r="AC76" s="540">
        <v>310</v>
      </c>
      <c r="AD76" s="540">
        <v>68</v>
      </c>
      <c r="AE76" s="540">
        <v>2340</v>
      </c>
      <c r="AF76" s="540">
        <v>10429</v>
      </c>
      <c r="AG76" s="540">
        <v>0</v>
      </c>
      <c r="AH76" s="540">
        <v>0</v>
      </c>
      <c r="AI76" s="540">
        <v>0</v>
      </c>
      <c r="AJ76" s="540">
        <v>0</v>
      </c>
      <c r="AK76" s="540">
        <v>0</v>
      </c>
      <c r="AL76" s="540">
        <v>0</v>
      </c>
    </row>
    <row r="77" spans="1:38" hidden="1">
      <c r="A77" s="539" t="s">
        <v>660</v>
      </c>
      <c r="B77" s="539" t="s">
        <v>661</v>
      </c>
      <c r="C77" s="538" t="s">
        <v>709</v>
      </c>
      <c r="D77" s="540">
        <v>17010</v>
      </c>
      <c r="E77" s="540">
        <v>0</v>
      </c>
      <c r="F77" s="540">
        <v>0</v>
      </c>
      <c r="G77" s="540">
        <v>0</v>
      </c>
      <c r="H77" s="540">
        <v>0</v>
      </c>
      <c r="I77" s="540">
        <v>0</v>
      </c>
      <c r="J77" s="540">
        <v>0</v>
      </c>
      <c r="K77" s="540">
        <v>0</v>
      </c>
      <c r="L77" s="540">
        <v>0</v>
      </c>
      <c r="M77" s="540">
        <v>16585</v>
      </c>
      <c r="N77" s="540">
        <v>0</v>
      </c>
      <c r="O77" s="540">
        <v>0</v>
      </c>
      <c r="P77" s="540">
        <v>0</v>
      </c>
      <c r="Q77" s="540">
        <v>0</v>
      </c>
      <c r="R77" s="540">
        <v>0</v>
      </c>
      <c r="S77" s="540">
        <v>0</v>
      </c>
      <c r="T77" s="540">
        <v>385</v>
      </c>
      <c r="U77" s="540">
        <v>0</v>
      </c>
      <c r="V77" s="540">
        <v>0</v>
      </c>
      <c r="W77" s="540">
        <v>0</v>
      </c>
      <c r="X77" s="540">
        <v>0</v>
      </c>
      <c r="Y77" s="540">
        <v>0</v>
      </c>
      <c r="Z77" s="540">
        <v>40</v>
      </c>
      <c r="AA77" s="540">
        <v>0</v>
      </c>
      <c r="AB77" s="540">
        <v>0</v>
      </c>
      <c r="AC77" s="540">
        <v>0</v>
      </c>
      <c r="AD77" s="540">
        <v>0</v>
      </c>
      <c r="AE77" s="540">
        <v>0</v>
      </c>
      <c r="AF77" s="540">
        <v>16585</v>
      </c>
      <c r="AG77" s="540">
        <v>0</v>
      </c>
      <c r="AH77" s="540">
        <v>0</v>
      </c>
      <c r="AI77" s="540">
        <v>0</v>
      </c>
      <c r="AJ77" s="540">
        <v>0</v>
      </c>
      <c r="AK77" s="540">
        <v>0</v>
      </c>
      <c r="AL77" s="540">
        <v>0</v>
      </c>
    </row>
    <row r="78" spans="1:38" hidden="1">
      <c r="A78" s="539" t="s">
        <v>660</v>
      </c>
      <c r="B78" s="539" t="s">
        <v>668</v>
      </c>
      <c r="C78" s="538" t="s">
        <v>710</v>
      </c>
      <c r="D78" s="540">
        <v>3618</v>
      </c>
      <c r="E78" s="540">
        <v>0</v>
      </c>
      <c r="F78" s="540">
        <v>0</v>
      </c>
      <c r="G78" s="540">
        <v>0</v>
      </c>
      <c r="H78" s="540">
        <v>0</v>
      </c>
      <c r="I78" s="540">
        <v>0</v>
      </c>
      <c r="J78" s="540">
        <v>0</v>
      </c>
      <c r="K78" s="540">
        <v>0</v>
      </c>
      <c r="L78" s="540">
        <v>0</v>
      </c>
      <c r="M78" s="540">
        <v>0</v>
      </c>
      <c r="N78" s="540">
        <v>0</v>
      </c>
      <c r="O78" s="540">
        <v>0</v>
      </c>
      <c r="P78" s="540">
        <v>0</v>
      </c>
      <c r="Q78" s="540">
        <v>0</v>
      </c>
      <c r="R78" s="540">
        <v>0</v>
      </c>
      <c r="S78" s="540">
        <v>0</v>
      </c>
      <c r="T78" s="540">
        <v>302</v>
      </c>
      <c r="U78" s="540">
        <v>0</v>
      </c>
      <c r="V78" s="540">
        <v>0</v>
      </c>
      <c r="W78" s="540">
        <v>0</v>
      </c>
      <c r="X78" s="540">
        <v>0</v>
      </c>
      <c r="Y78" s="540">
        <v>0</v>
      </c>
      <c r="Z78" s="540">
        <v>1595</v>
      </c>
      <c r="AA78" s="540">
        <v>1721</v>
      </c>
      <c r="AB78" s="540">
        <v>0</v>
      </c>
      <c r="AC78" s="540">
        <v>0</v>
      </c>
      <c r="AD78" s="540">
        <v>0</v>
      </c>
      <c r="AE78" s="540">
        <v>0</v>
      </c>
      <c r="AF78" s="540">
        <v>0</v>
      </c>
      <c r="AG78" s="540">
        <v>0</v>
      </c>
      <c r="AH78" s="540">
        <v>0</v>
      </c>
      <c r="AI78" s="540">
        <v>0</v>
      </c>
      <c r="AJ78" s="540">
        <v>0</v>
      </c>
      <c r="AK78" s="540">
        <v>0</v>
      </c>
      <c r="AL78" s="540">
        <v>0</v>
      </c>
    </row>
    <row r="79" spans="1:38">
      <c r="A79" s="539" t="s">
        <v>664</v>
      </c>
      <c r="B79" s="539" t="s">
        <v>661</v>
      </c>
      <c r="C79" s="538" t="s">
        <v>711</v>
      </c>
      <c r="D79" s="540">
        <v>0</v>
      </c>
      <c r="E79" s="540">
        <v>0</v>
      </c>
      <c r="F79" s="540">
        <v>0</v>
      </c>
      <c r="G79" s="540">
        <v>0</v>
      </c>
      <c r="H79" s="540">
        <v>0</v>
      </c>
      <c r="I79" s="540">
        <v>0</v>
      </c>
      <c r="J79" s="540">
        <v>0</v>
      </c>
      <c r="K79" s="540">
        <v>0</v>
      </c>
      <c r="L79" s="540">
        <v>0</v>
      </c>
      <c r="M79" s="540">
        <v>0</v>
      </c>
      <c r="N79" s="540">
        <v>0</v>
      </c>
      <c r="O79" s="540">
        <v>0</v>
      </c>
      <c r="P79" s="540">
        <v>0</v>
      </c>
      <c r="Q79" s="540">
        <v>0</v>
      </c>
      <c r="R79" s="540">
        <v>0</v>
      </c>
      <c r="S79" s="540">
        <v>0</v>
      </c>
      <c r="T79" s="540">
        <v>0</v>
      </c>
      <c r="U79" s="540">
        <v>0</v>
      </c>
      <c r="V79" s="540">
        <v>0</v>
      </c>
      <c r="W79" s="540">
        <v>0</v>
      </c>
      <c r="X79" s="540">
        <v>0</v>
      </c>
      <c r="Y79" s="540">
        <v>0</v>
      </c>
      <c r="Z79" s="540">
        <v>0</v>
      </c>
      <c r="AA79" s="540">
        <v>0</v>
      </c>
      <c r="AB79" s="540">
        <v>0</v>
      </c>
      <c r="AC79" s="540">
        <v>0</v>
      </c>
      <c r="AD79" s="540">
        <v>0</v>
      </c>
      <c r="AE79" s="540">
        <v>0</v>
      </c>
      <c r="AF79" s="540">
        <v>0</v>
      </c>
      <c r="AG79" s="540">
        <v>0</v>
      </c>
      <c r="AH79" s="540">
        <v>0</v>
      </c>
      <c r="AI79" s="540">
        <v>0</v>
      </c>
      <c r="AJ79" s="540">
        <v>0</v>
      </c>
      <c r="AK79" s="540">
        <v>0</v>
      </c>
      <c r="AL79" s="540">
        <v>0</v>
      </c>
    </row>
    <row r="80" spans="1:38">
      <c r="A80" s="539" t="s">
        <v>664</v>
      </c>
      <c r="B80" s="539" t="s">
        <v>668</v>
      </c>
      <c r="C80" s="538" t="s">
        <v>712</v>
      </c>
      <c r="D80" s="540">
        <v>148</v>
      </c>
      <c r="E80" s="540">
        <v>0</v>
      </c>
      <c r="F80" s="540">
        <v>0</v>
      </c>
      <c r="G80" s="540">
        <v>0</v>
      </c>
      <c r="H80" s="540">
        <v>0</v>
      </c>
      <c r="I80" s="540">
        <v>0</v>
      </c>
      <c r="J80" s="540">
        <v>0</v>
      </c>
      <c r="K80" s="540">
        <v>0</v>
      </c>
      <c r="L80" s="540">
        <v>0</v>
      </c>
      <c r="M80" s="540">
        <v>0</v>
      </c>
      <c r="N80" s="540">
        <v>0</v>
      </c>
      <c r="O80" s="540">
        <v>0</v>
      </c>
      <c r="P80" s="540">
        <v>0</v>
      </c>
      <c r="Q80" s="540">
        <v>0</v>
      </c>
      <c r="R80" s="540">
        <v>0</v>
      </c>
      <c r="S80" s="540">
        <v>0</v>
      </c>
      <c r="T80" s="540">
        <v>0</v>
      </c>
      <c r="U80" s="540">
        <v>0</v>
      </c>
      <c r="V80" s="540">
        <v>0</v>
      </c>
      <c r="W80" s="540">
        <v>0</v>
      </c>
      <c r="X80" s="540">
        <v>0</v>
      </c>
      <c r="Y80" s="540">
        <v>0</v>
      </c>
      <c r="Z80" s="540">
        <v>0</v>
      </c>
      <c r="AA80" s="540">
        <v>148</v>
      </c>
      <c r="AB80" s="540">
        <v>0</v>
      </c>
      <c r="AC80" s="540">
        <v>0</v>
      </c>
      <c r="AD80" s="540">
        <v>0</v>
      </c>
      <c r="AE80" s="540">
        <v>0</v>
      </c>
      <c r="AF80" s="540">
        <v>0</v>
      </c>
      <c r="AG80" s="540">
        <v>0</v>
      </c>
      <c r="AH80" s="540">
        <v>0</v>
      </c>
      <c r="AI80" s="540">
        <v>0</v>
      </c>
      <c r="AJ80" s="540">
        <v>0</v>
      </c>
      <c r="AK80" s="540">
        <v>0</v>
      </c>
      <c r="AL80" s="540">
        <v>0</v>
      </c>
    </row>
    <row r="81" spans="1:38" hidden="1">
      <c r="A81" s="539" t="s">
        <v>660</v>
      </c>
      <c r="B81" s="539" t="s">
        <v>661</v>
      </c>
      <c r="C81" s="538" t="s">
        <v>713</v>
      </c>
      <c r="D81" s="540">
        <v>975910</v>
      </c>
      <c r="E81" s="540">
        <v>0</v>
      </c>
      <c r="F81" s="540">
        <v>42023</v>
      </c>
      <c r="G81" s="540">
        <v>111758</v>
      </c>
      <c r="H81" s="540">
        <v>0</v>
      </c>
      <c r="I81" s="540">
        <v>589673</v>
      </c>
      <c r="J81" s="540">
        <v>32000</v>
      </c>
      <c r="K81" s="540">
        <v>0</v>
      </c>
      <c r="L81" s="540">
        <v>102521</v>
      </c>
      <c r="M81" s="540">
        <v>19501</v>
      </c>
      <c r="N81" s="540">
        <v>0</v>
      </c>
      <c r="O81" s="540">
        <v>0</v>
      </c>
      <c r="P81" s="540">
        <v>0</v>
      </c>
      <c r="Q81" s="540">
        <v>0</v>
      </c>
      <c r="R81" s="540">
        <v>0</v>
      </c>
      <c r="S81" s="540">
        <v>0</v>
      </c>
      <c r="T81" s="540">
        <v>23083</v>
      </c>
      <c r="U81" s="540">
        <v>0</v>
      </c>
      <c r="V81" s="540">
        <v>0</v>
      </c>
      <c r="W81" s="540">
        <v>3758</v>
      </c>
      <c r="X81" s="540">
        <v>0</v>
      </c>
      <c r="Y81" s="540">
        <v>0</v>
      </c>
      <c r="Z81" s="540">
        <v>46778</v>
      </c>
      <c r="AA81" s="540">
        <v>2250</v>
      </c>
      <c r="AB81" s="540">
        <v>2563</v>
      </c>
      <c r="AC81" s="540">
        <v>0</v>
      </c>
      <c r="AD81" s="540">
        <v>0</v>
      </c>
      <c r="AE81" s="540">
        <v>0</v>
      </c>
      <c r="AF81" s="540">
        <v>715453</v>
      </c>
      <c r="AG81" s="540">
        <v>0</v>
      </c>
      <c r="AH81" s="540">
        <v>0</v>
      </c>
      <c r="AI81" s="540">
        <v>0</v>
      </c>
      <c r="AJ81" s="540">
        <v>0</v>
      </c>
      <c r="AK81" s="540">
        <v>19559</v>
      </c>
      <c r="AL81" s="540">
        <v>106531</v>
      </c>
    </row>
    <row r="82" spans="1:38" hidden="1">
      <c r="A82" s="539" t="s">
        <v>660</v>
      </c>
      <c r="B82" s="539" t="s">
        <v>668</v>
      </c>
      <c r="C82" s="538" t="s">
        <v>714</v>
      </c>
      <c r="D82" s="540">
        <v>310385</v>
      </c>
      <c r="E82" s="540">
        <v>0</v>
      </c>
      <c r="F82" s="540">
        <v>4374</v>
      </c>
      <c r="G82" s="540">
        <v>25106</v>
      </c>
      <c r="H82" s="540">
        <v>0</v>
      </c>
      <c r="I82" s="540">
        <v>11894</v>
      </c>
      <c r="J82" s="540">
        <v>1433</v>
      </c>
      <c r="K82" s="540">
        <v>0</v>
      </c>
      <c r="L82" s="540">
        <v>25402</v>
      </c>
      <c r="M82" s="540">
        <v>0</v>
      </c>
      <c r="N82" s="540">
        <v>0</v>
      </c>
      <c r="O82" s="540">
        <v>0</v>
      </c>
      <c r="P82" s="540">
        <v>0</v>
      </c>
      <c r="Q82" s="540">
        <v>0</v>
      </c>
      <c r="R82" s="540">
        <v>0</v>
      </c>
      <c r="S82" s="540">
        <v>0</v>
      </c>
      <c r="T82" s="540">
        <v>965</v>
      </c>
      <c r="U82" s="540">
        <v>0</v>
      </c>
      <c r="V82" s="540">
        <v>0</v>
      </c>
      <c r="W82" s="540">
        <v>32</v>
      </c>
      <c r="X82" s="540">
        <v>197129</v>
      </c>
      <c r="Y82" s="540">
        <v>0</v>
      </c>
      <c r="Z82" s="540">
        <v>24768</v>
      </c>
      <c r="AA82" s="540">
        <v>14857</v>
      </c>
      <c r="AB82" s="540">
        <v>4424</v>
      </c>
      <c r="AC82" s="540">
        <v>0</v>
      </c>
      <c r="AD82" s="540">
        <v>0</v>
      </c>
      <c r="AE82" s="540">
        <v>0</v>
      </c>
      <c r="AF82" s="540">
        <v>37328</v>
      </c>
      <c r="AG82" s="540">
        <v>0</v>
      </c>
      <c r="AH82" s="540">
        <v>0</v>
      </c>
      <c r="AI82" s="540">
        <v>0</v>
      </c>
      <c r="AJ82" s="540">
        <v>0</v>
      </c>
      <c r="AK82" s="540">
        <v>0</v>
      </c>
      <c r="AL82" s="540">
        <v>0</v>
      </c>
    </row>
    <row r="83" spans="1:38">
      <c r="A83" s="539" t="s">
        <v>664</v>
      </c>
      <c r="B83" s="539" t="s">
        <v>661</v>
      </c>
      <c r="C83" s="538" t="s">
        <v>715</v>
      </c>
      <c r="D83" s="540">
        <v>5677</v>
      </c>
      <c r="E83" s="540">
        <v>0</v>
      </c>
      <c r="F83" s="540">
        <v>0</v>
      </c>
      <c r="G83" s="540">
        <v>1674</v>
      </c>
      <c r="H83" s="540">
        <v>0</v>
      </c>
      <c r="I83" s="540">
        <v>4003</v>
      </c>
      <c r="J83" s="540">
        <v>0</v>
      </c>
      <c r="K83" s="540">
        <v>0</v>
      </c>
      <c r="L83" s="540">
        <v>0</v>
      </c>
      <c r="M83" s="540">
        <v>0</v>
      </c>
      <c r="N83" s="540">
        <v>0</v>
      </c>
      <c r="O83" s="540">
        <v>0</v>
      </c>
      <c r="P83" s="540">
        <v>0</v>
      </c>
      <c r="Q83" s="540">
        <v>0</v>
      </c>
      <c r="R83" s="540">
        <v>0</v>
      </c>
      <c r="S83" s="540">
        <v>0</v>
      </c>
      <c r="T83" s="540">
        <v>0</v>
      </c>
      <c r="U83" s="540">
        <v>0</v>
      </c>
      <c r="V83" s="540">
        <v>0</v>
      </c>
      <c r="W83" s="540">
        <v>0</v>
      </c>
      <c r="X83" s="540">
        <v>0</v>
      </c>
      <c r="Y83" s="540">
        <v>0</v>
      </c>
      <c r="Z83" s="540">
        <v>0</v>
      </c>
      <c r="AA83" s="540">
        <v>0</v>
      </c>
      <c r="AB83" s="540">
        <v>0</v>
      </c>
      <c r="AC83" s="540">
        <v>0</v>
      </c>
      <c r="AD83" s="540">
        <v>0</v>
      </c>
      <c r="AE83" s="540">
        <v>0</v>
      </c>
      <c r="AF83" s="540">
        <v>4003</v>
      </c>
      <c r="AG83" s="540">
        <v>0</v>
      </c>
      <c r="AH83" s="540">
        <v>0</v>
      </c>
      <c r="AI83" s="540">
        <v>0</v>
      </c>
      <c r="AJ83" s="540">
        <v>0</v>
      </c>
      <c r="AK83" s="540">
        <v>0</v>
      </c>
      <c r="AL83" s="540">
        <v>126</v>
      </c>
    </row>
    <row r="84" spans="1:38">
      <c r="A84" s="539" t="s">
        <v>664</v>
      </c>
      <c r="B84" s="539" t="s">
        <v>668</v>
      </c>
      <c r="C84" s="538" t="s">
        <v>716</v>
      </c>
      <c r="D84" s="540">
        <v>25855</v>
      </c>
      <c r="E84" s="540">
        <v>0</v>
      </c>
      <c r="F84" s="540">
        <v>0</v>
      </c>
      <c r="G84" s="540">
        <v>19717</v>
      </c>
      <c r="H84" s="540">
        <v>0</v>
      </c>
      <c r="I84" s="540">
        <v>0</v>
      </c>
      <c r="J84" s="540">
        <v>4</v>
      </c>
      <c r="K84" s="540">
        <v>0</v>
      </c>
      <c r="L84" s="540">
        <v>0</v>
      </c>
      <c r="M84" s="540">
        <v>0</v>
      </c>
      <c r="N84" s="540">
        <v>0</v>
      </c>
      <c r="O84" s="540">
        <v>0</v>
      </c>
      <c r="P84" s="540">
        <v>0</v>
      </c>
      <c r="Q84" s="540">
        <v>0</v>
      </c>
      <c r="R84" s="540">
        <v>0</v>
      </c>
      <c r="S84" s="540">
        <v>0</v>
      </c>
      <c r="T84" s="540">
        <v>0</v>
      </c>
      <c r="U84" s="540">
        <v>0</v>
      </c>
      <c r="V84" s="540">
        <v>0</v>
      </c>
      <c r="W84" s="540">
        <v>151</v>
      </c>
      <c r="X84" s="540">
        <v>0</v>
      </c>
      <c r="Y84" s="540">
        <v>0</v>
      </c>
      <c r="Z84" s="540">
        <v>5717</v>
      </c>
      <c r="AA84" s="540">
        <v>0</v>
      </c>
      <c r="AB84" s="540">
        <v>266</v>
      </c>
      <c r="AC84" s="540">
        <v>0</v>
      </c>
      <c r="AD84" s="540">
        <v>0</v>
      </c>
      <c r="AE84" s="540">
        <v>0</v>
      </c>
      <c r="AF84" s="540">
        <v>151</v>
      </c>
      <c r="AG84" s="540">
        <v>0</v>
      </c>
      <c r="AH84" s="540">
        <v>0</v>
      </c>
      <c r="AI84" s="540">
        <v>0</v>
      </c>
      <c r="AJ84" s="540">
        <v>65</v>
      </c>
      <c r="AK84" s="540">
        <v>11</v>
      </c>
      <c r="AL84" s="540">
        <v>1148</v>
      </c>
    </row>
    <row r="85" spans="1:38" hidden="1">
      <c r="A85" s="539" t="s">
        <v>660</v>
      </c>
      <c r="B85" s="539" t="s">
        <v>661</v>
      </c>
      <c r="C85" s="538" t="s">
        <v>717</v>
      </c>
      <c r="D85" s="540">
        <v>13352</v>
      </c>
      <c r="E85" s="540">
        <v>0</v>
      </c>
      <c r="F85" s="540">
        <v>0</v>
      </c>
      <c r="G85" s="540">
        <v>0</v>
      </c>
      <c r="H85" s="540">
        <v>0</v>
      </c>
      <c r="I85" s="540">
        <v>0</v>
      </c>
      <c r="J85" s="540">
        <v>0</v>
      </c>
      <c r="K85" s="540">
        <v>8723</v>
      </c>
      <c r="L85" s="540">
        <v>0</v>
      </c>
      <c r="M85" s="540">
        <v>0</v>
      </c>
      <c r="N85" s="540">
        <v>0</v>
      </c>
      <c r="O85" s="540">
        <v>0</v>
      </c>
      <c r="P85" s="540">
        <v>0</v>
      </c>
      <c r="Q85" s="540">
        <v>0</v>
      </c>
      <c r="R85" s="540">
        <v>0</v>
      </c>
      <c r="S85" s="540">
        <v>0</v>
      </c>
      <c r="T85" s="540">
        <v>0</v>
      </c>
      <c r="U85" s="540">
        <v>0</v>
      </c>
      <c r="V85" s="540">
        <v>0</v>
      </c>
      <c r="W85" s="540">
        <v>0</v>
      </c>
      <c r="X85" s="540">
        <v>0</v>
      </c>
      <c r="Y85" s="540">
        <v>0</v>
      </c>
      <c r="Z85" s="540">
        <v>0</v>
      </c>
      <c r="AA85" s="540">
        <v>0</v>
      </c>
      <c r="AB85" s="540">
        <v>0</v>
      </c>
      <c r="AC85" s="540">
        <v>4630</v>
      </c>
      <c r="AD85" s="540">
        <v>0</v>
      </c>
      <c r="AE85" s="540">
        <v>0</v>
      </c>
      <c r="AF85" s="540">
        <v>13352</v>
      </c>
      <c r="AG85" s="540">
        <v>0</v>
      </c>
      <c r="AH85" s="540">
        <v>0</v>
      </c>
      <c r="AI85" s="540">
        <v>0</v>
      </c>
      <c r="AJ85" s="540">
        <v>0</v>
      </c>
      <c r="AK85" s="540">
        <v>0</v>
      </c>
      <c r="AL85" s="540">
        <v>0</v>
      </c>
    </row>
    <row r="86" spans="1:38" hidden="1">
      <c r="A86" s="539" t="s">
        <v>660</v>
      </c>
      <c r="B86" s="539" t="s">
        <v>668</v>
      </c>
      <c r="C86" s="538" t="s">
        <v>718</v>
      </c>
      <c r="D86" s="540">
        <v>11711</v>
      </c>
      <c r="E86" s="540">
        <v>0</v>
      </c>
      <c r="F86" s="540">
        <v>0</v>
      </c>
      <c r="G86" s="540">
        <v>0</v>
      </c>
      <c r="H86" s="540">
        <v>0</v>
      </c>
      <c r="I86" s="540">
        <v>0</v>
      </c>
      <c r="J86" s="540">
        <v>0</v>
      </c>
      <c r="K86" s="540">
        <v>0</v>
      </c>
      <c r="L86" s="540">
        <v>0</v>
      </c>
      <c r="M86" s="540">
        <v>0</v>
      </c>
      <c r="N86" s="540">
        <v>0</v>
      </c>
      <c r="O86" s="540">
        <v>0</v>
      </c>
      <c r="P86" s="540">
        <v>0</v>
      </c>
      <c r="Q86" s="540">
        <v>0</v>
      </c>
      <c r="R86" s="540">
        <v>0</v>
      </c>
      <c r="S86" s="540">
        <v>0</v>
      </c>
      <c r="T86" s="540">
        <v>0</v>
      </c>
      <c r="U86" s="540">
        <v>0</v>
      </c>
      <c r="V86" s="540">
        <v>0</v>
      </c>
      <c r="W86" s="540">
        <v>0</v>
      </c>
      <c r="X86" s="540">
        <v>0</v>
      </c>
      <c r="Y86" s="540">
        <v>0</v>
      </c>
      <c r="Z86" s="540">
        <v>0</v>
      </c>
      <c r="AA86" s="540">
        <v>0</v>
      </c>
      <c r="AB86" s="540">
        <v>0</v>
      </c>
      <c r="AC86" s="540">
        <v>9864</v>
      </c>
      <c r="AD86" s="540">
        <v>1847</v>
      </c>
      <c r="AE86" s="540">
        <v>0</v>
      </c>
      <c r="AF86" s="540">
        <v>11711</v>
      </c>
      <c r="AG86" s="540">
        <v>0</v>
      </c>
      <c r="AH86" s="540">
        <v>0</v>
      </c>
      <c r="AI86" s="540">
        <v>0</v>
      </c>
      <c r="AJ86" s="540">
        <v>0</v>
      </c>
      <c r="AK86" s="540">
        <v>0</v>
      </c>
      <c r="AL86" s="540">
        <v>0</v>
      </c>
    </row>
    <row r="87" spans="1:38">
      <c r="A87" s="539" t="s">
        <v>664</v>
      </c>
      <c r="B87" s="539" t="s">
        <v>661</v>
      </c>
      <c r="C87" s="538" t="s">
        <v>719</v>
      </c>
      <c r="D87" s="540">
        <v>4</v>
      </c>
      <c r="E87" s="540">
        <v>0</v>
      </c>
      <c r="F87" s="540">
        <v>0</v>
      </c>
      <c r="G87" s="540">
        <v>0</v>
      </c>
      <c r="H87" s="540">
        <v>0</v>
      </c>
      <c r="I87" s="540">
        <v>0</v>
      </c>
      <c r="J87" s="540">
        <v>0</v>
      </c>
      <c r="K87" s="540">
        <v>0</v>
      </c>
      <c r="L87" s="540">
        <v>0</v>
      </c>
      <c r="M87" s="540">
        <v>0</v>
      </c>
      <c r="N87" s="540">
        <v>0</v>
      </c>
      <c r="O87" s="540">
        <v>0</v>
      </c>
      <c r="P87" s="540">
        <v>0</v>
      </c>
      <c r="Q87" s="540">
        <v>0</v>
      </c>
      <c r="R87" s="540">
        <v>0</v>
      </c>
      <c r="S87" s="540">
        <v>0</v>
      </c>
      <c r="T87" s="540">
        <v>0</v>
      </c>
      <c r="U87" s="540">
        <v>0</v>
      </c>
      <c r="V87" s="540">
        <v>0</v>
      </c>
      <c r="W87" s="540">
        <v>0</v>
      </c>
      <c r="X87" s="540">
        <v>0</v>
      </c>
      <c r="Y87" s="540">
        <v>0</v>
      </c>
      <c r="Z87" s="540">
        <v>0</v>
      </c>
      <c r="AA87" s="540">
        <v>0</v>
      </c>
      <c r="AB87" s="540">
        <v>0</v>
      </c>
      <c r="AC87" s="540">
        <v>4</v>
      </c>
      <c r="AD87" s="540">
        <v>0</v>
      </c>
      <c r="AE87" s="540">
        <v>0</v>
      </c>
      <c r="AF87" s="540">
        <v>4</v>
      </c>
      <c r="AG87" s="540">
        <v>0</v>
      </c>
      <c r="AH87" s="540">
        <v>0</v>
      </c>
      <c r="AI87" s="540">
        <v>0</v>
      </c>
      <c r="AJ87" s="540">
        <v>0</v>
      </c>
      <c r="AK87" s="540">
        <v>0</v>
      </c>
      <c r="AL87" s="540">
        <v>0</v>
      </c>
    </row>
    <row r="88" spans="1:38">
      <c r="A88" s="539" t="s">
        <v>664</v>
      </c>
      <c r="B88" s="539" t="s">
        <v>668</v>
      </c>
      <c r="C88" s="538" t="s">
        <v>720</v>
      </c>
      <c r="D88" s="540">
        <v>1883</v>
      </c>
      <c r="E88" s="540">
        <v>0</v>
      </c>
      <c r="F88" s="540">
        <v>0</v>
      </c>
      <c r="G88" s="540">
        <v>0</v>
      </c>
      <c r="H88" s="540">
        <v>0</v>
      </c>
      <c r="I88" s="540">
        <v>0</v>
      </c>
      <c r="J88" s="540">
        <v>50</v>
      </c>
      <c r="K88" s="540">
        <v>97</v>
      </c>
      <c r="L88" s="540">
        <v>0</v>
      </c>
      <c r="M88" s="540">
        <v>0</v>
      </c>
      <c r="N88" s="540">
        <v>0</v>
      </c>
      <c r="O88" s="540">
        <v>0</v>
      </c>
      <c r="P88" s="540">
        <v>0</v>
      </c>
      <c r="Q88" s="540">
        <v>0</v>
      </c>
      <c r="R88" s="540">
        <v>0</v>
      </c>
      <c r="S88" s="540">
        <v>0</v>
      </c>
      <c r="T88" s="540">
        <v>0</v>
      </c>
      <c r="U88" s="540">
        <v>0</v>
      </c>
      <c r="V88" s="540">
        <v>0</v>
      </c>
      <c r="W88" s="540">
        <v>0</v>
      </c>
      <c r="X88" s="540">
        <v>0</v>
      </c>
      <c r="Y88" s="540">
        <v>0</v>
      </c>
      <c r="Z88" s="540">
        <v>0</v>
      </c>
      <c r="AA88" s="540">
        <v>0</v>
      </c>
      <c r="AB88" s="540">
        <v>0</v>
      </c>
      <c r="AC88" s="540">
        <v>1706</v>
      </c>
      <c r="AD88" s="540">
        <v>29</v>
      </c>
      <c r="AE88" s="540">
        <v>0</v>
      </c>
      <c r="AF88" s="540">
        <v>1832</v>
      </c>
      <c r="AG88" s="540">
        <v>0</v>
      </c>
      <c r="AH88" s="540">
        <v>0</v>
      </c>
      <c r="AI88" s="540">
        <v>0</v>
      </c>
      <c r="AJ88" s="540">
        <v>0</v>
      </c>
      <c r="AK88" s="540">
        <v>0</v>
      </c>
      <c r="AL88" s="540">
        <v>0</v>
      </c>
    </row>
    <row r="89" spans="1:38" hidden="1">
      <c r="A89" s="539" t="s">
        <v>660</v>
      </c>
      <c r="B89" s="539" t="s">
        <v>661</v>
      </c>
      <c r="C89" s="538" t="s">
        <v>721</v>
      </c>
      <c r="D89" s="540">
        <v>0</v>
      </c>
      <c r="E89" s="540">
        <v>0</v>
      </c>
      <c r="F89" s="540">
        <v>0</v>
      </c>
      <c r="G89" s="540">
        <v>0</v>
      </c>
      <c r="H89" s="540">
        <v>0</v>
      </c>
      <c r="I89" s="540">
        <v>0</v>
      </c>
      <c r="J89" s="540">
        <v>0</v>
      </c>
      <c r="K89" s="540">
        <v>0</v>
      </c>
      <c r="L89" s="540">
        <v>0</v>
      </c>
      <c r="M89" s="540">
        <v>0</v>
      </c>
      <c r="N89" s="540">
        <v>0</v>
      </c>
      <c r="O89" s="540">
        <v>0</v>
      </c>
      <c r="P89" s="540">
        <v>0</v>
      </c>
      <c r="Q89" s="540">
        <v>0</v>
      </c>
      <c r="R89" s="540">
        <v>0</v>
      </c>
      <c r="S89" s="540">
        <v>0</v>
      </c>
      <c r="T89" s="540">
        <v>0</v>
      </c>
      <c r="U89" s="540">
        <v>0</v>
      </c>
      <c r="V89" s="540">
        <v>0</v>
      </c>
      <c r="W89" s="540">
        <v>0</v>
      </c>
      <c r="X89" s="540">
        <v>0</v>
      </c>
      <c r="Y89" s="540">
        <v>0</v>
      </c>
      <c r="Z89" s="540">
        <v>0</v>
      </c>
      <c r="AA89" s="540">
        <v>0</v>
      </c>
      <c r="AB89" s="540">
        <v>0</v>
      </c>
      <c r="AC89" s="540">
        <v>0</v>
      </c>
      <c r="AD89" s="540">
        <v>0</v>
      </c>
      <c r="AE89" s="540">
        <v>0</v>
      </c>
      <c r="AF89" s="540">
        <v>0</v>
      </c>
      <c r="AG89" s="540">
        <v>0</v>
      </c>
      <c r="AH89" s="540">
        <v>0</v>
      </c>
      <c r="AI89" s="540">
        <v>0</v>
      </c>
      <c r="AJ89" s="540">
        <v>0</v>
      </c>
      <c r="AK89" s="540">
        <v>0</v>
      </c>
      <c r="AL89" s="540">
        <v>0</v>
      </c>
    </row>
    <row r="90" spans="1:38" hidden="1">
      <c r="A90" s="539" t="s">
        <v>660</v>
      </c>
      <c r="B90" s="539" t="s">
        <v>668</v>
      </c>
      <c r="C90" s="538" t="s">
        <v>722</v>
      </c>
      <c r="D90" s="540">
        <v>0</v>
      </c>
      <c r="E90" s="540">
        <v>0</v>
      </c>
      <c r="F90" s="540">
        <v>0</v>
      </c>
      <c r="G90" s="540">
        <v>0</v>
      </c>
      <c r="H90" s="540">
        <v>0</v>
      </c>
      <c r="I90" s="540">
        <v>0</v>
      </c>
      <c r="J90" s="540">
        <v>0</v>
      </c>
      <c r="K90" s="540">
        <v>0</v>
      </c>
      <c r="L90" s="540">
        <v>0</v>
      </c>
      <c r="M90" s="540">
        <v>0</v>
      </c>
      <c r="N90" s="540">
        <v>0</v>
      </c>
      <c r="O90" s="540">
        <v>0</v>
      </c>
      <c r="P90" s="540">
        <v>0</v>
      </c>
      <c r="Q90" s="540">
        <v>0</v>
      </c>
      <c r="R90" s="540">
        <v>0</v>
      </c>
      <c r="S90" s="540">
        <v>0</v>
      </c>
      <c r="T90" s="540">
        <v>0</v>
      </c>
      <c r="U90" s="540">
        <v>0</v>
      </c>
      <c r="V90" s="540">
        <v>0</v>
      </c>
      <c r="W90" s="540">
        <v>0</v>
      </c>
      <c r="X90" s="540">
        <v>0</v>
      </c>
      <c r="Y90" s="540">
        <v>0</v>
      </c>
      <c r="Z90" s="540">
        <v>0</v>
      </c>
      <c r="AA90" s="540">
        <v>0</v>
      </c>
      <c r="AB90" s="540">
        <v>0</v>
      </c>
      <c r="AC90" s="540">
        <v>0</v>
      </c>
      <c r="AD90" s="540">
        <v>0</v>
      </c>
      <c r="AE90" s="540">
        <v>0</v>
      </c>
      <c r="AF90" s="540">
        <v>0</v>
      </c>
      <c r="AG90" s="540">
        <v>0</v>
      </c>
      <c r="AH90" s="540">
        <v>0</v>
      </c>
      <c r="AI90" s="540">
        <v>0</v>
      </c>
      <c r="AJ90" s="540">
        <v>0</v>
      </c>
      <c r="AK90" s="540">
        <v>0</v>
      </c>
      <c r="AL90" s="540">
        <v>0</v>
      </c>
    </row>
    <row r="91" spans="1:38">
      <c r="A91" s="539" t="s">
        <v>664</v>
      </c>
      <c r="B91" s="539" t="s">
        <v>661</v>
      </c>
      <c r="C91" s="538" t="s">
        <v>723</v>
      </c>
      <c r="D91" s="540">
        <v>0</v>
      </c>
      <c r="E91" s="540">
        <v>0</v>
      </c>
      <c r="F91" s="540">
        <v>0</v>
      </c>
      <c r="G91" s="540">
        <v>0</v>
      </c>
      <c r="H91" s="540">
        <v>0</v>
      </c>
      <c r="I91" s="540">
        <v>0</v>
      </c>
      <c r="J91" s="540">
        <v>0</v>
      </c>
      <c r="K91" s="540">
        <v>0</v>
      </c>
      <c r="L91" s="540">
        <v>0</v>
      </c>
      <c r="M91" s="540">
        <v>0</v>
      </c>
      <c r="N91" s="540">
        <v>0</v>
      </c>
      <c r="O91" s="540">
        <v>0</v>
      </c>
      <c r="P91" s="540">
        <v>0</v>
      </c>
      <c r="Q91" s="540">
        <v>0</v>
      </c>
      <c r="R91" s="540">
        <v>0</v>
      </c>
      <c r="S91" s="540">
        <v>0</v>
      </c>
      <c r="T91" s="540">
        <v>0</v>
      </c>
      <c r="U91" s="540">
        <v>0</v>
      </c>
      <c r="V91" s="540">
        <v>0</v>
      </c>
      <c r="W91" s="540">
        <v>0</v>
      </c>
      <c r="X91" s="540">
        <v>0</v>
      </c>
      <c r="Y91" s="540">
        <v>0</v>
      </c>
      <c r="Z91" s="540">
        <v>0</v>
      </c>
      <c r="AA91" s="540">
        <v>0</v>
      </c>
      <c r="AB91" s="540">
        <v>0</v>
      </c>
      <c r="AC91" s="540">
        <v>0</v>
      </c>
      <c r="AD91" s="540">
        <v>0</v>
      </c>
      <c r="AE91" s="540">
        <v>0</v>
      </c>
      <c r="AF91" s="540">
        <v>0</v>
      </c>
      <c r="AG91" s="540">
        <v>0</v>
      </c>
      <c r="AH91" s="540">
        <v>0</v>
      </c>
      <c r="AI91" s="540">
        <v>0</v>
      </c>
      <c r="AJ91" s="540">
        <v>0</v>
      </c>
      <c r="AK91" s="540">
        <v>0</v>
      </c>
      <c r="AL91" s="540">
        <v>0</v>
      </c>
    </row>
    <row r="92" spans="1:38">
      <c r="A92" s="539" t="s">
        <v>664</v>
      </c>
      <c r="B92" s="539" t="s">
        <v>668</v>
      </c>
      <c r="C92" s="538" t="s">
        <v>724</v>
      </c>
      <c r="D92" s="540">
        <v>0</v>
      </c>
      <c r="E92" s="540">
        <v>0</v>
      </c>
      <c r="F92" s="540">
        <v>0</v>
      </c>
      <c r="G92" s="540">
        <v>0</v>
      </c>
      <c r="H92" s="540">
        <v>0</v>
      </c>
      <c r="I92" s="540">
        <v>0</v>
      </c>
      <c r="J92" s="540">
        <v>0</v>
      </c>
      <c r="K92" s="540">
        <v>0</v>
      </c>
      <c r="L92" s="540">
        <v>0</v>
      </c>
      <c r="M92" s="540">
        <v>0</v>
      </c>
      <c r="N92" s="540">
        <v>0</v>
      </c>
      <c r="O92" s="540">
        <v>0</v>
      </c>
      <c r="P92" s="540">
        <v>0</v>
      </c>
      <c r="Q92" s="540">
        <v>0</v>
      </c>
      <c r="R92" s="540">
        <v>0</v>
      </c>
      <c r="S92" s="540">
        <v>0</v>
      </c>
      <c r="T92" s="540">
        <v>0</v>
      </c>
      <c r="U92" s="540">
        <v>0</v>
      </c>
      <c r="V92" s="540">
        <v>0</v>
      </c>
      <c r="W92" s="540">
        <v>0</v>
      </c>
      <c r="X92" s="540">
        <v>0</v>
      </c>
      <c r="Y92" s="540">
        <v>0</v>
      </c>
      <c r="Z92" s="540">
        <v>0</v>
      </c>
      <c r="AA92" s="540">
        <v>0</v>
      </c>
      <c r="AB92" s="540">
        <v>0</v>
      </c>
      <c r="AC92" s="540">
        <v>0</v>
      </c>
      <c r="AD92" s="540">
        <v>0</v>
      </c>
      <c r="AE92" s="540">
        <v>0</v>
      </c>
      <c r="AF92" s="540">
        <v>0</v>
      </c>
      <c r="AG92" s="540">
        <v>0</v>
      </c>
      <c r="AH92" s="540">
        <v>0</v>
      </c>
      <c r="AI92" s="540">
        <v>0</v>
      </c>
      <c r="AJ92" s="540">
        <v>0</v>
      </c>
      <c r="AK92" s="540">
        <v>0</v>
      </c>
      <c r="AL92" s="540">
        <v>0</v>
      </c>
    </row>
    <row r="93" spans="1:38" hidden="1">
      <c r="A93" s="539" t="s">
        <v>660</v>
      </c>
      <c r="B93" s="539" t="s">
        <v>661</v>
      </c>
      <c r="C93" s="538" t="s">
        <v>725</v>
      </c>
      <c r="D93" s="540">
        <v>0</v>
      </c>
      <c r="E93" s="540">
        <v>0</v>
      </c>
      <c r="F93" s="540">
        <v>0</v>
      </c>
      <c r="G93" s="540">
        <v>0</v>
      </c>
      <c r="H93" s="540">
        <v>0</v>
      </c>
      <c r="I93" s="540">
        <v>0</v>
      </c>
      <c r="J93" s="540">
        <v>0</v>
      </c>
      <c r="K93" s="540">
        <v>0</v>
      </c>
      <c r="L93" s="540">
        <v>0</v>
      </c>
      <c r="M93" s="540">
        <v>0</v>
      </c>
      <c r="N93" s="540">
        <v>0</v>
      </c>
      <c r="O93" s="540">
        <v>0</v>
      </c>
      <c r="P93" s="540">
        <v>0</v>
      </c>
      <c r="Q93" s="540">
        <v>0</v>
      </c>
      <c r="R93" s="540">
        <v>0</v>
      </c>
      <c r="S93" s="540">
        <v>0</v>
      </c>
      <c r="T93" s="540">
        <v>0</v>
      </c>
      <c r="U93" s="540">
        <v>0</v>
      </c>
      <c r="V93" s="540">
        <v>0</v>
      </c>
      <c r="W93" s="540">
        <v>0</v>
      </c>
      <c r="X93" s="540">
        <v>0</v>
      </c>
      <c r="Y93" s="540">
        <v>0</v>
      </c>
      <c r="Z93" s="540">
        <v>0</v>
      </c>
      <c r="AA93" s="540">
        <v>0</v>
      </c>
      <c r="AB93" s="540">
        <v>0</v>
      </c>
      <c r="AC93" s="540">
        <v>0</v>
      </c>
      <c r="AD93" s="540">
        <v>0</v>
      </c>
      <c r="AE93" s="540">
        <v>0</v>
      </c>
      <c r="AF93" s="540">
        <v>0</v>
      </c>
      <c r="AG93" s="540">
        <v>0</v>
      </c>
      <c r="AH93" s="540">
        <v>0</v>
      </c>
      <c r="AI93" s="540">
        <v>0</v>
      </c>
      <c r="AJ93" s="540">
        <v>0</v>
      </c>
      <c r="AK93" s="540">
        <v>0</v>
      </c>
      <c r="AL93" s="540">
        <v>0</v>
      </c>
    </row>
    <row r="94" spans="1:38" hidden="1">
      <c r="A94" s="539" t="s">
        <v>660</v>
      </c>
      <c r="B94" s="539" t="s">
        <v>668</v>
      </c>
      <c r="C94" s="538" t="s">
        <v>726</v>
      </c>
      <c r="D94" s="540">
        <v>0</v>
      </c>
      <c r="E94" s="540">
        <v>0</v>
      </c>
      <c r="F94" s="540">
        <v>0</v>
      </c>
      <c r="G94" s="540">
        <v>0</v>
      </c>
      <c r="H94" s="540">
        <v>0</v>
      </c>
      <c r="I94" s="540">
        <v>0</v>
      </c>
      <c r="J94" s="540">
        <v>0</v>
      </c>
      <c r="K94" s="540">
        <v>0</v>
      </c>
      <c r="L94" s="540">
        <v>0</v>
      </c>
      <c r="M94" s="540">
        <v>0</v>
      </c>
      <c r="N94" s="540">
        <v>0</v>
      </c>
      <c r="O94" s="540">
        <v>0</v>
      </c>
      <c r="P94" s="540">
        <v>0</v>
      </c>
      <c r="Q94" s="540">
        <v>0</v>
      </c>
      <c r="R94" s="540">
        <v>0</v>
      </c>
      <c r="S94" s="540">
        <v>0</v>
      </c>
      <c r="T94" s="540">
        <v>0</v>
      </c>
      <c r="U94" s="540">
        <v>0</v>
      </c>
      <c r="V94" s="540">
        <v>0</v>
      </c>
      <c r="W94" s="540">
        <v>0</v>
      </c>
      <c r="X94" s="540">
        <v>0</v>
      </c>
      <c r="Y94" s="540">
        <v>0</v>
      </c>
      <c r="Z94" s="540">
        <v>0</v>
      </c>
      <c r="AA94" s="540">
        <v>0</v>
      </c>
      <c r="AB94" s="540">
        <v>0</v>
      </c>
      <c r="AC94" s="540">
        <v>0</v>
      </c>
      <c r="AD94" s="540">
        <v>0</v>
      </c>
      <c r="AE94" s="540">
        <v>0</v>
      </c>
      <c r="AF94" s="540">
        <v>0</v>
      </c>
      <c r="AG94" s="540">
        <v>0</v>
      </c>
      <c r="AH94" s="540">
        <v>0</v>
      </c>
      <c r="AI94" s="540">
        <v>0</v>
      </c>
      <c r="AJ94" s="540">
        <v>0</v>
      </c>
      <c r="AK94" s="540">
        <v>0</v>
      </c>
      <c r="AL94" s="540">
        <v>0</v>
      </c>
    </row>
    <row r="95" spans="1:38">
      <c r="A95" s="539" t="s">
        <v>664</v>
      </c>
      <c r="B95" s="539" t="s">
        <v>661</v>
      </c>
      <c r="C95" s="538" t="s">
        <v>727</v>
      </c>
      <c r="D95" s="540">
        <v>0</v>
      </c>
      <c r="E95" s="540">
        <v>0</v>
      </c>
      <c r="F95" s="540">
        <v>0</v>
      </c>
      <c r="G95" s="540">
        <v>0</v>
      </c>
      <c r="H95" s="540">
        <v>0</v>
      </c>
      <c r="I95" s="540">
        <v>0</v>
      </c>
      <c r="J95" s="540">
        <v>0</v>
      </c>
      <c r="K95" s="540">
        <v>0</v>
      </c>
      <c r="L95" s="540">
        <v>0</v>
      </c>
      <c r="M95" s="540">
        <v>0</v>
      </c>
      <c r="N95" s="540">
        <v>0</v>
      </c>
      <c r="O95" s="540">
        <v>0</v>
      </c>
      <c r="P95" s="540">
        <v>0</v>
      </c>
      <c r="Q95" s="540">
        <v>0</v>
      </c>
      <c r="R95" s="540">
        <v>0</v>
      </c>
      <c r="S95" s="540">
        <v>0</v>
      </c>
      <c r="T95" s="540">
        <v>0</v>
      </c>
      <c r="U95" s="540">
        <v>0</v>
      </c>
      <c r="V95" s="540">
        <v>0</v>
      </c>
      <c r="W95" s="540">
        <v>0</v>
      </c>
      <c r="X95" s="540">
        <v>0</v>
      </c>
      <c r="Y95" s="540">
        <v>0</v>
      </c>
      <c r="Z95" s="540">
        <v>0</v>
      </c>
      <c r="AA95" s="540">
        <v>0</v>
      </c>
      <c r="AB95" s="540">
        <v>0</v>
      </c>
      <c r="AC95" s="540">
        <v>0</v>
      </c>
      <c r="AD95" s="540">
        <v>0</v>
      </c>
      <c r="AE95" s="540">
        <v>0</v>
      </c>
      <c r="AF95" s="540">
        <v>0</v>
      </c>
      <c r="AG95" s="540">
        <v>0</v>
      </c>
      <c r="AH95" s="540">
        <v>0</v>
      </c>
      <c r="AI95" s="540">
        <v>0</v>
      </c>
      <c r="AJ95" s="540">
        <v>0</v>
      </c>
      <c r="AK95" s="540">
        <v>0</v>
      </c>
      <c r="AL95" s="540">
        <v>0</v>
      </c>
    </row>
    <row r="96" spans="1:38">
      <c r="A96" s="539" t="s">
        <v>664</v>
      </c>
      <c r="B96" s="539" t="s">
        <v>668</v>
      </c>
      <c r="C96" s="538" t="s">
        <v>728</v>
      </c>
      <c r="D96" s="540">
        <v>0</v>
      </c>
      <c r="E96" s="540">
        <v>0</v>
      </c>
      <c r="F96" s="540">
        <v>0</v>
      </c>
      <c r="G96" s="540">
        <v>0</v>
      </c>
      <c r="H96" s="540">
        <v>0</v>
      </c>
      <c r="I96" s="540">
        <v>0</v>
      </c>
      <c r="J96" s="540">
        <v>0</v>
      </c>
      <c r="K96" s="540">
        <v>0</v>
      </c>
      <c r="L96" s="540">
        <v>0</v>
      </c>
      <c r="M96" s="540">
        <v>0</v>
      </c>
      <c r="N96" s="540">
        <v>0</v>
      </c>
      <c r="O96" s="540">
        <v>0</v>
      </c>
      <c r="P96" s="540">
        <v>0</v>
      </c>
      <c r="Q96" s="540">
        <v>0</v>
      </c>
      <c r="R96" s="540">
        <v>0</v>
      </c>
      <c r="S96" s="540">
        <v>0</v>
      </c>
      <c r="T96" s="540">
        <v>0</v>
      </c>
      <c r="U96" s="540">
        <v>0</v>
      </c>
      <c r="V96" s="540">
        <v>0</v>
      </c>
      <c r="W96" s="540">
        <v>0</v>
      </c>
      <c r="X96" s="540">
        <v>0</v>
      </c>
      <c r="Y96" s="540">
        <v>0</v>
      </c>
      <c r="Z96" s="540">
        <v>0</v>
      </c>
      <c r="AA96" s="540">
        <v>0</v>
      </c>
      <c r="AB96" s="540">
        <v>0</v>
      </c>
      <c r="AC96" s="540">
        <v>0</v>
      </c>
      <c r="AD96" s="540">
        <v>0</v>
      </c>
      <c r="AE96" s="540">
        <v>0</v>
      </c>
      <c r="AF96" s="540">
        <v>0</v>
      </c>
      <c r="AG96" s="540">
        <v>0</v>
      </c>
      <c r="AH96" s="540">
        <v>0</v>
      </c>
      <c r="AI96" s="540">
        <v>0</v>
      </c>
      <c r="AJ96" s="540">
        <v>0</v>
      </c>
      <c r="AK96" s="540">
        <v>0</v>
      </c>
      <c r="AL96" s="540">
        <v>0</v>
      </c>
    </row>
    <row r="97" spans="1:38" hidden="1">
      <c r="A97" s="539" t="s">
        <v>660</v>
      </c>
      <c r="B97" s="539" t="s">
        <v>661</v>
      </c>
      <c r="C97" s="538" t="s">
        <v>729</v>
      </c>
      <c r="D97" s="540">
        <v>0</v>
      </c>
      <c r="E97" s="540">
        <v>0</v>
      </c>
      <c r="F97" s="540">
        <v>0</v>
      </c>
      <c r="G97" s="540">
        <v>0</v>
      </c>
      <c r="H97" s="540">
        <v>0</v>
      </c>
      <c r="I97" s="540">
        <v>0</v>
      </c>
      <c r="J97" s="540">
        <v>0</v>
      </c>
      <c r="K97" s="540">
        <v>0</v>
      </c>
      <c r="L97" s="540">
        <v>0</v>
      </c>
      <c r="M97" s="540">
        <v>0</v>
      </c>
      <c r="N97" s="540">
        <v>0</v>
      </c>
      <c r="O97" s="540">
        <v>0</v>
      </c>
      <c r="P97" s="540">
        <v>0</v>
      </c>
      <c r="Q97" s="540">
        <v>0</v>
      </c>
      <c r="R97" s="540">
        <v>0</v>
      </c>
      <c r="S97" s="540">
        <v>0</v>
      </c>
      <c r="T97" s="540">
        <v>0</v>
      </c>
      <c r="U97" s="540">
        <v>0</v>
      </c>
      <c r="V97" s="540">
        <v>0</v>
      </c>
      <c r="W97" s="540">
        <v>0</v>
      </c>
      <c r="X97" s="540">
        <v>0</v>
      </c>
      <c r="Y97" s="540">
        <v>0</v>
      </c>
      <c r="Z97" s="540">
        <v>0</v>
      </c>
      <c r="AA97" s="540">
        <v>0</v>
      </c>
      <c r="AB97" s="540">
        <v>0</v>
      </c>
      <c r="AC97" s="540">
        <v>0</v>
      </c>
      <c r="AD97" s="540">
        <v>0</v>
      </c>
      <c r="AE97" s="540">
        <v>0</v>
      </c>
      <c r="AF97" s="540">
        <v>0</v>
      </c>
      <c r="AG97" s="540">
        <v>0</v>
      </c>
      <c r="AH97" s="540">
        <v>0</v>
      </c>
      <c r="AI97" s="540">
        <v>0</v>
      </c>
      <c r="AJ97" s="540">
        <v>0</v>
      </c>
      <c r="AK97" s="540">
        <v>0</v>
      </c>
      <c r="AL97" s="540">
        <v>0</v>
      </c>
    </row>
    <row r="98" spans="1:38" hidden="1">
      <c r="A98" s="539" t="s">
        <v>660</v>
      </c>
      <c r="B98" s="539" t="s">
        <v>668</v>
      </c>
      <c r="C98" s="538" t="s">
        <v>730</v>
      </c>
      <c r="D98" s="540">
        <v>0</v>
      </c>
      <c r="E98" s="540">
        <v>0</v>
      </c>
      <c r="F98" s="540">
        <v>0</v>
      </c>
      <c r="G98" s="540">
        <v>0</v>
      </c>
      <c r="H98" s="540">
        <v>0</v>
      </c>
      <c r="I98" s="540">
        <v>0</v>
      </c>
      <c r="J98" s="540">
        <v>0</v>
      </c>
      <c r="K98" s="540">
        <v>0</v>
      </c>
      <c r="L98" s="540">
        <v>0</v>
      </c>
      <c r="M98" s="540">
        <v>0</v>
      </c>
      <c r="N98" s="540">
        <v>0</v>
      </c>
      <c r="O98" s="540">
        <v>0</v>
      </c>
      <c r="P98" s="540">
        <v>0</v>
      </c>
      <c r="Q98" s="540">
        <v>0</v>
      </c>
      <c r="R98" s="540">
        <v>0</v>
      </c>
      <c r="S98" s="540">
        <v>0</v>
      </c>
      <c r="T98" s="540">
        <v>0</v>
      </c>
      <c r="U98" s="540">
        <v>0</v>
      </c>
      <c r="V98" s="540">
        <v>0</v>
      </c>
      <c r="W98" s="540">
        <v>0</v>
      </c>
      <c r="X98" s="540">
        <v>0</v>
      </c>
      <c r="Y98" s="540">
        <v>0</v>
      </c>
      <c r="Z98" s="540">
        <v>0</v>
      </c>
      <c r="AA98" s="540">
        <v>0</v>
      </c>
      <c r="AB98" s="540">
        <v>0</v>
      </c>
      <c r="AC98" s="540">
        <v>0</v>
      </c>
      <c r="AD98" s="540">
        <v>0</v>
      </c>
      <c r="AE98" s="540">
        <v>0</v>
      </c>
      <c r="AF98" s="540">
        <v>0</v>
      </c>
      <c r="AG98" s="540">
        <v>0</v>
      </c>
      <c r="AH98" s="540">
        <v>0</v>
      </c>
      <c r="AI98" s="540">
        <v>0</v>
      </c>
      <c r="AJ98" s="540">
        <v>0</v>
      </c>
      <c r="AK98" s="540">
        <v>0</v>
      </c>
      <c r="AL98" s="540">
        <v>0</v>
      </c>
    </row>
    <row r="99" spans="1:38">
      <c r="A99" s="539" t="s">
        <v>664</v>
      </c>
      <c r="B99" s="539" t="s">
        <v>661</v>
      </c>
      <c r="C99" s="538" t="s">
        <v>731</v>
      </c>
      <c r="D99" s="540">
        <v>0</v>
      </c>
      <c r="E99" s="540">
        <v>0</v>
      </c>
      <c r="F99" s="540">
        <v>0</v>
      </c>
      <c r="G99" s="540">
        <v>0</v>
      </c>
      <c r="H99" s="540">
        <v>0</v>
      </c>
      <c r="I99" s="540">
        <v>0</v>
      </c>
      <c r="J99" s="540">
        <v>0</v>
      </c>
      <c r="K99" s="540">
        <v>0</v>
      </c>
      <c r="L99" s="540">
        <v>0</v>
      </c>
      <c r="M99" s="540">
        <v>0</v>
      </c>
      <c r="N99" s="540">
        <v>0</v>
      </c>
      <c r="O99" s="540">
        <v>0</v>
      </c>
      <c r="P99" s="540">
        <v>0</v>
      </c>
      <c r="Q99" s="540">
        <v>0</v>
      </c>
      <c r="R99" s="540">
        <v>0</v>
      </c>
      <c r="S99" s="540">
        <v>0</v>
      </c>
      <c r="T99" s="540">
        <v>0</v>
      </c>
      <c r="U99" s="540">
        <v>0</v>
      </c>
      <c r="V99" s="540">
        <v>0</v>
      </c>
      <c r="W99" s="540">
        <v>0</v>
      </c>
      <c r="X99" s="540">
        <v>0</v>
      </c>
      <c r="Y99" s="540">
        <v>0</v>
      </c>
      <c r="Z99" s="540">
        <v>0</v>
      </c>
      <c r="AA99" s="540">
        <v>0</v>
      </c>
      <c r="AB99" s="540">
        <v>0</v>
      </c>
      <c r="AC99" s="540">
        <v>0</v>
      </c>
      <c r="AD99" s="540">
        <v>0</v>
      </c>
      <c r="AE99" s="540">
        <v>0</v>
      </c>
      <c r="AF99" s="540">
        <v>0</v>
      </c>
      <c r="AG99" s="540">
        <v>0</v>
      </c>
      <c r="AH99" s="540">
        <v>0</v>
      </c>
      <c r="AI99" s="540">
        <v>0</v>
      </c>
      <c r="AJ99" s="540">
        <v>0</v>
      </c>
      <c r="AK99" s="540">
        <v>0</v>
      </c>
      <c r="AL99" s="540">
        <v>0</v>
      </c>
    </row>
    <row r="100" spans="1:38">
      <c r="A100" s="539" t="s">
        <v>664</v>
      </c>
      <c r="B100" s="539" t="s">
        <v>668</v>
      </c>
      <c r="C100" s="538" t="s">
        <v>732</v>
      </c>
      <c r="D100" s="540">
        <v>0</v>
      </c>
      <c r="E100" s="540">
        <v>0</v>
      </c>
      <c r="F100" s="540">
        <v>0</v>
      </c>
      <c r="G100" s="540">
        <v>0</v>
      </c>
      <c r="H100" s="540">
        <v>0</v>
      </c>
      <c r="I100" s="540">
        <v>0</v>
      </c>
      <c r="J100" s="540">
        <v>0</v>
      </c>
      <c r="K100" s="540">
        <v>0</v>
      </c>
      <c r="L100" s="540">
        <v>0</v>
      </c>
      <c r="M100" s="540">
        <v>0</v>
      </c>
      <c r="N100" s="540">
        <v>0</v>
      </c>
      <c r="O100" s="540">
        <v>0</v>
      </c>
      <c r="P100" s="540">
        <v>0</v>
      </c>
      <c r="Q100" s="540">
        <v>0</v>
      </c>
      <c r="R100" s="540">
        <v>0</v>
      </c>
      <c r="S100" s="540">
        <v>0</v>
      </c>
      <c r="T100" s="540">
        <v>0</v>
      </c>
      <c r="U100" s="540">
        <v>0</v>
      </c>
      <c r="V100" s="540">
        <v>0</v>
      </c>
      <c r="W100" s="540">
        <v>0</v>
      </c>
      <c r="X100" s="540">
        <v>0</v>
      </c>
      <c r="Y100" s="540">
        <v>0</v>
      </c>
      <c r="Z100" s="540">
        <v>0</v>
      </c>
      <c r="AA100" s="540">
        <v>0</v>
      </c>
      <c r="AB100" s="540">
        <v>0</v>
      </c>
      <c r="AC100" s="540">
        <v>0</v>
      </c>
      <c r="AD100" s="540">
        <v>0</v>
      </c>
      <c r="AE100" s="540">
        <v>0</v>
      </c>
      <c r="AF100" s="540">
        <v>0</v>
      </c>
      <c r="AG100" s="540">
        <v>0</v>
      </c>
      <c r="AH100" s="540">
        <v>0</v>
      </c>
      <c r="AI100" s="540">
        <v>0</v>
      </c>
      <c r="AJ100" s="540">
        <v>0</v>
      </c>
      <c r="AK100" s="540">
        <v>0</v>
      </c>
      <c r="AL100" s="540">
        <v>0</v>
      </c>
    </row>
    <row r="101" spans="1:38" hidden="1">
      <c r="A101" s="539" t="s">
        <v>660</v>
      </c>
      <c r="B101" s="539" t="s">
        <v>661</v>
      </c>
      <c r="C101" s="538" t="s">
        <v>733</v>
      </c>
      <c r="D101" s="540">
        <v>0</v>
      </c>
      <c r="E101" s="540">
        <v>0</v>
      </c>
      <c r="F101" s="540">
        <v>0</v>
      </c>
      <c r="G101" s="540">
        <v>0</v>
      </c>
      <c r="H101" s="540">
        <v>0</v>
      </c>
      <c r="I101" s="540">
        <v>0</v>
      </c>
      <c r="J101" s="540">
        <v>0</v>
      </c>
      <c r="K101" s="540">
        <v>0</v>
      </c>
      <c r="L101" s="540">
        <v>0</v>
      </c>
      <c r="M101" s="540">
        <v>0</v>
      </c>
      <c r="N101" s="540">
        <v>0</v>
      </c>
      <c r="O101" s="540">
        <v>0</v>
      </c>
      <c r="P101" s="540">
        <v>0</v>
      </c>
      <c r="Q101" s="540">
        <v>0</v>
      </c>
      <c r="R101" s="540">
        <v>0</v>
      </c>
      <c r="S101" s="540">
        <v>0</v>
      </c>
      <c r="T101" s="540">
        <v>0</v>
      </c>
      <c r="U101" s="540">
        <v>0</v>
      </c>
      <c r="V101" s="540">
        <v>0</v>
      </c>
      <c r="W101" s="540">
        <v>0</v>
      </c>
      <c r="X101" s="540">
        <v>0</v>
      </c>
      <c r="Y101" s="540">
        <v>0</v>
      </c>
      <c r="Z101" s="540">
        <v>0</v>
      </c>
      <c r="AA101" s="540">
        <v>0</v>
      </c>
      <c r="AB101" s="540">
        <v>0</v>
      </c>
      <c r="AC101" s="540">
        <v>0</v>
      </c>
      <c r="AD101" s="540">
        <v>0</v>
      </c>
      <c r="AE101" s="540">
        <v>0</v>
      </c>
      <c r="AF101" s="540">
        <v>0</v>
      </c>
      <c r="AG101" s="540">
        <v>0</v>
      </c>
      <c r="AH101" s="540">
        <v>0</v>
      </c>
      <c r="AI101" s="540">
        <v>0</v>
      </c>
      <c r="AJ101" s="540">
        <v>0</v>
      </c>
      <c r="AK101" s="540">
        <v>0</v>
      </c>
      <c r="AL101" s="540">
        <v>0</v>
      </c>
    </row>
    <row r="102" spans="1:38" hidden="1">
      <c r="A102" s="539" t="s">
        <v>660</v>
      </c>
      <c r="B102" s="539" t="s">
        <v>668</v>
      </c>
      <c r="C102" s="538" t="s">
        <v>734</v>
      </c>
      <c r="D102" s="540">
        <v>209</v>
      </c>
      <c r="E102" s="540">
        <v>0</v>
      </c>
      <c r="F102" s="540">
        <v>0</v>
      </c>
      <c r="G102" s="540">
        <v>209</v>
      </c>
      <c r="H102" s="540">
        <v>0</v>
      </c>
      <c r="I102" s="540">
        <v>0</v>
      </c>
      <c r="J102" s="540">
        <v>0</v>
      </c>
      <c r="K102" s="540">
        <v>0</v>
      </c>
      <c r="L102" s="540">
        <v>0</v>
      </c>
      <c r="M102" s="540">
        <v>0</v>
      </c>
      <c r="N102" s="540">
        <v>0</v>
      </c>
      <c r="O102" s="540">
        <v>0</v>
      </c>
      <c r="P102" s="540">
        <v>0</v>
      </c>
      <c r="Q102" s="540">
        <v>0</v>
      </c>
      <c r="R102" s="540">
        <v>0</v>
      </c>
      <c r="S102" s="540">
        <v>0</v>
      </c>
      <c r="T102" s="540">
        <v>0</v>
      </c>
      <c r="U102" s="540">
        <v>0</v>
      </c>
      <c r="V102" s="540">
        <v>0</v>
      </c>
      <c r="W102" s="540">
        <v>0</v>
      </c>
      <c r="X102" s="540">
        <v>0</v>
      </c>
      <c r="Y102" s="540">
        <v>0</v>
      </c>
      <c r="Z102" s="540">
        <v>0</v>
      </c>
      <c r="AA102" s="540">
        <v>0</v>
      </c>
      <c r="AB102" s="540">
        <v>0</v>
      </c>
      <c r="AC102" s="540">
        <v>0</v>
      </c>
      <c r="AD102" s="540">
        <v>0</v>
      </c>
      <c r="AE102" s="540">
        <v>0</v>
      </c>
      <c r="AF102" s="540">
        <v>0</v>
      </c>
      <c r="AG102" s="540">
        <v>0</v>
      </c>
      <c r="AH102" s="540">
        <v>0</v>
      </c>
      <c r="AI102" s="540">
        <v>0</v>
      </c>
      <c r="AJ102" s="540">
        <v>0</v>
      </c>
      <c r="AK102" s="540">
        <v>0</v>
      </c>
      <c r="AL102" s="540">
        <v>0</v>
      </c>
    </row>
    <row r="103" spans="1:38">
      <c r="A103" s="539" t="s">
        <v>664</v>
      </c>
      <c r="B103" s="539" t="s">
        <v>661</v>
      </c>
      <c r="C103" s="538" t="s">
        <v>735</v>
      </c>
      <c r="D103" s="540">
        <v>14</v>
      </c>
      <c r="E103" s="540">
        <v>0</v>
      </c>
      <c r="F103" s="540">
        <v>0</v>
      </c>
      <c r="G103" s="540">
        <v>0</v>
      </c>
      <c r="H103" s="540">
        <v>0</v>
      </c>
      <c r="I103" s="540">
        <v>0</v>
      </c>
      <c r="J103" s="540">
        <v>0</v>
      </c>
      <c r="K103" s="540">
        <v>0</v>
      </c>
      <c r="L103" s="540">
        <v>0</v>
      </c>
      <c r="M103" s="540">
        <v>0</v>
      </c>
      <c r="N103" s="540">
        <v>0</v>
      </c>
      <c r="O103" s="540">
        <v>0</v>
      </c>
      <c r="P103" s="540">
        <v>0</v>
      </c>
      <c r="Q103" s="540">
        <v>0</v>
      </c>
      <c r="R103" s="540">
        <v>0</v>
      </c>
      <c r="S103" s="540">
        <v>0</v>
      </c>
      <c r="T103" s="540">
        <v>0</v>
      </c>
      <c r="U103" s="540">
        <v>0</v>
      </c>
      <c r="V103" s="540">
        <v>0</v>
      </c>
      <c r="W103" s="540">
        <v>0</v>
      </c>
      <c r="X103" s="540">
        <v>0</v>
      </c>
      <c r="Y103" s="540">
        <v>0</v>
      </c>
      <c r="Z103" s="540">
        <v>0</v>
      </c>
      <c r="AA103" s="540">
        <v>0</v>
      </c>
      <c r="AB103" s="540">
        <v>0</v>
      </c>
      <c r="AC103" s="540">
        <v>14</v>
      </c>
      <c r="AD103" s="540">
        <v>0</v>
      </c>
      <c r="AE103" s="540">
        <v>0</v>
      </c>
      <c r="AF103" s="540">
        <v>14</v>
      </c>
      <c r="AG103" s="540">
        <v>0</v>
      </c>
      <c r="AH103" s="540">
        <v>0</v>
      </c>
      <c r="AI103" s="540">
        <v>0</v>
      </c>
      <c r="AJ103" s="540">
        <v>0</v>
      </c>
      <c r="AK103" s="540">
        <v>0</v>
      </c>
      <c r="AL103" s="540">
        <v>0</v>
      </c>
    </row>
    <row r="104" spans="1:38">
      <c r="A104" s="539" t="s">
        <v>664</v>
      </c>
      <c r="B104" s="539" t="s">
        <v>668</v>
      </c>
      <c r="C104" s="538" t="s">
        <v>736</v>
      </c>
      <c r="D104" s="540">
        <v>137</v>
      </c>
      <c r="E104" s="540">
        <v>0</v>
      </c>
      <c r="F104" s="540">
        <v>115</v>
      </c>
      <c r="G104" s="540">
        <v>22</v>
      </c>
      <c r="H104" s="540">
        <v>0</v>
      </c>
      <c r="I104" s="540">
        <v>0</v>
      </c>
      <c r="J104" s="540">
        <v>0</v>
      </c>
      <c r="K104" s="540">
        <v>0</v>
      </c>
      <c r="L104" s="540">
        <v>0</v>
      </c>
      <c r="M104" s="540">
        <v>0</v>
      </c>
      <c r="N104" s="540">
        <v>0</v>
      </c>
      <c r="O104" s="540">
        <v>0</v>
      </c>
      <c r="P104" s="540">
        <v>0</v>
      </c>
      <c r="Q104" s="540">
        <v>0</v>
      </c>
      <c r="R104" s="540">
        <v>0</v>
      </c>
      <c r="S104" s="540">
        <v>0</v>
      </c>
      <c r="T104" s="540">
        <v>0</v>
      </c>
      <c r="U104" s="540">
        <v>0</v>
      </c>
      <c r="V104" s="540">
        <v>0</v>
      </c>
      <c r="W104" s="540">
        <v>0</v>
      </c>
      <c r="X104" s="540">
        <v>0</v>
      </c>
      <c r="Y104" s="540">
        <v>0</v>
      </c>
      <c r="Z104" s="540">
        <v>0</v>
      </c>
      <c r="AA104" s="540">
        <v>0</v>
      </c>
      <c r="AB104" s="540">
        <v>0</v>
      </c>
      <c r="AC104" s="540">
        <v>0</v>
      </c>
      <c r="AD104" s="540">
        <v>0</v>
      </c>
      <c r="AE104" s="540">
        <v>0</v>
      </c>
      <c r="AF104" s="540">
        <v>0</v>
      </c>
      <c r="AG104" s="540">
        <v>0</v>
      </c>
      <c r="AH104" s="540">
        <v>0</v>
      </c>
      <c r="AI104" s="540">
        <v>0</v>
      </c>
      <c r="AJ104" s="540">
        <v>0</v>
      </c>
      <c r="AK104" s="540">
        <v>0</v>
      </c>
      <c r="AL104" s="540">
        <v>0</v>
      </c>
    </row>
    <row r="105" spans="1:38" hidden="1">
      <c r="A105" s="539" t="s">
        <v>660</v>
      </c>
      <c r="B105" s="539" t="s">
        <v>661</v>
      </c>
      <c r="C105" s="538" t="s">
        <v>737</v>
      </c>
      <c r="D105" s="540">
        <v>3172</v>
      </c>
      <c r="E105" s="540">
        <v>0</v>
      </c>
      <c r="F105" s="540">
        <v>1602</v>
      </c>
      <c r="G105" s="540">
        <v>0</v>
      </c>
      <c r="H105" s="540">
        <v>0</v>
      </c>
      <c r="I105" s="540">
        <v>1541</v>
      </c>
      <c r="J105" s="540">
        <v>0</v>
      </c>
      <c r="K105" s="540">
        <v>0</v>
      </c>
      <c r="L105" s="540">
        <v>29</v>
      </c>
      <c r="M105" s="540">
        <v>0</v>
      </c>
      <c r="N105" s="540">
        <v>0</v>
      </c>
      <c r="O105" s="540">
        <v>0</v>
      </c>
      <c r="P105" s="540">
        <v>0</v>
      </c>
      <c r="Q105" s="540">
        <v>0</v>
      </c>
      <c r="R105" s="540">
        <v>0</v>
      </c>
      <c r="S105" s="540">
        <v>0</v>
      </c>
      <c r="T105" s="540">
        <v>0</v>
      </c>
      <c r="U105" s="540">
        <v>0</v>
      </c>
      <c r="V105" s="540">
        <v>0</v>
      </c>
      <c r="W105" s="540">
        <v>0</v>
      </c>
      <c r="X105" s="540">
        <v>0</v>
      </c>
      <c r="Y105" s="540">
        <v>0</v>
      </c>
      <c r="Z105" s="540">
        <v>0</v>
      </c>
      <c r="AA105" s="540">
        <v>0</v>
      </c>
      <c r="AB105" s="540">
        <v>0</v>
      </c>
      <c r="AC105" s="540">
        <v>0</v>
      </c>
      <c r="AD105" s="540">
        <v>0</v>
      </c>
      <c r="AE105" s="540">
        <v>0</v>
      </c>
      <c r="AF105" s="540">
        <v>1570</v>
      </c>
      <c r="AG105" s="540">
        <v>0</v>
      </c>
      <c r="AH105" s="540">
        <v>0</v>
      </c>
      <c r="AI105" s="540">
        <v>0</v>
      </c>
      <c r="AJ105" s="540">
        <v>0</v>
      </c>
      <c r="AK105" s="540">
        <v>0</v>
      </c>
      <c r="AL105" s="540">
        <v>0</v>
      </c>
    </row>
    <row r="106" spans="1:38" hidden="1">
      <c r="A106" s="539" t="s">
        <v>660</v>
      </c>
      <c r="B106" s="539" t="s">
        <v>668</v>
      </c>
      <c r="C106" s="538" t="s">
        <v>738</v>
      </c>
      <c r="D106" s="540">
        <v>4788</v>
      </c>
      <c r="E106" s="540">
        <v>0</v>
      </c>
      <c r="F106" s="540">
        <v>2819</v>
      </c>
      <c r="G106" s="540">
        <v>0</v>
      </c>
      <c r="H106" s="540">
        <v>0</v>
      </c>
      <c r="I106" s="540">
        <v>1966</v>
      </c>
      <c r="J106" s="540">
        <v>0</v>
      </c>
      <c r="K106" s="540">
        <v>0</v>
      </c>
      <c r="L106" s="540">
        <v>4</v>
      </c>
      <c r="M106" s="540">
        <v>0</v>
      </c>
      <c r="N106" s="540">
        <v>0</v>
      </c>
      <c r="O106" s="540">
        <v>0</v>
      </c>
      <c r="P106" s="540">
        <v>0</v>
      </c>
      <c r="Q106" s="540">
        <v>0</v>
      </c>
      <c r="R106" s="540">
        <v>0</v>
      </c>
      <c r="S106" s="540">
        <v>0</v>
      </c>
      <c r="T106" s="540">
        <v>0</v>
      </c>
      <c r="U106" s="540">
        <v>0</v>
      </c>
      <c r="V106" s="540">
        <v>0</v>
      </c>
      <c r="W106" s="540">
        <v>0</v>
      </c>
      <c r="X106" s="540">
        <v>0</v>
      </c>
      <c r="Y106" s="540">
        <v>0</v>
      </c>
      <c r="Z106" s="540">
        <v>0</v>
      </c>
      <c r="AA106" s="540">
        <v>0</v>
      </c>
      <c r="AB106" s="540">
        <v>0</v>
      </c>
      <c r="AC106" s="540">
        <v>0</v>
      </c>
      <c r="AD106" s="540">
        <v>0</v>
      </c>
      <c r="AE106" s="540">
        <v>0</v>
      </c>
      <c r="AF106" s="540">
        <v>1969</v>
      </c>
      <c r="AG106" s="540">
        <v>0</v>
      </c>
      <c r="AH106" s="540">
        <v>0</v>
      </c>
      <c r="AI106" s="540">
        <v>0</v>
      </c>
      <c r="AJ106" s="540">
        <v>0</v>
      </c>
      <c r="AK106" s="540">
        <v>0</v>
      </c>
      <c r="AL106" s="540">
        <v>0</v>
      </c>
    </row>
    <row r="107" spans="1:38">
      <c r="A107" s="539" t="s">
        <v>664</v>
      </c>
      <c r="B107" s="539" t="s">
        <v>661</v>
      </c>
      <c r="C107" s="538" t="s">
        <v>739</v>
      </c>
      <c r="D107" s="540">
        <v>331</v>
      </c>
      <c r="E107" s="540">
        <v>0</v>
      </c>
      <c r="F107" s="540">
        <v>0</v>
      </c>
      <c r="G107" s="540">
        <v>0</v>
      </c>
      <c r="H107" s="540">
        <v>0</v>
      </c>
      <c r="I107" s="540">
        <v>331</v>
      </c>
      <c r="J107" s="540">
        <v>0</v>
      </c>
      <c r="K107" s="540">
        <v>0</v>
      </c>
      <c r="L107" s="540">
        <v>0</v>
      </c>
      <c r="M107" s="540">
        <v>0</v>
      </c>
      <c r="N107" s="540">
        <v>0</v>
      </c>
      <c r="O107" s="540">
        <v>0</v>
      </c>
      <c r="P107" s="540">
        <v>0</v>
      </c>
      <c r="Q107" s="540">
        <v>0</v>
      </c>
      <c r="R107" s="540">
        <v>0</v>
      </c>
      <c r="S107" s="540">
        <v>0</v>
      </c>
      <c r="T107" s="540">
        <v>0</v>
      </c>
      <c r="U107" s="540">
        <v>0</v>
      </c>
      <c r="V107" s="540">
        <v>0</v>
      </c>
      <c r="W107" s="540">
        <v>0</v>
      </c>
      <c r="X107" s="540">
        <v>0</v>
      </c>
      <c r="Y107" s="540">
        <v>0</v>
      </c>
      <c r="Z107" s="540">
        <v>0</v>
      </c>
      <c r="AA107" s="540">
        <v>0</v>
      </c>
      <c r="AB107" s="540">
        <v>0</v>
      </c>
      <c r="AC107" s="540">
        <v>0</v>
      </c>
      <c r="AD107" s="540">
        <v>0</v>
      </c>
      <c r="AE107" s="540">
        <v>0</v>
      </c>
      <c r="AF107" s="540">
        <v>331</v>
      </c>
      <c r="AG107" s="540">
        <v>0</v>
      </c>
      <c r="AH107" s="540">
        <v>0</v>
      </c>
      <c r="AI107" s="540">
        <v>0</v>
      </c>
      <c r="AJ107" s="540">
        <v>0</v>
      </c>
      <c r="AK107" s="540">
        <v>0</v>
      </c>
      <c r="AL107" s="540">
        <v>0</v>
      </c>
    </row>
    <row r="108" spans="1:38">
      <c r="A108" s="539" t="s">
        <v>664</v>
      </c>
      <c r="B108" s="539" t="s">
        <v>668</v>
      </c>
      <c r="C108" s="538" t="s">
        <v>740</v>
      </c>
      <c r="D108" s="540">
        <v>914</v>
      </c>
      <c r="E108" s="540">
        <v>0</v>
      </c>
      <c r="F108" s="540">
        <v>0</v>
      </c>
      <c r="G108" s="540">
        <v>0</v>
      </c>
      <c r="H108" s="540">
        <v>0</v>
      </c>
      <c r="I108" s="540">
        <v>914</v>
      </c>
      <c r="J108" s="540">
        <v>0</v>
      </c>
      <c r="K108" s="540">
        <v>0</v>
      </c>
      <c r="L108" s="540">
        <v>0</v>
      </c>
      <c r="M108" s="540">
        <v>0</v>
      </c>
      <c r="N108" s="540">
        <v>0</v>
      </c>
      <c r="O108" s="540">
        <v>0</v>
      </c>
      <c r="P108" s="540">
        <v>0</v>
      </c>
      <c r="Q108" s="540">
        <v>0</v>
      </c>
      <c r="R108" s="540">
        <v>0</v>
      </c>
      <c r="S108" s="540">
        <v>0</v>
      </c>
      <c r="T108" s="540">
        <v>0</v>
      </c>
      <c r="U108" s="540">
        <v>0</v>
      </c>
      <c r="V108" s="540">
        <v>0</v>
      </c>
      <c r="W108" s="540">
        <v>0</v>
      </c>
      <c r="X108" s="540">
        <v>0</v>
      </c>
      <c r="Y108" s="540">
        <v>0</v>
      </c>
      <c r="Z108" s="540">
        <v>0</v>
      </c>
      <c r="AA108" s="540">
        <v>0</v>
      </c>
      <c r="AB108" s="540">
        <v>0</v>
      </c>
      <c r="AC108" s="540">
        <v>0</v>
      </c>
      <c r="AD108" s="540">
        <v>0</v>
      </c>
      <c r="AE108" s="540">
        <v>0</v>
      </c>
      <c r="AF108" s="540">
        <v>914</v>
      </c>
      <c r="AG108" s="540">
        <v>0</v>
      </c>
      <c r="AH108" s="540">
        <v>0</v>
      </c>
      <c r="AI108" s="540">
        <v>0</v>
      </c>
      <c r="AJ108" s="540">
        <v>0</v>
      </c>
      <c r="AK108" s="540">
        <v>0</v>
      </c>
      <c r="AL108" s="540">
        <v>0</v>
      </c>
    </row>
    <row r="109" spans="1:38" hidden="1">
      <c r="A109" s="539" t="s">
        <v>660</v>
      </c>
      <c r="B109" s="539" t="s">
        <v>661</v>
      </c>
      <c r="C109" s="538" t="s">
        <v>741</v>
      </c>
      <c r="D109" s="540">
        <v>515</v>
      </c>
      <c r="E109" s="540">
        <v>0</v>
      </c>
      <c r="F109" s="540">
        <v>0</v>
      </c>
      <c r="G109" s="540">
        <v>0</v>
      </c>
      <c r="H109" s="540">
        <v>0</v>
      </c>
      <c r="I109" s="540">
        <v>0</v>
      </c>
      <c r="J109" s="540">
        <v>515</v>
      </c>
      <c r="K109" s="540">
        <v>0</v>
      </c>
      <c r="L109" s="540">
        <v>0</v>
      </c>
      <c r="M109" s="540">
        <v>0</v>
      </c>
      <c r="N109" s="540">
        <v>0</v>
      </c>
      <c r="O109" s="540">
        <v>0</v>
      </c>
      <c r="P109" s="540">
        <v>0</v>
      </c>
      <c r="Q109" s="540">
        <v>0</v>
      </c>
      <c r="R109" s="540">
        <v>0</v>
      </c>
      <c r="S109" s="540">
        <v>0</v>
      </c>
      <c r="T109" s="540">
        <v>0</v>
      </c>
      <c r="U109" s="540">
        <v>0</v>
      </c>
      <c r="V109" s="540">
        <v>0</v>
      </c>
      <c r="W109" s="540">
        <v>0</v>
      </c>
      <c r="X109" s="540">
        <v>0</v>
      </c>
      <c r="Y109" s="540">
        <v>0</v>
      </c>
      <c r="Z109" s="540">
        <v>0</v>
      </c>
      <c r="AA109" s="540">
        <v>0</v>
      </c>
      <c r="AB109" s="540">
        <v>0</v>
      </c>
      <c r="AC109" s="540">
        <v>0</v>
      </c>
      <c r="AD109" s="540">
        <v>0</v>
      </c>
      <c r="AE109" s="540">
        <v>0</v>
      </c>
      <c r="AF109" s="540">
        <v>0</v>
      </c>
      <c r="AG109" s="540">
        <v>0</v>
      </c>
      <c r="AH109" s="540">
        <v>0</v>
      </c>
      <c r="AI109" s="540">
        <v>0</v>
      </c>
      <c r="AJ109" s="540">
        <v>0</v>
      </c>
      <c r="AK109" s="540">
        <v>0</v>
      </c>
      <c r="AL109" s="540">
        <v>0</v>
      </c>
    </row>
    <row r="110" spans="1:38" hidden="1">
      <c r="A110" s="539" t="s">
        <v>660</v>
      </c>
      <c r="B110" s="539" t="s">
        <v>668</v>
      </c>
      <c r="C110" s="538" t="s">
        <v>742</v>
      </c>
      <c r="D110" s="540">
        <v>130</v>
      </c>
      <c r="E110" s="540">
        <v>0</v>
      </c>
      <c r="F110" s="540">
        <v>0</v>
      </c>
      <c r="G110" s="540">
        <v>0</v>
      </c>
      <c r="H110" s="540">
        <v>0</v>
      </c>
      <c r="I110" s="540">
        <v>0</v>
      </c>
      <c r="J110" s="540">
        <v>130</v>
      </c>
      <c r="K110" s="540">
        <v>0</v>
      </c>
      <c r="L110" s="540">
        <v>0</v>
      </c>
      <c r="M110" s="540">
        <v>0</v>
      </c>
      <c r="N110" s="540">
        <v>0</v>
      </c>
      <c r="O110" s="540">
        <v>0</v>
      </c>
      <c r="P110" s="540">
        <v>0</v>
      </c>
      <c r="Q110" s="540">
        <v>0</v>
      </c>
      <c r="R110" s="540">
        <v>0</v>
      </c>
      <c r="S110" s="540">
        <v>0</v>
      </c>
      <c r="T110" s="540">
        <v>0</v>
      </c>
      <c r="U110" s="540">
        <v>0</v>
      </c>
      <c r="V110" s="540">
        <v>0</v>
      </c>
      <c r="W110" s="540">
        <v>0</v>
      </c>
      <c r="X110" s="540">
        <v>0</v>
      </c>
      <c r="Y110" s="540">
        <v>0</v>
      </c>
      <c r="Z110" s="540">
        <v>0</v>
      </c>
      <c r="AA110" s="540">
        <v>0</v>
      </c>
      <c r="AB110" s="540">
        <v>0</v>
      </c>
      <c r="AC110" s="540">
        <v>0</v>
      </c>
      <c r="AD110" s="540">
        <v>0</v>
      </c>
      <c r="AE110" s="540">
        <v>0</v>
      </c>
      <c r="AF110" s="540">
        <v>0</v>
      </c>
      <c r="AG110" s="540">
        <v>0</v>
      </c>
      <c r="AH110" s="540">
        <v>0</v>
      </c>
      <c r="AI110" s="540">
        <v>0</v>
      </c>
      <c r="AJ110" s="540">
        <v>0</v>
      </c>
      <c r="AK110" s="540">
        <v>0</v>
      </c>
      <c r="AL110" s="540">
        <v>0</v>
      </c>
    </row>
    <row r="111" spans="1:38">
      <c r="A111" s="539" t="s">
        <v>664</v>
      </c>
      <c r="B111" s="539" t="s">
        <v>661</v>
      </c>
      <c r="C111" s="538" t="s">
        <v>743</v>
      </c>
      <c r="D111" s="540">
        <v>86</v>
      </c>
      <c r="E111" s="540">
        <v>0</v>
      </c>
      <c r="F111" s="540">
        <v>0</v>
      </c>
      <c r="G111" s="540">
        <v>0</v>
      </c>
      <c r="H111" s="540">
        <v>0</v>
      </c>
      <c r="I111" s="540">
        <v>0</v>
      </c>
      <c r="J111" s="540">
        <v>86</v>
      </c>
      <c r="K111" s="540">
        <v>0</v>
      </c>
      <c r="L111" s="540">
        <v>0</v>
      </c>
      <c r="M111" s="540">
        <v>0</v>
      </c>
      <c r="N111" s="540">
        <v>0</v>
      </c>
      <c r="O111" s="540">
        <v>0</v>
      </c>
      <c r="P111" s="540">
        <v>0</v>
      </c>
      <c r="Q111" s="540">
        <v>0</v>
      </c>
      <c r="R111" s="540">
        <v>0</v>
      </c>
      <c r="S111" s="540">
        <v>0</v>
      </c>
      <c r="T111" s="540">
        <v>0</v>
      </c>
      <c r="U111" s="540">
        <v>0</v>
      </c>
      <c r="V111" s="540">
        <v>0</v>
      </c>
      <c r="W111" s="540">
        <v>0</v>
      </c>
      <c r="X111" s="540">
        <v>0</v>
      </c>
      <c r="Y111" s="540">
        <v>0</v>
      </c>
      <c r="Z111" s="540">
        <v>0</v>
      </c>
      <c r="AA111" s="540">
        <v>0</v>
      </c>
      <c r="AB111" s="540">
        <v>0</v>
      </c>
      <c r="AC111" s="540">
        <v>0</v>
      </c>
      <c r="AD111" s="540">
        <v>0</v>
      </c>
      <c r="AE111" s="540">
        <v>0</v>
      </c>
      <c r="AF111" s="540">
        <v>0</v>
      </c>
      <c r="AG111" s="540">
        <v>0</v>
      </c>
      <c r="AH111" s="540">
        <v>0</v>
      </c>
      <c r="AI111" s="540">
        <v>0</v>
      </c>
      <c r="AJ111" s="540">
        <v>0</v>
      </c>
      <c r="AK111" s="540">
        <v>0</v>
      </c>
      <c r="AL111" s="540">
        <v>0</v>
      </c>
    </row>
    <row r="112" spans="1:38">
      <c r="A112" s="539" t="s">
        <v>664</v>
      </c>
      <c r="B112" s="539" t="s">
        <v>668</v>
      </c>
      <c r="C112" s="538" t="s">
        <v>744</v>
      </c>
      <c r="D112" s="540">
        <v>6883</v>
      </c>
      <c r="E112" s="540">
        <v>0</v>
      </c>
      <c r="F112" s="540">
        <v>0</v>
      </c>
      <c r="G112" s="540">
        <v>6836</v>
      </c>
      <c r="H112" s="540">
        <v>0</v>
      </c>
      <c r="I112" s="540">
        <v>0</v>
      </c>
      <c r="J112" s="540">
        <v>47</v>
      </c>
      <c r="K112" s="540">
        <v>0</v>
      </c>
      <c r="L112" s="540">
        <v>0</v>
      </c>
      <c r="M112" s="540">
        <v>0</v>
      </c>
      <c r="N112" s="540">
        <v>0</v>
      </c>
      <c r="O112" s="540">
        <v>0</v>
      </c>
      <c r="P112" s="540">
        <v>0</v>
      </c>
      <c r="Q112" s="540">
        <v>0</v>
      </c>
      <c r="R112" s="540">
        <v>0</v>
      </c>
      <c r="S112" s="540">
        <v>0</v>
      </c>
      <c r="T112" s="540">
        <v>0</v>
      </c>
      <c r="U112" s="540">
        <v>0</v>
      </c>
      <c r="V112" s="540">
        <v>0</v>
      </c>
      <c r="W112" s="540">
        <v>0</v>
      </c>
      <c r="X112" s="540">
        <v>0</v>
      </c>
      <c r="Y112" s="540">
        <v>0</v>
      </c>
      <c r="Z112" s="540">
        <v>0</v>
      </c>
      <c r="AA112" s="540">
        <v>0</v>
      </c>
      <c r="AB112" s="540">
        <v>0</v>
      </c>
      <c r="AC112" s="540">
        <v>0</v>
      </c>
      <c r="AD112" s="540">
        <v>0</v>
      </c>
      <c r="AE112" s="540">
        <v>0</v>
      </c>
      <c r="AF112" s="540">
        <v>0</v>
      </c>
      <c r="AG112" s="540">
        <v>0</v>
      </c>
      <c r="AH112" s="540">
        <v>0</v>
      </c>
      <c r="AI112" s="540">
        <v>0</v>
      </c>
      <c r="AJ112" s="540">
        <v>0</v>
      </c>
      <c r="AK112" s="540">
        <v>0</v>
      </c>
      <c r="AL112" s="540">
        <v>0</v>
      </c>
    </row>
    <row r="113" spans="1:38" hidden="1">
      <c r="A113" s="539" t="s">
        <v>660</v>
      </c>
      <c r="B113" s="539" t="s">
        <v>661</v>
      </c>
      <c r="C113" s="538" t="s">
        <v>745</v>
      </c>
      <c r="D113" s="540">
        <v>4586</v>
      </c>
      <c r="E113" s="540">
        <v>518</v>
      </c>
      <c r="F113" s="540">
        <v>0</v>
      </c>
      <c r="G113" s="540">
        <v>0</v>
      </c>
      <c r="H113" s="540">
        <v>0</v>
      </c>
      <c r="I113" s="540">
        <v>169</v>
      </c>
      <c r="J113" s="540">
        <v>0</v>
      </c>
      <c r="K113" s="540">
        <v>0</v>
      </c>
      <c r="L113" s="540">
        <v>0</v>
      </c>
      <c r="M113" s="540">
        <v>936</v>
      </c>
      <c r="N113" s="540">
        <v>1710</v>
      </c>
      <c r="O113" s="540">
        <v>554</v>
      </c>
      <c r="P113" s="540">
        <v>0</v>
      </c>
      <c r="Q113" s="540">
        <v>0</v>
      </c>
      <c r="R113" s="540">
        <v>0</v>
      </c>
      <c r="S113" s="540">
        <v>0</v>
      </c>
      <c r="T113" s="540">
        <v>32</v>
      </c>
      <c r="U113" s="540">
        <v>0</v>
      </c>
      <c r="V113" s="540">
        <v>666</v>
      </c>
      <c r="W113" s="540">
        <v>0</v>
      </c>
      <c r="X113" s="540">
        <v>0</v>
      </c>
      <c r="Y113" s="540">
        <v>0</v>
      </c>
      <c r="Z113" s="540">
        <v>0</v>
      </c>
      <c r="AA113" s="540">
        <v>0</v>
      </c>
      <c r="AB113" s="540">
        <v>0</v>
      </c>
      <c r="AC113" s="540">
        <v>0</v>
      </c>
      <c r="AD113" s="540">
        <v>0</v>
      </c>
      <c r="AE113" s="540">
        <v>0</v>
      </c>
      <c r="AF113" s="540">
        <v>4554</v>
      </c>
      <c r="AG113" s="540">
        <v>0</v>
      </c>
      <c r="AH113" s="540">
        <v>0</v>
      </c>
      <c r="AI113" s="540">
        <v>0</v>
      </c>
      <c r="AJ113" s="540">
        <v>0</v>
      </c>
      <c r="AK113" s="540">
        <v>0</v>
      </c>
      <c r="AL113" s="540">
        <v>0</v>
      </c>
    </row>
    <row r="114" spans="1:38" hidden="1">
      <c r="A114" s="539" t="s">
        <v>660</v>
      </c>
      <c r="B114" s="539" t="s">
        <v>668</v>
      </c>
      <c r="C114" s="538" t="s">
        <v>746</v>
      </c>
      <c r="D114" s="540">
        <v>6599</v>
      </c>
      <c r="E114" s="540">
        <v>0</v>
      </c>
      <c r="F114" s="540">
        <v>0</v>
      </c>
      <c r="G114" s="540">
        <v>583</v>
      </c>
      <c r="H114" s="540">
        <v>0</v>
      </c>
      <c r="I114" s="540">
        <v>0</v>
      </c>
      <c r="J114" s="540">
        <v>0</v>
      </c>
      <c r="K114" s="540">
        <v>0</v>
      </c>
      <c r="L114" s="540">
        <v>0</v>
      </c>
      <c r="M114" s="540">
        <v>0</v>
      </c>
      <c r="N114" s="540">
        <v>0</v>
      </c>
      <c r="O114" s="540">
        <v>4028</v>
      </c>
      <c r="P114" s="540">
        <v>0</v>
      </c>
      <c r="Q114" s="540">
        <v>0</v>
      </c>
      <c r="R114" s="540">
        <v>0</v>
      </c>
      <c r="S114" s="540">
        <v>0</v>
      </c>
      <c r="T114" s="540">
        <v>72</v>
      </c>
      <c r="U114" s="540">
        <v>0</v>
      </c>
      <c r="V114" s="540">
        <v>0</v>
      </c>
      <c r="W114" s="540">
        <v>0</v>
      </c>
      <c r="X114" s="540">
        <v>1681</v>
      </c>
      <c r="Y114" s="540">
        <v>0</v>
      </c>
      <c r="Z114" s="540">
        <v>50</v>
      </c>
      <c r="AA114" s="540">
        <v>0</v>
      </c>
      <c r="AB114" s="540">
        <v>0</v>
      </c>
      <c r="AC114" s="540">
        <v>0</v>
      </c>
      <c r="AD114" s="540">
        <v>184</v>
      </c>
      <c r="AE114" s="540">
        <v>0</v>
      </c>
      <c r="AF114" s="540">
        <v>4212</v>
      </c>
      <c r="AG114" s="540">
        <v>0</v>
      </c>
      <c r="AH114" s="540">
        <v>0</v>
      </c>
      <c r="AI114" s="540">
        <v>0</v>
      </c>
      <c r="AJ114" s="540">
        <v>0</v>
      </c>
      <c r="AK114" s="540">
        <v>0</v>
      </c>
      <c r="AL114" s="540">
        <v>0</v>
      </c>
    </row>
    <row r="115" spans="1:38">
      <c r="A115" s="539" t="s">
        <v>664</v>
      </c>
      <c r="B115" s="539" t="s">
        <v>661</v>
      </c>
      <c r="C115" s="538" t="s">
        <v>747</v>
      </c>
      <c r="D115" s="540">
        <v>8071</v>
      </c>
      <c r="E115" s="540">
        <v>0</v>
      </c>
      <c r="F115" s="540">
        <v>0</v>
      </c>
      <c r="G115" s="540">
        <v>0</v>
      </c>
      <c r="H115" s="540">
        <v>0</v>
      </c>
      <c r="I115" s="540">
        <v>3906</v>
      </c>
      <c r="J115" s="540">
        <v>0</v>
      </c>
      <c r="K115" s="540">
        <v>0</v>
      </c>
      <c r="L115" s="540">
        <v>0</v>
      </c>
      <c r="M115" s="540">
        <v>900</v>
      </c>
      <c r="N115" s="540">
        <v>1030</v>
      </c>
      <c r="O115" s="540">
        <v>245</v>
      </c>
      <c r="P115" s="540">
        <v>0</v>
      </c>
      <c r="Q115" s="540">
        <v>0</v>
      </c>
      <c r="R115" s="540">
        <v>0</v>
      </c>
      <c r="S115" s="540">
        <v>0</v>
      </c>
      <c r="T115" s="540">
        <v>0</v>
      </c>
      <c r="U115" s="540">
        <v>0</v>
      </c>
      <c r="V115" s="540">
        <v>0</v>
      </c>
      <c r="W115" s="540">
        <v>799</v>
      </c>
      <c r="X115" s="540">
        <v>0</v>
      </c>
      <c r="Y115" s="540">
        <v>0</v>
      </c>
      <c r="Z115" s="540">
        <v>0</v>
      </c>
      <c r="AA115" s="540">
        <v>0</v>
      </c>
      <c r="AB115" s="540">
        <v>0</v>
      </c>
      <c r="AC115" s="540">
        <v>122</v>
      </c>
      <c r="AD115" s="540">
        <v>54</v>
      </c>
      <c r="AE115" s="540">
        <v>1015</v>
      </c>
      <c r="AF115" s="540">
        <v>8071</v>
      </c>
      <c r="AG115" s="540">
        <v>0</v>
      </c>
      <c r="AH115" s="540">
        <v>0</v>
      </c>
      <c r="AI115" s="540">
        <v>0</v>
      </c>
      <c r="AJ115" s="540">
        <v>0</v>
      </c>
      <c r="AK115" s="540">
        <v>0</v>
      </c>
      <c r="AL115" s="540">
        <v>612</v>
      </c>
    </row>
    <row r="116" spans="1:38">
      <c r="A116" s="539" t="s">
        <v>664</v>
      </c>
      <c r="B116" s="539" t="s">
        <v>668</v>
      </c>
      <c r="C116" s="538" t="s">
        <v>748</v>
      </c>
      <c r="D116" s="540">
        <v>4144</v>
      </c>
      <c r="E116" s="540">
        <v>194</v>
      </c>
      <c r="F116" s="540">
        <v>166</v>
      </c>
      <c r="G116" s="540">
        <v>608</v>
      </c>
      <c r="H116" s="540">
        <v>0</v>
      </c>
      <c r="I116" s="540">
        <v>360</v>
      </c>
      <c r="J116" s="540">
        <v>0</v>
      </c>
      <c r="K116" s="540">
        <v>0</v>
      </c>
      <c r="L116" s="540">
        <v>0</v>
      </c>
      <c r="M116" s="540">
        <v>497</v>
      </c>
      <c r="N116" s="540">
        <v>25</v>
      </c>
      <c r="O116" s="540">
        <v>4</v>
      </c>
      <c r="P116" s="540">
        <v>0</v>
      </c>
      <c r="Q116" s="540">
        <v>0</v>
      </c>
      <c r="R116" s="540">
        <v>0</v>
      </c>
      <c r="S116" s="540">
        <v>0</v>
      </c>
      <c r="T116" s="540">
        <v>0</v>
      </c>
      <c r="U116" s="540">
        <v>0</v>
      </c>
      <c r="V116" s="540">
        <v>112</v>
      </c>
      <c r="W116" s="540">
        <v>58</v>
      </c>
      <c r="X116" s="540">
        <v>1271</v>
      </c>
      <c r="Y116" s="540">
        <v>0</v>
      </c>
      <c r="Z116" s="540">
        <v>0</v>
      </c>
      <c r="AA116" s="540">
        <v>0</v>
      </c>
      <c r="AB116" s="540">
        <v>601</v>
      </c>
      <c r="AC116" s="540">
        <v>11</v>
      </c>
      <c r="AD116" s="540">
        <v>4</v>
      </c>
      <c r="AE116" s="540">
        <v>234</v>
      </c>
      <c r="AF116" s="540">
        <v>1498</v>
      </c>
      <c r="AG116" s="540">
        <v>0</v>
      </c>
      <c r="AH116" s="540">
        <v>0</v>
      </c>
      <c r="AI116" s="540">
        <v>0</v>
      </c>
      <c r="AJ116" s="540">
        <v>0</v>
      </c>
      <c r="AK116" s="540">
        <v>0</v>
      </c>
      <c r="AL116" s="540">
        <v>202</v>
      </c>
    </row>
    <row r="117" spans="1:38" hidden="1">
      <c r="A117" s="539" t="s">
        <v>660</v>
      </c>
      <c r="B117" s="539" t="s">
        <v>661</v>
      </c>
      <c r="C117" s="538" t="s">
        <v>749</v>
      </c>
      <c r="D117" s="540">
        <v>38200</v>
      </c>
      <c r="E117" s="540">
        <v>6926</v>
      </c>
      <c r="F117" s="540">
        <v>0</v>
      </c>
      <c r="G117" s="540">
        <v>0</v>
      </c>
      <c r="H117" s="540">
        <v>0</v>
      </c>
      <c r="I117" s="540">
        <v>9778</v>
      </c>
      <c r="J117" s="540">
        <v>0</v>
      </c>
      <c r="K117" s="540">
        <v>0</v>
      </c>
      <c r="L117" s="540">
        <v>0</v>
      </c>
      <c r="M117" s="540">
        <v>3838</v>
      </c>
      <c r="N117" s="540">
        <v>5674</v>
      </c>
      <c r="O117" s="540">
        <v>4756</v>
      </c>
      <c r="P117" s="540">
        <v>0</v>
      </c>
      <c r="Q117" s="540">
        <v>0</v>
      </c>
      <c r="R117" s="540">
        <v>0</v>
      </c>
      <c r="S117" s="540">
        <v>0</v>
      </c>
      <c r="T117" s="540">
        <v>65</v>
      </c>
      <c r="U117" s="540">
        <v>0</v>
      </c>
      <c r="V117" s="540">
        <v>7164</v>
      </c>
      <c r="W117" s="540">
        <v>0</v>
      </c>
      <c r="X117" s="540">
        <v>0</v>
      </c>
      <c r="Y117" s="540">
        <v>0</v>
      </c>
      <c r="Z117" s="540">
        <v>0</v>
      </c>
      <c r="AA117" s="540">
        <v>0</v>
      </c>
      <c r="AB117" s="540">
        <v>0</v>
      </c>
      <c r="AC117" s="540">
        <v>0</v>
      </c>
      <c r="AD117" s="540">
        <v>0</v>
      </c>
      <c r="AE117" s="540">
        <v>0</v>
      </c>
      <c r="AF117" s="540">
        <v>38459</v>
      </c>
      <c r="AG117" s="540">
        <v>0</v>
      </c>
      <c r="AH117" s="540">
        <v>324</v>
      </c>
      <c r="AI117" s="540">
        <v>0</v>
      </c>
      <c r="AJ117" s="540">
        <v>0</v>
      </c>
      <c r="AK117" s="540">
        <v>0</v>
      </c>
      <c r="AL117" s="540">
        <v>0</v>
      </c>
    </row>
    <row r="118" spans="1:38" hidden="1">
      <c r="A118" s="539" t="s">
        <v>660</v>
      </c>
      <c r="B118" s="539" t="s">
        <v>668</v>
      </c>
      <c r="C118" s="538" t="s">
        <v>750</v>
      </c>
      <c r="D118" s="540">
        <v>15750</v>
      </c>
      <c r="E118" s="540">
        <v>0</v>
      </c>
      <c r="F118" s="540">
        <v>0</v>
      </c>
      <c r="G118" s="540">
        <v>1008</v>
      </c>
      <c r="H118" s="540">
        <v>0</v>
      </c>
      <c r="I118" s="540">
        <v>97</v>
      </c>
      <c r="J118" s="540">
        <v>0</v>
      </c>
      <c r="K118" s="540">
        <v>0</v>
      </c>
      <c r="L118" s="540">
        <v>0</v>
      </c>
      <c r="M118" s="540">
        <v>0</v>
      </c>
      <c r="N118" s="540">
        <v>0</v>
      </c>
      <c r="O118" s="540">
        <v>8611</v>
      </c>
      <c r="P118" s="540">
        <v>0</v>
      </c>
      <c r="Q118" s="540">
        <v>0</v>
      </c>
      <c r="R118" s="540">
        <v>0</v>
      </c>
      <c r="S118" s="540">
        <v>0</v>
      </c>
      <c r="T118" s="540">
        <v>274</v>
      </c>
      <c r="U118" s="540">
        <v>0</v>
      </c>
      <c r="V118" s="540">
        <v>4108</v>
      </c>
      <c r="W118" s="540">
        <v>0</v>
      </c>
      <c r="X118" s="540">
        <v>0</v>
      </c>
      <c r="Y118" s="540">
        <v>0</v>
      </c>
      <c r="Z118" s="540">
        <v>281</v>
      </c>
      <c r="AA118" s="540">
        <v>0</v>
      </c>
      <c r="AB118" s="540">
        <v>0</v>
      </c>
      <c r="AC118" s="540">
        <v>0</v>
      </c>
      <c r="AD118" s="540">
        <v>1372</v>
      </c>
      <c r="AE118" s="540">
        <v>0</v>
      </c>
      <c r="AF118" s="540">
        <v>14188</v>
      </c>
      <c r="AG118" s="540">
        <v>0</v>
      </c>
      <c r="AH118" s="540">
        <v>0</v>
      </c>
      <c r="AI118" s="540">
        <v>0</v>
      </c>
      <c r="AJ118" s="540">
        <v>0</v>
      </c>
      <c r="AK118" s="540">
        <v>0</v>
      </c>
      <c r="AL118" s="540">
        <v>0</v>
      </c>
    </row>
    <row r="119" spans="1:38">
      <c r="A119" s="539" t="s">
        <v>664</v>
      </c>
      <c r="B119" s="539" t="s">
        <v>661</v>
      </c>
      <c r="C119" s="538" t="s">
        <v>751</v>
      </c>
      <c r="D119" s="540">
        <v>29077</v>
      </c>
      <c r="E119" s="540">
        <v>0</v>
      </c>
      <c r="F119" s="540">
        <v>0</v>
      </c>
      <c r="G119" s="540">
        <v>0</v>
      </c>
      <c r="H119" s="540">
        <v>0</v>
      </c>
      <c r="I119" s="540">
        <v>14432</v>
      </c>
      <c r="J119" s="540">
        <v>0</v>
      </c>
      <c r="K119" s="540">
        <v>0</v>
      </c>
      <c r="L119" s="540">
        <v>0</v>
      </c>
      <c r="M119" s="540">
        <v>0</v>
      </c>
      <c r="N119" s="540">
        <v>2725</v>
      </c>
      <c r="O119" s="540">
        <v>882</v>
      </c>
      <c r="P119" s="540">
        <v>0</v>
      </c>
      <c r="Q119" s="540">
        <v>0</v>
      </c>
      <c r="R119" s="540">
        <v>0</v>
      </c>
      <c r="S119" s="540">
        <v>0</v>
      </c>
      <c r="T119" s="540">
        <v>0</v>
      </c>
      <c r="U119" s="540">
        <v>0</v>
      </c>
      <c r="V119" s="540">
        <v>0</v>
      </c>
      <c r="W119" s="540">
        <v>3701</v>
      </c>
      <c r="X119" s="540">
        <v>0</v>
      </c>
      <c r="Y119" s="540">
        <v>0</v>
      </c>
      <c r="Z119" s="540">
        <v>0</v>
      </c>
      <c r="AA119" s="540">
        <v>0</v>
      </c>
      <c r="AB119" s="540">
        <v>0</v>
      </c>
      <c r="AC119" s="540">
        <v>2221</v>
      </c>
      <c r="AD119" s="540">
        <v>817</v>
      </c>
      <c r="AE119" s="540">
        <v>4298</v>
      </c>
      <c r="AF119" s="540">
        <v>29077</v>
      </c>
      <c r="AG119" s="540">
        <v>0</v>
      </c>
      <c r="AH119" s="540">
        <v>0</v>
      </c>
      <c r="AI119" s="540">
        <v>0</v>
      </c>
      <c r="AJ119" s="540">
        <v>0</v>
      </c>
      <c r="AK119" s="540">
        <v>0</v>
      </c>
      <c r="AL119" s="540">
        <v>2480</v>
      </c>
    </row>
    <row r="120" spans="1:38">
      <c r="A120" s="539" t="s">
        <v>664</v>
      </c>
      <c r="B120" s="539" t="s">
        <v>668</v>
      </c>
      <c r="C120" s="538" t="s">
        <v>752</v>
      </c>
      <c r="D120" s="540">
        <v>6934</v>
      </c>
      <c r="E120" s="540">
        <v>619</v>
      </c>
      <c r="F120" s="540">
        <v>436</v>
      </c>
      <c r="G120" s="540">
        <v>846</v>
      </c>
      <c r="H120" s="540">
        <v>0</v>
      </c>
      <c r="I120" s="540">
        <v>792</v>
      </c>
      <c r="J120" s="540">
        <v>0</v>
      </c>
      <c r="K120" s="540">
        <v>0</v>
      </c>
      <c r="L120" s="540">
        <v>0</v>
      </c>
      <c r="M120" s="540">
        <v>0</v>
      </c>
      <c r="N120" s="540">
        <v>320</v>
      </c>
      <c r="O120" s="540">
        <v>47</v>
      </c>
      <c r="P120" s="540">
        <v>0</v>
      </c>
      <c r="Q120" s="540">
        <v>0</v>
      </c>
      <c r="R120" s="540">
        <v>0</v>
      </c>
      <c r="S120" s="540">
        <v>0</v>
      </c>
      <c r="T120" s="540">
        <v>0</v>
      </c>
      <c r="U120" s="540">
        <v>0</v>
      </c>
      <c r="V120" s="540">
        <v>284</v>
      </c>
      <c r="W120" s="540">
        <v>198</v>
      </c>
      <c r="X120" s="540">
        <v>1282</v>
      </c>
      <c r="Y120" s="540">
        <v>0</v>
      </c>
      <c r="Z120" s="540">
        <v>468</v>
      </c>
      <c r="AA120" s="540">
        <v>0</v>
      </c>
      <c r="AB120" s="540">
        <v>943</v>
      </c>
      <c r="AC120" s="540">
        <v>130</v>
      </c>
      <c r="AD120" s="540">
        <v>0</v>
      </c>
      <c r="AE120" s="540">
        <v>569</v>
      </c>
      <c r="AF120" s="540">
        <v>2959</v>
      </c>
      <c r="AG120" s="540">
        <v>0</v>
      </c>
      <c r="AH120" s="540">
        <v>0</v>
      </c>
      <c r="AI120" s="540">
        <v>0</v>
      </c>
      <c r="AJ120" s="540">
        <v>0</v>
      </c>
      <c r="AK120" s="540">
        <v>0</v>
      </c>
      <c r="AL120" s="540">
        <v>281</v>
      </c>
    </row>
    <row r="121" spans="1:38" hidden="1">
      <c r="A121" s="539" t="s">
        <v>660</v>
      </c>
      <c r="B121" s="539" t="s">
        <v>661</v>
      </c>
      <c r="C121" s="538" t="s">
        <v>753</v>
      </c>
      <c r="D121" s="540">
        <v>893</v>
      </c>
      <c r="E121" s="540">
        <v>0</v>
      </c>
      <c r="F121" s="540">
        <v>0</v>
      </c>
      <c r="G121" s="540">
        <v>0</v>
      </c>
      <c r="H121" s="540">
        <v>0</v>
      </c>
      <c r="I121" s="540">
        <v>0</v>
      </c>
      <c r="J121" s="540">
        <v>0</v>
      </c>
      <c r="K121" s="540">
        <v>0</v>
      </c>
      <c r="L121" s="540">
        <v>0</v>
      </c>
      <c r="M121" s="540">
        <v>0</v>
      </c>
      <c r="N121" s="540">
        <v>0</v>
      </c>
      <c r="O121" s="540">
        <v>893</v>
      </c>
      <c r="P121" s="540">
        <v>0</v>
      </c>
      <c r="Q121" s="540">
        <v>0</v>
      </c>
      <c r="R121" s="540">
        <v>0</v>
      </c>
      <c r="S121" s="540">
        <v>0</v>
      </c>
      <c r="T121" s="540">
        <v>0</v>
      </c>
      <c r="U121" s="540">
        <v>0</v>
      </c>
      <c r="V121" s="540">
        <v>0</v>
      </c>
      <c r="W121" s="540">
        <v>0</v>
      </c>
      <c r="X121" s="540">
        <v>0</v>
      </c>
      <c r="Y121" s="540">
        <v>0</v>
      </c>
      <c r="Z121" s="540">
        <v>0</v>
      </c>
      <c r="AA121" s="540">
        <v>0</v>
      </c>
      <c r="AB121" s="540">
        <v>0</v>
      </c>
      <c r="AC121" s="540">
        <v>0</v>
      </c>
      <c r="AD121" s="540">
        <v>0</v>
      </c>
      <c r="AE121" s="540">
        <v>0</v>
      </c>
      <c r="AF121" s="540">
        <v>893</v>
      </c>
      <c r="AG121" s="540">
        <v>0</v>
      </c>
      <c r="AH121" s="540">
        <v>0</v>
      </c>
      <c r="AI121" s="540">
        <v>0</v>
      </c>
      <c r="AJ121" s="540">
        <v>0</v>
      </c>
      <c r="AK121" s="540">
        <v>0</v>
      </c>
      <c r="AL121" s="540">
        <v>0</v>
      </c>
    </row>
    <row r="122" spans="1:38" hidden="1">
      <c r="A122" s="539" t="s">
        <v>660</v>
      </c>
      <c r="B122" s="539" t="s">
        <v>668</v>
      </c>
      <c r="C122" s="538" t="s">
        <v>754</v>
      </c>
      <c r="D122" s="540">
        <v>1202</v>
      </c>
      <c r="E122" s="540">
        <v>0</v>
      </c>
      <c r="F122" s="540">
        <v>0</v>
      </c>
      <c r="G122" s="540">
        <v>0</v>
      </c>
      <c r="H122" s="540">
        <v>0</v>
      </c>
      <c r="I122" s="540">
        <v>0</v>
      </c>
      <c r="J122" s="540">
        <v>0</v>
      </c>
      <c r="K122" s="540">
        <v>0</v>
      </c>
      <c r="L122" s="540">
        <v>0</v>
      </c>
      <c r="M122" s="540">
        <v>0</v>
      </c>
      <c r="N122" s="540">
        <v>0</v>
      </c>
      <c r="O122" s="540">
        <v>907</v>
      </c>
      <c r="P122" s="540">
        <v>0</v>
      </c>
      <c r="Q122" s="540">
        <v>0</v>
      </c>
      <c r="R122" s="540">
        <v>0</v>
      </c>
      <c r="S122" s="540">
        <v>0</v>
      </c>
      <c r="T122" s="540">
        <v>0</v>
      </c>
      <c r="U122" s="540">
        <v>0</v>
      </c>
      <c r="V122" s="540">
        <v>0</v>
      </c>
      <c r="W122" s="540">
        <v>0</v>
      </c>
      <c r="X122" s="540">
        <v>0</v>
      </c>
      <c r="Y122" s="540">
        <v>0</v>
      </c>
      <c r="Z122" s="540">
        <v>0</v>
      </c>
      <c r="AA122" s="540">
        <v>0</v>
      </c>
      <c r="AB122" s="540">
        <v>0</v>
      </c>
      <c r="AC122" s="540">
        <v>0</v>
      </c>
      <c r="AD122" s="540">
        <v>295</v>
      </c>
      <c r="AE122" s="540">
        <v>0</v>
      </c>
      <c r="AF122" s="540">
        <v>1202</v>
      </c>
      <c r="AG122" s="540">
        <v>0</v>
      </c>
      <c r="AH122" s="540">
        <v>0</v>
      </c>
      <c r="AI122" s="540">
        <v>0</v>
      </c>
      <c r="AJ122" s="540">
        <v>0</v>
      </c>
      <c r="AK122" s="540">
        <v>0</v>
      </c>
      <c r="AL122" s="540">
        <v>0</v>
      </c>
    </row>
    <row r="123" spans="1:38">
      <c r="A123" s="539" t="s">
        <v>664</v>
      </c>
      <c r="B123" s="539" t="s">
        <v>661</v>
      </c>
      <c r="C123" s="538" t="s">
        <v>755</v>
      </c>
      <c r="D123" s="540">
        <v>0</v>
      </c>
      <c r="E123" s="540">
        <v>0</v>
      </c>
      <c r="F123" s="540">
        <v>0</v>
      </c>
      <c r="G123" s="540">
        <v>0</v>
      </c>
      <c r="H123" s="540">
        <v>0</v>
      </c>
      <c r="I123" s="540">
        <v>0</v>
      </c>
      <c r="J123" s="540">
        <v>0</v>
      </c>
      <c r="K123" s="540">
        <v>0</v>
      </c>
      <c r="L123" s="540">
        <v>0</v>
      </c>
      <c r="M123" s="540">
        <v>0</v>
      </c>
      <c r="N123" s="540">
        <v>0</v>
      </c>
      <c r="O123" s="540">
        <v>0</v>
      </c>
      <c r="P123" s="540">
        <v>0</v>
      </c>
      <c r="Q123" s="540">
        <v>0</v>
      </c>
      <c r="R123" s="540">
        <v>0</v>
      </c>
      <c r="S123" s="540">
        <v>0</v>
      </c>
      <c r="T123" s="540">
        <v>0</v>
      </c>
      <c r="U123" s="540">
        <v>0</v>
      </c>
      <c r="V123" s="540">
        <v>0</v>
      </c>
      <c r="W123" s="540">
        <v>0</v>
      </c>
      <c r="X123" s="540">
        <v>0</v>
      </c>
      <c r="Y123" s="540">
        <v>0</v>
      </c>
      <c r="Z123" s="540">
        <v>0</v>
      </c>
      <c r="AA123" s="540">
        <v>0</v>
      </c>
      <c r="AB123" s="540">
        <v>0</v>
      </c>
      <c r="AC123" s="540">
        <v>0</v>
      </c>
      <c r="AD123" s="540">
        <v>0</v>
      </c>
      <c r="AE123" s="540">
        <v>0</v>
      </c>
      <c r="AF123" s="540">
        <v>0</v>
      </c>
      <c r="AG123" s="540">
        <v>0</v>
      </c>
      <c r="AH123" s="540">
        <v>0</v>
      </c>
      <c r="AI123" s="540">
        <v>0</v>
      </c>
      <c r="AJ123" s="540">
        <v>0</v>
      </c>
      <c r="AK123" s="540">
        <v>0</v>
      </c>
      <c r="AL123" s="540">
        <v>0</v>
      </c>
    </row>
    <row r="124" spans="1:38">
      <c r="A124" s="539" t="s">
        <v>664</v>
      </c>
      <c r="B124" s="539" t="s">
        <v>668</v>
      </c>
      <c r="C124" s="538" t="s">
        <v>756</v>
      </c>
      <c r="D124" s="540">
        <v>58</v>
      </c>
      <c r="E124" s="540">
        <v>0</v>
      </c>
      <c r="F124" s="540">
        <v>0</v>
      </c>
      <c r="G124" s="540">
        <v>0</v>
      </c>
      <c r="H124" s="540">
        <v>0</v>
      </c>
      <c r="I124" s="540">
        <v>0</v>
      </c>
      <c r="J124" s="540">
        <v>0</v>
      </c>
      <c r="K124" s="540">
        <v>0</v>
      </c>
      <c r="L124" s="540">
        <v>0</v>
      </c>
      <c r="M124" s="540">
        <v>0</v>
      </c>
      <c r="N124" s="540">
        <v>0</v>
      </c>
      <c r="O124" s="540">
        <v>0</v>
      </c>
      <c r="P124" s="540">
        <v>0</v>
      </c>
      <c r="Q124" s="540">
        <v>0</v>
      </c>
      <c r="R124" s="540">
        <v>0</v>
      </c>
      <c r="S124" s="540">
        <v>0</v>
      </c>
      <c r="T124" s="540">
        <v>0</v>
      </c>
      <c r="U124" s="540">
        <v>0</v>
      </c>
      <c r="V124" s="540">
        <v>0</v>
      </c>
      <c r="W124" s="540">
        <v>0</v>
      </c>
      <c r="X124" s="540">
        <v>0</v>
      </c>
      <c r="Y124" s="540">
        <v>0</v>
      </c>
      <c r="Z124" s="540">
        <v>0</v>
      </c>
      <c r="AA124" s="540">
        <v>0</v>
      </c>
      <c r="AB124" s="540">
        <v>58</v>
      </c>
      <c r="AC124" s="540">
        <v>0</v>
      </c>
      <c r="AD124" s="540">
        <v>0</v>
      </c>
      <c r="AE124" s="540">
        <v>0</v>
      </c>
      <c r="AF124" s="540">
        <v>0</v>
      </c>
      <c r="AG124" s="540">
        <v>0</v>
      </c>
      <c r="AH124" s="540">
        <v>0</v>
      </c>
      <c r="AI124" s="540">
        <v>0</v>
      </c>
      <c r="AJ124" s="540">
        <v>0</v>
      </c>
      <c r="AK124" s="540">
        <v>0</v>
      </c>
      <c r="AL124" s="540">
        <v>0</v>
      </c>
    </row>
    <row r="125" spans="1:38" hidden="1">
      <c r="A125" s="539" t="s">
        <v>660</v>
      </c>
      <c r="B125" s="539" t="s">
        <v>661</v>
      </c>
      <c r="C125" s="538" t="s">
        <v>757</v>
      </c>
      <c r="D125" s="540">
        <v>0</v>
      </c>
      <c r="E125" s="540">
        <v>0</v>
      </c>
      <c r="F125" s="540">
        <v>0</v>
      </c>
      <c r="G125" s="540">
        <v>0</v>
      </c>
      <c r="H125" s="540">
        <v>0</v>
      </c>
      <c r="I125" s="540">
        <v>0</v>
      </c>
      <c r="J125" s="540">
        <v>0</v>
      </c>
      <c r="K125" s="540">
        <v>0</v>
      </c>
      <c r="L125" s="540">
        <v>0</v>
      </c>
      <c r="M125" s="540">
        <v>0</v>
      </c>
      <c r="N125" s="540">
        <v>0</v>
      </c>
      <c r="O125" s="540">
        <v>0</v>
      </c>
      <c r="P125" s="540">
        <v>0</v>
      </c>
      <c r="Q125" s="540">
        <v>0</v>
      </c>
      <c r="R125" s="540">
        <v>0</v>
      </c>
      <c r="S125" s="540">
        <v>0</v>
      </c>
      <c r="T125" s="540">
        <v>0</v>
      </c>
      <c r="U125" s="540">
        <v>0</v>
      </c>
      <c r="V125" s="540">
        <v>0</v>
      </c>
      <c r="W125" s="540">
        <v>0</v>
      </c>
      <c r="X125" s="540">
        <v>0</v>
      </c>
      <c r="Y125" s="540">
        <v>0</v>
      </c>
      <c r="Z125" s="540">
        <v>0</v>
      </c>
      <c r="AA125" s="540">
        <v>0</v>
      </c>
      <c r="AB125" s="540">
        <v>0</v>
      </c>
      <c r="AC125" s="540">
        <v>0</v>
      </c>
      <c r="AD125" s="540">
        <v>0</v>
      </c>
      <c r="AE125" s="540">
        <v>0</v>
      </c>
      <c r="AF125" s="540">
        <v>0</v>
      </c>
      <c r="AG125" s="540">
        <v>0</v>
      </c>
      <c r="AH125" s="540">
        <v>0</v>
      </c>
      <c r="AI125" s="540">
        <v>0</v>
      </c>
      <c r="AJ125" s="540">
        <v>0</v>
      </c>
      <c r="AK125" s="540">
        <v>0</v>
      </c>
      <c r="AL125" s="540">
        <v>0</v>
      </c>
    </row>
    <row r="126" spans="1:38" hidden="1">
      <c r="A126" s="539" t="s">
        <v>660</v>
      </c>
      <c r="B126" s="539" t="s">
        <v>668</v>
      </c>
      <c r="C126" s="538" t="s">
        <v>758</v>
      </c>
      <c r="D126" s="540">
        <v>0</v>
      </c>
      <c r="E126" s="540">
        <v>0</v>
      </c>
      <c r="F126" s="540">
        <v>0</v>
      </c>
      <c r="G126" s="540">
        <v>0</v>
      </c>
      <c r="H126" s="540">
        <v>0</v>
      </c>
      <c r="I126" s="540">
        <v>0</v>
      </c>
      <c r="J126" s="540">
        <v>0</v>
      </c>
      <c r="K126" s="540">
        <v>0</v>
      </c>
      <c r="L126" s="540">
        <v>0</v>
      </c>
      <c r="M126" s="540">
        <v>0</v>
      </c>
      <c r="N126" s="540">
        <v>0</v>
      </c>
      <c r="O126" s="540">
        <v>0</v>
      </c>
      <c r="P126" s="540">
        <v>0</v>
      </c>
      <c r="Q126" s="540">
        <v>0</v>
      </c>
      <c r="R126" s="540">
        <v>0</v>
      </c>
      <c r="S126" s="540">
        <v>0</v>
      </c>
      <c r="T126" s="540">
        <v>0</v>
      </c>
      <c r="U126" s="540">
        <v>0</v>
      </c>
      <c r="V126" s="540">
        <v>0</v>
      </c>
      <c r="W126" s="540">
        <v>0</v>
      </c>
      <c r="X126" s="540">
        <v>0</v>
      </c>
      <c r="Y126" s="540">
        <v>0</v>
      </c>
      <c r="Z126" s="540">
        <v>0</v>
      </c>
      <c r="AA126" s="540">
        <v>0</v>
      </c>
      <c r="AB126" s="540">
        <v>0</v>
      </c>
      <c r="AC126" s="540">
        <v>0</v>
      </c>
      <c r="AD126" s="540">
        <v>0</v>
      </c>
      <c r="AE126" s="540">
        <v>0</v>
      </c>
      <c r="AF126" s="540">
        <v>0</v>
      </c>
      <c r="AG126" s="540">
        <v>0</v>
      </c>
      <c r="AH126" s="540">
        <v>0</v>
      </c>
      <c r="AI126" s="540">
        <v>0</v>
      </c>
      <c r="AJ126" s="540">
        <v>0</v>
      </c>
      <c r="AK126" s="540">
        <v>0</v>
      </c>
      <c r="AL126" s="540">
        <v>0</v>
      </c>
    </row>
    <row r="127" spans="1:38">
      <c r="A127" s="539" t="s">
        <v>664</v>
      </c>
      <c r="B127" s="539" t="s">
        <v>661</v>
      </c>
      <c r="C127" s="538" t="s">
        <v>759</v>
      </c>
      <c r="D127" s="540">
        <v>0</v>
      </c>
      <c r="E127" s="540">
        <v>0</v>
      </c>
      <c r="F127" s="540">
        <v>0</v>
      </c>
      <c r="G127" s="540">
        <v>0</v>
      </c>
      <c r="H127" s="540">
        <v>0</v>
      </c>
      <c r="I127" s="540">
        <v>0</v>
      </c>
      <c r="J127" s="540">
        <v>0</v>
      </c>
      <c r="K127" s="540">
        <v>0</v>
      </c>
      <c r="L127" s="540">
        <v>0</v>
      </c>
      <c r="M127" s="540">
        <v>0</v>
      </c>
      <c r="N127" s="540">
        <v>0</v>
      </c>
      <c r="O127" s="540">
        <v>0</v>
      </c>
      <c r="P127" s="540">
        <v>0</v>
      </c>
      <c r="Q127" s="540">
        <v>0</v>
      </c>
      <c r="R127" s="540">
        <v>0</v>
      </c>
      <c r="S127" s="540">
        <v>0</v>
      </c>
      <c r="T127" s="540">
        <v>0</v>
      </c>
      <c r="U127" s="540">
        <v>0</v>
      </c>
      <c r="V127" s="540">
        <v>0</v>
      </c>
      <c r="W127" s="540">
        <v>0</v>
      </c>
      <c r="X127" s="540">
        <v>0</v>
      </c>
      <c r="Y127" s="540">
        <v>0</v>
      </c>
      <c r="Z127" s="540">
        <v>0</v>
      </c>
      <c r="AA127" s="540">
        <v>0</v>
      </c>
      <c r="AB127" s="540">
        <v>0</v>
      </c>
      <c r="AC127" s="540">
        <v>0</v>
      </c>
      <c r="AD127" s="540">
        <v>0</v>
      </c>
      <c r="AE127" s="540">
        <v>0</v>
      </c>
      <c r="AF127" s="540">
        <v>0</v>
      </c>
      <c r="AG127" s="540">
        <v>0</v>
      </c>
      <c r="AH127" s="540">
        <v>0</v>
      </c>
      <c r="AI127" s="540">
        <v>0</v>
      </c>
      <c r="AJ127" s="540">
        <v>0</v>
      </c>
      <c r="AK127" s="540">
        <v>0</v>
      </c>
      <c r="AL127" s="540">
        <v>0</v>
      </c>
    </row>
    <row r="128" spans="1:38">
      <c r="A128" s="539" t="s">
        <v>664</v>
      </c>
      <c r="B128" s="539" t="s">
        <v>668</v>
      </c>
      <c r="C128" s="538" t="s">
        <v>760</v>
      </c>
      <c r="D128" s="540">
        <v>54</v>
      </c>
      <c r="E128" s="540">
        <v>0</v>
      </c>
      <c r="F128" s="540">
        <v>0</v>
      </c>
      <c r="G128" s="540">
        <v>0</v>
      </c>
      <c r="H128" s="540">
        <v>0</v>
      </c>
      <c r="I128" s="540">
        <v>0</v>
      </c>
      <c r="J128" s="540">
        <v>0</v>
      </c>
      <c r="K128" s="540">
        <v>0</v>
      </c>
      <c r="L128" s="540">
        <v>0</v>
      </c>
      <c r="M128" s="540">
        <v>0</v>
      </c>
      <c r="N128" s="540">
        <v>0</v>
      </c>
      <c r="O128" s="540">
        <v>54</v>
      </c>
      <c r="P128" s="540">
        <v>0</v>
      </c>
      <c r="Q128" s="540">
        <v>0</v>
      </c>
      <c r="R128" s="540">
        <v>0</v>
      </c>
      <c r="S128" s="540">
        <v>0</v>
      </c>
      <c r="T128" s="540">
        <v>0</v>
      </c>
      <c r="U128" s="540">
        <v>0</v>
      </c>
      <c r="V128" s="540">
        <v>0</v>
      </c>
      <c r="W128" s="540">
        <v>0</v>
      </c>
      <c r="X128" s="540">
        <v>0</v>
      </c>
      <c r="Y128" s="540">
        <v>0</v>
      </c>
      <c r="Z128" s="540">
        <v>0</v>
      </c>
      <c r="AA128" s="540">
        <v>0</v>
      </c>
      <c r="AB128" s="540">
        <v>0</v>
      </c>
      <c r="AC128" s="540">
        <v>0</v>
      </c>
      <c r="AD128" s="540">
        <v>0</v>
      </c>
      <c r="AE128" s="540">
        <v>0</v>
      </c>
      <c r="AF128" s="540">
        <v>54</v>
      </c>
      <c r="AG128" s="540">
        <v>0</v>
      </c>
      <c r="AH128" s="540">
        <v>0</v>
      </c>
      <c r="AI128" s="540">
        <v>0</v>
      </c>
      <c r="AJ128" s="540">
        <v>0</v>
      </c>
      <c r="AK128" s="540">
        <v>0</v>
      </c>
      <c r="AL128" s="540">
        <v>0</v>
      </c>
    </row>
    <row r="129" spans="1:38" hidden="1">
      <c r="A129" s="539" t="s">
        <v>660</v>
      </c>
      <c r="B129" s="539" t="s">
        <v>661</v>
      </c>
      <c r="C129" s="538" t="s">
        <v>761</v>
      </c>
      <c r="D129" s="540">
        <v>0</v>
      </c>
      <c r="E129" s="540">
        <v>0</v>
      </c>
      <c r="F129" s="540">
        <v>0</v>
      </c>
      <c r="G129" s="540">
        <v>0</v>
      </c>
      <c r="H129" s="540">
        <v>0</v>
      </c>
      <c r="I129" s="540">
        <v>0</v>
      </c>
      <c r="J129" s="540">
        <v>0</v>
      </c>
      <c r="K129" s="540">
        <v>0</v>
      </c>
      <c r="L129" s="540">
        <v>0</v>
      </c>
      <c r="M129" s="540">
        <v>0</v>
      </c>
      <c r="N129" s="540">
        <v>0</v>
      </c>
      <c r="O129" s="540">
        <v>0</v>
      </c>
      <c r="P129" s="540">
        <v>0</v>
      </c>
      <c r="Q129" s="540">
        <v>0</v>
      </c>
      <c r="R129" s="540">
        <v>0</v>
      </c>
      <c r="S129" s="540">
        <v>0</v>
      </c>
      <c r="T129" s="540">
        <v>0</v>
      </c>
      <c r="U129" s="540">
        <v>0</v>
      </c>
      <c r="V129" s="540">
        <v>0</v>
      </c>
      <c r="W129" s="540">
        <v>0</v>
      </c>
      <c r="X129" s="540">
        <v>0</v>
      </c>
      <c r="Y129" s="540">
        <v>0</v>
      </c>
      <c r="Z129" s="540">
        <v>0</v>
      </c>
      <c r="AA129" s="540">
        <v>0</v>
      </c>
      <c r="AB129" s="540">
        <v>0</v>
      </c>
      <c r="AC129" s="540">
        <v>0</v>
      </c>
      <c r="AD129" s="540">
        <v>0</v>
      </c>
      <c r="AE129" s="540">
        <v>0</v>
      </c>
      <c r="AF129" s="540">
        <v>0</v>
      </c>
      <c r="AG129" s="540">
        <v>0</v>
      </c>
      <c r="AH129" s="540">
        <v>0</v>
      </c>
      <c r="AI129" s="540">
        <v>0</v>
      </c>
      <c r="AJ129" s="540">
        <v>0</v>
      </c>
      <c r="AK129" s="540">
        <v>0</v>
      </c>
      <c r="AL129" s="540">
        <v>0</v>
      </c>
    </row>
    <row r="130" spans="1:38" hidden="1">
      <c r="A130" s="539" t="s">
        <v>660</v>
      </c>
      <c r="B130" s="539" t="s">
        <v>668</v>
      </c>
      <c r="C130" s="538" t="s">
        <v>762</v>
      </c>
      <c r="D130" s="540">
        <v>0</v>
      </c>
      <c r="E130" s="540">
        <v>0</v>
      </c>
      <c r="F130" s="540">
        <v>0</v>
      </c>
      <c r="G130" s="540">
        <v>0</v>
      </c>
      <c r="H130" s="540">
        <v>0</v>
      </c>
      <c r="I130" s="540">
        <v>0</v>
      </c>
      <c r="J130" s="540">
        <v>0</v>
      </c>
      <c r="K130" s="540">
        <v>0</v>
      </c>
      <c r="L130" s="540">
        <v>0</v>
      </c>
      <c r="M130" s="540">
        <v>0</v>
      </c>
      <c r="N130" s="540">
        <v>0</v>
      </c>
      <c r="O130" s="540">
        <v>0</v>
      </c>
      <c r="P130" s="540">
        <v>0</v>
      </c>
      <c r="Q130" s="540">
        <v>0</v>
      </c>
      <c r="R130" s="540">
        <v>0</v>
      </c>
      <c r="S130" s="540">
        <v>0</v>
      </c>
      <c r="T130" s="540">
        <v>0</v>
      </c>
      <c r="U130" s="540">
        <v>0</v>
      </c>
      <c r="V130" s="540">
        <v>0</v>
      </c>
      <c r="W130" s="540">
        <v>0</v>
      </c>
      <c r="X130" s="540">
        <v>0</v>
      </c>
      <c r="Y130" s="540">
        <v>0</v>
      </c>
      <c r="Z130" s="540">
        <v>0</v>
      </c>
      <c r="AA130" s="540">
        <v>0</v>
      </c>
      <c r="AB130" s="540">
        <v>0</v>
      </c>
      <c r="AC130" s="540">
        <v>0</v>
      </c>
      <c r="AD130" s="540">
        <v>0</v>
      </c>
      <c r="AE130" s="540">
        <v>0</v>
      </c>
      <c r="AF130" s="540">
        <v>0</v>
      </c>
      <c r="AG130" s="540">
        <v>0</v>
      </c>
      <c r="AH130" s="540">
        <v>0</v>
      </c>
      <c r="AI130" s="540">
        <v>0</v>
      </c>
      <c r="AJ130" s="540">
        <v>0</v>
      </c>
      <c r="AK130" s="540">
        <v>0</v>
      </c>
      <c r="AL130" s="540">
        <v>0</v>
      </c>
    </row>
    <row r="131" spans="1:38">
      <c r="A131" s="539" t="s">
        <v>664</v>
      </c>
      <c r="B131" s="539" t="s">
        <v>661</v>
      </c>
      <c r="C131" s="538" t="s">
        <v>763</v>
      </c>
      <c r="D131" s="540">
        <v>0</v>
      </c>
      <c r="E131" s="540">
        <v>0</v>
      </c>
      <c r="F131" s="540">
        <v>0</v>
      </c>
      <c r="G131" s="540">
        <v>0</v>
      </c>
      <c r="H131" s="540">
        <v>0</v>
      </c>
      <c r="I131" s="540">
        <v>0</v>
      </c>
      <c r="J131" s="540">
        <v>0</v>
      </c>
      <c r="K131" s="540">
        <v>0</v>
      </c>
      <c r="L131" s="540">
        <v>0</v>
      </c>
      <c r="M131" s="540">
        <v>0</v>
      </c>
      <c r="N131" s="540">
        <v>0</v>
      </c>
      <c r="O131" s="540">
        <v>0</v>
      </c>
      <c r="P131" s="540">
        <v>0</v>
      </c>
      <c r="Q131" s="540">
        <v>0</v>
      </c>
      <c r="R131" s="540">
        <v>0</v>
      </c>
      <c r="S131" s="540">
        <v>0</v>
      </c>
      <c r="T131" s="540">
        <v>0</v>
      </c>
      <c r="U131" s="540">
        <v>0</v>
      </c>
      <c r="V131" s="540">
        <v>0</v>
      </c>
      <c r="W131" s="540">
        <v>0</v>
      </c>
      <c r="X131" s="540">
        <v>0</v>
      </c>
      <c r="Y131" s="540">
        <v>0</v>
      </c>
      <c r="Z131" s="540">
        <v>0</v>
      </c>
      <c r="AA131" s="540">
        <v>0</v>
      </c>
      <c r="AB131" s="540">
        <v>0</v>
      </c>
      <c r="AC131" s="540">
        <v>0</v>
      </c>
      <c r="AD131" s="540">
        <v>0</v>
      </c>
      <c r="AE131" s="540">
        <v>0</v>
      </c>
      <c r="AF131" s="540">
        <v>0</v>
      </c>
      <c r="AG131" s="540">
        <v>0</v>
      </c>
      <c r="AH131" s="540">
        <v>0</v>
      </c>
      <c r="AI131" s="540">
        <v>0</v>
      </c>
      <c r="AJ131" s="540">
        <v>0</v>
      </c>
      <c r="AK131" s="540">
        <v>0</v>
      </c>
      <c r="AL131" s="540">
        <v>0</v>
      </c>
    </row>
    <row r="132" spans="1:38">
      <c r="A132" s="539" t="s">
        <v>664</v>
      </c>
      <c r="B132" s="539" t="s">
        <v>668</v>
      </c>
      <c r="C132" s="538" t="s">
        <v>764</v>
      </c>
      <c r="D132" s="540">
        <v>0</v>
      </c>
      <c r="E132" s="540">
        <v>0</v>
      </c>
      <c r="F132" s="540">
        <v>0</v>
      </c>
      <c r="G132" s="540">
        <v>0</v>
      </c>
      <c r="H132" s="540">
        <v>0</v>
      </c>
      <c r="I132" s="540">
        <v>0</v>
      </c>
      <c r="J132" s="540">
        <v>0</v>
      </c>
      <c r="K132" s="540">
        <v>0</v>
      </c>
      <c r="L132" s="540">
        <v>0</v>
      </c>
      <c r="M132" s="540">
        <v>0</v>
      </c>
      <c r="N132" s="540">
        <v>0</v>
      </c>
      <c r="O132" s="540">
        <v>0</v>
      </c>
      <c r="P132" s="540">
        <v>0</v>
      </c>
      <c r="Q132" s="540">
        <v>0</v>
      </c>
      <c r="R132" s="540">
        <v>0</v>
      </c>
      <c r="S132" s="540">
        <v>0</v>
      </c>
      <c r="T132" s="540">
        <v>0</v>
      </c>
      <c r="U132" s="540">
        <v>0</v>
      </c>
      <c r="V132" s="540">
        <v>0</v>
      </c>
      <c r="W132" s="540">
        <v>0</v>
      </c>
      <c r="X132" s="540">
        <v>0</v>
      </c>
      <c r="Y132" s="540">
        <v>0</v>
      </c>
      <c r="Z132" s="540">
        <v>0</v>
      </c>
      <c r="AA132" s="540">
        <v>0</v>
      </c>
      <c r="AB132" s="540">
        <v>0</v>
      </c>
      <c r="AC132" s="540">
        <v>0</v>
      </c>
      <c r="AD132" s="540">
        <v>0</v>
      </c>
      <c r="AE132" s="540">
        <v>0</v>
      </c>
      <c r="AF132" s="540">
        <v>0</v>
      </c>
      <c r="AG132" s="540">
        <v>0</v>
      </c>
      <c r="AH132" s="540">
        <v>0</v>
      </c>
      <c r="AI132" s="540">
        <v>0</v>
      </c>
      <c r="AJ132" s="540">
        <v>0</v>
      </c>
      <c r="AK132" s="540">
        <v>0</v>
      </c>
      <c r="AL132" s="540">
        <v>0</v>
      </c>
    </row>
    <row r="133" spans="1:38" hidden="1">
      <c r="A133" s="539" t="s">
        <v>660</v>
      </c>
      <c r="B133" s="539" t="s">
        <v>661</v>
      </c>
      <c r="C133" s="538" t="s">
        <v>765</v>
      </c>
      <c r="D133" s="540">
        <v>4</v>
      </c>
      <c r="E133" s="540">
        <v>0</v>
      </c>
      <c r="F133" s="540">
        <v>0</v>
      </c>
      <c r="G133" s="540">
        <v>0</v>
      </c>
      <c r="H133" s="540">
        <v>0</v>
      </c>
      <c r="I133" s="540">
        <v>0</v>
      </c>
      <c r="J133" s="540">
        <v>0</v>
      </c>
      <c r="K133" s="540">
        <v>0</v>
      </c>
      <c r="L133" s="540">
        <v>0</v>
      </c>
      <c r="M133" s="540">
        <v>0</v>
      </c>
      <c r="N133" s="540">
        <v>0</v>
      </c>
      <c r="O133" s="540">
        <v>0</v>
      </c>
      <c r="P133" s="540">
        <v>0</v>
      </c>
      <c r="Q133" s="540">
        <v>0</v>
      </c>
      <c r="R133" s="540">
        <v>0</v>
      </c>
      <c r="S133" s="540">
        <v>0</v>
      </c>
      <c r="T133" s="540">
        <v>0</v>
      </c>
      <c r="U133" s="540">
        <v>0</v>
      </c>
      <c r="V133" s="540">
        <v>0</v>
      </c>
      <c r="W133" s="540">
        <v>0</v>
      </c>
      <c r="X133" s="540">
        <v>0</v>
      </c>
      <c r="Y133" s="540">
        <v>0</v>
      </c>
      <c r="Z133" s="540">
        <v>0</v>
      </c>
      <c r="AA133" s="540">
        <v>0</v>
      </c>
      <c r="AB133" s="540">
        <v>0</v>
      </c>
      <c r="AC133" s="540">
        <v>4</v>
      </c>
      <c r="AD133" s="540">
        <v>0</v>
      </c>
      <c r="AE133" s="540">
        <v>0</v>
      </c>
      <c r="AF133" s="540">
        <v>4</v>
      </c>
      <c r="AG133" s="540">
        <v>0</v>
      </c>
      <c r="AH133" s="540">
        <v>0</v>
      </c>
      <c r="AI133" s="540">
        <v>0</v>
      </c>
      <c r="AJ133" s="540">
        <v>0</v>
      </c>
      <c r="AK133" s="540">
        <v>0</v>
      </c>
      <c r="AL133" s="540">
        <v>0</v>
      </c>
    </row>
    <row r="134" spans="1:38" hidden="1">
      <c r="A134" s="539" t="s">
        <v>660</v>
      </c>
      <c r="B134" s="539" t="s">
        <v>668</v>
      </c>
      <c r="C134" s="538" t="s">
        <v>766</v>
      </c>
      <c r="D134" s="540">
        <v>3190</v>
      </c>
      <c r="E134" s="540">
        <v>0</v>
      </c>
      <c r="F134" s="540">
        <v>0</v>
      </c>
      <c r="G134" s="540">
        <v>0</v>
      </c>
      <c r="H134" s="540">
        <v>0</v>
      </c>
      <c r="I134" s="540">
        <v>0</v>
      </c>
      <c r="J134" s="540">
        <v>0</v>
      </c>
      <c r="K134" s="540">
        <v>0</v>
      </c>
      <c r="L134" s="540">
        <v>0</v>
      </c>
      <c r="M134" s="540">
        <v>0</v>
      </c>
      <c r="N134" s="540">
        <v>270</v>
      </c>
      <c r="O134" s="540">
        <v>1516</v>
      </c>
      <c r="P134" s="540">
        <v>0</v>
      </c>
      <c r="Q134" s="540">
        <v>0</v>
      </c>
      <c r="R134" s="540">
        <v>0</v>
      </c>
      <c r="S134" s="540">
        <v>0</v>
      </c>
      <c r="T134" s="540">
        <v>0</v>
      </c>
      <c r="U134" s="540">
        <v>0</v>
      </c>
      <c r="V134" s="540">
        <v>1318</v>
      </c>
      <c r="W134" s="540">
        <v>0</v>
      </c>
      <c r="X134" s="540">
        <v>0</v>
      </c>
      <c r="Y134" s="540">
        <v>0</v>
      </c>
      <c r="Z134" s="540">
        <v>65</v>
      </c>
      <c r="AA134" s="540">
        <v>0</v>
      </c>
      <c r="AB134" s="540">
        <v>0</v>
      </c>
      <c r="AC134" s="540">
        <v>22</v>
      </c>
      <c r="AD134" s="540">
        <v>0</v>
      </c>
      <c r="AE134" s="540">
        <v>0</v>
      </c>
      <c r="AF134" s="540">
        <v>3125</v>
      </c>
      <c r="AG134" s="540">
        <v>0</v>
      </c>
      <c r="AH134" s="540">
        <v>0</v>
      </c>
      <c r="AI134" s="540">
        <v>0</v>
      </c>
      <c r="AJ134" s="540">
        <v>0</v>
      </c>
      <c r="AK134" s="540">
        <v>0</v>
      </c>
      <c r="AL134" s="540">
        <v>0</v>
      </c>
    </row>
    <row r="135" spans="1:38">
      <c r="A135" s="539" t="s">
        <v>664</v>
      </c>
      <c r="B135" s="539" t="s">
        <v>661</v>
      </c>
      <c r="C135" s="538" t="s">
        <v>767</v>
      </c>
      <c r="D135" s="540">
        <v>2290</v>
      </c>
      <c r="E135" s="540">
        <v>0</v>
      </c>
      <c r="F135" s="540">
        <v>29</v>
      </c>
      <c r="G135" s="540">
        <v>0</v>
      </c>
      <c r="H135" s="540">
        <v>0</v>
      </c>
      <c r="I135" s="540">
        <v>1660</v>
      </c>
      <c r="J135" s="540">
        <v>0</v>
      </c>
      <c r="K135" s="540">
        <v>0</v>
      </c>
      <c r="L135" s="540">
        <v>0</v>
      </c>
      <c r="M135" s="540">
        <v>0</v>
      </c>
      <c r="N135" s="540">
        <v>580</v>
      </c>
      <c r="O135" s="540">
        <v>11</v>
      </c>
      <c r="P135" s="540">
        <v>0</v>
      </c>
      <c r="Q135" s="540">
        <v>0</v>
      </c>
      <c r="R135" s="540">
        <v>0</v>
      </c>
      <c r="S135" s="540">
        <v>0</v>
      </c>
      <c r="T135" s="540">
        <v>0</v>
      </c>
      <c r="U135" s="540">
        <v>0</v>
      </c>
      <c r="V135" s="540">
        <v>0</v>
      </c>
      <c r="W135" s="540">
        <v>0</v>
      </c>
      <c r="X135" s="540">
        <v>0</v>
      </c>
      <c r="Y135" s="540">
        <v>0</v>
      </c>
      <c r="Z135" s="540">
        <v>0</v>
      </c>
      <c r="AA135" s="540">
        <v>0</v>
      </c>
      <c r="AB135" s="540">
        <v>0</v>
      </c>
      <c r="AC135" s="540">
        <v>11</v>
      </c>
      <c r="AD135" s="540">
        <v>0</v>
      </c>
      <c r="AE135" s="540">
        <v>0</v>
      </c>
      <c r="AF135" s="540">
        <v>2261</v>
      </c>
      <c r="AG135" s="540">
        <v>0</v>
      </c>
      <c r="AH135" s="540">
        <v>0</v>
      </c>
      <c r="AI135" s="540">
        <v>0</v>
      </c>
      <c r="AJ135" s="540">
        <v>0</v>
      </c>
      <c r="AK135" s="540">
        <v>0</v>
      </c>
      <c r="AL135" s="540">
        <v>0</v>
      </c>
    </row>
    <row r="136" spans="1:38">
      <c r="A136" s="539" t="s">
        <v>664</v>
      </c>
      <c r="B136" s="539" t="s">
        <v>668</v>
      </c>
      <c r="C136" s="538" t="s">
        <v>768</v>
      </c>
      <c r="D136" s="540">
        <v>22061</v>
      </c>
      <c r="E136" s="540">
        <v>0</v>
      </c>
      <c r="F136" s="540">
        <v>122</v>
      </c>
      <c r="G136" s="540">
        <v>0</v>
      </c>
      <c r="H136" s="540">
        <v>540</v>
      </c>
      <c r="I136" s="540">
        <v>1184</v>
      </c>
      <c r="J136" s="540">
        <v>0</v>
      </c>
      <c r="K136" s="540">
        <v>151</v>
      </c>
      <c r="L136" s="540">
        <v>2520</v>
      </c>
      <c r="M136" s="540">
        <v>0</v>
      </c>
      <c r="N136" s="540">
        <v>1750</v>
      </c>
      <c r="O136" s="540">
        <v>6412</v>
      </c>
      <c r="P136" s="540">
        <v>0</v>
      </c>
      <c r="Q136" s="540">
        <v>0</v>
      </c>
      <c r="R136" s="540">
        <v>0</v>
      </c>
      <c r="S136" s="540">
        <v>0</v>
      </c>
      <c r="T136" s="540">
        <v>0</v>
      </c>
      <c r="U136" s="540">
        <v>0</v>
      </c>
      <c r="V136" s="540">
        <v>3758</v>
      </c>
      <c r="W136" s="540">
        <v>421</v>
      </c>
      <c r="X136" s="540">
        <v>230</v>
      </c>
      <c r="Y136" s="540">
        <v>612</v>
      </c>
      <c r="Z136" s="540">
        <v>212</v>
      </c>
      <c r="AA136" s="540">
        <v>0</v>
      </c>
      <c r="AB136" s="540">
        <v>61</v>
      </c>
      <c r="AC136" s="540">
        <v>25</v>
      </c>
      <c r="AD136" s="540">
        <v>0</v>
      </c>
      <c r="AE136" s="540">
        <v>4061</v>
      </c>
      <c r="AF136" s="540">
        <v>21434</v>
      </c>
      <c r="AG136" s="540">
        <v>0</v>
      </c>
      <c r="AH136" s="540">
        <v>0</v>
      </c>
      <c r="AI136" s="540">
        <v>0</v>
      </c>
      <c r="AJ136" s="540">
        <v>47</v>
      </c>
      <c r="AK136" s="540">
        <v>4</v>
      </c>
      <c r="AL136" s="540">
        <v>0</v>
      </c>
    </row>
    <row r="137" spans="1:38" hidden="1">
      <c r="A137" s="539" t="s">
        <v>660</v>
      </c>
      <c r="B137" s="539" t="s">
        <v>661</v>
      </c>
      <c r="C137" s="538" t="s">
        <v>769</v>
      </c>
      <c r="D137" s="540">
        <v>7</v>
      </c>
      <c r="E137" s="540">
        <v>0</v>
      </c>
      <c r="F137" s="540">
        <v>0</v>
      </c>
      <c r="G137" s="540">
        <v>0</v>
      </c>
      <c r="H137" s="540">
        <v>0</v>
      </c>
      <c r="I137" s="540">
        <v>0</v>
      </c>
      <c r="J137" s="540">
        <v>0</v>
      </c>
      <c r="K137" s="540">
        <v>0</v>
      </c>
      <c r="L137" s="540">
        <v>0</v>
      </c>
      <c r="M137" s="540">
        <v>0</v>
      </c>
      <c r="N137" s="540">
        <v>0</v>
      </c>
      <c r="O137" s="540">
        <v>7</v>
      </c>
      <c r="P137" s="540">
        <v>0</v>
      </c>
      <c r="Q137" s="540">
        <v>0</v>
      </c>
      <c r="R137" s="540">
        <v>0</v>
      </c>
      <c r="S137" s="540">
        <v>0</v>
      </c>
      <c r="T137" s="540">
        <v>0</v>
      </c>
      <c r="U137" s="540">
        <v>0</v>
      </c>
      <c r="V137" s="540">
        <v>0</v>
      </c>
      <c r="W137" s="540">
        <v>0</v>
      </c>
      <c r="X137" s="540">
        <v>0</v>
      </c>
      <c r="Y137" s="540">
        <v>0</v>
      </c>
      <c r="Z137" s="540">
        <v>0</v>
      </c>
      <c r="AA137" s="540">
        <v>0</v>
      </c>
      <c r="AB137" s="540">
        <v>0</v>
      </c>
      <c r="AC137" s="540">
        <v>0</v>
      </c>
      <c r="AD137" s="540">
        <v>0</v>
      </c>
      <c r="AE137" s="540">
        <v>0</v>
      </c>
      <c r="AF137" s="540">
        <v>7</v>
      </c>
      <c r="AG137" s="540">
        <v>0</v>
      </c>
      <c r="AH137" s="540">
        <v>0</v>
      </c>
      <c r="AI137" s="540">
        <v>0</v>
      </c>
      <c r="AJ137" s="540">
        <v>0</v>
      </c>
      <c r="AK137" s="540">
        <v>0</v>
      </c>
      <c r="AL137" s="540">
        <v>0</v>
      </c>
    </row>
    <row r="138" spans="1:38" hidden="1">
      <c r="A138" s="539" t="s">
        <v>660</v>
      </c>
      <c r="B138" s="539" t="s">
        <v>668</v>
      </c>
      <c r="C138" s="538" t="s">
        <v>770</v>
      </c>
      <c r="D138" s="540">
        <v>126</v>
      </c>
      <c r="E138" s="540">
        <v>0</v>
      </c>
      <c r="F138" s="540">
        <v>0</v>
      </c>
      <c r="G138" s="540">
        <v>0</v>
      </c>
      <c r="H138" s="540">
        <v>0</v>
      </c>
      <c r="I138" s="540">
        <v>4</v>
      </c>
      <c r="J138" s="540">
        <v>0</v>
      </c>
      <c r="K138" s="540">
        <v>0</v>
      </c>
      <c r="L138" s="540">
        <v>0</v>
      </c>
      <c r="M138" s="540">
        <v>0</v>
      </c>
      <c r="N138" s="540">
        <v>0</v>
      </c>
      <c r="O138" s="540">
        <v>79</v>
      </c>
      <c r="P138" s="540">
        <v>0</v>
      </c>
      <c r="Q138" s="540">
        <v>0</v>
      </c>
      <c r="R138" s="540">
        <v>0</v>
      </c>
      <c r="S138" s="540">
        <v>0</v>
      </c>
      <c r="T138" s="540">
        <v>0</v>
      </c>
      <c r="U138" s="540">
        <v>0</v>
      </c>
      <c r="V138" s="540">
        <v>0</v>
      </c>
      <c r="W138" s="540">
        <v>0</v>
      </c>
      <c r="X138" s="540">
        <v>0</v>
      </c>
      <c r="Y138" s="540">
        <v>0</v>
      </c>
      <c r="Z138" s="540">
        <v>0</v>
      </c>
      <c r="AA138" s="540">
        <v>0</v>
      </c>
      <c r="AB138" s="540">
        <v>0</v>
      </c>
      <c r="AC138" s="540">
        <v>0</v>
      </c>
      <c r="AD138" s="540">
        <v>43</v>
      </c>
      <c r="AE138" s="540">
        <v>0</v>
      </c>
      <c r="AF138" s="540">
        <v>126</v>
      </c>
      <c r="AG138" s="540">
        <v>0</v>
      </c>
      <c r="AH138" s="540">
        <v>0</v>
      </c>
      <c r="AI138" s="540">
        <v>0</v>
      </c>
      <c r="AJ138" s="540">
        <v>0</v>
      </c>
      <c r="AK138" s="540">
        <v>0</v>
      </c>
      <c r="AL138" s="540">
        <v>0</v>
      </c>
    </row>
    <row r="139" spans="1:38">
      <c r="A139" s="539" t="s">
        <v>664</v>
      </c>
      <c r="B139" s="539" t="s">
        <v>661</v>
      </c>
      <c r="C139" s="538" t="s">
        <v>771</v>
      </c>
      <c r="D139" s="540">
        <v>317</v>
      </c>
      <c r="E139" s="540">
        <v>0</v>
      </c>
      <c r="F139" s="540">
        <v>0</v>
      </c>
      <c r="G139" s="540">
        <v>0</v>
      </c>
      <c r="H139" s="540">
        <v>0</v>
      </c>
      <c r="I139" s="540">
        <v>317</v>
      </c>
      <c r="J139" s="540">
        <v>0</v>
      </c>
      <c r="K139" s="540">
        <v>0</v>
      </c>
      <c r="L139" s="540">
        <v>0</v>
      </c>
      <c r="M139" s="540">
        <v>0</v>
      </c>
      <c r="N139" s="540">
        <v>0</v>
      </c>
      <c r="O139" s="540">
        <v>0</v>
      </c>
      <c r="P139" s="540">
        <v>0</v>
      </c>
      <c r="Q139" s="540">
        <v>0</v>
      </c>
      <c r="R139" s="540">
        <v>0</v>
      </c>
      <c r="S139" s="540">
        <v>0</v>
      </c>
      <c r="T139" s="540">
        <v>0</v>
      </c>
      <c r="U139" s="540">
        <v>0</v>
      </c>
      <c r="V139" s="540">
        <v>0</v>
      </c>
      <c r="W139" s="540">
        <v>0</v>
      </c>
      <c r="X139" s="540">
        <v>0</v>
      </c>
      <c r="Y139" s="540">
        <v>0</v>
      </c>
      <c r="Z139" s="540">
        <v>0</v>
      </c>
      <c r="AA139" s="540">
        <v>0</v>
      </c>
      <c r="AB139" s="540">
        <v>0</v>
      </c>
      <c r="AC139" s="540">
        <v>0</v>
      </c>
      <c r="AD139" s="540">
        <v>0</v>
      </c>
      <c r="AE139" s="540">
        <v>0</v>
      </c>
      <c r="AF139" s="540">
        <v>317</v>
      </c>
      <c r="AG139" s="540">
        <v>0</v>
      </c>
      <c r="AH139" s="540">
        <v>0</v>
      </c>
      <c r="AI139" s="540">
        <v>0</v>
      </c>
      <c r="AJ139" s="540">
        <v>0</v>
      </c>
      <c r="AK139" s="540">
        <v>0</v>
      </c>
      <c r="AL139" s="540">
        <v>0</v>
      </c>
    </row>
    <row r="140" spans="1:38">
      <c r="A140" s="539" t="s">
        <v>664</v>
      </c>
      <c r="B140" s="539" t="s">
        <v>668</v>
      </c>
      <c r="C140" s="538" t="s">
        <v>772</v>
      </c>
      <c r="D140" s="540">
        <v>1260</v>
      </c>
      <c r="E140" s="540">
        <v>0</v>
      </c>
      <c r="F140" s="540">
        <v>0</v>
      </c>
      <c r="G140" s="540">
        <v>0</v>
      </c>
      <c r="H140" s="540">
        <v>0</v>
      </c>
      <c r="I140" s="540">
        <v>1102</v>
      </c>
      <c r="J140" s="540">
        <v>0</v>
      </c>
      <c r="K140" s="540">
        <v>4</v>
      </c>
      <c r="L140" s="540">
        <v>0</v>
      </c>
      <c r="M140" s="540">
        <v>0</v>
      </c>
      <c r="N140" s="540">
        <v>0</v>
      </c>
      <c r="O140" s="540">
        <v>148</v>
      </c>
      <c r="P140" s="540">
        <v>0</v>
      </c>
      <c r="Q140" s="540">
        <v>0</v>
      </c>
      <c r="R140" s="540">
        <v>0</v>
      </c>
      <c r="S140" s="540">
        <v>0</v>
      </c>
      <c r="T140" s="540">
        <v>0</v>
      </c>
      <c r="U140" s="540">
        <v>0</v>
      </c>
      <c r="V140" s="540">
        <v>0</v>
      </c>
      <c r="W140" s="540">
        <v>0</v>
      </c>
      <c r="X140" s="540">
        <v>0</v>
      </c>
      <c r="Y140" s="540">
        <v>7</v>
      </c>
      <c r="Z140" s="540">
        <v>0</v>
      </c>
      <c r="AA140" s="540">
        <v>0</v>
      </c>
      <c r="AB140" s="540">
        <v>0</v>
      </c>
      <c r="AC140" s="540">
        <v>0</v>
      </c>
      <c r="AD140" s="540">
        <v>0</v>
      </c>
      <c r="AE140" s="540">
        <v>0</v>
      </c>
      <c r="AF140" s="540">
        <v>1260</v>
      </c>
      <c r="AG140" s="540">
        <v>0</v>
      </c>
      <c r="AH140" s="540">
        <v>0</v>
      </c>
      <c r="AI140" s="540">
        <v>40</v>
      </c>
      <c r="AJ140" s="540">
        <v>7</v>
      </c>
      <c r="AK140" s="540">
        <v>0</v>
      </c>
      <c r="AL140" s="540">
        <v>122</v>
      </c>
    </row>
    <row r="141" spans="1:38" hidden="1">
      <c r="A141" s="539" t="s">
        <v>660</v>
      </c>
      <c r="B141" s="539" t="s">
        <v>661</v>
      </c>
      <c r="C141" s="538" t="s">
        <v>773</v>
      </c>
      <c r="D141" s="540">
        <v>0</v>
      </c>
      <c r="E141" s="540">
        <v>0</v>
      </c>
      <c r="F141" s="540">
        <v>0</v>
      </c>
      <c r="G141" s="540">
        <v>0</v>
      </c>
      <c r="H141" s="540">
        <v>0</v>
      </c>
      <c r="I141" s="540">
        <v>0</v>
      </c>
      <c r="J141" s="540">
        <v>0</v>
      </c>
      <c r="K141" s="540">
        <v>0</v>
      </c>
      <c r="L141" s="540">
        <v>0</v>
      </c>
      <c r="M141" s="540">
        <v>0</v>
      </c>
      <c r="N141" s="540">
        <v>0</v>
      </c>
      <c r="O141" s="540">
        <v>0</v>
      </c>
      <c r="P141" s="540">
        <v>0</v>
      </c>
      <c r="Q141" s="540">
        <v>0</v>
      </c>
      <c r="R141" s="540">
        <v>0</v>
      </c>
      <c r="S141" s="540">
        <v>0</v>
      </c>
      <c r="T141" s="540">
        <v>0</v>
      </c>
      <c r="U141" s="540">
        <v>0</v>
      </c>
      <c r="V141" s="540">
        <v>0</v>
      </c>
      <c r="W141" s="540">
        <v>0</v>
      </c>
      <c r="X141" s="540">
        <v>0</v>
      </c>
      <c r="Y141" s="540">
        <v>0</v>
      </c>
      <c r="Z141" s="540">
        <v>0</v>
      </c>
      <c r="AA141" s="540">
        <v>0</v>
      </c>
      <c r="AB141" s="540">
        <v>0</v>
      </c>
      <c r="AC141" s="540">
        <v>0</v>
      </c>
      <c r="AD141" s="540">
        <v>0</v>
      </c>
      <c r="AE141" s="540">
        <v>0</v>
      </c>
      <c r="AF141" s="540">
        <v>0</v>
      </c>
      <c r="AG141" s="540">
        <v>0</v>
      </c>
      <c r="AH141" s="540">
        <v>0</v>
      </c>
      <c r="AI141" s="540">
        <v>0</v>
      </c>
      <c r="AJ141" s="540">
        <v>0</v>
      </c>
      <c r="AK141" s="540">
        <v>0</v>
      </c>
      <c r="AL141" s="540">
        <v>18</v>
      </c>
    </row>
    <row r="142" spans="1:38" hidden="1">
      <c r="A142" s="539" t="s">
        <v>660</v>
      </c>
      <c r="B142" s="539" t="s">
        <v>668</v>
      </c>
      <c r="C142" s="538" t="s">
        <v>774</v>
      </c>
      <c r="D142" s="540">
        <v>0</v>
      </c>
      <c r="E142" s="540">
        <v>0</v>
      </c>
      <c r="F142" s="540">
        <v>0</v>
      </c>
      <c r="G142" s="540">
        <v>0</v>
      </c>
      <c r="H142" s="540">
        <v>0</v>
      </c>
      <c r="I142" s="540">
        <v>0</v>
      </c>
      <c r="J142" s="540">
        <v>0</v>
      </c>
      <c r="K142" s="540">
        <v>0</v>
      </c>
      <c r="L142" s="540">
        <v>0</v>
      </c>
      <c r="M142" s="540">
        <v>0</v>
      </c>
      <c r="N142" s="540">
        <v>0</v>
      </c>
      <c r="O142" s="540">
        <v>0</v>
      </c>
      <c r="P142" s="540">
        <v>0</v>
      </c>
      <c r="Q142" s="540">
        <v>0</v>
      </c>
      <c r="R142" s="540">
        <v>0</v>
      </c>
      <c r="S142" s="540">
        <v>0</v>
      </c>
      <c r="T142" s="540">
        <v>0</v>
      </c>
      <c r="U142" s="540">
        <v>0</v>
      </c>
      <c r="V142" s="540">
        <v>0</v>
      </c>
      <c r="W142" s="540">
        <v>0</v>
      </c>
      <c r="X142" s="540">
        <v>0</v>
      </c>
      <c r="Y142" s="540">
        <v>0</v>
      </c>
      <c r="Z142" s="540">
        <v>0</v>
      </c>
      <c r="AA142" s="540">
        <v>0</v>
      </c>
      <c r="AB142" s="540">
        <v>0</v>
      </c>
      <c r="AC142" s="540">
        <v>0</v>
      </c>
      <c r="AD142" s="540">
        <v>0</v>
      </c>
      <c r="AE142" s="540">
        <v>0</v>
      </c>
      <c r="AF142" s="540">
        <v>0</v>
      </c>
      <c r="AG142" s="540">
        <v>0</v>
      </c>
      <c r="AH142" s="540">
        <v>0</v>
      </c>
      <c r="AI142" s="540">
        <v>0</v>
      </c>
      <c r="AJ142" s="540">
        <v>0</v>
      </c>
      <c r="AK142" s="540">
        <v>0</v>
      </c>
      <c r="AL142" s="540">
        <v>4</v>
      </c>
    </row>
    <row r="143" spans="1:38">
      <c r="A143" s="539" t="s">
        <v>664</v>
      </c>
      <c r="B143" s="539" t="s">
        <v>661</v>
      </c>
      <c r="C143" s="538" t="s">
        <v>775</v>
      </c>
      <c r="D143" s="540">
        <v>0</v>
      </c>
      <c r="E143" s="540">
        <v>0</v>
      </c>
      <c r="F143" s="540">
        <v>0</v>
      </c>
      <c r="G143" s="540">
        <v>0</v>
      </c>
      <c r="H143" s="540">
        <v>0</v>
      </c>
      <c r="I143" s="540">
        <v>0</v>
      </c>
      <c r="J143" s="540">
        <v>0</v>
      </c>
      <c r="K143" s="540">
        <v>0</v>
      </c>
      <c r="L143" s="540">
        <v>0</v>
      </c>
      <c r="M143" s="540">
        <v>0</v>
      </c>
      <c r="N143" s="540">
        <v>0</v>
      </c>
      <c r="O143" s="540">
        <v>0</v>
      </c>
      <c r="P143" s="540">
        <v>0</v>
      </c>
      <c r="Q143" s="540">
        <v>0</v>
      </c>
      <c r="R143" s="540">
        <v>0</v>
      </c>
      <c r="S143" s="540">
        <v>0</v>
      </c>
      <c r="T143" s="540">
        <v>0</v>
      </c>
      <c r="U143" s="540">
        <v>0</v>
      </c>
      <c r="V143" s="540">
        <v>0</v>
      </c>
      <c r="W143" s="540">
        <v>0</v>
      </c>
      <c r="X143" s="540">
        <v>0</v>
      </c>
      <c r="Y143" s="540">
        <v>0</v>
      </c>
      <c r="Z143" s="540">
        <v>0</v>
      </c>
      <c r="AA143" s="540">
        <v>0</v>
      </c>
      <c r="AB143" s="540">
        <v>0</v>
      </c>
      <c r="AC143" s="540">
        <v>0</v>
      </c>
      <c r="AD143" s="540">
        <v>0</v>
      </c>
      <c r="AE143" s="540">
        <v>0</v>
      </c>
      <c r="AF143" s="540">
        <v>0</v>
      </c>
      <c r="AG143" s="540">
        <v>0</v>
      </c>
      <c r="AH143" s="540">
        <v>0</v>
      </c>
      <c r="AI143" s="540">
        <v>0</v>
      </c>
      <c r="AJ143" s="540">
        <v>0</v>
      </c>
      <c r="AK143" s="540">
        <v>0</v>
      </c>
      <c r="AL143" s="540">
        <v>720</v>
      </c>
    </row>
    <row r="144" spans="1:38">
      <c r="A144" s="539" t="s">
        <v>664</v>
      </c>
      <c r="B144" s="539" t="s">
        <v>668</v>
      </c>
      <c r="C144" s="538" t="s">
        <v>776</v>
      </c>
      <c r="D144" s="540">
        <v>0</v>
      </c>
      <c r="E144" s="540">
        <v>0</v>
      </c>
      <c r="F144" s="540">
        <v>0</v>
      </c>
      <c r="G144" s="540">
        <v>0</v>
      </c>
      <c r="H144" s="540">
        <v>0</v>
      </c>
      <c r="I144" s="540">
        <v>0</v>
      </c>
      <c r="J144" s="540">
        <v>0</v>
      </c>
      <c r="K144" s="540">
        <v>0</v>
      </c>
      <c r="L144" s="540">
        <v>0</v>
      </c>
      <c r="M144" s="540">
        <v>0</v>
      </c>
      <c r="N144" s="540">
        <v>0</v>
      </c>
      <c r="O144" s="540">
        <v>0</v>
      </c>
      <c r="P144" s="540">
        <v>0</v>
      </c>
      <c r="Q144" s="540">
        <v>0</v>
      </c>
      <c r="R144" s="540">
        <v>0</v>
      </c>
      <c r="S144" s="540">
        <v>0</v>
      </c>
      <c r="T144" s="540">
        <v>0</v>
      </c>
      <c r="U144" s="540">
        <v>0</v>
      </c>
      <c r="V144" s="540">
        <v>0</v>
      </c>
      <c r="W144" s="540">
        <v>0</v>
      </c>
      <c r="X144" s="540">
        <v>0</v>
      </c>
      <c r="Y144" s="540">
        <v>0</v>
      </c>
      <c r="Z144" s="540">
        <v>0</v>
      </c>
      <c r="AA144" s="540">
        <v>0</v>
      </c>
      <c r="AB144" s="540">
        <v>0</v>
      </c>
      <c r="AC144" s="540">
        <v>0</v>
      </c>
      <c r="AD144" s="540">
        <v>0</v>
      </c>
      <c r="AE144" s="540">
        <v>0</v>
      </c>
      <c r="AF144" s="540">
        <v>0</v>
      </c>
      <c r="AG144" s="540">
        <v>0</v>
      </c>
      <c r="AH144" s="540">
        <v>0</v>
      </c>
      <c r="AI144" s="540">
        <v>0</v>
      </c>
      <c r="AJ144" s="540">
        <v>0</v>
      </c>
      <c r="AK144" s="540">
        <v>0</v>
      </c>
      <c r="AL144" s="540">
        <v>428</v>
      </c>
    </row>
    <row r="145" spans="1:38" hidden="1">
      <c r="A145" s="539" t="s">
        <v>660</v>
      </c>
      <c r="B145" s="539" t="s">
        <v>661</v>
      </c>
      <c r="C145" s="538" t="s">
        <v>777</v>
      </c>
      <c r="D145" s="540">
        <v>4</v>
      </c>
      <c r="E145" s="540">
        <v>0</v>
      </c>
      <c r="F145" s="540">
        <v>0</v>
      </c>
      <c r="G145" s="540">
        <v>0</v>
      </c>
      <c r="H145" s="540">
        <v>0</v>
      </c>
      <c r="I145" s="540">
        <v>0</v>
      </c>
      <c r="J145" s="540">
        <v>0</v>
      </c>
      <c r="K145" s="540">
        <v>0</v>
      </c>
      <c r="L145" s="540">
        <v>0</v>
      </c>
      <c r="M145" s="540">
        <v>0</v>
      </c>
      <c r="N145" s="540">
        <v>0</v>
      </c>
      <c r="O145" s="540">
        <v>0</v>
      </c>
      <c r="P145" s="540">
        <v>0</v>
      </c>
      <c r="Q145" s="540">
        <v>0</v>
      </c>
      <c r="R145" s="540">
        <v>0</v>
      </c>
      <c r="S145" s="540">
        <v>0</v>
      </c>
      <c r="T145" s="540">
        <v>0</v>
      </c>
      <c r="U145" s="540">
        <v>0</v>
      </c>
      <c r="V145" s="540">
        <v>0</v>
      </c>
      <c r="W145" s="540">
        <v>0</v>
      </c>
      <c r="X145" s="540">
        <v>0</v>
      </c>
      <c r="Y145" s="540">
        <v>0</v>
      </c>
      <c r="Z145" s="540">
        <v>0</v>
      </c>
      <c r="AA145" s="540">
        <v>0</v>
      </c>
      <c r="AB145" s="540">
        <v>0</v>
      </c>
      <c r="AC145" s="540">
        <v>0</v>
      </c>
      <c r="AD145" s="540">
        <v>4</v>
      </c>
      <c r="AE145" s="540">
        <v>0</v>
      </c>
      <c r="AF145" s="540">
        <v>4</v>
      </c>
      <c r="AG145" s="540">
        <v>0</v>
      </c>
      <c r="AH145" s="540">
        <v>0</v>
      </c>
      <c r="AI145" s="540">
        <v>0</v>
      </c>
      <c r="AJ145" s="540">
        <v>0</v>
      </c>
      <c r="AK145" s="540">
        <v>0</v>
      </c>
      <c r="AL145" s="540">
        <v>0</v>
      </c>
    </row>
    <row r="146" spans="1:38" hidden="1">
      <c r="A146" s="539" t="s">
        <v>660</v>
      </c>
      <c r="B146" s="539" t="s">
        <v>668</v>
      </c>
      <c r="C146" s="538" t="s">
        <v>778</v>
      </c>
      <c r="D146" s="540">
        <v>0</v>
      </c>
      <c r="E146" s="540">
        <v>0</v>
      </c>
      <c r="F146" s="540">
        <v>0</v>
      </c>
      <c r="G146" s="540">
        <v>0</v>
      </c>
      <c r="H146" s="540">
        <v>0</v>
      </c>
      <c r="I146" s="540">
        <v>0</v>
      </c>
      <c r="J146" s="540">
        <v>0</v>
      </c>
      <c r="K146" s="540">
        <v>0</v>
      </c>
      <c r="L146" s="540">
        <v>0</v>
      </c>
      <c r="M146" s="540">
        <v>0</v>
      </c>
      <c r="N146" s="540">
        <v>0</v>
      </c>
      <c r="O146" s="540">
        <v>0</v>
      </c>
      <c r="P146" s="540">
        <v>0</v>
      </c>
      <c r="Q146" s="540">
        <v>0</v>
      </c>
      <c r="R146" s="540">
        <v>0</v>
      </c>
      <c r="S146" s="540">
        <v>0</v>
      </c>
      <c r="T146" s="540">
        <v>0</v>
      </c>
      <c r="U146" s="540">
        <v>0</v>
      </c>
      <c r="V146" s="540">
        <v>0</v>
      </c>
      <c r="W146" s="540">
        <v>0</v>
      </c>
      <c r="X146" s="540">
        <v>0</v>
      </c>
      <c r="Y146" s="540">
        <v>0</v>
      </c>
      <c r="Z146" s="540">
        <v>0</v>
      </c>
      <c r="AA146" s="540">
        <v>0</v>
      </c>
      <c r="AB146" s="540">
        <v>0</v>
      </c>
      <c r="AC146" s="540">
        <v>0</v>
      </c>
      <c r="AD146" s="540">
        <v>0</v>
      </c>
      <c r="AE146" s="540">
        <v>0</v>
      </c>
      <c r="AF146" s="540">
        <v>0</v>
      </c>
      <c r="AG146" s="540">
        <v>0</v>
      </c>
      <c r="AH146" s="540">
        <v>0</v>
      </c>
      <c r="AI146" s="540">
        <v>0</v>
      </c>
      <c r="AJ146" s="540">
        <v>0</v>
      </c>
      <c r="AK146" s="540">
        <v>0</v>
      </c>
      <c r="AL146" s="540">
        <v>0</v>
      </c>
    </row>
    <row r="147" spans="1:38">
      <c r="A147" s="539" t="s">
        <v>664</v>
      </c>
      <c r="B147" s="539" t="s">
        <v>661</v>
      </c>
      <c r="C147" s="538" t="s">
        <v>779</v>
      </c>
      <c r="D147" s="540">
        <v>0</v>
      </c>
      <c r="E147" s="540">
        <v>0</v>
      </c>
      <c r="F147" s="540">
        <v>0</v>
      </c>
      <c r="G147" s="540">
        <v>0</v>
      </c>
      <c r="H147" s="540">
        <v>0</v>
      </c>
      <c r="I147" s="540">
        <v>0</v>
      </c>
      <c r="J147" s="540">
        <v>0</v>
      </c>
      <c r="K147" s="540">
        <v>0</v>
      </c>
      <c r="L147" s="540">
        <v>0</v>
      </c>
      <c r="M147" s="540">
        <v>0</v>
      </c>
      <c r="N147" s="540">
        <v>0</v>
      </c>
      <c r="O147" s="540">
        <v>0</v>
      </c>
      <c r="P147" s="540">
        <v>0</v>
      </c>
      <c r="Q147" s="540">
        <v>0</v>
      </c>
      <c r="R147" s="540">
        <v>0</v>
      </c>
      <c r="S147" s="540">
        <v>0</v>
      </c>
      <c r="T147" s="540">
        <v>0</v>
      </c>
      <c r="U147" s="540">
        <v>0</v>
      </c>
      <c r="V147" s="540">
        <v>0</v>
      </c>
      <c r="W147" s="540">
        <v>0</v>
      </c>
      <c r="X147" s="540">
        <v>0</v>
      </c>
      <c r="Y147" s="540">
        <v>0</v>
      </c>
      <c r="Z147" s="540">
        <v>0</v>
      </c>
      <c r="AA147" s="540">
        <v>0</v>
      </c>
      <c r="AB147" s="540">
        <v>0</v>
      </c>
      <c r="AC147" s="540">
        <v>0</v>
      </c>
      <c r="AD147" s="540">
        <v>0</v>
      </c>
      <c r="AE147" s="540">
        <v>0</v>
      </c>
      <c r="AF147" s="540">
        <v>0</v>
      </c>
      <c r="AG147" s="540">
        <v>0</v>
      </c>
      <c r="AH147" s="540">
        <v>0</v>
      </c>
      <c r="AI147" s="540">
        <v>0</v>
      </c>
      <c r="AJ147" s="540">
        <v>0</v>
      </c>
      <c r="AK147" s="540">
        <v>0</v>
      </c>
      <c r="AL147" s="540">
        <v>0</v>
      </c>
    </row>
    <row r="148" spans="1:38">
      <c r="A148" s="539" t="s">
        <v>664</v>
      </c>
      <c r="B148" s="539" t="s">
        <v>668</v>
      </c>
      <c r="C148" s="538" t="s">
        <v>780</v>
      </c>
      <c r="D148" s="540">
        <v>0</v>
      </c>
      <c r="E148" s="540">
        <v>0</v>
      </c>
      <c r="F148" s="540">
        <v>0</v>
      </c>
      <c r="G148" s="540">
        <v>0</v>
      </c>
      <c r="H148" s="540">
        <v>0</v>
      </c>
      <c r="I148" s="540">
        <v>0</v>
      </c>
      <c r="J148" s="540">
        <v>0</v>
      </c>
      <c r="K148" s="540">
        <v>0</v>
      </c>
      <c r="L148" s="540">
        <v>0</v>
      </c>
      <c r="M148" s="540">
        <v>0</v>
      </c>
      <c r="N148" s="540">
        <v>0</v>
      </c>
      <c r="O148" s="540">
        <v>0</v>
      </c>
      <c r="P148" s="540">
        <v>0</v>
      </c>
      <c r="Q148" s="540">
        <v>0</v>
      </c>
      <c r="R148" s="540">
        <v>0</v>
      </c>
      <c r="S148" s="540">
        <v>0</v>
      </c>
      <c r="T148" s="540">
        <v>0</v>
      </c>
      <c r="U148" s="540">
        <v>0</v>
      </c>
      <c r="V148" s="540">
        <v>0</v>
      </c>
      <c r="W148" s="540">
        <v>0</v>
      </c>
      <c r="X148" s="540">
        <v>0</v>
      </c>
      <c r="Y148" s="540">
        <v>0</v>
      </c>
      <c r="Z148" s="540">
        <v>0</v>
      </c>
      <c r="AA148" s="540">
        <v>0</v>
      </c>
      <c r="AB148" s="540">
        <v>0</v>
      </c>
      <c r="AC148" s="540">
        <v>0</v>
      </c>
      <c r="AD148" s="540">
        <v>0</v>
      </c>
      <c r="AE148" s="540">
        <v>0</v>
      </c>
      <c r="AF148" s="540">
        <v>0</v>
      </c>
      <c r="AG148" s="540">
        <v>0</v>
      </c>
      <c r="AH148" s="540">
        <v>0</v>
      </c>
      <c r="AI148" s="540">
        <v>0</v>
      </c>
      <c r="AJ148" s="540">
        <v>0</v>
      </c>
      <c r="AK148" s="540">
        <v>0</v>
      </c>
      <c r="AL148" s="540">
        <v>0</v>
      </c>
    </row>
    <row r="149" spans="1:38" hidden="1">
      <c r="A149" s="539" t="s">
        <v>660</v>
      </c>
      <c r="B149" s="539" t="s">
        <v>661</v>
      </c>
      <c r="C149" s="538" t="s">
        <v>781</v>
      </c>
      <c r="D149" s="540">
        <v>7</v>
      </c>
      <c r="E149" s="540">
        <v>0</v>
      </c>
      <c r="F149" s="540">
        <v>0</v>
      </c>
      <c r="G149" s="540">
        <v>0</v>
      </c>
      <c r="H149" s="540">
        <v>0</v>
      </c>
      <c r="I149" s="540">
        <v>0</v>
      </c>
      <c r="J149" s="540">
        <v>0</v>
      </c>
      <c r="K149" s="540">
        <v>0</v>
      </c>
      <c r="L149" s="540">
        <v>0</v>
      </c>
      <c r="M149" s="540">
        <v>0</v>
      </c>
      <c r="N149" s="540">
        <v>0</v>
      </c>
      <c r="O149" s="540">
        <v>0</v>
      </c>
      <c r="P149" s="540">
        <v>0</v>
      </c>
      <c r="Q149" s="540">
        <v>0</v>
      </c>
      <c r="R149" s="540">
        <v>0</v>
      </c>
      <c r="S149" s="540">
        <v>0</v>
      </c>
      <c r="T149" s="540">
        <v>0</v>
      </c>
      <c r="U149" s="540">
        <v>0</v>
      </c>
      <c r="V149" s="540">
        <v>0</v>
      </c>
      <c r="W149" s="540">
        <v>0</v>
      </c>
      <c r="X149" s="540">
        <v>0</v>
      </c>
      <c r="Y149" s="540">
        <v>0</v>
      </c>
      <c r="Z149" s="540">
        <v>0</v>
      </c>
      <c r="AA149" s="540">
        <v>0</v>
      </c>
      <c r="AB149" s="540">
        <v>0</v>
      </c>
      <c r="AC149" s="540">
        <v>0</v>
      </c>
      <c r="AD149" s="540">
        <v>7</v>
      </c>
      <c r="AE149" s="540">
        <v>0</v>
      </c>
      <c r="AF149" s="540">
        <v>7</v>
      </c>
      <c r="AG149" s="540">
        <v>0</v>
      </c>
      <c r="AH149" s="540">
        <v>0</v>
      </c>
      <c r="AI149" s="540">
        <v>0</v>
      </c>
      <c r="AJ149" s="540">
        <v>0</v>
      </c>
      <c r="AK149" s="540">
        <v>0</v>
      </c>
      <c r="AL149" s="540">
        <v>0</v>
      </c>
    </row>
    <row r="150" spans="1:38" hidden="1">
      <c r="A150" s="539" t="s">
        <v>660</v>
      </c>
      <c r="B150" s="539" t="s">
        <v>668</v>
      </c>
      <c r="C150" s="538" t="s">
        <v>782</v>
      </c>
      <c r="D150" s="540">
        <v>0</v>
      </c>
      <c r="E150" s="540">
        <v>0</v>
      </c>
      <c r="F150" s="540">
        <v>0</v>
      </c>
      <c r="G150" s="540">
        <v>0</v>
      </c>
      <c r="H150" s="540">
        <v>0</v>
      </c>
      <c r="I150" s="540">
        <v>0</v>
      </c>
      <c r="J150" s="540">
        <v>0</v>
      </c>
      <c r="K150" s="540">
        <v>0</v>
      </c>
      <c r="L150" s="540">
        <v>0</v>
      </c>
      <c r="M150" s="540">
        <v>0</v>
      </c>
      <c r="N150" s="540">
        <v>0</v>
      </c>
      <c r="O150" s="540">
        <v>0</v>
      </c>
      <c r="P150" s="540">
        <v>0</v>
      </c>
      <c r="Q150" s="540">
        <v>0</v>
      </c>
      <c r="R150" s="540">
        <v>0</v>
      </c>
      <c r="S150" s="540">
        <v>0</v>
      </c>
      <c r="T150" s="540">
        <v>0</v>
      </c>
      <c r="U150" s="540">
        <v>0</v>
      </c>
      <c r="V150" s="540">
        <v>0</v>
      </c>
      <c r="W150" s="540">
        <v>0</v>
      </c>
      <c r="X150" s="540">
        <v>0</v>
      </c>
      <c r="Y150" s="540">
        <v>0</v>
      </c>
      <c r="Z150" s="540">
        <v>0</v>
      </c>
      <c r="AA150" s="540">
        <v>0</v>
      </c>
      <c r="AB150" s="540">
        <v>0</v>
      </c>
      <c r="AC150" s="540">
        <v>0</v>
      </c>
      <c r="AD150" s="540">
        <v>0</v>
      </c>
      <c r="AE150" s="540">
        <v>0</v>
      </c>
      <c r="AF150" s="540">
        <v>0</v>
      </c>
      <c r="AG150" s="540">
        <v>0</v>
      </c>
      <c r="AH150" s="540">
        <v>0</v>
      </c>
      <c r="AI150" s="540">
        <v>0</v>
      </c>
      <c r="AJ150" s="540">
        <v>0</v>
      </c>
      <c r="AK150" s="540">
        <v>0</v>
      </c>
      <c r="AL150" s="540">
        <v>0</v>
      </c>
    </row>
    <row r="151" spans="1:38">
      <c r="A151" s="539" t="s">
        <v>664</v>
      </c>
      <c r="B151" s="539" t="s">
        <v>661</v>
      </c>
      <c r="C151" s="538" t="s">
        <v>783</v>
      </c>
      <c r="D151" s="540">
        <v>0</v>
      </c>
      <c r="E151" s="540">
        <v>0</v>
      </c>
      <c r="F151" s="540">
        <v>0</v>
      </c>
      <c r="G151" s="540">
        <v>0</v>
      </c>
      <c r="H151" s="540">
        <v>0</v>
      </c>
      <c r="I151" s="540">
        <v>0</v>
      </c>
      <c r="J151" s="540">
        <v>0</v>
      </c>
      <c r="K151" s="540">
        <v>0</v>
      </c>
      <c r="L151" s="540">
        <v>0</v>
      </c>
      <c r="M151" s="540">
        <v>0</v>
      </c>
      <c r="N151" s="540">
        <v>0</v>
      </c>
      <c r="O151" s="540">
        <v>0</v>
      </c>
      <c r="P151" s="540">
        <v>0</v>
      </c>
      <c r="Q151" s="540">
        <v>0</v>
      </c>
      <c r="R151" s="540">
        <v>0</v>
      </c>
      <c r="S151" s="540">
        <v>0</v>
      </c>
      <c r="T151" s="540">
        <v>0</v>
      </c>
      <c r="U151" s="540">
        <v>0</v>
      </c>
      <c r="V151" s="540">
        <v>0</v>
      </c>
      <c r="W151" s="540">
        <v>0</v>
      </c>
      <c r="X151" s="540">
        <v>0</v>
      </c>
      <c r="Y151" s="540">
        <v>0</v>
      </c>
      <c r="Z151" s="540">
        <v>0</v>
      </c>
      <c r="AA151" s="540">
        <v>0</v>
      </c>
      <c r="AB151" s="540">
        <v>0</v>
      </c>
      <c r="AC151" s="540">
        <v>0</v>
      </c>
      <c r="AD151" s="540">
        <v>0</v>
      </c>
      <c r="AE151" s="540">
        <v>0</v>
      </c>
      <c r="AF151" s="540">
        <v>0</v>
      </c>
      <c r="AG151" s="540">
        <v>0</v>
      </c>
      <c r="AH151" s="540">
        <v>0</v>
      </c>
      <c r="AI151" s="540">
        <v>0</v>
      </c>
      <c r="AJ151" s="540">
        <v>0</v>
      </c>
      <c r="AK151" s="540">
        <v>0</v>
      </c>
      <c r="AL151" s="540">
        <v>0</v>
      </c>
    </row>
    <row r="152" spans="1:38">
      <c r="A152" s="539" t="s">
        <v>664</v>
      </c>
      <c r="B152" s="539" t="s">
        <v>668</v>
      </c>
      <c r="C152" s="538" t="s">
        <v>784</v>
      </c>
      <c r="D152" s="540">
        <v>0</v>
      </c>
      <c r="E152" s="540">
        <v>0</v>
      </c>
      <c r="F152" s="540">
        <v>0</v>
      </c>
      <c r="G152" s="540">
        <v>0</v>
      </c>
      <c r="H152" s="540">
        <v>0</v>
      </c>
      <c r="I152" s="540">
        <v>0</v>
      </c>
      <c r="J152" s="540">
        <v>0</v>
      </c>
      <c r="K152" s="540">
        <v>0</v>
      </c>
      <c r="L152" s="540">
        <v>0</v>
      </c>
      <c r="M152" s="540">
        <v>0</v>
      </c>
      <c r="N152" s="540">
        <v>0</v>
      </c>
      <c r="O152" s="540">
        <v>0</v>
      </c>
      <c r="P152" s="540">
        <v>0</v>
      </c>
      <c r="Q152" s="540">
        <v>0</v>
      </c>
      <c r="R152" s="540">
        <v>0</v>
      </c>
      <c r="S152" s="540">
        <v>0</v>
      </c>
      <c r="T152" s="540">
        <v>0</v>
      </c>
      <c r="U152" s="540">
        <v>0</v>
      </c>
      <c r="V152" s="540">
        <v>0</v>
      </c>
      <c r="W152" s="540">
        <v>0</v>
      </c>
      <c r="X152" s="540">
        <v>0</v>
      </c>
      <c r="Y152" s="540">
        <v>0</v>
      </c>
      <c r="Z152" s="540">
        <v>0</v>
      </c>
      <c r="AA152" s="540">
        <v>0</v>
      </c>
      <c r="AB152" s="540">
        <v>0</v>
      </c>
      <c r="AC152" s="540">
        <v>0</v>
      </c>
      <c r="AD152" s="540">
        <v>0</v>
      </c>
      <c r="AE152" s="540">
        <v>0</v>
      </c>
      <c r="AF152" s="540">
        <v>0</v>
      </c>
      <c r="AG152" s="540">
        <v>0</v>
      </c>
      <c r="AH152" s="540">
        <v>0</v>
      </c>
      <c r="AI152" s="540">
        <v>0</v>
      </c>
      <c r="AJ152" s="540">
        <v>0</v>
      </c>
      <c r="AK152" s="540">
        <v>0</v>
      </c>
      <c r="AL152" s="540">
        <v>0</v>
      </c>
    </row>
    <row r="153" spans="1:38" hidden="1">
      <c r="A153" s="539" t="s">
        <v>660</v>
      </c>
      <c r="B153" s="539" t="s">
        <v>661</v>
      </c>
      <c r="C153" s="538" t="s">
        <v>785</v>
      </c>
      <c r="D153" s="540">
        <v>12845</v>
      </c>
      <c r="E153" s="540">
        <v>0</v>
      </c>
      <c r="F153" s="540">
        <v>0</v>
      </c>
      <c r="G153" s="540">
        <v>0</v>
      </c>
      <c r="H153" s="540">
        <v>32</v>
      </c>
      <c r="I153" s="540">
        <v>1858</v>
      </c>
      <c r="J153" s="540">
        <v>0</v>
      </c>
      <c r="K153" s="540">
        <v>817</v>
      </c>
      <c r="L153" s="540">
        <v>5720</v>
      </c>
      <c r="M153" s="540">
        <v>0</v>
      </c>
      <c r="N153" s="540">
        <v>1260</v>
      </c>
      <c r="O153" s="540">
        <v>1670</v>
      </c>
      <c r="P153" s="540">
        <v>151</v>
      </c>
      <c r="Q153" s="540">
        <v>0</v>
      </c>
      <c r="R153" s="540">
        <v>0</v>
      </c>
      <c r="S153" s="540">
        <v>0</v>
      </c>
      <c r="T153" s="540">
        <v>22</v>
      </c>
      <c r="U153" s="540">
        <v>0</v>
      </c>
      <c r="V153" s="540">
        <v>0</v>
      </c>
      <c r="W153" s="540">
        <v>7</v>
      </c>
      <c r="X153" s="540">
        <v>0</v>
      </c>
      <c r="Y153" s="540">
        <v>292</v>
      </c>
      <c r="Z153" s="540">
        <v>0</v>
      </c>
      <c r="AA153" s="540">
        <v>18</v>
      </c>
      <c r="AB153" s="540">
        <v>0</v>
      </c>
      <c r="AC153" s="540">
        <v>14</v>
      </c>
      <c r="AD153" s="540">
        <v>144</v>
      </c>
      <c r="AE153" s="540">
        <v>839</v>
      </c>
      <c r="AF153" s="540">
        <v>12654</v>
      </c>
      <c r="AG153" s="540">
        <v>14</v>
      </c>
      <c r="AH153" s="540">
        <v>0</v>
      </c>
      <c r="AI153" s="540">
        <v>0</v>
      </c>
      <c r="AJ153" s="540">
        <v>47</v>
      </c>
      <c r="AK153" s="540">
        <v>0</v>
      </c>
      <c r="AL153" s="540">
        <v>4</v>
      </c>
    </row>
    <row r="154" spans="1:38" hidden="1">
      <c r="A154" s="539" t="s">
        <v>660</v>
      </c>
      <c r="B154" s="539" t="s">
        <v>668</v>
      </c>
      <c r="C154" s="538" t="s">
        <v>786</v>
      </c>
      <c r="D154" s="540">
        <v>3028</v>
      </c>
      <c r="E154" s="540">
        <v>0</v>
      </c>
      <c r="F154" s="540">
        <v>0</v>
      </c>
      <c r="G154" s="540">
        <v>43</v>
      </c>
      <c r="H154" s="540">
        <v>90</v>
      </c>
      <c r="I154" s="540">
        <v>986</v>
      </c>
      <c r="J154" s="540">
        <v>0</v>
      </c>
      <c r="K154" s="540">
        <v>0</v>
      </c>
      <c r="L154" s="540">
        <v>76</v>
      </c>
      <c r="M154" s="540">
        <v>0</v>
      </c>
      <c r="N154" s="540">
        <v>29</v>
      </c>
      <c r="O154" s="540">
        <v>1220</v>
      </c>
      <c r="P154" s="540">
        <v>0</v>
      </c>
      <c r="Q154" s="540">
        <v>0</v>
      </c>
      <c r="R154" s="540">
        <v>0</v>
      </c>
      <c r="S154" s="540">
        <v>4</v>
      </c>
      <c r="T154" s="540">
        <v>7</v>
      </c>
      <c r="U154" s="540">
        <v>0</v>
      </c>
      <c r="V154" s="540">
        <v>234</v>
      </c>
      <c r="W154" s="540">
        <v>4</v>
      </c>
      <c r="X154" s="540">
        <v>25</v>
      </c>
      <c r="Y154" s="540">
        <v>0</v>
      </c>
      <c r="Z154" s="540">
        <v>7</v>
      </c>
      <c r="AA154" s="540">
        <v>7</v>
      </c>
      <c r="AB154" s="540">
        <v>0</v>
      </c>
      <c r="AC154" s="540">
        <v>25</v>
      </c>
      <c r="AD154" s="540">
        <v>270</v>
      </c>
      <c r="AE154" s="540">
        <v>0</v>
      </c>
      <c r="AF154" s="540">
        <v>2938</v>
      </c>
      <c r="AG154" s="540">
        <v>0</v>
      </c>
      <c r="AH154" s="540">
        <v>0</v>
      </c>
      <c r="AI154" s="540">
        <v>18</v>
      </c>
      <c r="AJ154" s="540">
        <v>22</v>
      </c>
      <c r="AK154" s="540">
        <v>0</v>
      </c>
      <c r="AL154" s="540">
        <v>0</v>
      </c>
    </row>
    <row r="155" spans="1:38">
      <c r="A155" s="539" t="s">
        <v>664</v>
      </c>
      <c r="B155" s="539" t="s">
        <v>661</v>
      </c>
      <c r="C155" s="538" t="s">
        <v>787</v>
      </c>
      <c r="D155" s="540">
        <v>1195</v>
      </c>
      <c r="E155" s="540">
        <v>0</v>
      </c>
      <c r="F155" s="540">
        <v>0</v>
      </c>
      <c r="G155" s="540">
        <v>25</v>
      </c>
      <c r="H155" s="540">
        <v>0</v>
      </c>
      <c r="I155" s="540">
        <v>490</v>
      </c>
      <c r="J155" s="540">
        <v>0</v>
      </c>
      <c r="K155" s="540">
        <v>0</v>
      </c>
      <c r="L155" s="540">
        <v>0</v>
      </c>
      <c r="M155" s="540">
        <v>0</v>
      </c>
      <c r="N155" s="540">
        <v>619</v>
      </c>
      <c r="O155" s="540">
        <v>25</v>
      </c>
      <c r="P155" s="540">
        <v>0</v>
      </c>
      <c r="Q155" s="540">
        <v>0</v>
      </c>
      <c r="R155" s="540">
        <v>0</v>
      </c>
      <c r="S155" s="540">
        <v>0</v>
      </c>
      <c r="T155" s="540">
        <v>0</v>
      </c>
      <c r="U155" s="540">
        <v>0</v>
      </c>
      <c r="V155" s="540">
        <v>0</v>
      </c>
      <c r="W155" s="540">
        <v>0</v>
      </c>
      <c r="X155" s="540">
        <v>0</v>
      </c>
      <c r="Y155" s="540">
        <v>4</v>
      </c>
      <c r="Z155" s="540">
        <v>25</v>
      </c>
      <c r="AA155" s="540">
        <v>0</v>
      </c>
      <c r="AB155" s="540">
        <v>0</v>
      </c>
      <c r="AC155" s="540">
        <v>7</v>
      </c>
      <c r="AD155" s="540">
        <v>0</v>
      </c>
      <c r="AE155" s="540">
        <v>0</v>
      </c>
      <c r="AF155" s="540">
        <v>1228</v>
      </c>
      <c r="AG155" s="540">
        <v>4</v>
      </c>
      <c r="AH155" s="540">
        <v>83</v>
      </c>
      <c r="AI155" s="540">
        <v>144</v>
      </c>
      <c r="AJ155" s="540">
        <v>0</v>
      </c>
      <c r="AK155" s="540">
        <v>0</v>
      </c>
      <c r="AL155" s="540">
        <v>7</v>
      </c>
    </row>
    <row r="156" spans="1:38">
      <c r="A156" s="539" t="s">
        <v>664</v>
      </c>
      <c r="B156" s="539" t="s">
        <v>668</v>
      </c>
      <c r="C156" s="538" t="s">
        <v>788</v>
      </c>
      <c r="D156" s="540">
        <v>1282</v>
      </c>
      <c r="E156" s="540">
        <v>0</v>
      </c>
      <c r="F156" s="540">
        <v>0</v>
      </c>
      <c r="G156" s="540">
        <v>0</v>
      </c>
      <c r="H156" s="540">
        <v>4</v>
      </c>
      <c r="I156" s="540">
        <v>508</v>
      </c>
      <c r="J156" s="540">
        <v>0</v>
      </c>
      <c r="K156" s="540">
        <v>0</v>
      </c>
      <c r="L156" s="540">
        <v>4</v>
      </c>
      <c r="M156" s="540">
        <v>0</v>
      </c>
      <c r="N156" s="540">
        <v>22</v>
      </c>
      <c r="O156" s="540">
        <v>90</v>
      </c>
      <c r="P156" s="540">
        <v>0</v>
      </c>
      <c r="Q156" s="540">
        <v>0</v>
      </c>
      <c r="R156" s="540">
        <v>0</v>
      </c>
      <c r="S156" s="540">
        <v>0</v>
      </c>
      <c r="T156" s="540">
        <v>0</v>
      </c>
      <c r="U156" s="540">
        <v>0</v>
      </c>
      <c r="V156" s="540">
        <v>50</v>
      </c>
      <c r="W156" s="540">
        <v>0</v>
      </c>
      <c r="X156" s="540">
        <v>11</v>
      </c>
      <c r="Y156" s="540">
        <v>4</v>
      </c>
      <c r="Z156" s="540">
        <v>0</v>
      </c>
      <c r="AA156" s="540">
        <v>0</v>
      </c>
      <c r="AB156" s="540">
        <v>0</v>
      </c>
      <c r="AC156" s="540">
        <v>36</v>
      </c>
      <c r="AD156" s="540">
        <v>7</v>
      </c>
      <c r="AE156" s="540">
        <v>547</v>
      </c>
      <c r="AF156" s="540">
        <v>1271</v>
      </c>
      <c r="AG156" s="540">
        <v>0</v>
      </c>
      <c r="AH156" s="540">
        <v>0</v>
      </c>
      <c r="AI156" s="540">
        <v>324</v>
      </c>
      <c r="AJ156" s="540">
        <v>0</v>
      </c>
      <c r="AK156" s="540">
        <v>0</v>
      </c>
      <c r="AL156" s="540">
        <v>0</v>
      </c>
    </row>
    <row r="157" spans="1:38" hidden="1">
      <c r="A157" s="539" t="s">
        <v>660</v>
      </c>
      <c r="B157" s="539" t="s">
        <v>661</v>
      </c>
      <c r="C157" s="538" t="s">
        <v>789</v>
      </c>
      <c r="D157" s="540">
        <v>272880</v>
      </c>
      <c r="E157" s="540">
        <v>5666</v>
      </c>
      <c r="F157" s="540">
        <v>414</v>
      </c>
      <c r="G157" s="540">
        <v>18</v>
      </c>
      <c r="H157" s="540">
        <v>18</v>
      </c>
      <c r="I157" s="540">
        <v>5252</v>
      </c>
      <c r="J157" s="540">
        <v>90</v>
      </c>
      <c r="K157" s="540">
        <v>11052</v>
      </c>
      <c r="L157" s="540">
        <v>24566</v>
      </c>
      <c r="M157" s="540">
        <v>60062</v>
      </c>
      <c r="N157" s="540">
        <v>17194</v>
      </c>
      <c r="O157" s="540">
        <v>97027</v>
      </c>
      <c r="P157" s="540">
        <v>15502</v>
      </c>
      <c r="Q157" s="540">
        <v>0</v>
      </c>
      <c r="R157" s="540">
        <v>0</v>
      </c>
      <c r="S157" s="540">
        <v>0</v>
      </c>
      <c r="T157" s="540">
        <v>943</v>
      </c>
      <c r="U157" s="540">
        <v>0</v>
      </c>
      <c r="V157" s="540">
        <v>0</v>
      </c>
      <c r="W157" s="540">
        <v>1566</v>
      </c>
      <c r="X157" s="540">
        <v>0</v>
      </c>
      <c r="Y157" s="540">
        <v>22104</v>
      </c>
      <c r="Z157" s="540">
        <v>1037</v>
      </c>
      <c r="AA157" s="540">
        <v>7</v>
      </c>
      <c r="AB157" s="540">
        <v>32</v>
      </c>
      <c r="AC157" s="540">
        <v>180</v>
      </c>
      <c r="AD157" s="540">
        <v>472</v>
      </c>
      <c r="AE157" s="540">
        <v>9677</v>
      </c>
      <c r="AF157" s="540">
        <v>254837</v>
      </c>
      <c r="AG157" s="540">
        <v>0</v>
      </c>
      <c r="AH157" s="540">
        <v>0</v>
      </c>
      <c r="AI157" s="540">
        <v>0</v>
      </c>
      <c r="AJ157" s="540">
        <v>4219</v>
      </c>
      <c r="AK157" s="540">
        <v>50</v>
      </c>
      <c r="AL157" s="540">
        <v>8924</v>
      </c>
    </row>
    <row r="158" spans="1:38" hidden="1">
      <c r="A158" s="539" t="s">
        <v>660</v>
      </c>
      <c r="B158" s="539" t="s">
        <v>668</v>
      </c>
      <c r="C158" s="538" t="s">
        <v>790</v>
      </c>
      <c r="D158" s="540">
        <v>21074</v>
      </c>
      <c r="E158" s="540">
        <v>47</v>
      </c>
      <c r="F158" s="540">
        <v>4</v>
      </c>
      <c r="G158" s="540">
        <v>47</v>
      </c>
      <c r="H158" s="540">
        <v>4036</v>
      </c>
      <c r="I158" s="540">
        <v>119</v>
      </c>
      <c r="J158" s="540">
        <v>7</v>
      </c>
      <c r="K158" s="540">
        <v>0</v>
      </c>
      <c r="L158" s="540">
        <v>0</v>
      </c>
      <c r="M158" s="540">
        <v>0</v>
      </c>
      <c r="N158" s="540">
        <v>76</v>
      </c>
      <c r="O158" s="540">
        <v>3107</v>
      </c>
      <c r="P158" s="540">
        <v>0</v>
      </c>
      <c r="Q158" s="540">
        <v>22</v>
      </c>
      <c r="R158" s="540">
        <v>666</v>
      </c>
      <c r="S158" s="540">
        <v>0</v>
      </c>
      <c r="T158" s="540">
        <v>108</v>
      </c>
      <c r="U158" s="540">
        <v>0</v>
      </c>
      <c r="V158" s="540">
        <v>72</v>
      </c>
      <c r="W158" s="540">
        <v>1778</v>
      </c>
      <c r="X158" s="540">
        <v>2167</v>
      </c>
      <c r="Y158" s="540">
        <v>2290</v>
      </c>
      <c r="Z158" s="540">
        <v>4597</v>
      </c>
      <c r="AA158" s="540">
        <v>7</v>
      </c>
      <c r="AB158" s="540">
        <v>43</v>
      </c>
      <c r="AC158" s="540">
        <v>446</v>
      </c>
      <c r="AD158" s="540">
        <v>1436</v>
      </c>
      <c r="AE158" s="540">
        <v>0</v>
      </c>
      <c r="AF158" s="540">
        <v>13406</v>
      </c>
      <c r="AG158" s="540">
        <v>0</v>
      </c>
      <c r="AH158" s="540">
        <v>0</v>
      </c>
      <c r="AI158" s="540">
        <v>0</v>
      </c>
      <c r="AJ158" s="540">
        <v>1717</v>
      </c>
      <c r="AK158" s="540">
        <v>0</v>
      </c>
      <c r="AL158" s="540">
        <v>7</v>
      </c>
    </row>
    <row r="159" spans="1:38">
      <c r="A159" s="539" t="s">
        <v>664</v>
      </c>
      <c r="B159" s="539" t="s">
        <v>661</v>
      </c>
      <c r="C159" s="538" t="s">
        <v>791</v>
      </c>
      <c r="D159" s="540">
        <v>8759</v>
      </c>
      <c r="E159" s="540">
        <v>7</v>
      </c>
      <c r="F159" s="540">
        <v>0</v>
      </c>
      <c r="G159" s="540">
        <v>299</v>
      </c>
      <c r="H159" s="540">
        <v>0</v>
      </c>
      <c r="I159" s="540">
        <v>5764</v>
      </c>
      <c r="J159" s="540">
        <v>14</v>
      </c>
      <c r="K159" s="540">
        <v>0</v>
      </c>
      <c r="L159" s="540">
        <v>0</v>
      </c>
      <c r="M159" s="540">
        <v>0</v>
      </c>
      <c r="N159" s="540">
        <v>961</v>
      </c>
      <c r="O159" s="540">
        <v>803</v>
      </c>
      <c r="P159" s="540">
        <v>0</v>
      </c>
      <c r="Q159" s="540">
        <v>0</v>
      </c>
      <c r="R159" s="540">
        <v>0</v>
      </c>
      <c r="S159" s="540">
        <v>0</v>
      </c>
      <c r="T159" s="540">
        <v>0</v>
      </c>
      <c r="U159" s="540">
        <v>0</v>
      </c>
      <c r="V159" s="540">
        <v>0</v>
      </c>
      <c r="W159" s="540">
        <v>32</v>
      </c>
      <c r="X159" s="540">
        <v>0</v>
      </c>
      <c r="Y159" s="540">
        <v>7</v>
      </c>
      <c r="Z159" s="540">
        <v>356</v>
      </c>
      <c r="AA159" s="540">
        <v>0</v>
      </c>
      <c r="AB159" s="540">
        <v>0</v>
      </c>
      <c r="AC159" s="540">
        <v>238</v>
      </c>
      <c r="AD159" s="540">
        <v>18</v>
      </c>
      <c r="AE159" s="540">
        <v>259</v>
      </c>
      <c r="AF159" s="540">
        <v>8089</v>
      </c>
      <c r="AG159" s="540">
        <v>0</v>
      </c>
      <c r="AH159" s="540">
        <v>0</v>
      </c>
      <c r="AI159" s="540">
        <v>0</v>
      </c>
      <c r="AJ159" s="540">
        <v>0</v>
      </c>
      <c r="AK159" s="540">
        <v>0</v>
      </c>
      <c r="AL159" s="540">
        <v>6163</v>
      </c>
    </row>
    <row r="160" spans="1:38">
      <c r="A160" s="539" t="s">
        <v>664</v>
      </c>
      <c r="B160" s="539" t="s">
        <v>668</v>
      </c>
      <c r="C160" s="538" t="s">
        <v>792</v>
      </c>
      <c r="D160" s="540">
        <v>71104</v>
      </c>
      <c r="E160" s="540">
        <v>544</v>
      </c>
      <c r="F160" s="540">
        <v>18</v>
      </c>
      <c r="G160" s="540">
        <v>86</v>
      </c>
      <c r="H160" s="540">
        <v>230</v>
      </c>
      <c r="I160" s="540">
        <v>5746</v>
      </c>
      <c r="J160" s="540">
        <v>4</v>
      </c>
      <c r="K160" s="540">
        <v>0</v>
      </c>
      <c r="L160" s="540">
        <v>259</v>
      </c>
      <c r="M160" s="540">
        <v>25081</v>
      </c>
      <c r="N160" s="540">
        <v>1768</v>
      </c>
      <c r="O160" s="540">
        <v>12679</v>
      </c>
      <c r="P160" s="540">
        <v>101</v>
      </c>
      <c r="Q160" s="540">
        <v>0</v>
      </c>
      <c r="R160" s="540">
        <v>0</v>
      </c>
      <c r="S160" s="540">
        <v>0</v>
      </c>
      <c r="T160" s="540">
        <v>126</v>
      </c>
      <c r="U160" s="540">
        <v>0</v>
      </c>
      <c r="V160" s="540">
        <v>133</v>
      </c>
      <c r="W160" s="540">
        <v>162</v>
      </c>
      <c r="X160" s="540">
        <v>7492</v>
      </c>
      <c r="Y160" s="540">
        <v>6329</v>
      </c>
      <c r="Z160" s="540">
        <v>518</v>
      </c>
      <c r="AA160" s="540">
        <v>112</v>
      </c>
      <c r="AB160" s="540">
        <v>2531</v>
      </c>
      <c r="AC160" s="540">
        <v>785</v>
      </c>
      <c r="AD160" s="540">
        <v>2563</v>
      </c>
      <c r="AE160" s="540">
        <v>3838</v>
      </c>
      <c r="AF160" s="540">
        <v>60116</v>
      </c>
      <c r="AG160" s="540">
        <v>0</v>
      </c>
      <c r="AH160" s="540">
        <v>0</v>
      </c>
      <c r="AI160" s="540">
        <v>245</v>
      </c>
      <c r="AJ160" s="540">
        <v>612</v>
      </c>
      <c r="AK160" s="540">
        <v>4</v>
      </c>
      <c r="AL160" s="540">
        <v>3341</v>
      </c>
    </row>
    <row r="161" spans="1:38" hidden="1">
      <c r="A161" s="539" t="s">
        <v>660</v>
      </c>
      <c r="B161" s="539" t="s">
        <v>661</v>
      </c>
      <c r="C161" s="538" t="s">
        <v>793</v>
      </c>
      <c r="D161" s="540">
        <v>25</v>
      </c>
      <c r="E161" s="540">
        <v>0</v>
      </c>
      <c r="F161" s="540">
        <v>0</v>
      </c>
      <c r="G161" s="540">
        <v>0</v>
      </c>
      <c r="H161" s="540">
        <v>0</v>
      </c>
      <c r="I161" s="540">
        <v>0</v>
      </c>
      <c r="J161" s="540">
        <v>0</v>
      </c>
      <c r="K161" s="540">
        <v>0</v>
      </c>
      <c r="L161" s="540">
        <v>0</v>
      </c>
      <c r="M161" s="540">
        <v>0</v>
      </c>
      <c r="N161" s="540">
        <v>0</v>
      </c>
      <c r="O161" s="540">
        <v>25</v>
      </c>
      <c r="P161" s="540">
        <v>0</v>
      </c>
      <c r="Q161" s="540">
        <v>0</v>
      </c>
      <c r="R161" s="540">
        <v>0</v>
      </c>
      <c r="S161" s="540">
        <v>0</v>
      </c>
      <c r="T161" s="540">
        <v>0</v>
      </c>
      <c r="U161" s="540">
        <v>0</v>
      </c>
      <c r="V161" s="540">
        <v>0</v>
      </c>
      <c r="W161" s="540">
        <v>0</v>
      </c>
      <c r="X161" s="540">
        <v>0</v>
      </c>
      <c r="Y161" s="540">
        <v>0</v>
      </c>
      <c r="Z161" s="540">
        <v>0</v>
      </c>
      <c r="AA161" s="540">
        <v>0</v>
      </c>
      <c r="AB161" s="540">
        <v>0</v>
      </c>
      <c r="AC161" s="540">
        <v>0</v>
      </c>
      <c r="AD161" s="540">
        <v>0</v>
      </c>
      <c r="AE161" s="540">
        <v>0</v>
      </c>
      <c r="AF161" s="540">
        <v>25</v>
      </c>
      <c r="AG161" s="540">
        <v>0</v>
      </c>
      <c r="AH161" s="540">
        <v>0</v>
      </c>
      <c r="AI161" s="540">
        <v>0</v>
      </c>
      <c r="AJ161" s="540">
        <v>0</v>
      </c>
      <c r="AK161" s="540">
        <v>0</v>
      </c>
      <c r="AL161" s="540">
        <v>0</v>
      </c>
    </row>
    <row r="162" spans="1:38" hidden="1">
      <c r="A162" s="539" t="s">
        <v>660</v>
      </c>
      <c r="B162" s="539" t="s">
        <v>668</v>
      </c>
      <c r="C162" s="538" t="s">
        <v>794</v>
      </c>
      <c r="D162" s="540">
        <v>778</v>
      </c>
      <c r="E162" s="540">
        <v>0</v>
      </c>
      <c r="F162" s="540">
        <v>0</v>
      </c>
      <c r="G162" s="540">
        <v>0</v>
      </c>
      <c r="H162" s="540">
        <v>0</v>
      </c>
      <c r="I162" s="540">
        <v>0</v>
      </c>
      <c r="J162" s="540">
        <v>0</v>
      </c>
      <c r="K162" s="540">
        <v>0</v>
      </c>
      <c r="L162" s="540">
        <v>0</v>
      </c>
      <c r="M162" s="540">
        <v>0</v>
      </c>
      <c r="N162" s="540">
        <v>0</v>
      </c>
      <c r="O162" s="540">
        <v>0</v>
      </c>
      <c r="P162" s="540">
        <v>0</v>
      </c>
      <c r="Q162" s="540">
        <v>0</v>
      </c>
      <c r="R162" s="540">
        <v>778</v>
      </c>
      <c r="S162" s="540">
        <v>0</v>
      </c>
      <c r="T162" s="540">
        <v>0</v>
      </c>
      <c r="U162" s="540">
        <v>0</v>
      </c>
      <c r="V162" s="540">
        <v>0</v>
      </c>
      <c r="W162" s="540">
        <v>0</v>
      </c>
      <c r="X162" s="540">
        <v>0</v>
      </c>
      <c r="Y162" s="540">
        <v>0</v>
      </c>
      <c r="Z162" s="540">
        <v>0</v>
      </c>
      <c r="AA162" s="540">
        <v>0</v>
      </c>
      <c r="AB162" s="540">
        <v>0</v>
      </c>
      <c r="AC162" s="540">
        <v>0</v>
      </c>
      <c r="AD162" s="540">
        <v>0</v>
      </c>
      <c r="AE162" s="540">
        <v>0</v>
      </c>
      <c r="AF162" s="540">
        <v>0</v>
      </c>
      <c r="AG162" s="540">
        <v>0</v>
      </c>
      <c r="AH162" s="540">
        <v>0</v>
      </c>
      <c r="AI162" s="540">
        <v>0</v>
      </c>
      <c r="AJ162" s="540">
        <v>0</v>
      </c>
      <c r="AK162" s="540">
        <v>0</v>
      </c>
      <c r="AL162" s="540">
        <v>0</v>
      </c>
    </row>
    <row r="163" spans="1:38">
      <c r="A163" s="539" t="s">
        <v>664</v>
      </c>
      <c r="B163" s="539" t="s">
        <v>661</v>
      </c>
      <c r="C163" s="538" t="s">
        <v>795</v>
      </c>
      <c r="D163" s="540">
        <v>0</v>
      </c>
      <c r="E163" s="540">
        <v>0</v>
      </c>
      <c r="F163" s="540">
        <v>0</v>
      </c>
      <c r="G163" s="540">
        <v>0</v>
      </c>
      <c r="H163" s="540">
        <v>0</v>
      </c>
      <c r="I163" s="540">
        <v>0</v>
      </c>
      <c r="J163" s="540">
        <v>0</v>
      </c>
      <c r="K163" s="540">
        <v>0</v>
      </c>
      <c r="L163" s="540">
        <v>0</v>
      </c>
      <c r="M163" s="540">
        <v>0</v>
      </c>
      <c r="N163" s="540">
        <v>0</v>
      </c>
      <c r="O163" s="540">
        <v>0</v>
      </c>
      <c r="P163" s="540">
        <v>0</v>
      </c>
      <c r="Q163" s="540">
        <v>0</v>
      </c>
      <c r="R163" s="540">
        <v>0</v>
      </c>
      <c r="S163" s="540">
        <v>0</v>
      </c>
      <c r="T163" s="540">
        <v>0</v>
      </c>
      <c r="U163" s="540">
        <v>0</v>
      </c>
      <c r="V163" s="540">
        <v>0</v>
      </c>
      <c r="W163" s="540">
        <v>0</v>
      </c>
      <c r="X163" s="540">
        <v>0</v>
      </c>
      <c r="Y163" s="540">
        <v>0</v>
      </c>
      <c r="Z163" s="540">
        <v>0</v>
      </c>
      <c r="AA163" s="540">
        <v>0</v>
      </c>
      <c r="AB163" s="540">
        <v>0</v>
      </c>
      <c r="AC163" s="540">
        <v>0</v>
      </c>
      <c r="AD163" s="540">
        <v>0</v>
      </c>
      <c r="AE163" s="540">
        <v>0</v>
      </c>
      <c r="AF163" s="540">
        <v>0</v>
      </c>
      <c r="AG163" s="540">
        <v>0</v>
      </c>
      <c r="AH163" s="540">
        <v>0</v>
      </c>
      <c r="AI163" s="540">
        <v>0</v>
      </c>
      <c r="AJ163" s="540">
        <v>0</v>
      </c>
      <c r="AK163" s="540">
        <v>0</v>
      </c>
      <c r="AL163" s="540">
        <v>0</v>
      </c>
    </row>
    <row r="164" spans="1:38">
      <c r="A164" s="539" t="s">
        <v>664</v>
      </c>
      <c r="B164" s="539" t="s">
        <v>668</v>
      </c>
      <c r="C164" s="538" t="s">
        <v>796</v>
      </c>
      <c r="D164" s="540">
        <v>0</v>
      </c>
      <c r="E164" s="540">
        <v>0</v>
      </c>
      <c r="F164" s="540">
        <v>0</v>
      </c>
      <c r="G164" s="540">
        <v>0</v>
      </c>
      <c r="H164" s="540">
        <v>0</v>
      </c>
      <c r="I164" s="540">
        <v>0</v>
      </c>
      <c r="J164" s="540">
        <v>0</v>
      </c>
      <c r="K164" s="540">
        <v>0</v>
      </c>
      <c r="L164" s="540">
        <v>0</v>
      </c>
      <c r="M164" s="540">
        <v>0</v>
      </c>
      <c r="N164" s="540">
        <v>0</v>
      </c>
      <c r="O164" s="540">
        <v>0</v>
      </c>
      <c r="P164" s="540">
        <v>0</v>
      </c>
      <c r="Q164" s="540">
        <v>0</v>
      </c>
      <c r="R164" s="540">
        <v>0</v>
      </c>
      <c r="S164" s="540">
        <v>0</v>
      </c>
      <c r="T164" s="540">
        <v>0</v>
      </c>
      <c r="U164" s="540">
        <v>0</v>
      </c>
      <c r="V164" s="540">
        <v>0</v>
      </c>
      <c r="W164" s="540">
        <v>0</v>
      </c>
      <c r="X164" s="540">
        <v>0</v>
      </c>
      <c r="Y164" s="540">
        <v>0</v>
      </c>
      <c r="Z164" s="540">
        <v>0</v>
      </c>
      <c r="AA164" s="540">
        <v>0</v>
      </c>
      <c r="AB164" s="540">
        <v>0</v>
      </c>
      <c r="AC164" s="540">
        <v>0</v>
      </c>
      <c r="AD164" s="540">
        <v>0</v>
      </c>
      <c r="AE164" s="540">
        <v>0</v>
      </c>
      <c r="AF164" s="540">
        <v>0</v>
      </c>
      <c r="AG164" s="540">
        <v>0</v>
      </c>
      <c r="AH164" s="540">
        <v>0</v>
      </c>
      <c r="AI164" s="540">
        <v>0</v>
      </c>
      <c r="AJ164" s="540">
        <v>0</v>
      </c>
      <c r="AK164" s="540">
        <v>0</v>
      </c>
      <c r="AL164" s="540">
        <v>0</v>
      </c>
    </row>
    <row r="165" spans="1:38" hidden="1">
      <c r="A165" s="539" t="s">
        <v>660</v>
      </c>
      <c r="B165" s="539" t="s">
        <v>661</v>
      </c>
      <c r="C165" s="538" t="s">
        <v>797</v>
      </c>
      <c r="D165" s="540">
        <v>11448</v>
      </c>
      <c r="E165" s="540">
        <v>0</v>
      </c>
      <c r="F165" s="540">
        <v>0</v>
      </c>
      <c r="G165" s="540">
        <v>0</v>
      </c>
      <c r="H165" s="540">
        <v>0</v>
      </c>
      <c r="I165" s="540">
        <v>6293</v>
      </c>
      <c r="J165" s="540">
        <v>0</v>
      </c>
      <c r="K165" s="540">
        <v>0</v>
      </c>
      <c r="L165" s="540">
        <v>0</v>
      </c>
      <c r="M165" s="540">
        <v>2768</v>
      </c>
      <c r="N165" s="540">
        <v>2387</v>
      </c>
      <c r="O165" s="540">
        <v>0</v>
      </c>
      <c r="P165" s="540">
        <v>0</v>
      </c>
      <c r="Q165" s="540">
        <v>0</v>
      </c>
      <c r="R165" s="540">
        <v>0</v>
      </c>
      <c r="S165" s="540">
        <v>0</v>
      </c>
      <c r="T165" s="540">
        <v>0</v>
      </c>
      <c r="U165" s="540">
        <v>0</v>
      </c>
      <c r="V165" s="540">
        <v>0</v>
      </c>
      <c r="W165" s="540">
        <v>0</v>
      </c>
      <c r="X165" s="540">
        <v>0</v>
      </c>
      <c r="Y165" s="540">
        <v>0</v>
      </c>
      <c r="Z165" s="540">
        <v>0</v>
      </c>
      <c r="AA165" s="540">
        <v>0</v>
      </c>
      <c r="AB165" s="540">
        <v>0</v>
      </c>
      <c r="AC165" s="540">
        <v>0</v>
      </c>
      <c r="AD165" s="540">
        <v>0</v>
      </c>
      <c r="AE165" s="540">
        <v>0</v>
      </c>
      <c r="AF165" s="540">
        <v>11448</v>
      </c>
      <c r="AG165" s="540">
        <v>0</v>
      </c>
      <c r="AH165" s="540">
        <v>0</v>
      </c>
      <c r="AI165" s="540">
        <v>0</v>
      </c>
      <c r="AJ165" s="540">
        <v>0</v>
      </c>
      <c r="AK165" s="540">
        <v>0</v>
      </c>
      <c r="AL165" s="540">
        <v>0</v>
      </c>
    </row>
    <row r="166" spans="1:38" hidden="1">
      <c r="A166" s="539" t="s">
        <v>660</v>
      </c>
      <c r="B166" s="539" t="s">
        <v>668</v>
      </c>
      <c r="C166" s="538" t="s">
        <v>798</v>
      </c>
      <c r="D166" s="540">
        <v>713</v>
      </c>
      <c r="E166" s="540">
        <v>0</v>
      </c>
      <c r="F166" s="540">
        <v>122</v>
      </c>
      <c r="G166" s="540">
        <v>0</v>
      </c>
      <c r="H166" s="540">
        <v>0</v>
      </c>
      <c r="I166" s="540">
        <v>590</v>
      </c>
      <c r="J166" s="540">
        <v>0</v>
      </c>
      <c r="K166" s="540">
        <v>0</v>
      </c>
      <c r="L166" s="540">
        <v>0</v>
      </c>
      <c r="M166" s="540">
        <v>0</v>
      </c>
      <c r="N166" s="540">
        <v>0</v>
      </c>
      <c r="O166" s="540">
        <v>0</v>
      </c>
      <c r="P166" s="540">
        <v>0</v>
      </c>
      <c r="Q166" s="540">
        <v>0</v>
      </c>
      <c r="R166" s="540">
        <v>0</v>
      </c>
      <c r="S166" s="540">
        <v>0</v>
      </c>
      <c r="T166" s="540">
        <v>0</v>
      </c>
      <c r="U166" s="540">
        <v>0</v>
      </c>
      <c r="V166" s="540">
        <v>0</v>
      </c>
      <c r="W166" s="540">
        <v>0</v>
      </c>
      <c r="X166" s="540">
        <v>0</v>
      </c>
      <c r="Y166" s="540">
        <v>0</v>
      </c>
      <c r="Z166" s="540">
        <v>0</v>
      </c>
      <c r="AA166" s="540">
        <v>0</v>
      </c>
      <c r="AB166" s="540">
        <v>0</v>
      </c>
      <c r="AC166" s="540">
        <v>0</v>
      </c>
      <c r="AD166" s="540">
        <v>0</v>
      </c>
      <c r="AE166" s="540">
        <v>0</v>
      </c>
      <c r="AF166" s="540">
        <v>590</v>
      </c>
      <c r="AG166" s="540">
        <v>0</v>
      </c>
      <c r="AH166" s="540">
        <v>0</v>
      </c>
      <c r="AI166" s="540">
        <v>0</v>
      </c>
      <c r="AJ166" s="540">
        <v>0</v>
      </c>
      <c r="AK166" s="540">
        <v>0</v>
      </c>
      <c r="AL166" s="540">
        <v>0</v>
      </c>
    </row>
    <row r="167" spans="1:38">
      <c r="A167" s="539" t="s">
        <v>664</v>
      </c>
      <c r="B167" s="539" t="s">
        <v>661</v>
      </c>
      <c r="C167" s="538" t="s">
        <v>799</v>
      </c>
      <c r="D167" s="540">
        <v>259</v>
      </c>
      <c r="E167" s="540">
        <v>0</v>
      </c>
      <c r="F167" s="540">
        <v>0</v>
      </c>
      <c r="G167" s="540">
        <v>0</v>
      </c>
      <c r="H167" s="540">
        <v>0</v>
      </c>
      <c r="I167" s="540">
        <v>259</v>
      </c>
      <c r="J167" s="540">
        <v>0</v>
      </c>
      <c r="K167" s="540">
        <v>0</v>
      </c>
      <c r="L167" s="540">
        <v>0</v>
      </c>
      <c r="M167" s="540">
        <v>0</v>
      </c>
      <c r="N167" s="540">
        <v>0</v>
      </c>
      <c r="O167" s="540">
        <v>0</v>
      </c>
      <c r="P167" s="540">
        <v>0</v>
      </c>
      <c r="Q167" s="540">
        <v>0</v>
      </c>
      <c r="R167" s="540">
        <v>0</v>
      </c>
      <c r="S167" s="540">
        <v>0</v>
      </c>
      <c r="T167" s="540">
        <v>0</v>
      </c>
      <c r="U167" s="540">
        <v>0</v>
      </c>
      <c r="V167" s="540">
        <v>0</v>
      </c>
      <c r="W167" s="540">
        <v>0</v>
      </c>
      <c r="X167" s="540">
        <v>0</v>
      </c>
      <c r="Y167" s="540">
        <v>0</v>
      </c>
      <c r="Z167" s="540">
        <v>0</v>
      </c>
      <c r="AA167" s="540">
        <v>0</v>
      </c>
      <c r="AB167" s="540">
        <v>0</v>
      </c>
      <c r="AC167" s="540">
        <v>0</v>
      </c>
      <c r="AD167" s="540">
        <v>0</v>
      </c>
      <c r="AE167" s="540">
        <v>0</v>
      </c>
      <c r="AF167" s="540">
        <v>259</v>
      </c>
      <c r="AG167" s="540">
        <v>0</v>
      </c>
      <c r="AH167" s="540">
        <v>0</v>
      </c>
      <c r="AI167" s="540">
        <v>0</v>
      </c>
      <c r="AJ167" s="540">
        <v>0</v>
      </c>
      <c r="AK167" s="540">
        <v>0</v>
      </c>
      <c r="AL167" s="540">
        <v>0</v>
      </c>
    </row>
    <row r="168" spans="1:38">
      <c r="A168" s="539" t="s">
        <v>664</v>
      </c>
      <c r="B168" s="539" t="s">
        <v>668</v>
      </c>
      <c r="C168" s="538" t="s">
        <v>800</v>
      </c>
      <c r="D168" s="540">
        <v>4079</v>
      </c>
      <c r="E168" s="540">
        <v>0</v>
      </c>
      <c r="F168" s="540">
        <v>0</v>
      </c>
      <c r="G168" s="540">
        <v>0</v>
      </c>
      <c r="H168" s="540">
        <v>0</v>
      </c>
      <c r="I168" s="540">
        <v>0</v>
      </c>
      <c r="J168" s="540">
        <v>0</v>
      </c>
      <c r="K168" s="540">
        <v>0</v>
      </c>
      <c r="L168" s="540">
        <v>0</v>
      </c>
      <c r="M168" s="540">
        <v>0</v>
      </c>
      <c r="N168" s="540">
        <v>0</v>
      </c>
      <c r="O168" s="540">
        <v>4079</v>
      </c>
      <c r="P168" s="540">
        <v>0</v>
      </c>
      <c r="Q168" s="540">
        <v>0</v>
      </c>
      <c r="R168" s="540">
        <v>0</v>
      </c>
      <c r="S168" s="540">
        <v>0</v>
      </c>
      <c r="T168" s="540">
        <v>0</v>
      </c>
      <c r="U168" s="540">
        <v>0</v>
      </c>
      <c r="V168" s="540">
        <v>0</v>
      </c>
      <c r="W168" s="540">
        <v>0</v>
      </c>
      <c r="X168" s="540">
        <v>0</v>
      </c>
      <c r="Y168" s="540">
        <v>0</v>
      </c>
      <c r="Z168" s="540">
        <v>0</v>
      </c>
      <c r="AA168" s="540">
        <v>0</v>
      </c>
      <c r="AB168" s="540">
        <v>0</v>
      </c>
      <c r="AC168" s="540">
        <v>0</v>
      </c>
      <c r="AD168" s="540">
        <v>0</v>
      </c>
      <c r="AE168" s="540">
        <v>0</v>
      </c>
      <c r="AF168" s="540">
        <v>4079</v>
      </c>
      <c r="AG168" s="540">
        <v>0</v>
      </c>
      <c r="AH168" s="540">
        <v>0</v>
      </c>
      <c r="AI168" s="540">
        <v>0</v>
      </c>
      <c r="AJ168" s="540">
        <v>7</v>
      </c>
      <c r="AK168" s="540">
        <v>0</v>
      </c>
      <c r="AL168" s="540">
        <v>0</v>
      </c>
    </row>
    <row r="169" spans="1:38" hidden="1">
      <c r="A169" s="539" t="s">
        <v>660</v>
      </c>
      <c r="B169" s="539" t="s">
        <v>661</v>
      </c>
      <c r="C169" s="538" t="s">
        <v>801</v>
      </c>
      <c r="D169" s="540">
        <v>9677</v>
      </c>
      <c r="E169" s="540">
        <v>0</v>
      </c>
      <c r="F169" s="540">
        <v>0</v>
      </c>
      <c r="G169" s="540">
        <v>144</v>
      </c>
      <c r="H169" s="540">
        <v>0</v>
      </c>
      <c r="I169" s="540">
        <v>410</v>
      </c>
      <c r="J169" s="540">
        <v>0</v>
      </c>
      <c r="K169" s="540">
        <v>0</v>
      </c>
      <c r="L169" s="540">
        <v>0</v>
      </c>
      <c r="M169" s="540">
        <v>0</v>
      </c>
      <c r="N169" s="540">
        <v>0</v>
      </c>
      <c r="O169" s="540">
        <v>623</v>
      </c>
      <c r="P169" s="540">
        <v>0</v>
      </c>
      <c r="Q169" s="540">
        <v>0</v>
      </c>
      <c r="R169" s="540">
        <v>0</v>
      </c>
      <c r="S169" s="540">
        <v>0</v>
      </c>
      <c r="T169" s="540">
        <v>432</v>
      </c>
      <c r="U169" s="540">
        <v>8064</v>
      </c>
      <c r="V169" s="540">
        <v>0</v>
      </c>
      <c r="W169" s="540">
        <v>0</v>
      </c>
      <c r="X169" s="540">
        <v>0</v>
      </c>
      <c r="Y169" s="540">
        <v>0</v>
      </c>
      <c r="Z169" s="540">
        <v>0</v>
      </c>
      <c r="AA169" s="540">
        <v>0</v>
      </c>
      <c r="AB169" s="540">
        <v>0</v>
      </c>
      <c r="AC169" s="540">
        <v>4</v>
      </c>
      <c r="AD169" s="540">
        <v>0</v>
      </c>
      <c r="AE169" s="540">
        <v>0</v>
      </c>
      <c r="AF169" s="540">
        <v>1037</v>
      </c>
      <c r="AG169" s="540">
        <v>0</v>
      </c>
      <c r="AH169" s="540">
        <v>0</v>
      </c>
      <c r="AI169" s="540">
        <v>0</v>
      </c>
      <c r="AJ169" s="540">
        <v>0</v>
      </c>
      <c r="AK169" s="540">
        <v>0</v>
      </c>
      <c r="AL169" s="540">
        <v>0</v>
      </c>
    </row>
    <row r="170" spans="1:38" hidden="1">
      <c r="A170" s="539" t="s">
        <v>660</v>
      </c>
      <c r="B170" s="539" t="s">
        <v>668</v>
      </c>
      <c r="C170" s="538" t="s">
        <v>802</v>
      </c>
      <c r="D170" s="540">
        <v>39470</v>
      </c>
      <c r="E170" s="540">
        <v>0</v>
      </c>
      <c r="F170" s="540">
        <v>0</v>
      </c>
      <c r="G170" s="540">
        <v>266</v>
      </c>
      <c r="H170" s="540">
        <v>0</v>
      </c>
      <c r="I170" s="540">
        <v>14</v>
      </c>
      <c r="J170" s="540">
        <v>0</v>
      </c>
      <c r="K170" s="540">
        <v>0</v>
      </c>
      <c r="L170" s="540">
        <v>0</v>
      </c>
      <c r="M170" s="540">
        <v>0</v>
      </c>
      <c r="N170" s="540">
        <v>594</v>
      </c>
      <c r="O170" s="540">
        <v>38596</v>
      </c>
      <c r="P170" s="540">
        <v>0</v>
      </c>
      <c r="Q170" s="540">
        <v>0</v>
      </c>
      <c r="R170" s="540">
        <v>0</v>
      </c>
      <c r="S170" s="540">
        <v>0</v>
      </c>
      <c r="T170" s="540">
        <v>0</v>
      </c>
      <c r="U170" s="540">
        <v>0</v>
      </c>
      <c r="V170" s="540">
        <v>0</v>
      </c>
      <c r="W170" s="540">
        <v>0</v>
      </c>
      <c r="X170" s="540">
        <v>0</v>
      </c>
      <c r="Y170" s="540">
        <v>0</v>
      </c>
      <c r="Z170" s="540">
        <v>0</v>
      </c>
      <c r="AA170" s="540">
        <v>0</v>
      </c>
      <c r="AB170" s="540">
        <v>0</v>
      </c>
      <c r="AC170" s="540">
        <v>0</v>
      </c>
      <c r="AD170" s="540">
        <v>0</v>
      </c>
      <c r="AE170" s="540">
        <v>0</v>
      </c>
      <c r="AF170" s="540">
        <v>39204</v>
      </c>
      <c r="AG170" s="540">
        <v>0</v>
      </c>
      <c r="AH170" s="540">
        <v>0</v>
      </c>
      <c r="AI170" s="540">
        <v>0</v>
      </c>
      <c r="AJ170" s="540">
        <v>0</v>
      </c>
      <c r="AK170" s="540">
        <v>0</v>
      </c>
      <c r="AL170" s="540">
        <v>0</v>
      </c>
    </row>
    <row r="171" spans="1:38">
      <c r="A171" s="539" t="s">
        <v>664</v>
      </c>
      <c r="B171" s="539" t="s">
        <v>661</v>
      </c>
      <c r="C171" s="538" t="s">
        <v>803</v>
      </c>
      <c r="D171" s="540">
        <v>5479</v>
      </c>
      <c r="E171" s="540">
        <v>0</v>
      </c>
      <c r="F171" s="540">
        <v>281</v>
      </c>
      <c r="G171" s="540">
        <v>119</v>
      </c>
      <c r="H171" s="540">
        <v>0</v>
      </c>
      <c r="I171" s="540">
        <v>3208</v>
      </c>
      <c r="J171" s="540">
        <v>0</v>
      </c>
      <c r="K171" s="540">
        <v>0</v>
      </c>
      <c r="L171" s="540">
        <v>0</v>
      </c>
      <c r="M171" s="540">
        <v>0</v>
      </c>
      <c r="N171" s="540">
        <v>565</v>
      </c>
      <c r="O171" s="540">
        <v>144</v>
      </c>
      <c r="P171" s="540">
        <v>0</v>
      </c>
      <c r="Q171" s="540">
        <v>0</v>
      </c>
      <c r="R171" s="540">
        <v>0</v>
      </c>
      <c r="S171" s="540">
        <v>0</v>
      </c>
      <c r="T171" s="540">
        <v>0</v>
      </c>
      <c r="U171" s="540">
        <v>0</v>
      </c>
      <c r="V171" s="540">
        <v>0</v>
      </c>
      <c r="W171" s="540">
        <v>1163</v>
      </c>
      <c r="X171" s="540">
        <v>0</v>
      </c>
      <c r="Y171" s="540">
        <v>0</v>
      </c>
      <c r="Z171" s="540">
        <v>0</v>
      </c>
      <c r="AA171" s="540">
        <v>0</v>
      </c>
      <c r="AB171" s="540">
        <v>0</v>
      </c>
      <c r="AC171" s="540">
        <v>0</v>
      </c>
      <c r="AD171" s="540">
        <v>0</v>
      </c>
      <c r="AE171" s="540">
        <v>0</v>
      </c>
      <c r="AF171" s="540">
        <v>5080</v>
      </c>
      <c r="AG171" s="540">
        <v>0</v>
      </c>
      <c r="AH171" s="540">
        <v>0</v>
      </c>
      <c r="AI171" s="540">
        <v>0</v>
      </c>
      <c r="AJ171" s="540">
        <v>0</v>
      </c>
      <c r="AK171" s="540">
        <v>0</v>
      </c>
      <c r="AL171" s="540">
        <v>0</v>
      </c>
    </row>
    <row r="172" spans="1:38">
      <c r="A172" s="539" t="s">
        <v>664</v>
      </c>
      <c r="B172" s="539" t="s">
        <v>668</v>
      </c>
      <c r="C172" s="538" t="s">
        <v>804</v>
      </c>
      <c r="D172" s="540">
        <v>8798</v>
      </c>
      <c r="E172" s="540">
        <v>0</v>
      </c>
      <c r="F172" s="540">
        <v>1192</v>
      </c>
      <c r="G172" s="540">
        <v>126</v>
      </c>
      <c r="H172" s="540">
        <v>0</v>
      </c>
      <c r="I172" s="540">
        <v>2336</v>
      </c>
      <c r="J172" s="540">
        <v>0</v>
      </c>
      <c r="K172" s="540">
        <v>0</v>
      </c>
      <c r="L172" s="540">
        <v>0</v>
      </c>
      <c r="M172" s="540">
        <v>0</v>
      </c>
      <c r="N172" s="540">
        <v>457</v>
      </c>
      <c r="O172" s="540">
        <v>1332</v>
      </c>
      <c r="P172" s="540">
        <v>0</v>
      </c>
      <c r="Q172" s="540">
        <v>0</v>
      </c>
      <c r="R172" s="540">
        <v>0</v>
      </c>
      <c r="S172" s="540">
        <v>0</v>
      </c>
      <c r="T172" s="540">
        <v>0</v>
      </c>
      <c r="U172" s="540">
        <v>0</v>
      </c>
      <c r="V172" s="540">
        <v>2578</v>
      </c>
      <c r="W172" s="540">
        <v>774</v>
      </c>
      <c r="X172" s="540">
        <v>0</v>
      </c>
      <c r="Y172" s="540">
        <v>0</v>
      </c>
      <c r="Z172" s="540">
        <v>0</v>
      </c>
      <c r="AA172" s="540">
        <v>0</v>
      </c>
      <c r="AB172" s="540">
        <v>0</v>
      </c>
      <c r="AC172" s="540">
        <v>4</v>
      </c>
      <c r="AD172" s="540">
        <v>0</v>
      </c>
      <c r="AE172" s="540">
        <v>0</v>
      </c>
      <c r="AF172" s="540">
        <v>7481</v>
      </c>
      <c r="AG172" s="540">
        <v>0</v>
      </c>
      <c r="AH172" s="540">
        <v>0</v>
      </c>
      <c r="AI172" s="540">
        <v>0</v>
      </c>
      <c r="AJ172" s="540">
        <v>0</v>
      </c>
      <c r="AK172" s="540">
        <v>0</v>
      </c>
      <c r="AL172" s="540">
        <v>0</v>
      </c>
    </row>
    <row r="173" spans="1:38" hidden="1">
      <c r="A173" s="539" t="s">
        <v>660</v>
      </c>
      <c r="B173" s="539" t="s">
        <v>661</v>
      </c>
      <c r="C173" s="538" t="s">
        <v>805</v>
      </c>
      <c r="D173" s="540">
        <v>1309565</v>
      </c>
      <c r="E173" s="540">
        <v>59353</v>
      </c>
      <c r="F173" s="540">
        <v>22</v>
      </c>
      <c r="G173" s="540">
        <v>414</v>
      </c>
      <c r="H173" s="540">
        <v>0</v>
      </c>
      <c r="I173" s="540">
        <v>74491</v>
      </c>
      <c r="J173" s="540">
        <v>0</v>
      </c>
      <c r="K173" s="540">
        <v>39870</v>
      </c>
      <c r="L173" s="540">
        <v>28750</v>
      </c>
      <c r="M173" s="540">
        <v>192827</v>
      </c>
      <c r="N173" s="540">
        <v>432</v>
      </c>
      <c r="O173" s="540">
        <v>293087</v>
      </c>
      <c r="P173" s="540">
        <v>0</v>
      </c>
      <c r="Q173" s="540">
        <v>0</v>
      </c>
      <c r="R173" s="540">
        <v>0</v>
      </c>
      <c r="S173" s="540">
        <v>9680</v>
      </c>
      <c r="T173" s="540">
        <v>15851</v>
      </c>
      <c r="U173" s="540">
        <v>0</v>
      </c>
      <c r="V173" s="540">
        <v>55436</v>
      </c>
      <c r="W173" s="540">
        <v>25441</v>
      </c>
      <c r="X173" s="540">
        <v>0</v>
      </c>
      <c r="Y173" s="540">
        <v>41875</v>
      </c>
      <c r="Z173" s="540">
        <v>9425</v>
      </c>
      <c r="AA173" s="540">
        <v>122</v>
      </c>
      <c r="AB173" s="540">
        <v>0</v>
      </c>
      <c r="AC173" s="540">
        <v>832</v>
      </c>
      <c r="AD173" s="540">
        <v>0</v>
      </c>
      <c r="AE173" s="540">
        <v>461657</v>
      </c>
      <c r="AF173" s="540">
        <v>1283731</v>
      </c>
      <c r="AG173" s="540">
        <v>0</v>
      </c>
      <c r="AH173" s="540">
        <v>0</v>
      </c>
      <c r="AI173" s="540">
        <v>0</v>
      </c>
      <c r="AJ173" s="540">
        <v>439</v>
      </c>
      <c r="AK173" s="540">
        <v>0</v>
      </c>
      <c r="AL173" s="540">
        <v>220356</v>
      </c>
    </row>
    <row r="174" spans="1:38" hidden="1">
      <c r="A174" s="539" t="s">
        <v>660</v>
      </c>
      <c r="B174" s="539" t="s">
        <v>668</v>
      </c>
      <c r="C174" s="538" t="s">
        <v>806</v>
      </c>
      <c r="D174" s="540">
        <v>668948</v>
      </c>
      <c r="E174" s="540">
        <v>20786</v>
      </c>
      <c r="F174" s="540">
        <v>4036</v>
      </c>
      <c r="G174" s="540">
        <v>2520</v>
      </c>
      <c r="H174" s="540">
        <v>26564</v>
      </c>
      <c r="I174" s="540">
        <v>113825</v>
      </c>
      <c r="J174" s="540">
        <v>1714</v>
      </c>
      <c r="K174" s="540">
        <v>0</v>
      </c>
      <c r="L174" s="540">
        <v>0</v>
      </c>
      <c r="M174" s="540">
        <v>0</v>
      </c>
      <c r="N174" s="540">
        <v>38736</v>
      </c>
      <c r="O174" s="540">
        <v>206395</v>
      </c>
      <c r="P174" s="540">
        <v>0</v>
      </c>
      <c r="Q174" s="540">
        <v>5162</v>
      </c>
      <c r="R174" s="540">
        <v>10256</v>
      </c>
      <c r="S174" s="540">
        <v>0</v>
      </c>
      <c r="T174" s="540">
        <v>27479</v>
      </c>
      <c r="U174" s="540">
        <v>0</v>
      </c>
      <c r="V174" s="540">
        <v>117032</v>
      </c>
      <c r="W174" s="540">
        <v>10897</v>
      </c>
      <c r="X174" s="540">
        <v>17262</v>
      </c>
      <c r="Y174" s="540">
        <v>1141</v>
      </c>
      <c r="Z174" s="540">
        <v>24163</v>
      </c>
      <c r="AA174" s="540">
        <v>443</v>
      </c>
      <c r="AB174" s="540">
        <v>7013</v>
      </c>
      <c r="AC174" s="540">
        <v>31777</v>
      </c>
      <c r="AD174" s="540">
        <v>1746</v>
      </c>
      <c r="AE174" s="540">
        <v>0</v>
      </c>
      <c r="AF174" s="540">
        <v>568901</v>
      </c>
      <c r="AG174" s="540">
        <v>0</v>
      </c>
      <c r="AH174" s="540">
        <v>0</v>
      </c>
      <c r="AI174" s="540">
        <v>432</v>
      </c>
      <c r="AJ174" s="540">
        <v>5018</v>
      </c>
      <c r="AK174" s="540">
        <v>0</v>
      </c>
      <c r="AL174" s="540">
        <v>7675</v>
      </c>
    </row>
    <row r="175" spans="1:38">
      <c r="A175" s="539" t="s">
        <v>664</v>
      </c>
      <c r="B175" s="539" t="s">
        <v>661</v>
      </c>
      <c r="C175" s="538" t="s">
        <v>807</v>
      </c>
      <c r="D175" s="540">
        <v>29603</v>
      </c>
      <c r="E175" s="540">
        <v>0</v>
      </c>
      <c r="F175" s="540">
        <v>310</v>
      </c>
      <c r="G175" s="540">
        <v>209</v>
      </c>
      <c r="H175" s="540">
        <v>0</v>
      </c>
      <c r="I175" s="540">
        <v>6001</v>
      </c>
      <c r="J175" s="540">
        <v>4</v>
      </c>
      <c r="K175" s="540">
        <v>0</v>
      </c>
      <c r="L175" s="540">
        <v>86</v>
      </c>
      <c r="M175" s="540">
        <v>0</v>
      </c>
      <c r="N175" s="540">
        <v>8878</v>
      </c>
      <c r="O175" s="540">
        <v>968</v>
      </c>
      <c r="P175" s="540">
        <v>0</v>
      </c>
      <c r="Q175" s="540">
        <v>0</v>
      </c>
      <c r="R175" s="540">
        <v>0</v>
      </c>
      <c r="S175" s="540">
        <v>0</v>
      </c>
      <c r="T175" s="540">
        <v>7</v>
      </c>
      <c r="U175" s="540">
        <v>0</v>
      </c>
      <c r="V175" s="540">
        <v>886</v>
      </c>
      <c r="W175" s="540">
        <v>4320</v>
      </c>
      <c r="X175" s="540">
        <v>0</v>
      </c>
      <c r="Y175" s="540">
        <v>40</v>
      </c>
      <c r="Z175" s="540">
        <v>68</v>
      </c>
      <c r="AA175" s="540">
        <v>0</v>
      </c>
      <c r="AB175" s="540">
        <v>0</v>
      </c>
      <c r="AC175" s="540">
        <v>72</v>
      </c>
      <c r="AD175" s="540">
        <v>0</v>
      </c>
      <c r="AE175" s="540">
        <v>7754</v>
      </c>
      <c r="AF175" s="540">
        <v>30355</v>
      </c>
      <c r="AG175" s="540">
        <v>0</v>
      </c>
      <c r="AH175" s="540">
        <v>1350</v>
      </c>
      <c r="AI175" s="540">
        <v>0</v>
      </c>
      <c r="AJ175" s="540">
        <v>0</v>
      </c>
      <c r="AK175" s="540">
        <v>0</v>
      </c>
      <c r="AL175" s="540">
        <v>24138</v>
      </c>
    </row>
    <row r="176" spans="1:38">
      <c r="A176" s="539" t="s">
        <v>664</v>
      </c>
      <c r="B176" s="539" t="s">
        <v>668</v>
      </c>
      <c r="C176" s="538" t="s">
        <v>808</v>
      </c>
      <c r="D176" s="540">
        <v>375620</v>
      </c>
      <c r="E176" s="540">
        <v>2117</v>
      </c>
      <c r="F176" s="540">
        <v>1858</v>
      </c>
      <c r="G176" s="540">
        <v>2149</v>
      </c>
      <c r="H176" s="540">
        <v>5044</v>
      </c>
      <c r="I176" s="540">
        <v>55516</v>
      </c>
      <c r="J176" s="540">
        <v>241</v>
      </c>
      <c r="K176" s="540">
        <v>1796</v>
      </c>
      <c r="L176" s="540">
        <v>580</v>
      </c>
      <c r="M176" s="540">
        <v>91613</v>
      </c>
      <c r="N176" s="540">
        <v>35003</v>
      </c>
      <c r="O176" s="540">
        <v>36893</v>
      </c>
      <c r="P176" s="540">
        <v>0</v>
      </c>
      <c r="Q176" s="540">
        <v>187</v>
      </c>
      <c r="R176" s="540">
        <v>605</v>
      </c>
      <c r="S176" s="540">
        <v>1501</v>
      </c>
      <c r="T176" s="540">
        <v>1228</v>
      </c>
      <c r="U176" s="540">
        <v>0</v>
      </c>
      <c r="V176" s="540">
        <v>35086</v>
      </c>
      <c r="W176" s="540">
        <v>6235</v>
      </c>
      <c r="X176" s="540">
        <v>1390</v>
      </c>
      <c r="Y176" s="540">
        <v>5926</v>
      </c>
      <c r="Z176" s="540">
        <v>947</v>
      </c>
      <c r="AA176" s="540">
        <v>655</v>
      </c>
      <c r="AB176" s="540">
        <v>850</v>
      </c>
      <c r="AC176" s="540">
        <v>7751</v>
      </c>
      <c r="AD176" s="540">
        <v>360</v>
      </c>
      <c r="AE176" s="540">
        <v>80093</v>
      </c>
      <c r="AF176" s="540">
        <v>365512</v>
      </c>
      <c r="AG176" s="540">
        <v>0</v>
      </c>
      <c r="AH176" s="540">
        <v>0</v>
      </c>
      <c r="AI176" s="540">
        <v>2700</v>
      </c>
      <c r="AJ176" s="540">
        <v>1073</v>
      </c>
      <c r="AK176" s="540">
        <v>4</v>
      </c>
      <c r="AL176" s="540">
        <v>12233</v>
      </c>
    </row>
    <row r="177" spans="1:38" hidden="1">
      <c r="A177" s="539" t="s">
        <v>660</v>
      </c>
      <c r="B177" s="539" t="s">
        <v>661</v>
      </c>
      <c r="C177" s="538" t="s">
        <v>809</v>
      </c>
      <c r="D177" s="540">
        <v>803</v>
      </c>
      <c r="E177" s="540">
        <v>410</v>
      </c>
      <c r="F177" s="540">
        <v>0</v>
      </c>
      <c r="G177" s="540">
        <v>0</v>
      </c>
      <c r="H177" s="540">
        <v>0</v>
      </c>
      <c r="I177" s="540">
        <v>0</v>
      </c>
      <c r="J177" s="540">
        <v>0</v>
      </c>
      <c r="K177" s="540">
        <v>0</v>
      </c>
      <c r="L177" s="540">
        <v>0</v>
      </c>
      <c r="M177" s="540">
        <v>0</v>
      </c>
      <c r="N177" s="540">
        <v>0</v>
      </c>
      <c r="O177" s="540">
        <v>310</v>
      </c>
      <c r="P177" s="540">
        <v>0</v>
      </c>
      <c r="Q177" s="540">
        <v>0</v>
      </c>
      <c r="R177" s="540">
        <v>0</v>
      </c>
      <c r="S177" s="540">
        <v>0</v>
      </c>
      <c r="T177" s="540">
        <v>47</v>
      </c>
      <c r="U177" s="540">
        <v>0</v>
      </c>
      <c r="V177" s="540">
        <v>0</v>
      </c>
      <c r="W177" s="540">
        <v>36</v>
      </c>
      <c r="X177" s="540">
        <v>0</v>
      </c>
      <c r="Y177" s="540">
        <v>0</v>
      </c>
      <c r="Z177" s="540">
        <v>0</v>
      </c>
      <c r="AA177" s="540">
        <v>0</v>
      </c>
      <c r="AB177" s="540">
        <v>0</v>
      </c>
      <c r="AC177" s="540">
        <v>0</v>
      </c>
      <c r="AD177" s="540">
        <v>0</v>
      </c>
      <c r="AE177" s="540">
        <v>0</v>
      </c>
      <c r="AF177" s="540">
        <v>756</v>
      </c>
      <c r="AG177" s="540">
        <v>0</v>
      </c>
      <c r="AH177" s="540">
        <v>0</v>
      </c>
      <c r="AI177" s="540">
        <v>0</v>
      </c>
      <c r="AJ177" s="540">
        <v>0</v>
      </c>
      <c r="AK177" s="540">
        <v>0</v>
      </c>
      <c r="AL177" s="540">
        <v>0</v>
      </c>
    </row>
    <row r="178" spans="1:38" hidden="1">
      <c r="A178" s="539" t="s">
        <v>660</v>
      </c>
      <c r="B178" s="539" t="s">
        <v>668</v>
      </c>
      <c r="C178" s="538" t="s">
        <v>810</v>
      </c>
      <c r="D178" s="540">
        <v>385</v>
      </c>
      <c r="E178" s="540">
        <v>79</v>
      </c>
      <c r="F178" s="540">
        <v>0</v>
      </c>
      <c r="G178" s="540">
        <v>0</v>
      </c>
      <c r="H178" s="540">
        <v>0</v>
      </c>
      <c r="I178" s="540">
        <v>0</v>
      </c>
      <c r="J178" s="540">
        <v>0</v>
      </c>
      <c r="K178" s="540">
        <v>0</v>
      </c>
      <c r="L178" s="540">
        <v>0</v>
      </c>
      <c r="M178" s="540">
        <v>0</v>
      </c>
      <c r="N178" s="540">
        <v>0</v>
      </c>
      <c r="O178" s="540">
        <v>0</v>
      </c>
      <c r="P178" s="540">
        <v>0</v>
      </c>
      <c r="Q178" s="540">
        <v>0</v>
      </c>
      <c r="R178" s="540">
        <v>0</v>
      </c>
      <c r="S178" s="540">
        <v>0</v>
      </c>
      <c r="T178" s="540">
        <v>0</v>
      </c>
      <c r="U178" s="540">
        <v>0</v>
      </c>
      <c r="V178" s="540">
        <v>0</v>
      </c>
      <c r="W178" s="540">
        <v>7</v>
      </c>
      <c r="X178" s="540">
        <v>0</v>
      </c>
      <c r="Y178" s="540">
        <v>0</v>
      </c>
      <c r="Z178" s="540">
        <v>0</v>
      </c>
      <c r="AA178" s="540">
        <v>0</v>
      </c>
      <c r="AB178" s="540">
        <v>0</v>
      </c>
      <c r="AC178" s="540">
        <v>7</v>
      </c>
      <c r="AD178" s="540">
        <v>292</v>
      </c>
      <c r="AE178" s="540">
        <v>0</v>
      </c>
      <c r="AF178" s="540">
        <v>385</v>
      </c>
      <c r="AG178" s="540">
        <v>0</v>
      </c>
      <c r="AH178" s="540">
        <v>0</v>
      </c>
      <c r="AI178" s="540">
        <v>0</v>
      </c>
      <c r="AJ178" s="540">
        <v>0</v>
      </c>
      <c r="AK178" s="540">
        <v>0</v>
      </c>
      <c r="AL178" s="540">
        <v>0</v>
      </c>
    </row>
    <row r="179" spans="1:38">
      <c r="A179" s="539" t="s">
        <v>664</v>
      </c>
      <c r="B179" s="539" t="s">
        <v>661</v>
      </c>
      <c r="C179" s="538" t="s">
        <v>811</v>
      </c>
      <c r="D179" s="540">
        <v>3100</v>
      </c>
      <c r="E179" s="540">
        <v>0</v>
      </c>
      <c r="F179" s="540">
        <v>0</v>
      </c>
      <c r="G179" s="540">
        <v>0</v>
      </c>
      <c r="H179" s="540">
        <v>0</v>
      </c>
      <c r="I179" s="540">
        <v>65</v>
      </c>
      <c r="J179" s="540">
        <v>0</v>
      </c>
      <c r="K179" s="540">
        <v>0</v>
      </c>
      <c r="L179" s="540">
        <v>0</v>
      </c>
      <c r="M179" s="540">
        <v>0</v>
      </c>
      <c r="N179" s="540">
        <v>0</v>
      </c>
      <c r="O179" s="540">
        <v>90</v>
      </c>
      <c r="P179" s="540">
        <v>0</v>
      </c>
      <c r="Q179" s="540">
        <v>0</v>
      </c>
      <c r="R179" s="540">
        <v>0</v>
      </c>
      <c r="S179" s="540">
        <v>0</v>
      </c>
      <c r="T179" s="540">
        <v>0</v>
      </c>
      <c r="U179" s="540">
        <v>0</v>
      </c>
      <c r="V179" s="540">
        <v>0</v>
      </c>
      <c r="W179" s="540">
        <v>104</v>
      </c>
      <c r="X179" s="540">
        <v>0</v>
      </c>
      <c r="Y179" s="540">
        <v>32</v>
      </c>
      <c r="Z179" s="540">
        <v>0</v>
      </c>
      <c r="AA179" s="540">
        <v>0</v>
      </c>
      <c r="AB179" s="540">
        <v>0</v>
      </c>
      <c r="AC179" s="540">
        <v>4</v>
      </c>
      <c r="AD179" s="540">
        <v>0</v>
      </c>
      <c r="AE179" s="540">
        <v>2804</v>
      </c>
      <c r="AF179" s="540">
        <v>3121</v>
      </c>
      <c r="AG179" s="540">
        <v>0</v>
      </c>
      <c r="AH179" s="540">
        <v>22</v>
      </c>
      <c r="AI179" s="540">
        <v>0</v>
      </c>
      <c r="AJ179" s="540">
        <v>0</v>
      </c>
      <c r="AK179" s="540">
        <v>0</v>
      </c>
      <c r="AL179" s="540">
        <v>317</v>
      </c>
    </row>
    <row r="180" spans="1:38">
      <c r="A180" s="539" t="s">
        <v>664</v>
      </c>
      <c r="B180" s="539" t="s">
        <v>668</v>
      </c>
      <c r="C180" s="538" t="s">
        <v>812</v>
      </c>
      <c r="D180" s="540">
        <v>6628</v>
      </c>
      <c r="E180" s="540">
        <v>0</v>
      </c>
      <c r="F180" s="540">
        <v>61</v>
      </c>
      <c r="G180" s="540">
        <v>0</v>
      </c>
      <c r="H180" s="540">
        <v>0</v>
      </c>
      <c r="I180" s="540">
        <v>0</v>
      </c>
      <c r="J180" s="540">
        <v>0</v>
      </c>
      <c r="K180" s="540">
        <v>0</v>
      </c>
      <c r="L180" s="540">
        <v>360</v>
      </c>
      <c r="M180" s="540">
        <v>0</v>
      </c>
      <c r="N180" s="540">
        <v>0</v>
      </c>
      <c r="O180" s="540">
        <v>212</v>
      </c>
      <c r="P180" s="540">
        <v>0</v>
      </c>
      <c r="Q180" s="540">
        <v>0</v>
      </c>
      <c r="R180" s="540">
        <v>0</v>
      </c>
      <c r="S180" s="540">
        <v>0</v>
      </c>
      <c r="T180" s="540">
        <v>0</v>
      </c>
      <c r="U180" s="540">
        <v>0</v>
      </c>
      <c r="V180" s="540">
        <v>0</v>
      </c>
      <c r="W180" s="540">
        <v>608</v>
      </c>
      <c r="X180" s="540">
        <v>857</v>
      </c>
      <c r="Y180" s="540">
        <v>0</v>
      </c>
      <c r="Z180" s="540">
        <v>4</v>
      </c>
      <c r="AA180" s="540">
        <v>22</v>
      </c>
      <c r="AB180" s="540">
        <v>0</v>
      </c>
      <c r="AC180" s="540">
        <v>191</v>
      </c>
      <c r="AD180" s="540">
        <v>0</v>
      </c>
      <c r="AE180" s="540">
        <v>4313</v>
      </c>
      <c r="AF180" s="540">
        <v>5684</v>
      </c>
      <c r="AG180" s="540">
        <v>0</v>
      </c>
      <c r="AH180" s="540">
        <v>0</v>
      </c>
      <c r="AI180" s="540">
        <v>1001</v>
      </c>
      <c r="AJ180" s="540">
        <v>0</v>
      </c>
      <c r="AK180" s="540">
        <v>0</v>
      </c>
      <c r="AL180" s="540">
        <v>0</v>
      </c>
    </row>
    <row r="181" spans="1:38" hidden="1">
      <c r="A181" s="539" t="s">
        <v>660</v>
      </c>
      <c r="B181" s="539" t="s">
        <v>661</v>
      </c>
      <c r="C181" s="538" t="s">
        <v>813</v>
      </c>
      <c r="D181" s="540">
        <v>5108</v>
      </c>
      <c r="E181" s="540">
        <v>806</v>
      </c>
      <c r="F181" s="540">
        <v>0</v>
      </c>
      <c r="G181" s="540">
        <v>0</v>
      </c>
      <c r="H181" s="540">
        <v>0</v>
      </c>
      <c r="I181" s="540">
        <v>0</v>
      </c>
      <c r="J181" s="540">
        <v>0</v>
      </c>
      <c r="K181" s="540">
        <v>0</v>
      </c>
      <c r="L181" s="540">
        <v>0</v>
      </c>
      <c r="M181" s="540">
        <v>1624</v>
      </c>
      <c r="N181" s="540">
        <v>76</v>
      </c>
      <c r="O181" s="540">
        <v>1472</v>
      </c>
      <c r="P181" s="540">
        <v>0</v>
      </c>
      <c r="Q181" s="540">
        <v>0</v>
      </c>
      <c r="R181" s="540">
        <v>0</v>
      </c>
      <c r="S181" s="540">
        <v>68</v>
      </c>
      <c r="T181" s="540">
        <v>0</v>
      </c>
      <c r="U181" s="540">
        <v>0</v>
      </c>
      <c r="V181" s="540">
        <v>0</v>
      </c>
      <c r="W181" s="540">
        <v>860</v>
      </c>
      <c r="X181" s="540">
        <v>0</v>
      </c>
      <c r="Y181" s="540">
        <v>0</v>
      </c>
      <c r="Z181" s="540">
        <v>0</v>
      </c>
      <c r="AA181" s="540">
        <v>0</v>
      </c>
      <c r="AB181" s="540">
        <v>0</v>
      </c>
      <c r="AC181" s="540">
        <v>202</v>
      </c>
      <c r="AD181" s="540">
        <v>0</v>
      </c>
      <c r="AE181" s="540">
        <v>0</v>
      </c>
      <c r="AF181" s="540">
        <v>5126</v>
      </c>
      <c r="AG181" s="540">
        <v>0</v>
      </c>
      <c r="AH181" s="540">
        <v>18</v>
      </c>
      <c r="AI181" s="540">
        <v>0</v>
      </c>
      <c r="AJ181" s="540">
        <v>0</v>
      </c>
      <c r="AK181" s="540">
        <v>0</v>
      </c>
      <c r="AL181" s="540">
        <v>0</v>
      </c>
    </row>
    <row r="182" spans="1:38" hidden="1">
      <c r="A182" s="539" t="s">
        <v>660</v>
      </c>
      <c r="B182" s="539" t="s">
        <v>668</v>
      </c>
      <c r="C182" s="538" t="s">
        <v>814</v>
      </c>
      <c r="D182" s="540">
        <v>19084</v>
      </c>
      <c r="E182" s="540">
        <v>367</v>
      </c>
      <c r="F182" s="540">
        <v>0</v>
      </c>
      <c r="G182" s="540">
        <v>36</v>
      </c>
      <c r="H182" s="540">
        <v>1426</v>
      </c>
      <c r="I182" s="540">
        <v>10937</v>
      </c>
      <c r="J182" s="540">
        <v>0</v>
      </c>
      <c r="K182" s="540">
        <v>0</v>
      </c>
      <c r="L182" s="540">
        <v>0</v>
      </c>
      <c r="M182" s="540">
        <v>0</v>
      </c>
      <c r="N182" s="540">
        <v>428</v>
      </c>
      <c r="O182" s="540">
        <v>3168</v>
      </c>
      <c r="P182" s="540">
        <v>0</v>
      </c>
      <c r="Q182" s="540">
        <v>0</v>
      </c>
      <c r="R182" s="540">
        <v>0</v>
      </c>
      <c r="S182" s="540">
        <v>0</v>
      </c>
      <c r="T182" s="540">
        <v>212</v>
      </c>
      <c r="U182" s="540">
        <v>0</v>
      </c>
      <c r="V182" s="540">
        <v>0</v>
      </c>
      <c r="W182" s="540">
        <v>47</v>
      </c>
      <c r="X182" s="540">
        <v>0</v>
      </c>
      <c r="Y182" s="540">
        <v>0</v>
      </c>
      <c r="Z182" s="540">
        <v>0</v>
      </c>
      <c r="AA182" s="540">
        <v>0</v>
      </c>
      <c r="AB182" s="540">
        <v>0</v>
      </c>
      <c r="AC182" s="540">
        <v>576</v>
      </c>
      <c r="AD182" s="540">
        <v>1886</v>
      </c>
      <c r="AE182" s="540">
        <v>0</v>
      </c>
      <c r="AF182" s="540">
        <v>18972</v>
      </c>
      <c r="AG182" s="540">
        <v>0</v>
      </c>
      <c r="AH182" s="540">
        <v>137</v>
      </c>
      <c r="AI182" s="540">
        <v>0</v>
      </c>
      <c r="AJ182" s="540">
        <v>0</v>
      </c>
      <c r="AK182" s="540">
        <v>0</v>
      </c>
      <c r="AL182" s="540">
        <v>0</v>
      </c>
    </row>
    <row r="183" spans="1:38">
      <c r="A183" s="539" t="s">
        <v>664</v>
      </c>
      <c r="B183" s="539" t="s">
        <v>661</v>
      </c>
      <c r="C183" s="538" t="s">
        <v>815</v>
      </c>
      <c r="D183" s="540">
        <v>11221</v>
      </c>
      <c r="E183" s="540">
        <v>0</v>
      </c>
      <c r="F183" s="540">
        <v>0</v>
      </c>
      <c r="G183" s="540">
        <v>0</v>
      </c>
      <c r="H183" s="540">
        <v>0</v>
      </c>
      <c r="I183" s="540">
        <v>0</v>
      </c>
      <c r="J183" s="540">
        <v>0</v>
      </c>
      <c r="K183" s="540">
        <v>0</v>
      </c>
      <c r="L183" s="540">
        <v>0</v>
      </c>
      <c r="M183" s="540">
        <v>0</v>
      </c>
      <c r="N183" s="540">
        <v>3690</v>
      </c>
      <c r="O183" s="540">
        <v>22</v>
      </c>
      <c r="P183" s="540">
        <v>0</v>
      </c>
      <c r="Q183" s="540">
        <v>0</v>
      </c>
      <c r="R183" s="540">
        <v>0</v>
      </c>
      <c r="S183" s="540">
        <v>0</v>
      </c>
      <c r="T183" s="540">
        <v>0</v>
      </c>
      <c r="U183" s="540">
        <v>0</v>
      </c>
      <c r="V183" s="540">
        <v>3114</v>
      </c>
      <c r="W183" s="540">
        <v>126</v>
      </c>
      <c r="X183" s="540">
        <v>0</v>
      </c>
      <c r="Y183" s="540">
        <v>1066</v>
      </c>
      <c r="Z183" s="540">
        <v>0</v>
      </c>
      <c r="AA183" s="540">
        <v>0</v>
      </c>
      <c r="AB183" s="540">
        <v>0</v>
      </c>
      <c r="AC183" s="540">
        <v>0</v>
      </c>
      <c r="AD183" s="540">
        <v>0</v>
      </c>
      <c r="AE183" s="540">
        <v>3204</v>
      </c>
      <c r="AF183" s="540">
        <v>11221</v>
      </c>
      <c r="AG183" s="540">
        <v>0</v>
      </c>
      <c r="AH183" s="540">
        <v>0</v>
      </c>
      <c r="AI183" s="540">
        <v>299</v>
      </c>
      <c r="AJ183" s="540">
        <v>0</v>
      </c>
      <c r="AK183" s="540">
        <v>0</v>
      </c>
      <c r="AL183" s="540">
        <v>0</v>
      </c>
    </row>
    <row r="184" spans="1:38">
      <c r="A184" s="539" t="s">
        <v>664</v>
      </c>
      <c r="B184" s="539" t="s">
        <v>668</v>
      </c>
      <c r="C184" s="538" t="s">
        <v>816</v>
      </c>
      <c r="D184" s="540">
        <v>5911</v>
      </c>
      <c r="E184" s="540">
        <v>0</v>
      </c>
      <c r="F184" s="540">
        <v>0</v>
      </c>
      <c r="G184" s="540">
        <v>4</v>
      </c>
      <c r="H184" s="540">
        <v>2167</v>
      </c>
      <c r="I184" s="540">
        <v>0</v>
      </c>
      <c r="J184" s="540">
        <v>0</v>
      </c>
      <c r="K184" s="540">
        <v>0</v>
      </c>
      <c r="L184" s="540">
        <v>0</v>
      </c>
      <c r="M184" s="540">
        <v>0</v>
      </c>
      <c r="N184" s="540">
        <v>1714</v>
      </c>
      <c r="O184" s="540">
        <v>50</v>
      </c>
      <c r="P184" s="540">
        <v>0</v>
      </c>
      <c r="Q184" s="540">
        <v>0</v>
      </c>
      <c r="R184" s="540">
        <v>0</v>
      </c>
      <c r="S184" s="540">
        <v>0</v>
      </c>
      <c r="T184" s="540">
        <v>0</v>
      </c>
      <c r="U184" s="540">
        <v>0</v>
      </c>
      <c r="V184" s="540">
        <v>1444</v>
      </c>
      <c r="W184" s="540">
        <v>4</v>
      </c>
      <c r="X184" s="540">
        <v>0</v>
      </c>
      <c r="Y184" s="540">
        <v>0</v>
      </c>
      <c r="Z184" s="540">
        <v>0</v>
      </c>
      <c r="AA184" s="540">
        <v>0</v>
      </c>
      <c r="AB184" s="540">
        <v>83</v>
      </c>
      <c r="AC184" s="540">
        <v>180</v>
      </c>
      <c r="AD184" s="540">
        <v>0</v>
      </c>
      <c r="AE184" s="540">
        <v>266</v>
      </c>
      <c r="AF184" s="540">
        <v>5825</v>
      </c>
      <c r="AG184" s="540">
        <v>0</v>
      </c>
      <c r="AH184" s="540">
        <v>0</v>
      </c>
      <c r="AI184" s="540">
        <v>2603</v>
      </c>
      <c r="AJ184" s="540">
        <v>0</v>
      </c>
      <c r="AK184" s="540">
        <v>0</v>
      </c>
      <c r="AL184" s="540">
        <v>0</v>
      </c>
    </row>
    <row r="185" spans="1:38" hidden="1">
      <c r="A185" s="539" t="s">
        <v>660</v>
      </c>
      <c r="B185" s="539" t="s">
        <v>661</v>
      </c>
      <c r="C185" s="538" t="s">
        <v>817</v>
      </c>
      <c r="D185" s="540">
        <v>4774</v>
      </c>
      <c r="E185" s="540">
        <v>1361</v>
      </c>
      <c r="F185" s="540">
        <v>0</v>
      </c>
      <c r="G185" s="540">
        <v>0</v>
      </c>
      <c r="H185" s="540">
        <v>0</v>
      </c>
      <c r="I185" s="540">
        <v>0</v>
      </c>
      <c r="J185" s="540">
        <v>0</v>
      </c>
      <c r="K185" s="540">
        <v>0</v>
      </c>
      <c r="L185" s="540">
        <v>0</v>
      </c>
      <c r="M185" s="540">
        <v>1624</v>
      </c>
      <c r="N185" s="540">
        <v>76</v>
      </c>
      <c r="O185" s="540">
        <v>1476</v>
      </c>
      <c r="P185" s="540">
        <v>0</v>
      </c>
      <c r="Q185" s="540">
        <v>0</v>
      </c>
      <c r="R185" s="540">
        <v>0</v>
      </c>
      <c r="S185" s="540">
        <v>104</v>
      </c>
      <c r="T185" s="540">
        <v>0</v>
      </c>
      <c r="U185" s="540">
        <v>0</v>
      </c>
      <c r="V185" s="540">
        <v>0</v>
      </c>
      <c r="W185" s="540">
        <v>29</v>
      </c>
      <c r="X185" s="540">
        <v>0</v>
      </c>
      <c r="Y185" s="540">
        <v>0</v>
      </c>
      <c r="Z185" s="540">
        <v>0</v>
      </c>
      <c r="AA185" s="540">
        <v>0</v>
      </c>
      <c r="AB185" s="540">
        <v>0</v>
      </c>
      <c r="AC185" s="540">
        <v>104</v>
      </c>
      <c r="AD185" s="540">
        <v>0</v>
      </c>
      <c r="AE185" s="540">
        <v>0</v>
      </c>
      <c r="AF185" s="540">
        <v>4792</v>
      </c>
      <c r="AG185" s="540">
        <v>0</v>
      </c>
      <c r="AH185" s="540">
        <v>18</v>
      </c>
      <c r="AI185" s="540">
        <v>0</v>
      </c>
      <c r="AJ185" s="540">
        <v>0</v>
      </c>
      <c r="AK185" s="540">
        <v>0</v>
      </c>
      <c r="AL185" s="540">
        <v>0</v>
      </c>
    </row>
    <row r="186" spans="1:38" hidden="1">
      <c r="A186" s="539" t="s">
        <v>660</v>
      </c>
      <c r="B186" s="539" t="s">
        <v>668</v>
      </c>
      <c r="C186" s="538" t="s">
        <v>818</v>
      </c>
      <c r="D186" s="540">
        <v>19652</v>
      </c>
      <c r="E186" s="540">
        <v>526</v>
      </c>
      <c r="F186" s="540">
        <v>0</v>
      </c>
      <c r="G186" s="540">
        <v>22</v>
      </c>
      <c r="H186" s="540">
        <v>1166</v>
      </c>
      <c r="I186" s="540">
        <v>10937</v>
      </c>
      <c r="J186" s="540">
        <v>0</v>
      </c>
      <c r="K186" s="540">
        <v>0</v>
      </c>
      <c r="L186" s="540">
        <v>0</v>
      </c>
      <c r="M186" s="540">
        <v>0</v>
      </c>
      <c r="N186" s="540">
        <v>428</v>
      </c>
      <c r="O186" s="540">
        <v>3168</v>
      </c>
      <c r="P186" s="540">
        <v>0</v>
      </c>
      <c r="Q186" s="540">
        <v>0</v>
      </c>
      <c r="R186" s="540">
        <v>0</v>
      </c>
      <c r="S186" s="540">
        <v>0</v>
      </c>
      <c r="T186" s="540">
        <v>212</v>
      </c>
      <c r="U186" s="540">
        <v>0</v>
      </c>
      <c r="V186" s="540">
        <v>0</v>
      </c>
      <c r="W186" s="540">
        <v>97</v>
      </c>
      <c r="X186" s="540">
        <v>0</v>
      </c>
      <c r="Y186" s="540">
        <v>0</v>
      </c>
      <c r="Z186" s="540">
        <v>0</v>
      </c>
      <c r="AA186" s="540">
        <v>0</v>
      </c>
      <c r="AB186" s="540">
        <v>0</v>
      </c>
      <c r="AC186" s="540">
        <v>270</v>
      </c>
      <c r="AD186" s="540">
        <v>2826</v>
      </c>
      <c r="AE186" s="540">
        <v>0</v>
      </c>
      <c r="AF186" s="540">
        <v>19555</v>
      </c>
      <c r="AG186" s="540">
        <v>0</v>
      </c>
      <c r="AH186" s="540">
        <v>137</v>
      </c>
      <c r="AI186" s="540">
        <v>0</v>
      </c>
      <c r="AJ186" s="540">
        <v>0</v>
      </c>
      <c r="AK186" s="540">
        <v>0</v>
      </c>
      <c r="AL186" s="540">
        <v>0</v>
      </c>
    </row>
    <row r="187" spans="1:38">
      <c r="A187" s="539" t="s">
        <v>664</v>
      </c>
      <c r="B187" s="539" t="s">
        <v>661</v>
      </c>
      <c r="C187" s="538" t="s">
        <v>819</v>
      </c>
      <c r="D187" s="540">
        <v>10400</v>
      </c>
      <c r="E187" s="540">
        <v>0</v>
      </c>
      <c r="F187" s="540">
        <v>0</v>
      </c>
      <c r="G187" s="540">
        <v>0</v>
      </c>
      <c r="H187" s="540">
        <v>0</v>
      </c>
      <c r="I187" s="540">
        <v>0</v>
      </c>
      <c r="J187" s="540">
        <v>0</v>
      </c>
      <c r="K187" s="540">
        <v>0</v>
      </c>
      <c r="L187" s="540">
        <v>0</v>
      </c>
      <c r="M187" s="540">
        <v>0</v>
      </c>
      <c r="N187" s="540">
        <v>3690</v>
      </c>
      <c r="O187" s="540">
        <v>22</v>
      </c>
      <c r="P187" s="540">
        <v>0</v>
      </c>
      <c r="Q187" s="540">
        <v>0</v>
      </c>
      <c r="R187" s="540">
        <v>0</v>
      </c>
      <c r="S187" s="540">
        <v>0</v>
      </c>
      <c r="T187" s="540">
        <v>0</v>
      </c>
      <c r="U187" s="540">
        <v>0</v>
      </c>
      <c r="V187" s="540">
        <v>3514</v>
      </c>
      <c r="W187" s="540">
        <v>187</v>
      </c>
      <c r="X187" s="540">
        <v>0</v>
      </c>
      <c r="Y187" s="540">
        <v>1066</v>
      </c>
      <c r="Z187" s="540">
        <v>0</v>
      </c>
      <c r="AA187" s="540">
        <v>0</v>
      </c>
      <c r="AB187" s="540">
        <v>0</v>
      </c>
      <c r="AC187" s="540">
        <v>0</v>
      </c>
      <c r="AD187" s="540">
        <v>0</v>
      </c>
      <c r="AE187" s="540">
        <v>1922</v>
      </c>
      <c r="AF187" s="540">
        <v>10400</v>
      </c>
      <c r="AG187" s="540">
        <v>0</v>
      </c>
      <c r="AH187" s="540">
        <v>0</v>
      </c>
      <c r="AI187" s="540">
        <v>299</v>
      </c>
      <c r="AJ187" s="540">
        <v>0</v>
      </c>
      <c r="AK187" s="540">
        <v>0</v>
      </c>
      <c r="AL187" s="540">
        <v>0</v>
      </c>
    </row>
    <row r="188" spans="1:38">
      <c r="A188" s="539" t="s">
        <v>664</v>
      </c>
      <c r="B188" s="539" t="s">
        <v>668</v>
      </c>
      <c r="C188" s="538" t="s">
        <v>820</v>
      </c>
      <c r="D188" s="540">
        <v>5472</v>
      </c>
      <c r="E188" s="540">
        <v>0</v>
      </c>
      <c r="F188" s="540">
        <v>0</v>
      </c>
      <c r="G188" s="540">
        <v>4</v>
      </c>
      <c r="H188" s="540">
        <v>1771</v>
      </c>
      <c r="I188" s="540">
        <v>0</v>
      </c>
      <c r="J188" s="540">
        <v>0</v>
      </c>
      <c r="K188" s="540">
        <v>0</v>
      </c>
      <c r="L188" s="540">
        <v>0</v>
      </c>
      <c r="M188" s="540">
        <v>0</v>
      </c>
      <c r="N188" s="540">
        <v>1714</v>
      </c>
      <c r="O188" s="540">
        <v>50</v>
      </c>
      <c r="P188" s="540">
        <v>0</v>
      </c>
      <c r="Q188" s="540">
        <v>0</v>
      </c>
      <c r="R188" s="540">
        <v>0</v>
      </c>
      <c r="S188" s="540">
        <v>0</v>
      </c>
      <c r="T188" s="540">
        <v>0</v>
      </c>
      <c r="U188" s="540">
        <v>0</v>
      </c>
      <c r="V188" s="540">
        <v>1627</v>
      </c>
      <c r="W188" s="540">
        <v>4</v>
      </c>
      <c r="X188" s="540">
        <v>0</v>
      </c>
      <c r="Y188" s="540">
        <v>0</v>
      </c>
      <c r="Z188" s="540">
        <v>0</v>
      </c>
      <c r="AA188" s="540">
        <v>0</v>
      </c>
      <c r="AB188" s="540">
        <v>86</v>
      </c>
      <c r="AC188" s="540">
        <v>58</v>
      </c>
      <c r="AD188" s="540">
        <v>0</v>
      </c>
      <c r="AE188" s="540">
        <v>158</v>
      </c>
      <c r="AF188" s="540">
        <v>5382</v>
      </c>
      <c r="AG188" s="540">
        <v>0</v>
      </c>
      <c r="AH188" s="540">
        <v>0</v>
      </c>
      <c r="AI188" s="540">
        <v>2603</v>
      </c>
      <c r="AJ188" s="540">
        <v>0</v>
      </c>
      <c r="AK188" s="540">
        <v>0</v>
      </c>
      <c r="AL188" s="540">
        <v>0</v>
      </c>
    </row>
    <row r="189" spans="1:38" hidden="1">
      <c r="A189" s="539" t="s">
        <v>660</v>
      </c>
      <c r="B189" s="539" t="s">
        <v>661</v>
      </c>
      <c r="C189" s="538" t="s">
        <v>821</v>
      </c>
      <c r="D189" s="540">
        <v>31241</v>
      </c>
      <c r="E189" s="540">
        <v>2401</v>
      </c>
      <c r="F189" s="540">
        <v>0</v>
      </c>
      <c r="G189" s="540">
        <v>742</v>
      </c>
      <c r="H189" s="540">
        <v>0</v>
      </c>
      <c r="I189" s="540">
        <v>0</v>
      </c>
      <c r="J189" s="540">
        <v>0</v>
      </c>
      <c r="K189" s="540">
        <v>0</v>
      </c>
      <c r="L189" s="540">
        <v>0</v>
      </c>
      <c r="M189" s="540">
        <v>2048</v>
      </c>
      <c r="N189" s="540">
        <v>0</v>
      </c>
      <c r="O189" s="540">
        <v>3420</v>
      </c>
      <c r="P189" s="540">
        <v>0</v>
      </c>
      <c r="Q189" s="540">
        <v>0</v>
      </c>
      <c r="R189" s="540">
        <v>0</v>
      </c>
      <c r="S189" s="540">
        <v>0</v>
      </c>
      <c r="T189" s="540">
        <v>5569</v>
      </c>
      <c r="U189" s="540">
        <v>0</v>
      </c>
      <c r="V189" s="540">
        <v>3031</v>
      </c>
      <c r="W189" s="540">
        <v>1015</v>
      </c>
      <c r="X189" s="540">
        <v>0</v>
      </c>
      <c r="Y189" s="540">
        <v>198</v>
      </c>
      <c r="Z189" s="540">
        <v>0</v>
      </c>
      <c r="AA189" s="540">
        <v>0</v>
      </c>
      <c r="AB189" s="540">
        <v>0</v>
      </c>
      <c r="AC189" s="540">
        <v>2938</v>
      </c>
      <c r="AD189" s="540">
        <v>0</v>
      </c>
      <c r="AE189" s="540">
        <v>9878</v>
      </c>
      <c r="AF189" s="540">
        <v>24930</v>
      </c>
      <c r="AG189" s="540">
        <v>0</v>
      </c>
      <c r="AH189" s="540">
        <v>0</v>
      </c>
      <c r="AI189" s="540">
        <v>0</v>
      </c>
      <c r="AJ189" s="540">
        <v>0</v>
      </c>
      <c r="AK189" s="540">
        <v>0</v>
      </c>
      <c r="AL189" s="540">
        <v>0</v>
      </c>
    </row>
    <row r="190" spans="1:38" hidden="1">
      <c r="A190" s="539" t="s">
        <v>660</v>
      </c>
      <c r="B190" s="539" t="s">
        <v>668</v>
      </c>
      <c r="C190" s="538" t="s">
        <v>822</v>
      </c>
      <c r="D190" s="540">
        <v>49972</v>
      </c>
      <c r="E190" s="540">
        <v>0</v>
      </c>
      <c r="F190" s="540">
        <v>0</v>
      </c>
      <c r="G190" s="540">
        <v>50</v>
      </c>
      <c r="H190" s="540">
        <v>6775</v>
      </c>
      <c r="I190" s="540">
        <v>11318</v>
      </c>
      <c r="J190" s="540">
        <v>0</v>
      </c>
      <c r="K190" s="540">
        <v>0</v>
      </c>
      <c r="L190" s="540">
        <v>0</v>
      </c>
      <c r="M190" s="540">
        <v>0</v>
      </c>
      <c r="N190" s="540">
        <v>0</v>
      </c>
      <c r="O190" s="540">
        <v>4277</v>
      </c>
      <c r="P190" s="540">
        <v>0</v>
      </c>
      <c r="Q190" s="540">
        <v>14</v>
      </c>
      <c r="R190" s="540">
        <v>0</v>
      </c>
      <c r="S190" s="540">
        <v>0</v>
      </c>
      <c r="T190" s="540">
        <v>68</v>
      </c>
      <c r="U190" s="540">
        <v>0</v>
      </c>
      <c r="V190" s="540">
        <v>5054</v>
      </c>
      <c r="W190" s="540">
        <v>410</v>
      </c>
      <c r="X190" s="540">
        <v>2790</v>
      </c>
      <c r="Y190" s="540">
        <v>0</v>
      </c>
      <c r="Z190" s="540">
        <v>0</v>
      </c>
      <c r="AA190" s="540">
        <v>36</v>
      </c>
      <c r="AB190" s="540">
        <v>11</v>
      </c>
      <c r="AC190" s="540">
        <v>8413</v>
      </c>
      <c r="AD190" s="540">
        <v>10753</v>
      </c>
      <c r="AE190" s="540">
        <v>0</v>
      </c>
      <c r="AF190" s="540">
        <v>47002</v>
      </c>
      <c r="AG190" s="540">
        <v>0</v>
      </c>
      <c r="AH190" s="540">
        <v>0</v>
      </c>
      <c r="AI190" s="540">
        <v>65</v>
      </c>
      <c r="AJ190" s="540">
        <v>0</v>
      </c>
      <c r="AK190" s="540">
        <v>0</v>
      </c>
      <c r="AL190" s="540">
        <v>0</v>
      </c>
    </row>
    <row r="191" spans="1:38">
      <c r="A191" s="539" t="s">
        <v>664</v>
      </c>
      <c r="B191" s="539" t="s">
        <v>661</v>
      </c>
      <c r="C191" s="538" t="s">
        <v>823</v>
      </c>
      <c r="D191" s="540">
        <v>7186</v>
      </c>
      <c r="E191" s="540">
        <v>4</v>
      </c>
      <c r="F191" s="540">
        <v>0</v>
      </c>
      <c r="G191" s="540">
        <v>0</v>
      </c>
      <c r="H191" s="540">
        <v>0</v>
      </c>
      <c r="I191" s="540">
        <v>0</v>
      </c>
      <c r="J191" s="540">
        <v>7</v>
      </c>
      <c r="K191" s="540">
        <v>0</v>
      </c>
      <c r="L191" s="540">
        <v>0</v>
      </c>
      <c r="M191" s="540">
        <v>1098</v>
      </c>
      <c r="N191" s="540">
        <v>1595</v>
      </c>
      <c r="O191" s="540">
        <v>47</v>
      </c>
      <c r="P191" s="540">
        <v>0</v>
      </c>
      <c r="Q191" s="540">
        <v>0</v>
      </c>
      <c r="R191" s="540">
        <v>0</v>
      </c>
      <c r="S191" s="540">
        <v>0</v>
      </c>
      <c r="T191" s="540">
        <v>0</v>
      </c>
      <c r="U191" s="540">
        <v>0</v>
      </c>
      <c r="V191" s="540">
        <v>0</v>
      </c>
      <c r="W191" s="540">
        <v>1069</v>
      </c>
      <c r="X191" s="540">
        <v>0</v>
      </c>
      <c r="Y191" s="540">
        <v>36</v>
      </c>
      <c r="Z191" s="540">
        <v>22</v>
      </c>
      <c r="AA191" s="540">
        <v>0</v>
      </c>
      <c r="AB191" s="540">
        <v>0</v>
      </c>
      <c r="AC191" s="540">
        <v>1012</v>
      </c>
      <c r="AD191" s="540">
        <v>0</v>
      </c>
      <c r="AE191" s="540">
        <v>2297</v>
      </c>
      <c r="AF191" s="540">
        <v>8201</v>
      </c>
      <c r="AG191" s="540">
        <v>0</v>
      </c>
      <c r="AH191" s="540">
        <v>1044</v>
      </c>
      <c r="AI191" s="540">
        <v>0</v>
      </c>
      <c r="AJ191" s="540">
        <v>0</v>
      </c>
      <c r="AK191" s="540">
        <v>0</v>
      </c>
      <c r="AL191" s="540">
        <v>7</v>
      </c>
    </row>
    <row r="192" spans="1:38">
      <c r="A192" s="539" t="s">
        <v>664</v>
      </c>
      <c r="B192" s="539" t="s">
        <v>668</v>
      </c>
      <c r="C192" s="538" t="s">
        <v>824</v>
      </c>
      <c r="D192" s="540">
        <v>59681</v>
      </c>
      <c r="E192" s="540">
        <v>1051</v>
      </c>
      <c r="F192" s="540">
        <v>0</v>
      </c>
      <c r="G192" s="540">
        <v>1224</v>
      </c>
      <c r="H192" s="540">
        <v>43</v>
      </c>
      <c r="I192" s="540">
        <v>5411</v>
      </c>
      <c r="J192" s="540">
        <v>68</v>
      </c>
      <c r="K192" s="540">
        <v>29</v>
      </c>
      <c r="L192" s="540">
        <v>0</v>
      </c>
      <c r="M192" s="540">
        <v>2538</v>
      </c>
      <c r="N192" s="540">
        <v>2930</v>
      </c>
      <c r="O192" s="540">
        <v>54</v>
      </c>
      <c r="P192" s="540">
        <v>0</v>
      </c>
      <c r="Q192" s="540">
        <v>4</v>
      </c>
      <c r="R192" s="540">
        <v>11</v>
      </c>
      <c r="S192" s="540">
        <v>0</v>
      </c>
      <c r="T192" s="540">
        <v>29</v>
      </c>
      <c r="U192" s="540">
        <v>0</v>
      </c>
      <c r="V192" s="540">
        <v>0</v>
      </c>
      <c r="W192" s="540">
        <v>4446</v>
      </c>
      <c r="X192" s="540">
        <v>2250</v>
      </c>
      <c r="Y192" s="540">
        <v>4630</v>
      </c>
      <c r="Z192" s="540">
        <v>0</v>
      </c>
      <c r="AA192" s="540">
        <v>259</v>
      </c>
      <c r="AB192" s="540">
        <v>4</v>
      </c>
      <c r="AC192" s="540">
        <v>20801</v>
      </c>
      <c r="AD192" s="540">
        <v>13900</v>
      </c>
      <c r="AE192" s="540">
        <v>0</v>
      </c>
      <c r="AF192" s="540">
        <v>55832</v>
      </c>
      <c r="AG192" s="540">
        <v>0</v>
      </c>
      <c r="AH192" s="540">
        <v>0</v>
      </c>
      <c r="AI192" s="540">
        <v>198</v>
      </c>
      <c r="AJ192" s="540">
        <v>11</v>
      </c>
      <c r="AK192" s="540">
        <v>0</v>
      </c>
      <c r="AL192" s="540">
        <v>11</v>
      </c>
    </row>
    <row r="193" spans="1:38" hidden="1">
      <c r="A193" s="539" t="s">
        <v>660</v>
      </c>
      <c r="B193" s="539" t="s">
        <v>661</v>
      </c>
      <c r="C193" s="538" t="s">
        <v>825</v>
      </c>
      <c r="D193" s="540">
        <v>4712</v>
      </c>
      <c r="E193" s="540">
        <v>371</v>
      </c>
      <c r="F193" s="540">
        <v>0</v>
      </c>
      <c r="G193" s="540">
        <v>65</v>
      </c>
      <c r="H193" s="540">
        <v>0</v>
      </c>
      <c r="I193" s="540">
        <v>0</v>
      </c>
      <c r="J193" s="540">
        <v>0</v>
      </c>
      <c r="K193" s="540">
        <v>382</v>
      </c>
      <c r="L193" s="540">
        <v>338</v>
      </c>
      <c r="M193" s="540">
        <v>0</v>
      </c>
      <c r="N193" s="540">
        <v>0</v>
      </c>
      <c r="O193" s="540">
        <v>3395</v>
      </c>
      <c r="P193" s="540">
        <v>0</v>
      </c>
      <c r="Q193" s="540">
        <v>0</v>
      </c>
      <c r="R193" s="540">
        <v>0</v>
      </c>
      <c r="S193" s="540">
        <v>0</v>
      </c>
      <c r="T193" s="540">
        <v>0</v>
      </c>
      <c r="U193" s="540">
        <v>0</v>
      </c>
      <c r="V193" s="540">
        <v>148</v>
      </c>
      <c r="W193" s="540">
        <v>14</v>
      </c>
      <c r="X193" s="540">
        <v>0</v>
      </c>
      <c r="Y193" s="540">
        <v>0</v>
      </c>
      <c r="Z193" s="540">
        <v>0</v>
      </c>
      <c r="AA193" s="540">
        <v>0</v>
      </c>
      <c r="AB193" s="540">
        <v>0</v>
      </c>
      <c r="AC193" s="540">
        <v>0</v>
      </c>
      <c r="AD193" s="540">
        <v>0</v>
      </c>
      <c r="AE193" s="540">
        <v>0</v>
      </c>
      <c r="AF193" s="540">
        <v>4648</v>
      </c>
      <c r="AG193" s="540">
        <v>14</v>
      </c>
      <c r="AH193" s="540">
        <v>0</v>
      </c>
      <c r="AI193" s="540">
        <v>0</v>
      </c>
      <c r="AJ193" s="540">
        <v>40</v>
      </c>
      <c r="AK193" s="540">
        <v>0</v>
      </c>
      <c r="AL193" s="540">
        <v>0</v>
      </c>
    </row>
    <row r="194" spans="1:38" hidden="1">
      <c r="A194" s="539" t="s">
        <v>660</v>
      </c>
      <c r="B194" s="539" t="s">
        <v>668</v>
      </c>
      <c r="C194" s="538" t="s">
        <v>826</v>
      </c>
      <c r="D194" s="540">
        <v>4565</v>
      </c>
      <c r="E194" s="540">
        <v>166</v>
      </c>
      <c r="F194" s="540">
        <v>0</v>
      </c>
      <c r="G194" s="540">
        <v>4</v>
      </c>
      <c r="H194" s="540">
        <v>14</v>
      </c>
      <c r="I194" s="540">
        <v>3780</v>
      </c>
      <c r="J194" s="540">
        <v>43</v>
      </c>
      <c r="K194" s="540">
        <v>0</v>
      </c>
      <c r="L194" s="540">
        <v>0</v>
      </c>
      <c r="M194" s="540">
        <v>0</v>
      </c>
      <c r="N194" s="540">
        <v>0</v>
      </c>
      <c r="O194" s="540">
        <v>338</v>
      </c>
      <c r="P194" s="540">
        <v>0</v>
      </c>
      <c r="Q194" s="540">
        <v>0</v>
      </c>
      <c r="R194" s="540">
        <v>0</v>
      </c>
      <c r="S194" s="540">
        <v>0</v>
      </c>
      <c r="T194" s="540">
        <v>0</v>
      </c>
      <c r="U194" s="540">
        <v>0</v>
      </c>
      <c r="V194" s="540">
        <v>76</v>
      </c>
      <c r="W194" s="540">
        <v>0</v>
      </c>
      <c r="X194" s="540">
        <v>4</v>
      </c>
      <c r="Y194" s="540">
        <v>0</v>
      </c>
      <c r="Z194" s="540">
        <v>0</v>
      </c>
      <c r="AA194" s="540">
        <v>0</v>
      </c>
      <c r="AB194" s="540">
        <v>0</v>
      </c>
      <c r="AC194" s="540">
        <v>76</v>
      </c>
      <c r="AD194" s="540">
        <v>65</v>
      </c>
      <c r="AE194" s="540">
        <v>0</v>
      </c>
      <c r="AF194" s="540">
        <v>4514</v>
      </c>
      <c r="AG194" s="540">
        <v>0</v>
      </c>
      <c r="AH194" s="540">
        <v>0</v>
      </c>
      <c r="AI194" s="540">
        <v>0</v>
      </c>
      <c r="AJ194" s="540">
        <v>0</v>
      </c>
      <c r="AK194" s="540">
        <v>0</v>
      </c>
      <c r="AL194" s="540">
        <v>0</v>
      </c>
    </row>
    <row r="195" spans="1:38">
      <c r="A195" s="539" t="s">
        <v>664</v>
      </c>
      <c r="B195" s="539" t="s">
        <v>661</v>
      </c>
      <c r="C195" s="538" t="s">
        <v>827</v>
      </c>
      <c r="D195" s="540">
        <v>19084</v>
      </c>
      <c r="E195" s="540">
        <v>0</v>
      </c>
      <c r="F195" s="540">
        <v>0</v>
      </c>
      <c r="G195" s="540">
        <v>122</v>
      </c>
      <c r="H195" s="540">
        <v>7</v>
      </c>
      <c r="I195" s="540">
        <v>0</v>
      </c>
      <c r="J195" s="540">
        <v>0</v>
      </c>
      <c r="K195" s="540">
        <v>0</v>
      </c>
      <c r="L195" s="540">
        <v>0</v>
      </c>
      <c r="M195" s="540">
        <v>1627</v>
      </c>
      <c r="N195" s="540">
        <v>1472</v>
      </c>
      <c r="O195" s="540">
        <v>32</v>
      </c>
      <c r="P195" s="540">
        <v>0</v>
      </c>
      <c r="Q195" s="540">
        <v>4</v>
      </c>
      <c r="R195" s="540">
        <v>0</v>
      </c>
      <c r="S195" s="540">
        <v>0</v>
      </c>
      <c r="T195" s="540">
        <v>0</v>
      </c>
      <c r="U195" s="540">
        <v>0</v>
      </c>
      <c r="V195" s="540">
        <v>194</v>
      </c>
      <c r="W195" s="540">
        <v>47</v>
      </c>
      <c r="X195" s="540">
        <v>0</v>
      </c>
      <c r="Y195" s="540">
        <v>97</v>
      </c>
      <c r="Z195" s="540">
        <v>0</v>
      </c>
      <c r="AA195" s="540">
        <v>32</v>
      </c>
      <c r="AB195" s="540">
        <v>0</v>
      </c>
      <c r="AC195" s="540">
        <v>0</v>
      </c>
      <c r="AD195" s="540">
        <v>0</v>
      </c>
      <c r="AE195" s="540">
        <v>15448</v>
      </c>
      <c r="AF195" s="540">
        <v>18925</v>
      </c>
      <c r="AG195" s="540">
        <v>0</v>
      </c>
      <c r="AH195" s="540">
        <v>0</v>
      </c>
      <c r="AI195" s="540">
        <v>54</v>
      </c>
      <c r="AJ195" s="540">
        <v>0</v>
      </c>
      <c r="AK195" s="540">
        <v>0</v>
      </c>
      <c r="AL195" s="540">
        <v>14</v>
      </c>
    </row>
    <row r="196" spans="1:38">
      <c r="A196" s="539" t="s">
        <v>664</v>
      </c>
      <c r="B196" s="539" t="s">
        <v>668</v>
      </c>
      <c r="C196" s="538" t="s">
        <v>828</v>
      </c>
      <c r="D196" s="540">
        <v>796</v>
      </c>
      <c r="E196" s="540">
        <v>0</v>
      </c>
      <c r="F196" s="540">
        <v>0</v>
      </c>
      <c r="G196" s="540">
        <v>94</v>
      </c>
      <c r="H196" s="540">
        <v>97</v>
      </c>
      <c r="I196" s="540">
        <v>0</v>
      </c>
      <c r="J196" s="540">
        <v>0</v>
      </c>
      <c r="K196" s="540">
        <v>0</v>
      </c>
      <c r="L196" s="540">
        <v>0</v>
      </c>
      <c r="M196" s="540">
        <v>101</v>
      </c>
      <c r="N196" s="540">
        <v>0</v>
      </c>
      <c r="O196" s="540">
        <v>22</v>
      </c>
      <c r="P196" s="540">
        <v>0</v>
      </c>
      <c r="Q196" s="540">
        <v>90</v>
      </c>
      <c r="R196" s="540">
        <v>0</v>
      </c>
      <c r="S196" s="540">
        <v>0</v>
      </c>
      <c r="T196" s="540">
        <v>0</v>
      </c>
      <c r="U196" s="540">
        <v>0</v>
      </c>
      <c r="V196" s="540">
        <v>50</v>
      </c>
      <c r="W196" s="540">
        <v>0</v>
      </c>
      <c r="X196" s="540">
        <v>266</v>
      </c>
      <c r="Y196" s="540">
        <v>0</v>
      </c>
      <c r="Z196" s="540">
        <v>0</v>
      </c>
      <c r="AA196" s="540">
        <v>76</v>
      </c>
      <c r="AB196" s="540">
        <v>0</v>
      </c>
      <c r="AC196" s="540">
        <v>0</v>
      </c>
      <c r="AD196" s="540">
        <v>0</v>
      </c>
      <c r="AE196" s="540">
        <v>0</v>
      </c>
      <c r="AF196" s="540">
        <v>270</v>
      </c>
      <c r="AG196" s="540">
        <v>0</v>
      </c>
      <c r="AH196" s="540">
        <v>0</v>
      </c>
      <c r="AI196" s="540">
        <v>0</v>
      </c>
      <c r="AJ196" s="540">
        <v>0</v>
      </c>
      <c r="AK196" s="540">
        <v>0</v>
      </c>
      <c r="AL196" s="540">
        <v>4</v>
      </c>
    </row>
    <row r="197" spans="1:38" hidden="1">
      <c r="A197" s="539" t="s">
        <v>660</v>
      </c>
      <c r="B197" s="539" t="s">
        <v>661</v>
      </c>
      <c r="C197" s="538" t="s">
        <v>829</v>
      </c>
      <c r="D197" s="540">
        <v>176</v>
      </c>
      <c r="E197" s="540">
        <v>0</v>
      </c>
      <c r="F197" s="540">
        <v>0</v>
      </c>
      <c r="G197" s="540">
        <v>0</v>
      </c>
      <c r="H197" s="540">
        <v>0</v>
      </c>
      <c r="I197" s="540">
        <v>0</v>
      </c>
      <c r="J197" s="540">
        <v>0</v>
      </c>
      <c r="K197" s="540">
        <v>0</v>
      </c>
      <c r="L197" s="540">
        <v>0</v>
      </c>
      <c r="M197" s="540">
        <v>0</v>
      </c>
      <c r="N197" s="540">
        <v>0</v>
      </c>
      <c r="O197" s="540">
        <v>0</v>
      </c>
      <c r="P197" s="540">
        <v>0</v>
      </c>
      <c r="Q197" s="540">
        <v>0</v>
      </c>
      <c r="R197" s="540">
        <v>0</v>
      </c>
      <c r="S197" s="540">
        <v>0</v>
      </c>
      <c r="T197" s="540">
        <v>0</v>
      </c>
      <c r="U197" s="540">
        <v>0</v>
      </c>
      <c r="V197" s="540">
        <v>0</v>
      </c>
      <c r="W197" s="540">
        <v>173</v>
      </c>
      <c r="X197" s="540">
        <v>0</v>
      </c>
      <c r="Y197" s="540">
        <v>0</v>
      </c>
      <c r="Z197" s="540">
        <v>0</v>
      </c>
      <c r="AA197" s="540">
        <v>0</v>
      </c>
      <c r="AB197" s="540">
        <v>0</v>
      </c>
      <c r="AC197" s="540">
        <v>4</v>
      </c>
      <c r="AD197" s="540">
        <v>0</v>
      </c>
      <c r="AE197" s="540">
        <v>0</v>
      </c>
      <c r="AF197" s="540">
        <v>176</v>
      </c>
      <c r="AG197" s="540">
        <v>0</v>
      </c>
      <c r="AH197" s="540">
        <v>0</v>
      </c>
      <c r="AI197" s="540">
        <v>0</v>
      </c>
      <c r="AJ197" s="540">
        <v>0</v>
      </c>
      <c r="AK197" s="540">
        <v>0</v>
      </c>
      <c r="AL197" s="540">
        <v>0</v>
      </c>
    </row>
    <row r="198" spans="1:38" hidden="1">
      <c r="A198" s="539" t="s">
        <v>660</v>
      </c>
      <c r="B198" s="539" t="s">
        <v>668</v>
      </c>
      <c r="C198" s="538" t="s">
        <v>830</v>
      </c>
      <c r="D198" s="540">
        <v>3391</v>
      </c>
      <c r="E198" s="540">
        <v>0</v>
      </c>
      <c r="F198" s="540">
        <v>0</v>
      </c>
      <c r="G198" s="540">
        <v>7</v>
      </c>
      <c r="H198" s="540">
        <v>0</v>
      </c>
      <c r="I198" s="540">
        <v>3197</v>
      </c>
      <c r="J198" s="540">
        <v>0</v>
      </c>
      <c r="K198" s="540">
        <v>0</v>
      </c>
      <c r="L198" s="540">
        <v>0</v>
      </c>
      <c r="M198" s="540">
        <v>0</v>
      </c>
      <c r="N198" s="540">
        <v>0</v>
      </c>
      <c r="O198" s="540">
        <v>11</v>
      </c>
      <c r="P198" s="540">
        <v>0</v>
      </c>
      <c r="Q198" s="540">
        <v>36</v>
      </c>
      <c r="R198" s="540">
        <v>7</v>
      </c>
      <c r="S198" s="540">
        <v>0</v>
      </c>
      <c r="T198" s="540">
        <v>0</v>
      </c>
      <c r="U198" s="540">
        <v>0</v>
      </c>
      <c r="V198" s="540">
        <v>0</v>
      </c>
      <c r="W198" s="540">
        <v>11</v>
      </c>
      <c r="X198" s="540">
        <v>0</v>
      </c>
      <c r="Y198" s="540">
        <v>0</v>
      </c>
      <c r="Z198" s="540">
        <v>0</v>
      </c>
      <c r="AA198" s="540">
        <v>0</v>
      </c>
      <c r="AB198" s="540">
        <v>0</v>
      </c>
      <c r="AC198" s="540">
        <v>0</v>
      </c>
      <c r="AD198" s="540">
        <v>122</v>
      </c>
      <c r="AE198" s="540">
        <v>0</v>
      </c>
      <c r="AF198" s="540">
        <v>3341</v>
      </c>
      <c r="AG198" s="540">
        <v>0</v>
      </c>
      <c r="AH198" s="540">
        <v>0</v>
      </c>
      <c r="AI198" s="540">
        <v>0</v>
      </c>
      <c r="AJ198" s="540">
        <v>0</v>
      </c>
      <c r="AK198" s="540">
        <v>0</v>
      </c>
      <c r="AL198" s="540">
        <v>0</v>
      </c>
    </row>
    <row r="199" spans="1:38">
      <c r="A199" s="539" t="s">
        <v>664</v>
      </c>
      <c r="B199" s="539" t="s">
        <v>661</v>
      </c>
      <c r="C199" s="538" t="s">
        <v>831</v>
      </c>
      <c r="D199" s="540">
        <v>670</v>
      </c>
      <c r="E199" s="540">
        <v>0</v>
      </c>
      <c r="F199" s="540">
        <v>0</v>
      </c>
      <c r="G199" s="540">
        <v>0</v>
      </c>
      <c r="H199" s="540">
        <v>0</v>
      </c>
      <c r="I199" s="540">
        <v>0</v>
      </c>
      <c r="J199" s="540">
        <v>7</v>
      </c>
      <c r="K199" s="540">
        <v>0</v>
      </c>
      <c r="L199" s="540">
        <v>0</v>
      </c>
      <c r="M199" s="540">
        <v>385</v>
      </c>
      <c r="N199" s="540">
        <v>101</v>
      </c>
      <c r="O199" s="540">
        <v>0</v>
      </c>
      <c r="P199" s="540">
        <v>0</v>
      </c>
      <c r="Q199" s="540">
        <v>0</v>
      </c>
      <c r="R199" s="540">
        <v>0</v>
      </c>
      <c r="S199" s="540">
        <v>0</v>
      </c>
      <c r="T199" s="540">
        <v>0</v>
      </c>
      <c r="U199" s="540">
        <v>0</v>
      </c>
      <c r="V199" s="540">
        <v>0</v>
      </c>
      <c r="W199" s="540">
        <v>7</v>
      </c>
      <c r="X199" s="540">
        <v>0</v>
      </c>
      <c r="Y199" s="540">
        <v>0</v>
      </c>
      <c r="Z199" s="540">
        <v>0</v>
      </c>
      <c r="AA199" s="540">
        <v>0</v>
      </c>
      <c r="AB199" s="540">
        <v>0</v>
      </c>
      <c r="AC199" s="540">
        <v>0</v>
      </c>
      <c r="AD199" s="540">
        <v>0</v>
      </c>
      <c r="AE199" s="540">
        <v>169</v>
      </c>
      <c r="AF199" s="540">
        <v>662</v>
      </c>
      <c r="AG199" s="540">
        <v>0</v>
      </c>
      <c r="AH199" s="540">
        <v>0</v>
      </c>
      <c r="AI199" s="540">
        <v>0</v>
      </c>
      <c r="AJ199" s="540">
        <v>0</v>
      </c>
      <c r="AK199" s="540">
        <v>0</v>
      </c>
      <c r="AL199" s="540">
        <v>0</v>
      </c>
    </row>
    <row r="200" spans="1:38">
      <c r="A200" s="539" t="s">
        <v>664</v>
      </c>
      <c r="B200" s="539" t="s">
        <v>668</v>
      </c>
      <c r="C200" s="538" t="s">
        <v>832</v>
      </c>
      <c r="D200" s="540">
        <v>2941</v>
      </c>
      <c r="E200" s="540">
        <v>11</v>
      </c>
      <c r="F200" s="540">
        <v>0</v>
      </c>
      <c r="G200" s="540">
        <v>256</v>
      </c>
      <c r="H200" s="540">
        <v>155</v>
      </c>
      <c r="I200" s="540">
        <v>0</v>
      </c>
      <c r="J200" s="540">
        <v>0</v>
      </c>
      <c r="K200" s="540">
        <v>58</v>
      </c>
      <c r="L200" s="540">
        <v>101</v>
      </c>
      <c r="M200" s="540">
        <v>61</v>
      </c>
      <c r="N200" s="540">
        <v>97</v>
      </c>
      <c r="O200" s="540">
        <v>0</v>
      </c>
      <c r="P200" s="540">
        <v>0</v>
      </c>
      <c r="Q200" s="540">
        <v>0</v>
      </c>
      <c r="R200" s="540">
        <v>0</v>
      </c>
      <c r="S200" s="540">
        <v>18</v>
      </c>
      <c r="T200" s="540">
        <v>58</v>
      </c>
      <c r="U200" s="540">
        <v>0</v>
      </c>
      <c r="V200" s="540">
        <v>443</v>
      </c>
      <c r="W200" s="540">
        <v>14</v>
      </c>
      <c r="X200" s="540">
        <v>126</v>
      </c>
      <c r="Y200" s="540">
        <v>14</v>
      </c>
      <c r="Z200" s="540">
        <v>0</v>
      </c>
      <c r="AA200" s="540">
        <v>7</v>
      </c>
      <c r="AB200" s="540">
        <v>14</v>
      </c>
      <c r="AC200" s="540">
        <v>0</v>
      </c>
      <c r="AD200" s="540">
        <v>0</v>
      </c>
      <c r="AE200" s="540">
        <v>1508</v>
      </c>
      <c r="AF200" s="540">
        <v>2480</v>
      </c>
      <c r="AG200" s="540">
        <v>0</v>
      </c>
      <c r="AH200" s="540">
        <v>0</v>
      </c>
      <c r="AI200" s="540">
        <v>385</v>
      </c>
      <c r="AJ200" s="540">
        <v>0</v>
      </c>
      <c r="AK200" s="540">
        <v>0</v>
      </c>
      <c r="AL200" s="540">
        <v>0</v>
      </c>
    </row>
    <row r="201" spans="1:38" hidden="1">
      <c r="A201" s="539" t="s">
        <v>660</v>
      </c>
      <c r="B201" s="539" t="s">
        <v>661</v>
      </c>
      <c r="C201" s="538" t="s">
        <v>833</v>
      </c>
      <c r="D201" s="540">
        <v>760</v>
      </c>
      <c r="E201" s="540">
        <v>0</v>
      </c>
      <c r="F201" s="540">
        <v>0</v>
      </c>
      <c r="G201" s="540">
        <v>0</v>
      </c>
      <c r="H201" s="540">
        <v>0</v>
      </c>
      <c r="I201" s="540">
        <v>0</v>
      </c>
      <c r="J201" s="540">
        <v>0</v>
      </c>
      <c r="K201" s="540">
        <v>0</v>
      </c>
      <c r="L201" s="540">
        <v>0</v>
      </c>
      <c r="M201" s="540">
        <v>0</v>
      </c>
      <c r="N201" s="540">
        <v>0</v>
      </c>
      <c r="O201" s="540">
        <v>29</v>
      </c>
      <c r="P201" s="540">
        <v>0</v>
      </c>
      <c r="Q201" s="540">
        <v>0</v>
      </c>
      <c r="R201" s="540">
        <v>0</v>
      </c>
      <c r="S201" s="540">
        <v>0</v>
      </c>
      <c r="T201" s="540">
        <v>0</v>
      </c>
      <c r="U201" s="540">
        <v>0</v>
      </c>
      <c r="V201" s="540">
        <v>0</v>
      </c>
      <c r="W201" s="540">
        <v>731</v>
      </c>
      <c r="X201" s="540">
        <v>0</v>
      </c>
      <c r="Y201" s="540">
        <v>0</v>
      </c>
      <c r="Z201" s="540">
        <v>0</v>
      </c>
      <c r="AA201" s="540">
        <v>0</v>
      </c>
      <c r="AB201" s="540">
        <v>0</v>
      </c>
      <c r="AC201" s="540">
        <v>0</v>
      </c>
      <c r="AD201" s="540">
        <v>0</v>
      </c>
      <c r="AE201" s="540">
        <v>0</v>
      </c>
      <c r="AF201" s="540">
        <v>760</v>
      </c>
      <c r="AG201" s="540">
        <v>0</v>
      </c>
      <c r="AH201" s="540">
        <v>0</v>
      </c>
      <c r="AI201" s="540">
        <v>0</v>
      </c>
      <c r="AJ201" s="540">
        <v>0</v>
      </c>
      <c r="AK201" s="540">
        <v>0</v>
      </c>
      <c r="AL201" s="540">
        <v>0</v>
      </c>
    </row>
    <row r="202" spans="1:38" hidden="1">
      <c r="A202" s="539" t="s">
        <v>660</v>
      </c>
      <c r="B202" s="539" t="s">
        <v>668</v>
      </c>
      <c r="C202" s="538" t="s">
        <v>834</v>
      </c>
      <c r="D202" s="540">
        <v>10141</v>
      </c>
      <c r="E202" s="540">
        <v>130</v>
      </c>
      <c r="F202" s="540">
        <v>0</v>
      </c>
      <c r="G202" s="540">
        <v>0</v>
      </c>
      <c r="H202" s="540">
        <v>490</v>
      </c>
      <c r="I202" s="540">
        <v>9079</v>
      </c>
      <c r="J202" s="540">
        <v>0</v>
      </c>
      <c r="K202" s="540">
        <v>0</v>
      </c>
      <c r="L202" s="540">
        <v>0</v>
      </c>
      <c r="M202" s="540">
        <v>0</v>
      </c>
      <c r="N202" s="540">
        <v>0</v>
      </c>
      <c r="O202" s="540">
        <v>410</v>
      </c>
      <c r="P202" s="540">
        <v>0</v>
      </c>
      <c r="Q202" s="540">
        <v>0</v>
      </c>
      <c r="R202" s="540">
        <v>0</v>
      </c>
      <c r="S202" s="540">
        <v>0</v>
      </c>
      <c r="T202" s="540">
        <v>0</v>
      </c>
      <c r="U202" s="540">
        <v>0</v>
      </c>
      <c r="V202" s="540">
        <v>0</v>
      </c>
      <c r="W202" s="540">
        <v>25</v>
      </c>
      <c r="X202" s="540">
        <v>0</v>
      </c>
      <c r="Y202" s="540">
        <v>0</v>
      </c>
      <c r="Z202" s="540">
        <v>0</v>
      </c>
      <c r="AA202" s="540">
        <v>0</v>
      </c>
      <c r="AB202" s="540">
        <v>0</v>
      </c>
      <c r="AC202" s="540">
        <v>0</v>
      </c>
      <c r="AD202" s="540">
        <v>7</v>
      </c>
      <c r="AE202" s="540">
        <v>0</v>
      </c>
      <c r="AF202" s="540">
        <v>10141</v>
      </c>
      <c r="AG202" s="540">
        <v>0</v>
      </c>
      <c r="AH202" s="540">
        <v>0</v>
      </c>
      <c r="AI202" s="540">
        <v>0</v>
      </c>
      <c r="AJ202" s="540">
        <v>0</v>
      </c>
      <c r="AK202" s="540">
        <v>0</v>
      </c>
      <c r="AL202" s="540">
        <v>0</v>
      </c>
    </row>
    <row r="203" spans="1:38">
      <c r="A203" s="539" t="s">
        <v>664</v>
      </c>
      <c r="B203" s="539" t="s">
        <v>661</v>
      </c>
      <c r="C203" s="538" t="s">
        <v>835</v>
      </c>
      <c r="D203" s="540">
        <v>140</v>
      </c>
      <c r="E203" s="540">
        <v>0</v>
      </c>
      <c r="F203" s="540">
        <v>0</v>
      </c>
      <c r="G203" s="540">
        <v>4</v>
      </c>
      <c r="H203" s="540">
        <v>0</v>
      </c>
      <c r="I203" s="540">
        <v>0</v>
      </c>
      <c r="J203" s="540">
        <v>0</v>
      </c>
      <c r="K203" s="540">
        <v>0</v>
      </c>
      <c r="L203" s="540">
        <v>0</v>
      </c>
      <c r="M203" s="540">
        <v>43</v>
      </c>
      <c r="N203" s="540">
        <v>36</v>
      </c>
      <c r="O203" s="540">
        <v>25</v>
      </c>
      <c r="P203" s="540">
        <v>0</v>
      </c>
      <c r="Q203" s="540">
        <v>0</v>
      </c>
      <c r="R203" s="540">
        <v>0</v>
      </c>
      <c r="S203" s="540">
        <v>0</v>
      </c>
      <c r="T203" s="540">
        <v>0</v>
      </c>
      <c r="U203" s="540">
        <v>0</v>
      </c>
      <c r="V203" s="540">
        <v>0</v>
      </c>
      <c r="W203" s="540">
        <v>29</v>
      </c>
      <c r="X203" s="540">
        <v>0</v>
      </c>
      <c r="Y203" s="540">
        <v>0</v>
      </c>
      <c r="Z203" s="540">
        <v>0</v>
      </c>
      <c r="AA203" s="540">
        <v>0</v>
      </c>
      <c r="AB203" s="540">
        <v>4</v>
      </c>
      <c r="AC203" s="540">
        <v>0</v>
      </c>
      <c r="AD203" s="540">
        <v>0</v>
      </c>
      <c r="AE203" s="540">
        <v>0</v>
      </c>
      <c r="AF203" s="540">
        <v>133</v>
      </c>
      <c r="AG203" s="540">
        <v>0</v>
      </c>
      <c r="AH203" s="540">
        <v>0</v>
      </c>
      <c r="AI203" s="540">
        <v>0</v>
      </c>
      <c r="AJ203" s="540">
        <v>0</v>
      </c>
      <c r="AK203" s="540">
        <v>0</v>
      </c>
      <c r="AL203" s="540">
        <v>86</v>
      </c>
    </row>
    <row r="204" spans="1:38">
      <c r="A204" s="539" t="s">
        <v>664</v>
      </c>
      <c r="B204" s="539" t="s">
        <v>668</v>
      </c>
      <c r="C204" s="538" t="s">
        <v>836</v>
      </c>
      <c r="D204" s="540">
        <v>1721</v>
      </c>
      <c r="E204" s="540">
        <v>126</v>
      </c>
      <c r="F204" s="540">
        <v>0</v>
      </c>
      <c r="G204" s="540">
        <v>25</v>
      </c>
      <c r="H204" s="540">
        <v>248</v>
      </c>
      <c r="I204" s="540">
        <v>893</v>
      </c>
      <c r="J204" s="540">
        <v>0</v>
      </c>
      <c r="K204" s="540">
        <v>0</v>
      </c>
      <c r="L204" s="540">
        <v>0</v>
      </c>
      <c r="M204" s="540">
        <v>25</v>
      </c>
      <c r="N204" s="540">
        <v>14</v>
      </c>
      <c r="O204" s="540">
        <v>47</v>
      </c>
      <c r="P204" s="540">
        <v>0</v>
      </c>
      <c r="Q204" s="540">
        <v>0</v>
      </c>
      <c r="R204" s="540">
        <v>7</v>
      </c>
      <c r="S204" s="540">
        <v>83</v>
      </c>
      <c r="T204" s="540">
        <v>32</v>
      </c>
      <c r="U204" s="540">
        <v>0</v>
      </c>
      <c r="V204" s="540">
        <v>148</v>
      </c>
      <c r="W204" s="540">
        <v>54</v>
      </c>
      <c r="X204" s="540">
        <v>4</v>
      </c>
      <c r="Y204" s="540">
        <v>14</v>
      </c>
      <c r="Z204" s="540">
        <v>0</v>
      </c>
      <c r="AA204" s="540">
        <v>0</v>
      </c>
      <c r="AB204" s="540">
        <v>0</v>
      </c>
      <c r="AC204" s="540">
        <v>0</v>
      </c>
      <c r="AD204" s="540">
        <v>0</v>
      </c>
      <c r="AE204" s="540">
        <v>0</v>
      </c>
      <c r="AF204" s="540">
        <v>1652</v>
      </c>
      <c r="AG204" s="540">
        <v>0</v>
      </c>
      <c r="AH204" s="540">
        <v>0</v>
      </c>
      <c r="AI204" s="540">
        <v>86</v>
      </c>
      <c r="AJ204" s="540">
        <v>0</v>
      </c>
      <c r="AK204" s="540">
        <v>0</v>
      </c>
      <c r="AL204" s="540">
        <v>0</v>
      </c>
    </row>
    <row r="205" spans="1:38" hidden="1">
      <c r="A205" s="539" t="s">
        <v>660</v>
      </c>
      <c r="B205" s="539" t="s">
        <v>661</v>
      </c>
      <c r="C205" s="538" t="s">
        <v>837</v>
      </c>
      <c r="D205" s="540">
        <v>5634</v>
      </c>
      <c r="E205" s="540">
        <v>281</v>
      </c>
      <c r="F205" s="540">
        <v>0</v>
      </c>
      <c r="G205" s="540">
        <v>0</v>
      </c>
      <c r="H205" s="540">
        <v>0</v>
      </c>
      <c r="I205" s="540">
        <v>0</v>
      </c>
      <c r="J205" s="540">
        <v>0</v>
      </c>
      <c r="K205" s="540">
        <v>0</v>
      </c>
      <c r="L205" s="540">
        <v>0</v>
      </c>
      <c r="M205" s="540">
        <v>0</v>
      </c>
      <c r="N205" s="540">
        <v>0</v>
      </c>
      <c r="O205" s="540">
        <v>0</v>
      </c>
      <c r="P205" s="540">
        <v>0</v>
      </c>
      <c r="Q205" s="540">
        <v>0</v>
      </c>
      <c r="R205" s="540">
        <v>0</v>
      </c>
      <c r="S205" s="540">
        <v>0</v>
      </c>
      <c r="T205" s="540">
        <v>0</v>
      </c>
      <c r="U205" s="540">
        <v>0</v>
      </c>
      <c r="V205" s="540">
        <v>5216</v>
      </c>
      <c r="W205" s="540">
        <v>137</v>
      </c>
      <c r="X205" s="540">
        <v>0</v>
      </c>
      <c r="Y205" s="540">
        <v>0</v>
      </c>
      <c r="Z205" s="540">
        <v>0</v>
      </c>
      <c r="AA205" s="540">
        <v>0</v>
      </c>
      <c r="AB205" s="540">
        <v>0</v>
      </c>
      <c r="AC205" s="540">
        <v>0</v>
      </c>
      <c r="AD205" s="540">
        <v>0</v>
      </c>
      <c r="AE205" s="540">
        <v>0</v>
      </c>
      <c r="AF205" s="540">
        <v>5634</v>
      </c>
      <c r="AG205" s="540">
        <v>0</v>
      </c>
      <c r="AH205" s="540">
        <v>0</v>
      </c>
      <c r="AI205" s="540">
        <v>0</v>
      </c>
      <c r="AJ205" s="540">
        <v>0</v>
      </c>
      <c r="AK205" s="540">
        <v>0</v>
      </c>
      <c r="AL205" s="540">
        <v>0</v>
      </c>
    </row>
    <row r="206" spans="1:38" hidden="1">
      <c r="A206" s="539" t="s">
        <v>660</v>
      </c>
      <c r="B206" s="539" t="s">
        <v>668</v>
      </c>
      <c r="C206" s="538" t="s">
        <v>838</v>
      </c>
      <c r="D206" s="540">
        <v>551</v>
      </c>
      <c r="E206" s="540">
        <v>0</v>
      </c>
      <c r="F206" s="540">
        <v>0</v>
      </c>
      <c r="G206" s="540">
        <v>0</v>
      </c>
      <c r="H206" s="540">
        <v>0</v>
      </c>
      <c r="I206" s="540">
        <v>277</v>
      </c>
      <c r="J206" s="540">
        <v>0</v>
      </c>
      <c r="K206" s="540">
        <v>0</v>
      </c>
      <c r="L206" s="540">
        <v>0</v>
      </c>
      <c r="M206" s="540">
        <v>0</v>
      </c>
      <c r="N206" s="540">
        <v>0</v>
      </c>
      <c r="O206" s="540">
        <v>0</v>
      </c>
      <c r="P206" s="540">
        <v>0</v>
      </c>
      <c r="Q206" s="540">
        <v>0</v>
      </c>
      <c r="R206" s="540">
        <v>0</v>
      </c>
      <c r="S206" s="540">
        <v>0</v>
      </c>
      <c r="T206" s="540">
        <v>0</v>
      </c>
      <c r="U206" s="540">
        <v>0</v>
      </c>
      <c r="V206" s="540">
        <v>0</v>
      </c>
      <c r="W206" s="540">
        <v>43</v>
      </c>
      <c r="X206" s="540">
        <v>0</v>
      </c>
      <c r="Y206" s="540">
        <v>0</v>
      </c>
      <c r="Z206" s="540">
        <v>0</v>
      </c>
      <c r="AA206" s="540">
        <v>0</v>
      </c>
      <c r="AB206" s="540">
        <v>0</v>
      </c>
      <c r="AC206" s="540">
        <v>0</v>
      </c>
      <c r="AD206" s="540">
        <v>230</v>
      </c>
      <c r="AE206" s="540">
        <v>0</v>
      </c>
      <c r="AF206" s="540">
        <v>551</v>
      </c>
      <c r="AG206" s="540">
        <v>0</v>
      </c>
      <c r="AH206" s="540">
        <v>0</v>
      </c>
      <c r="AI206" s="540">
        <v>0</v>
      </c>
      <c r="AJ206" s="540">
        <v>0</v>
      </c>
      <c r="AK206" s="540">
        <v>0</v>
      </c>
      <c r="AL206" s="540">
        <v>0</v>
      </c>
    </row>
    <row r="207" spans="1:38">
      <c r="A207" s="539" t="s">
        <v>664</v>
      </c>
      <c r="B207" s="539" t="s">
        <v>661</v>
      </c>
      <c r="C207" s="538" t="s">
        <v>839</v>
      </c>
      <c r="D207" s="540">
        <v>25</v>
      </c>
      <c r="E207" s="540">
        <v>7</v>
      </c>
      <c r="F207" s="540">
        <v>0</v>
      </c>
      <c r="G207" s="540">
        <v>0</v>
      </c>
      <c r="H207" s="540">
        <v>0</v>
      </c>
      <c r="I207" s="540">
        <v>0</v>
      </c>
      <c r="J207" s="540">
        <v>0</v>
      </c>
      <c r="K207" s="540">
        <v>0</v>
      </c>
      <c r="L207" s="540">
        <v>0</v>
      </c>
      <c r="M207" s="540">
        <v>0</v>
      </c>
      <c r="N207" s="540">
        <v>0</v>
      </c>
      <c r="O207" s="540">
        <v>0</v>
      </c>
      <c r="P207" s="540">
        <v>0</v>
      </c>
      <c r="Q207" s="540">
        <v>0</v>
      </c>
      <c r="R207" s="540">
        <v>0</v>
      </c>
      <c r="S207" s="540">
        <v>0</v>
      </c>
      <c r="T207" s="540">
        <v>0</v>
      </c>
      <c r="U207" s="540">
        <v>0</v>
      </c>
      <c r="V207" s="540">
        <v>0</v>
      </c>
      <c r="W207" s="540">
        <v>18</v>
      </c>
      <c r="X207" s="540">
        <v>0</v>
      </c>
      <c r="Y207" s="540">
        <v>0</v>
      </c>
      <c r="Z207" s="540">
        <v>0</v>
      </c>
      <c r="AA207" s="540">
        <v>0</v>
      </c>
      <c r="AB207" s="540">
        <v>0</v>
      </c>
      <c r="AC207" s="540">
        <v>0</v>
      </c>
      <c r="AD207" s="540">
        <v>0</v>
      </c>
      <c r="AE207" s="540">
        <v>0</v>
      </c>
      <c r="AF207" s="540">
        <v>25</v>
      </c>
      <c r="AG207" s="540">
        <v>0</v>
      </c>
      <c r="AH207" s="540">
        <v>0</v>
      </c>
      <c r="AI207" s="540">
        <v>0</v>
      </c>
      <c r="AJ207" s="540">
        <v>0</v>
      </c>
      <c r="AK207" s="540">
        <v>0</v>
      </c>
      <c r="AL207" s="540">
        <v>0</v>
      </c>
    </row>
    <row r="208" spans="1:38">
      <c r="A208" s="539" t="s">
        <v>664</v>
      </c>
      <c r="B208" s="539" t="s">
        <v>668</v>
      </c>
      <c r="C208" s="538" t="s">
        <v>840</v>
      </c>
      <c r="D208" s="540">
        <v>3845</v>
      </c>
      <c r="E208" s="540">
        <v>4</v>
      </c>
      <c r="F208" s="540">
        <v>0</v>
      </c>
      <c r="G208" s="540">
        <v>0</v>
      </c>
      <c r="H208" s="540">
        <v>0</v>
      </c>
      <c r="I208" s="540">
        <v>3827</v>
      </c>
      <c r="J208" s="540">
        <v>0</v>
      </c>
      <c r="K208" s="540">
        <v>0</v>
      </c>
      <c r="L208" s="540">
        <v>0</v>
      </c>
      <c r="M208" s="540">
        <v>0</v>
      </c>
      <c r="N208" s="540">
        <v>0</v>
      </c>
      <c r="O208" s="540">
        <v>0</v>
      </c>
      <c r="P208" s="540">
        <v>0</v>
      </c>
      <c r="Q208" s="540">
        <v>0</v>
      </c>
      <c r="R208" s="540">
        <v>0</v>
      </c>
      <c r="S208" s="540">
        <v>0</v>
      </c>
      <c r="T208" s="540">
        <v>0</v>
      </c>
      <c r="U208" s="540">
        <v>0</v>
      </c>
      <c r="V208" s="540">
        <v>0</v>
      </c>
      <c r="W208" s="540">
        <v>11</v>
      </c>
      <c r="X208" s="540">
        <v>0</v>
      </c>
      <c r="Y208" s="540">
        <v>0</v>
      </c>
      <c r="Z208" s="540">
        <v>0</v>
      </c>
      <c r="AA208" s="540">
        <v>0</v>
      </c>
      <c r="AB208" s="540">
        <v>0</v>
      </c>
      <c r="AC208" s="540">
        <v>0</v>
      </c>
      <c r="AD208" s="540">
        <v>4</v>
      </c>
      <c r="AE208" s="540">
        <v>0</v>
      </c>
      <c r="AF208" s="540">
        <v>3845</v>
      </c>
      <c r="AG208" s="540">
        <v>0</v>
      </c>
      <c r="AH208" s="540">
        <v>0</v>
      </c>
      <c r="AI208" s="540">
        <v>0</v>
      </c>
      <c r="AJ208" s="540">
        <v>0</v>
      </c>
      <c r="AK208" s="540">
        <v>0</v>
      </c>
      <c r="AL208" s="540">
        <v>0</v>
      </c>
    </row>
    <row r="209" spans="1:38">
      <c r="A209" s="539" t="s">
        <v>695</v>
      </c>
      <c r="B209" s="539" t="s">
        <v>695</v>
      </c>
      <c r="C209" s="542" t="s">
        <v>841</v>
      </c>
      <c r="D209" s="540">
        <v>6837170</v>
      </c>
      <c r="E209" s="540">
        <v>135353</v>
      </c>
      <c r="F209" s="540">
        <v>75517</v>
      </c>
      <c r="G209" s="540">
        <v>197287</v>
      </c>
      <c r="H209" s="540">
        <v>106585</v>
      </c>
      <c r="I209" s="540">
        <v>1448248</v>
      </c>
      <c r="J209" s="540">
        <v>36464</v>
      </c>
      <c r="K209" s="540">
        <v>85979</v>
      </c>
      <c r="L209" s="540">
        <v>191315</v>
      </c>
      <c r="M209" s="540">
        <v>692266</v>
      </c>
      <c r="N209" s="540">
        <v>240178</v>
      </c>
      <c r="O209" s="540">
        <v>930229</v>
      </c>
      <c r="P209" s="540">
        <v>15754</v>
      </c>
      <c r="Q209" s="540">
        <v>5519</v>
      </c>
      <c r="R209" s="540">
        <v>13050</v>
      </c>
      <c r="S209" s="540">
        <v>11459</v>
      </c>
      <c r="T209" s="540">
        <v>78156</v>
      </c>
      <c r="U209" s="540">
        <v>8064</v>
      </c>
      <c r="V209" s="540">
        <v>338519</v>
      </c>
      <c r="W209" s="540">
        <v>93733</v>
      </c>
      <c r="X209" s="540">
        <v>550883</v>
      </c>
      <c r="Y209" s="540">
        <v>142852</v>
      </c>
      <c r="Z209" s="540">
        <v>121144</v>
      </c>
      <c r="AA209" s="540">
        <v>20779</v>
      </c>
      <c r="AB209" s="540">
        <v>32332</v>
      </c>
      <c r="AC209" s="540">
        <v>119916</v>
      </c>
      <c r="AD209" s="540">
        <v>44089</v>
      </c>
      <c r="AE209" s="540">
        <v>1101503</v>
      </c>
      <c r="AF209" s="540">
        <v>5692028</v>
      </c>
      <c r="AG209" s="540">
        <v>6001</v>
      </c>
      <c r="AH209" s="540">
        <v>3809</v>
      </c>
      <c r="AI209" s="540">
        <v>11495</v>
      </c>
      <c r="AJ209" s="540">
        <v>21640</v>
      </c>
      <c r="AK209" s="540">
        <v>19631</v>
      </c>
      <c r="AL209" s="540">
        <v>440410</v>
      </c>
    </row>
    <row r="210" spans="1:38">
      <c r="A210" s="539" t="s">
        <v>695</v>
      </c>
      <c r="B210" s="539" t="s">
        <v>695</v>
      </c>
      <c r="C210" s="542" t="s">
        <v>655</v>
      </c>
      <c r="D210" s="540">
        <v>5973386</v>
      </c>
      <c r="E210" s="540">
        <v>129312</v>
      </c>
      <c r="F210" s="540">
        <v>69566</v>
      </c>
      <c r="G210" s="540">
        <v>162835</v>
      </c>
      <c r="H210" s="540">
        <v>96232</v>
      </c>
      <c r="I210" s="540">
        <v>1289376</v>
      </c>
      <c r="J210" s="540">
        <v>35932</v>
      </c>
      <c r="K210" s="540">
        <v>83711</v>
      </c>
      <c r="L210" s="540">
        <v>187405</v>
      </c>
      <c r="M210" s="540">
        <v>548888</v>
      </c>
      <c r="N210" s="540">
        <v>165078</v>
      </c>
      <c r="O210" s="540">
        <v>861872</v>
      </c>
      <c r="P210" s="540">
        <v>15653</v>
      </c>
      <c r="Q210" s="540">
        <v>5234</v>
      </c>
      <c r="R210" s="540">
        <v>11707</v>
      </c>
      <c r="S210" s="540">
        <v>10249</v>
      </c>
      <c r="T210" s="540">
        <v>76676</v>
      </c>
      <c r="U210" s="540">
        <v>8064</v>
      </c>
      <c r="V210" s="540">
        <v>284332</v>
      </c>
      <c r="W210" s="540">
        <v>68249</v>
      </c>
      <c r="X210" s="540">
        <v>521636</v>
      </c>
      <c r="Y210" s="540">
        <v>122969</v>
      </c>
      <c r="Z210" s="540">
        <v>112806</v>
      </c>
      <c r="AA210" s="540">
        <v>19469</v>
      </c>
      <c r="AB210" s="540">
        <v>23886</v>
      </c>
      <c r="AC210" s="540">
        <v>83448</v>
      </c>
      <c r="AD210" s="540">
        <v>26266</v>
      </c>
      <c r="AE210" s="540">
        <v>952535</v>
      </c>
      <c r="AF210" s="540">
        <v>4916884</v>
      </c>
      <c r="AG210" s="540">
        <v>5998</v>
      </c>
      <c r="AH210" s="540">
        <v>965</v>
      </c>
      <c r="AI210" s="540">
        <v>515</v>
      </c>
      <c r="AJ210" s="540">
        <v>19818</v>
      </c>
      <c r="AK210" s="540">
        <v>19609</v>
      </c>
      <c r="AL210" s="540">
        <v>381920</v>
      </c>
    </row>
    <row r="211" spans="1:38">
      <c r="A211" s="539" t="s">
        <v>695</v>
      </c>
      <c r="B211" s="539" t="s">
        <v>695</v>
      </c>
      <c r="C211" s="542" t="s">
        <v>656</v>
      </c>
      <c r="D211" s="540">
        <v>863784</v>
      </c>
      <c r="E211" s="540">
        <v>6041</v>
      </c>
      <c r="F211" s="540">
        <v>5951</v>
      </c>
      <c r="G211" s="540">
        <v>34452</v>
      </c>
      <c r="H211" s="540">
        <v>10354</v>
      </c>
      <c r="I211" s="540">
        <v>158872</v>
      </c>
      <c r="J211" s="540">
        <v>533</v>
      </c>
      <c r="K211" s="540">
        <v>2268</v>
      </c>
      <c r="L211" s="540">
        <v>3910</v>
      </c>
      <c r="M211" s="540">
        <v>143377</v>
      </c>
      <c r="N211" s="540">
        <v>75100</v>
      </c>
      <c r="O211" s="540">
        <v>68357</v>
      </c>
      <c r="P211" s="540">
        <v>101</v>
      </c>
      <c r="Q211" s="540">
        <v>284</v>
      </c>
      <c r="R211" s="540">
        <v>1343</v>
      </c>
      <c r="S211" s="540">
        <v>1210</v>
      </c>
      <c r="T211" s="540">
        <v>1480</v>
      </c>
      <c r="U211" s="540">
        <v>0</v>
      </c>
      <c r="V211" s="540">
        <v>54187</v>
      </c>
      <c r="W211" s="540">
        <v>25484</v>
      </c>
      <c r="X211" s="540">
        <v>29246</v>
      </c>
      <c r="Y211" s="540">
        <v>19883</v>
      </c>
      <c r="Z211" s="540">
        <v>8338</v>
      </c>
      <c r="AA211" s="540">
        <v>1310</v>
      </c>
      <c r="AB211" s="540">
        <v>8446</v>
      </c>
      <c r="AC211" s="540">
        <v>36468</v>
      </c>
      <c r="AD211" s="540">
        <v>17824</v>
      </c>
      <c r="AE211" s="540">
        <v>148968</v>
      </c>
      <c r="AF211" s="540">
        <v>775145</v>
      </c>
      <c r="AG211" s="540">
        <v>4</v>
      </c>
      <c r="AH211" s="540">
        <v>2844</v>
      </c>
      <c r="AI211" s="540">
        <v>10980</v>
      </c>
      <c r="AJ211" s="540">
        <v>1822</v>
      </c>
      <c r="AK211" s="540">
        <v>22</v>
      </c>
      <c r="AL211" s="540">
        <v>58489</v>
      </c>
    </row>
    <row r="212" spans="1:38">
      <c r="A212" s="564"/>
      <c r="B212" s="564"/>
      <c r="C212" s="565"/>
      <c r="D212" s="552"/>
      <c r="E212" s="552"/>
      <c r="F212" s="552"/>
      <c r="G212" s="552"/>
      <c r="H212" s="552"/>
      <c r="I212" s="552"/>
      <c r="J212" s="552"/>
      <c r="K212" s="552"/>
      <c r="L212" s="552"/>
      <c r="M212" s="552"/>
      <c r="N212" s="552"/>
      <c r="O212" s="552"/>
      <c r="P212" s="552"/>
      <c r="Q212" s="552"/>
      <c r="R212" s="552"/>
      <c r="S212" s="552"/>
      <c r="T212" s="552"/>
      <c r="U212" s="552"/>
      <c r="V212" s="552"/>
      <c r="W212" s="552"/>
      <c r="X212" s="552"/>
      <c r="Y212" s="552"/>
      <c r="Z212" s="552"/>
      <c r="AA212" s="552"/>
      <c r="AB212" s="552"/>
      <c r="AC212" s="552"/>
      <c r="AD212" s="552"/>
      <c r="AE212" s="552"/>
      <c r="AF212" s="552"/>
      <c r="AG212" s="552"/>
      <c r="AH212" s="552"/>
      <c r="AI212" s="552"/>
      <c r="AJ212" s="552"/>
      <c r="AK212" s="552"/>
      <c r="AL212" s="552"/>
    </row>
    <row r="213" spans="1:38">
      <c r="E213" s="535">
        <f>E211/1000</f>
        <v>6.0410000000000004</v>
      </c>
      <c r="F213" s="535">
        <f t="shared" ref="F213:AL213" si="0">F211/1000</f>
        <v>5.9509999999999996</v>
      </c>
      <c r="G213" s="535">
        <f t="shared" si="0"/>
        <v>34.451999999999998</v>
      </c>
      <c r="H213" s="535">
        <f t="shared" si="0"/>
        <v>10.353999999999999</v>
      </c>
      <c r="I213" s="535">
        <f t="shared" si="0"/>
        <v>158.87200000000001</v>
      </c>
      <c r="J213" s="535">
        <f t="shared" si="0"/>
        <v>0.53300000000000003</v>
      </c>
      <c r="K213" s="535">
        <f t="shared" si="0"/>
        <v>2.2679999999999998</v>
      </c>
      <c r="L213" s="535">
        <f t="shared" si="0"/>
        <v>3.91</v>
      </c>
      <c r="M213" s="535">
        <f t="shared" si="0"/>
        <v>143.37700000000001</v>
      </c>
      <c r="N213" s="535">
        <f t="shared" si="0"/>
        <v>75.099999999999994</v>
      </c>
      <c r="O213" s="535">
        <f t="shared" si="0"/>
        <v>68.356999999999999</v>
      </c>
      <c r="P213" s="535">
        <f t="shared" si="0"/>
        <v>0.10100000000000001</v>
      </c>
      <c r="Q213" s="535">
        <f t="shared" si="0"/>
        <v>0.28399999999999997</v>
      </c>
      <c r="R213" s="535">
        <f t="shared" si="0"/>
        <v>1.343</v>
      </c>
      <c r="S213" s="535">
        <f t="shared" si="0"/>
        <v>1.21</v>
      </c>
      <c r="T213" s="535">
        <f t="shared" si="0"/>
        <v>1.48</v>
      </c>
      <c r="U213" s="535">
        <f t="shared" si="0"/>
        <v>0</v>
      </c>
      <c r="V213" s="535">
        <f t="shared" si="0"/>
        <v>54.186999999999998</v>
      </c>
      <c r="W213" s="535">
        <f>W211/1000</f>
        <v>25.484000000000002</v>
      </c>
      <c r="X213" s="535">
        <f t="shared" si="0"/>
        <v>29.245999999999999</v>
      </c>
      <c r="Y213" s="535">
        <f>Y211/1000</f>
        <v>19.882999999999999</v>
      </c>
      <c r="Z213" s="535">
        <f t="shared" si="0"/>
        <v>8.3379999999999992</v>
      </c>
      <c r="AA213" s="535">
        <f t="shared" si="0"/>
        <v>1.31</v>
      </c>
      <c r="AB213" s="535">
        <f t="shared" si="0"/>
        <v>8.4459999999999997</v>
      </c>
      <c r="AC213" s="535">
        <f t="shared" si="0"/>
        <v>36.468000000000004</v>
      </c>
      <c r="AD213" s="535">
        <f t="shared" si="0"/>
        <v>17.824000000000002</v>
      </c>
      <c r="AE213" s="535">
        <f t="shared" si="0"/>
        <v>148.96799999999999</v>
      </c>
      <c r="AF213" s="535">
        <f t="shared" si="0"/>
        <v>775.14499999999998</v>
      </c>
      <c r="AG213" s="535">
        <f t="shared" si="0"/>
        <v>4.0000000000000001E-3</v>
      </c>
      <c r="AH213" s="535">
        <f t="shared" si="0"/>
        <v>2.8439999999999999</v>
      </c>
      <c r="AI213" s="535">
        <f t="shared" si="0"/>
        <v>10.98</v>
      </c>
      <c r="AJ213" s="535">
        <f t="shared" si="0"/>
        <v>1.8220000000000001</v>
      </c>
      <c r="AK213" s="535">
        <f t="shared" si="0"/>
        <v>2.1999999999999999E-2</v>
      </c>
      <c r="AL213" s="535">
        <f t="shared" si="0"/>
        <v>58.488999999999997</v>
      </c>
    </row>
    <row r="214" spans="1:38">
      <c r="E214" s="535">
        <f>E57/1000</f>
        <v>5.0650000000000004</v>
      </c>
      <c r="F214" s="535">
        <f t="shared" ref="F214:AL214" si="1">F57/1000</f>
        <v>5.3319999999999999</v>
      </c>
      <c r="G214" s="535">
        <f t="shared" si="1"/>
        <v>31.997</v>
      </c>
      <c r="H214" s="535">
        <f t="shared" si="1"/>
        <v>10.346</v>
      </c>
      <c r="I214" s="535">
        <f t="shared" si="1"/>
        <v>85.287999999999997</v>
      </c>
      <c r="J214" s="535">
        <f t="shared" si="1"/>
        <v>0.41399999999999998</v>
      </c>
      <c r="K214" s="535">
        <f t="shared" si="1"/>
        <v>2.2679999999999998</v>
      </c>
      <c r="L214" s="535">
        <f t="shared" si="1"/>
        <v>3.823</v>
      </c>
      <c r="M214" s="535">
        <f>M57/1000</f>
        <v>121.345</v>
      </c>
      <c r="N214" s="535">
        <f t="shared" si="1"/>
        <v>48.2</v>
      </c>
      <c r="O214" s="535">
        <f t="shared" si="1"/>
        <v>62.783999999999999</v>
      </c>
      <c r="P214" s="535">
        <f t="shared" si="1"/>
        <v>0.10100000000000001</v>
      </c>
      <c r="Q214" s="535">
        <f t="shared" si="1"/>
        <v>0.28100000000000003</v>
      </c>
      <c r="R214" s="535">
        <f t="shared" si="1"/>
        <v>0.623</v>
      </c>
      <c r="S214" s="535">
        <f t="shared" si="1"/>
        <v>1.21</v>
      </c>
      <c r="T214" s="535">
        <f t="shared" si="1"/>
        <v>1.472</v>
      </c>
      <c r="U214" s="535">
        <f t="shared" si="1"/>
        <v>0</v>
      </c>
      <c r="V214" s="535">
        <f t="shared" si="1"/>
        <v>45.713000000000001</v>
      </c>
      <c r="W214" s="535">
        <f t="shared" si="1"/>
        <v>13.792</v>
      </c>
      <c r="X214" s="535">
        <f t="shared" si="1"/>
        <v>29.245999999999999</v>
      </c>
      <c r="Y214" s="535">
        <f t="shared" si="1"/>
        <v>17.536000000000001</v>
      </c>
      <c r="Z214" s="535">
        <f t="shared" si="1"/>
        <v>7.8659999999999997</v>
      </c>
      <c r="AA214" s="535">
        <f t="shared" si="1"/>
        <v>1.278</v>
      </c>
      <c r="AB214" s="535">
        <f t="shared" si="1"/>
        <v>8.3699999999999992</v>
      </c>
      <c r="AC214" s="535">
        <f t="shared" si="1"/>
        <v>31.986000000000001</v>
      </c>
      <c r="AD214" s="535">
        <f t="shared" si="1"/>
        <v>16.934000000000001</v>
      </c>
      <c r="AE214" s="535">
        <f t="shared" si="1"/>
        <v>97.927000000000007</v>
      </c>
      <c r="AF214" s="535">
        <f t="shared" si="1"/>
        <v>564.21699999999998</v>
      </c>
      <c r="AG214" s="535">
        <f t="shared" si="1"/>
        <v>0</v>
      </c>
      <c r="AH214" s="535">
        <f t="shared" si="1"/>
        <v>0</v>
      </c>
      <c r="AI214" s="535">
        <f t="shared" si="1"/>
        <v>10.183999999999999</v>
      </c>
      <c r="AJ214" s="535">
        <f t="shared" si="1"/>
        <v>1.8220000000000001</v>
      </c>
      <c r="AK214" s="535">
        <f t="shared" si="1"/>
        <v>2.1999999999999999E-2</v>
      </c>
      <c r="AL214" s="535">
        <f t="shared" si="1"/>
        <v>18.190999999999999</v>
      </c>
    </row>
    <row r="215" spans="1:38">
      <c r="E215" s="535">
        <f>E56/1000</f>
        <v>1.7999999999999999E-2</v>
      </c>
      <c r="F215" s="535">
        <f t="shared" ref="F215:AK215" si="2">F56/1000</f>
        <v>0.61899999999999999</v>
      </c>
      <c r="G215" s="535">
        <f t="shared" si="2"/>
        <v>2.452</v>
      </c>
      <c r="H215" s="535">
        <f t="shared" si="2"/>
        <v>7.0000000000000001E-3</v>
      </c>
      <c r="I215" s="535">
        <f t="shared" si="2"/>
        <v>73.584000000000003</v>
      </c>
      <c r="J215" s="535">
        <f t="shared" si="2"/>
        <v>0.11899999999999999</v>
      </c>
      <c r="K215" s="535">
        <f t="shared" si="2"/>
        <v>0</v>
      </c>
      <c r="L215" s="535">
        <f t="shared" si="2"/>
        <v>8.5999999999999993E-2</v>
      </c>
      <c r="M215" s="535">
        <f t="shared" si="2"/>
        <v>4.0540000000000003</v>
      </c>
      <c r="N215" s="535">
        <f t="shared" si="2"/>
        <v>26.899000000000001</v>
      </c>
      <c r="O215" s="535">
        <f t="shared" si="2"/>
        <v>3.589</v>
      </c>
      <c r="P215" s="535">
        <f t="shared" si="2"/>
        <v>0</v>
      </c>
      <c r="Q215" s="535">
        <f t="shared" si="2"/>
        <v>4.0000000000000001E-3</v>
      </c>
      <c r="R215" s="535">
        <f t="shared" si="2"/>
        <v>0</v>
      </c>
      <c r="S215" s="535">
        <f t="shared" si="2"/>
        <v>0</v>
      </c>
      <c r="T215" s="535">
        <f t="shared" si="2"/>
        <v>7.0000000000000001E-3</v>
      </c>
      <c r="U215" s="535">
        <f t="shared" si="2"/>
        <v>0</v>
      </c>
      <c r="V215" s="535">
        <f t="shared" si="2"/>
        <v>7.7080000000000002</v>
      </c>
      <c r="W215" s="535">
        <f t="shared" si="2"/>
        <v>11.682</v>
      </c>
      <c r="X215" s="535">
        <f t="shared" si="2"/>
        <v>0</v>
      </c>
      <c r="Y215" s="535">
        <f t="shared" si="2"/>
        <v>2.347</v>
      </c>
      <c r="Z215" s="535">
        <f t="shared" si="2"/>
        <v>0.47199999999999998</v>
      </c>
      <c r="AA215" s="535">
        <f t="shared" si="2"/>
        <v>3.2000000000000001E-2</v>
      </c>
      <c r="AB215" s="535">
        <f t="shared" si="2"/>
        <v>4.0000000000000001E-3</v>
      </c>
      <c r="AC215" s="535">
        <f t="shared" si="2"/>
        <v>3.7080000000000002</v>
      </c>
      <c r="AD215" s="535">
        <f t="shared" si="2"/>
        <v>0.88900000000000001</v>
      </c>
      <c r="AE215" s="535">
        <f t="shared" si="2"/>
        <v>51.040999999999997</v>
      </c>
      <c r="AF215" s="535">
        <f t="shared" si="2"/>
        <v>188.11099999999999</v>
      </c>
      <c r="AG215" s="535">
        <f t="shared" si="2"/>
        <v>4.0000000000000001E-3</v>
      </c>
      <c r="AH215" s="535">
        <f t="shared" si="2"/>
        <v>2.4980000000000002</v>
      </c>
      <c r="AI215" s="535">
        <f t="shared" si="2"/>
        <v>0.79600000000000004</v>
      </c>
      <c r="AJ215" s="535">
        <f t="shared" si="2"/>
        <v>0</v>
      </c>
      <c r="AK215" s="535">
        <f t="shared" si="2"/>
        <v>0</v>
      </c>
      <c r="AL215" s="535">
        <f>AL56/1000</f>
        <v>40.298000000000002</v>
      </c>
    </row>
    <row r="216" spans="1:38">
      <c r="E216" s="535">
        <f>E49/1000</f>
        <v>4.0000000000000001E-3</v>
      </c>
      <c r="F216" s="535">
        <f t="shared" ref="F216:AL216" si="3">F49/1000</f>
        <v>0</v>
      </c>
      <c r="G216" s="535">
        <f t="shared" si="3"/>
        <v>0</v>
      </c>
      <c r="H216" s="535">
        <f t="shared" si="3"/>
        <v>7.0000000000000001E-3</v>
      </c>
      <c r="I216" s="535">
        <f t="shared" si="3"/>
        <v>0</v>
      </c>
      <c r="J216" s="535">
        <f t="shared" si="3"/>
        <v>0</v>
      </c>
      <c r="K216" s="535">
        <f t="shared" si="3"/>
        <v>0</v>
      </c>
      <c r="L216" s="535">
        <f t="shared" si="3"/>
        <v>0</v>
      </c>
      <c r="M216" s="535">
        <f t="shared" si="3"/>
        <v>3.5999999999999997E-2</v>
      </c>
      <c r="N216" s="535">
        <f t="shared" si="3"/>
        <v>2.9000000000000001E-2</v>
      </c>
      <c r="O216" s="535">
        <f t="shared" si="3"/>
        <v>0</v>
      </c>
      <c r="P216" s="535">
        <f t="shared" si="3"/>
        <v>4.0000000000000001E-3</v>
      </c>
      <c r="Q216" s="535">
        <f t="shared" si="3"/>
        <v>0</v>
      </c>
      <c r="R216" s="535">
        <f t="shared" si="3"/>
        <v>0</v>
      </c>
      <c r="S216" s="535">
        <f t="shared" si="3"/>
        <v>6.5000000000000002E-2</v>
      </c>
      <c r="T216" s="535">
        <f t="shared" si="3"/>
        <v>0</v>
      </c>
      <c r="U216" s="535">
        <f t="shared" si="3"/>
        <v>0</v>
      </c>
      <c r="V216" s="535">
        <f t="shared" si="3"/>
        <v>0.115</v>
      </c>
      <c r="W216" s="535">
        <f t="shared" si="3"/>
        <v>0</v>
      </c>
      <c r="X216" s="535">
        <f t="shared" si="3"/>
        <v>0</v>
      </c>
      <c r="Y216" s="535">
        <f t="shared" si="3"/>
        <v>0</v>
      </c>
      <c r="Z216" s="535">
        <f t="shared" si="3"/>
        <v>0</v>
      </c>
      <c r="AA216" s="535">
        <f t="shared" si="3"/>
        <v>0</v>
      </c>
      <c r="AB216" s="535">
        <f t="shared" si="3"/>
        <v>0</v>
      </c>
      <c r="AC216" s="535">
        <f t="shared" si="3"/>
        <v>0</v>
      </c>
      <c r="AD216" s="535">
        <f t="shared" si="3"/>
        <v>0</v>
      </c>
      <c r="AE216" s="535">
        <f t="shared" si="3"/>
        <v>2.9000000000000001E-2</v>
      </c>
      <c r="AF216" s="535">
        <f t="shared" si="3"/>
        <v>0.28399999999999997</v>
      </c>
      <c r="AG216" s="535">
        <f t="shared" si="3"/>
        <v>0</v>
      </c>
      <c r="AH216" s="535">
        <f t="shared" si="3"/>
        <v>0</v>
      </c>
      <c r="AI216" s="535">
        <f t="shared" si="3"/>
        <v>6.8000000000000005E-2</v>
      </c>
      <c r="AJ216" s="535">
        <f t="shared" si="3"/>
        <v>0</v>
      </c>
      <c r="AK216" s="535">
        <f t="shared" si="3"/>
        <v>0</v>
      </c>
      <c r="AL216" s="535">
        <f t="shared" si="3"/>
        <v>0</v>
      </c>
    </row>
    <row r="217" spans="1:38">
      <c r="E217" s="535">
        <f>E53/1000</f>
        <v>7.0000000000000001E-3</v>
      </c>
      <c r="F217" s="535">
        <f t="shared" ref="F217:AL217" si="4">F53/1000</f>
        <v>0</v>
      </c>
      <c r="G217" s="535">
        <f t="shared" si="4"/>
        <v>0</v>
      </c>
      <c r="H217" s="535">
        <f t="shared" si="4"/>
        <v>0</v>
      </c>
      <c r="I217" s="535">
        <f t="shared" si="4"/>
        <v>0</v>
      </c>
      <c r="J217" s="535">
        <f t="shared" si="4"/>
        <v>4.0000000000000001E-3</v>
      </c>
      <c r="K217" s="535">
        <f t="shared" si="4"/>
        <v>0</v>
      </c>
      <c r="L217" s="535">
        <f t="shared" si="4"/>
        <v>0</v>
      </c>
      <c r="M217" s="535">
        <f t="shared" si="4"/>
        <v>5.3999999999999999E-2</v>
      </c>
      <c r="N217" s="535">
        <f t="shared" si="4"/>
        <v>0.38200000000000001</v>
      </c>
      <c r="O217" s="535">
        <f t="shared" si="4"/>
        <v>1.0999999999999999E-2</v>
      </c>
      <c r="P217" s="535">
        <f t="shared" si="4"/>
        <v>0</v>
      </c>
      <c r="Q217" s="535">
        <f t="shared" si="4"/>
        <v>0</v>
      </c>
      <c r="R217" s="535">
        <f t="shared" si="4"/>
        <v>0</v>
      </c>
      <c r="S217" s="535">
        <f t="shared" si="4"/>
        <v>0</v>
      </c>
      <c r="T217" s="535">
        <f t="shared" si="4"/>
        <v>0</v>
      </c>
      <c r="U217" s="535">
        <f t="shared" si="4"/>
        <v>0</v>
      </c>
      <c r="V217" s="535">
        <f t="shared" si="4"/>
        <v>1.0189999999999999</v>
      </c>
      <c r="W217" s="535">
        <f t="shared" si="4"/>
        <v>0</v>
      </c>
      <c r="X217" s="535">
        <f t="shared" si="4"/>
        <v>0</v>
      </c>
      <c r="Y217" s="535">
        <f t="shared" si="4"/>
        <v>0</v>
      </c>
      <c r="Z217" s="535">
        <f t="shared" si="4"/>
        <v>0</v>
      </c>
      <c r="AA217" s="535">
        <f t="shared" si="4"/>
        <v>0</v>
      </c>
      <c r="AB217" s="535">
        <f t="shared" si="4"/>
        <v>2.1999999999999999E-2</v>
      </c>
      <c r="AC217" s="535">
        <f t="shared" si="4"/>
        <v>0</v>
      </c>
      <c r="AD217" s="535">
        <f t="shared" si="4"/>
        <v>0</v>
      </c>
      <c r="AE217" s="535">
        <f t="shared" si="4"/>
        <v>10.454000000000001</v>
      </c>
      <c r="AF217" s="535">
        <f t="shared" si="4"/>
        <v>11.927</v>
      </c>
      <c r="AG217" s="535">
        <f t="shared" si="4"/>
        <v>0</v>
      </c>
      <c r="AH217" s="535">
        <f t="shared" si="4"/>
        <v>0</v>
      </c>
      <c r="AI217" s="535">
        <f t="shared" si="4"/>
        <v>0</v>
      </c>
      <c r="AJ217" s="535">
        <f t="shared" si="4"/>
        <v>0</v>
      </c>
      <c r="AK217" s="535">
        <f t="shared" si="4"/>
        <v>0</v>
      </c>
      <c r="AL217" s="535">
        <f t="shared" si="4"/>
        <v>2.1999999999999999E-2</v>
      </c>
    </row>
    <row r="218" spans="1:38">
      <c r="E218" s="535">
        <f>E42/1000</f>
        <v>0</v>
      </c>
      <c r="F218" s="535">
        <f t="shared" ref="F218:AL218" si="5">F42/1000</f>
        <v>0</v>
      </c>
      <c r="G218" s="535">
        <f t="shared" si="5"/>
        <v>1.98</v>
      </c>
      <c r="H218" s="535">
        <f t="shared" si="5"/>
        <v>0</v>
      </c>
      <c r="I218" s="535">
        <f t="shared" si="5"/>
        <v>1.3</v>
      </c>
      <c r="J218" s="535">
        <f t="shared" si="5"/>
        <v>0</v>
      </c>
      <c r="K218" s="535">
        <f t="shared" si="5"/>
        <v>0</v>
      </c>
      <c r="L218" s="535">
        <f t="shared" si="5"/>
        <v>0</v>
      </c>
      <c r="M218" s="535">
        <f t="shared" si="5"/>
        <v>1.26</v>
      </c>
      <c r="N218" s="535">
        <f t="shared" si="5"/>
        <v>2.9049999999999998</v>
      </c>
      <c r="O218" s="535">
        <f t="shared" si="5"/>
        <v>2.8759999999999999</v>
      </c>
      <c r="P218" s="535">
        <f t="shared" si="5"/>
        <v>0</v>
      </c>
      <c r="Q218" s="535">
        <f t="shared" si="5"/>
        <v>3.5999999999999997E-2</v>
      </c>
      <c r="R218" s="535">
        <f t="shared" si="5"/>
        <v>0</v>
      </c>
      <c r="S218" s="535">
        <f t="shared" si="5"/>
        <v>1.7999999999999999E-2</v>
      </c>
      <c r="T218" s="535">
        <f t="shared" si="5"/>
        <v>0</v>
      </c>
      <c r="U218" s="535">
        <f t="shared" si="5"/>
        <v>0</v>
      </c>
      <c r="V218" s="535">
        <f t="shared" si="5"/>
        <v>0</v>
      </c>
      <c r="W218" s="535">
        <f t="shared" si="5"/>
        <v>4.4390000000000001</v>
      </c>
      <c r="X218" s="535">
        <f t="shared" si="5"/>
        <v>7.0000000000000001E-3</v>
      </c>
      <c r="Y218" s="535">
        <f t="shared" si="5"/>
        <v>2.9000000000000001E-2</v>
      </c>
      <c r="Z218" s="535">
        <f t="shared" si="5"/>
        <v>0.27400000000000002</v>
      </c>
      <c r="AA218" s="535">
        <f t="shared" si="5"/>
        <v>0.81</v>
      </c>
      <c r="AB218" s="535">
        <f t="shared" si="5"/>
        <v>0.29499999999999998</v>
      </c>
      <c r="AC218" s="535">
        <f t="shared" si="5"/>
        <v>3.5640000000000001</v>
      </c>
      <c r="AD218" s="535">
        <f t="shared" si="5"/>
        <v>0.04</v>
      </c>
      <c r="AE218" s="535">
        <f t="shared" si="5"/>
        <v>3.9460000000000002</v>
      </c>
      <c r="AF218" s="535">
        <f t="shared" si="5"/>
        <v>40.561</v>
      </c>
      <c r="AG218" s="535">
        <f t="shared" si="5"/>
        <v>1.4E-2</v>
      </c>
      <c r="AH218" s="535">
        <f t="shared" si="5"/>
        <v>20.184999999999999</v>
      </c>
      <c r="AI218" s="535">
        <f t="shared" si="5"/>
        <v>8.42</v>
      </c>
      <c r="AJ218" s="535">
        <f t="shared" si="5"/>
        <v>5.8000000000000003E-2</v>
      </c>
      <c r="AK218" s="535">
        <f t="shared" si="5"/>
        <v>0</v>
      </c>
      <c r="AL218" s="535">
        <f t="shared" si="5"/>
        <v>3.0059999999999998</v>
      </c>
    </row>
    <row r="219" spans="1:38">
      <c r="E219" s="535"/>
      <c r="F219" s="535"/>
      <c r="G219" s="535"/>
      <c r="H219" s="535"/>
      <c r="I219" s="535"/>
      <c r="J219" s="535"/>
      <c r="K219" s="535"/>
      <c r="L219" s="535"/>
      <c r="M219" s="535"/>
      <c r="N219" s="535"/>
      <c r="O219" s="535"/>
      <c r="P219" s="535"/>
      <c r="Q219" s="535"/>
      <c r="R219" s="535"/>
      <c r="S219" s="535"/>
      <c r="T219" s="535"/>
      <c r="U219" s="535"/>
      <c r="V219" s="535"/>
      <c r="W219" s="535"/>
      <c r="X219" s="535"/>
      <c r="Y219" s="535"/>
      <c r="Z219" s="535"/>
      <c r="AA219" s="535"/>
      <c r="AB219" s="535"/>
      <c r="AC219" s="535"/>
      <c r="AD219" s="535"/>
      <c r="AE219" s="535"/>
      <c r="AF219" s="535"/>
      <c r="AG219" s="535"/>
      <c r="AH219" s="535"/>
      <c r="AI219" s="535"/>
      <c r="AJ219" s="535"/>
      <c r="AK219" s="535"/>
      <c r="AL219" s="535"/>
    </row>
    <row r="220" spans="1:38">
      <c r="E220" s="530" t="s">
        <v>56</v>
      </c>
      <c r="F220" s="530" t="s">
        <v>39</v>
      </c>
      <c r="G220" s="530" t="s">
        <v>40</v>
      </c>
      <c r="H220" s="530" t="s">
        <v>49</v>
      </c>
      <c r="I220" s="530" t="s">
        <v>41</v>
      </c>
      <c r="J220" s="530" t="s">
        <v>43</v>
      </c>
      <c r="K220" s="530" t="s">
        <v>42</v>
      </c>
      <c r="L220" s="530" t="s">
        <v>44</v>
      </c>
      <c r="M220" s="530" t="s">
        <v>45</v>
      </c>
      <c r="N220" s="530" t="s">
        <v>62</v>
      </c>
      <c r="O220" s="530" t="s">
        <v>46</v>
      </c>
      <c r="P220" s="530" t="s">
        <v>82</v>
      </c>
      <c r="Q220" s="530" t="s">
        <v>53</v>
      </c>
      <c r="R220" s="530" t="s">
        <v>47</v>
      </c>
      <c r="S220" s="530" t="s">
        <v>48</v>
      </c>
      <c r="T220" s="530" t="s">
        <v>51</v>
      </c>
      <c r="U220" s="530" t="s">
        <v>52</v>
      </c>
      <c r="V220" s="530" t="s">
        <v>50</v>
      </c>
      <c r="W220" s="530" t="s">
        <v>54</v>
      </c>
      <c r="X220" s="530" t="s">
        <v>55</v>
      </c>
      <c r="Y220" s="530" t="s">
        <v>57</v>
      </c>
      <c r="Z220" s="530" t="s">
        <v>58</v>
      </c>
      <c r="AA220" s="530" t="s">
        <v>59</v>
      </c>
      <c r="AB220" s="530" t="s">
        <v>63</v>
      </c>
      <c r="AC220" s="530" t="s">
        <v>60</v>
      </c>
      <c r="AD220" s="530" t="s">
        <v>61</v>
      </c>
      <c r="AE220" s="530" t="s">
        <v>64</v>
      </c>
      <c r="AF220" s="535" t="s">
        <v>81</v>
      </c>
      <c r="AG220" s="535" t="s">
        <v>83</v>
      </c>
      <c r="AH220" s="535" t="s">
        <v>84</v>
      </c>
      <c r="AI220" s="535"/>
      <c r="AJ220" s="535"/>
      <c r="AK220" s="535"/>
      <c r="AL220" s="535"/>
    </row>
    <row r="221" spans="1:38">
      <c r="D221" s="530" t="s">
        <v>967</v>
      </c>
      <c r="E221" s="535">
        <f t="shared" ref="E221:E226" si="6">W213</f>
        <v>25.484000000000002</v>
      </c>
      <c r="F221" s="530">
        <f t="shared" ref="F221:G223" si="7">E213</f>
        <v>6.0410000000000004</v>
      </c>
      <c r="G221" s="530">
        <f t="shared" si="7"/>
        <v>5.9509999999999996</v>
      </c>
      <c r="H221" s="530">
        <f t="shared" ref="H221:H226" si="8">P213</f>
        <v>0.10100000000000001</v>
      </c>
      <c r="I221" s="530">
        <f t="shared" ref="I221:I226" si="9">G213</f>
        <v>34.451999999999998</v>
      </c>
      <c r="J221" s="530">
        <f t="shared" ref="J221:J226" si="10">I213</f>
        <v>158.87200000000001</v>
      </c>
      <c r="K221" s="530">
        <f t="shared" ref="K221:K226" si="11">H213</f>
        <v>10.353999999999999</v>
      </c>
      <c r="L221" s="530">
        <f t="shared" ref="L221:L226" si="12">J213</f>
        <v>0.53300000000000003</v>
      </c>
      <c r="M221" s="530">
        <f t="shared" ref="M221:M226" si="13">M213</f>
        <v>143.37700000000001</v>
      </c>
      <c r="N221" s="530">
        <f t="shared" ref="N221:N226" si="14">AC213</f>
        <v>36.468000000000004</v>
      </c>
      <c r="O221" s="530">
        <f t="shared" ref="O221:O226" si="15">N213</f>
        <v>75.099999999999994</v>
      </c>
      <c r="P221" s="530">
        <f t="shared" ref="P221:P226" si="16">L213</f>
        <v>3.91</v>
      </c>
      <c r="Q221" s="530">
        <f t="shared" ref="Q221:Q226" si="17">T213</f>
        <v>1.48</v>
      </c>
      <c r="R221" s="530">
        <f t="shared" ref="R221:R226" si="18">K213</f>
        <v>2.2679999999999998</v>
      </c>
      <c r="S221" s="530">
        <f t="shared" ref="S221:S226" si="19">O213</f>
        <v>68.356999999999999</v>
      </c>
      <c r="T221" s="530">
        <f t="shared" ref="T221:U226" si="20">R213</f>
        <v>1.343</v>
      </c>
      <c r="U221" s="530">
        <f t="shared" si="20"/>
        <v>1.21</v>
      </c>
      <c r="V221" s="530">
        <f t="shared" ref="V221:V226" si="21">Q213</f>
        <v>0.28399999999999997</v>
      </c>
      <c r="W221" s="530">
        <f t="shared" ref="W221:X226" si="22">U213</f>
        <v>0</v>
      </c>
      <c r="X221" s="530">
        <f t="shared" si="22"/>
        <v>54.186999999999998</v>
      </c>
      <c r="Y221" s="530">
        <f t="shared" ref="Y221:AA223" si="23">X213</f>
        <v>29.245999999999999</v>
      </c>
      <c r="Z221" s="530">
        <f t="shared" si="23"/>
        <v>19.882999999999999</v>
      </c>
      <c r="AA221" s="530">
        <f t="shared" si="23"/>
        <v>8.3379999999999992</v>
      </c>
      <c r="AB221" s="530">
        <f t="shared" ref="AB221:AB226" si="24">AD213</f>
        <v>17.824000000000002</v>
      </c>
      <c r="AC221" s="530">
        <f t="shared" ref="AC221:AD226" si="25">AA213</f>
        <v>1.31</v>
      </c>
      <c r="AD221" s="535">
        <f>AB213</f>
        <v>8.4459999999999997</v>
      </c>
      <c r="AE221" s="535">
        <f>AE213</f>
        <v>148.96799999999999</v>
      </c>
      <c r="AF221" s="535">
        <f>AI213</f>
        <v>10.98</v>
      </c>
      <c r="AG221" s="535">
        <f>AG213</f>
        <v>4.0000000000000001E-3</v>
      </c>
      <c r="AH221" s="535">
        <f>AH213</f>
        <v>2.8439999999999999</v>
      </c>
      <c r="AI221" s="535"/>
      <c r="AJ221" s="535"/>
      <c r="AK221" s="535"/>
      <c r="AL221" s="535"/>
    </row>
    <row r="222" spans="1:38">
      <c r="D222" s="530" t="s">
        <v>964</v>
      </c>
      <c r="E222" s="563">
        <f t="shared" si="6"/>
        <v>13.792</v>
      </c>
      <c r="F222" s="563">
        <f t="shared" si="7"/>
        <v>5.0650000000000004</v>
      </c>
      <c r="G222" s="563">
        <f t="shared" si="7"/>
        <v>5.3319999999999999</v>
      </c>
      <c r="H222" s="563">
        <f t="shared" si="8"/>
        <v>0.10100000000000001</v>
      </c>
      <c r="I222" s="563">
        <f t="shared" si="9"/>
        <v>31.997</v>
      </c>
      <c r="J222" s="563">
        <f t="shared" si="10"/>
        <v>85.287999999999997</v>
      </c>
      <c r="K222" s="563">
        <f t="shared" si="11"/>
        <v>10.346</v>
      </c>
      <c r="L222" s="563">
        <f t="shared" si="12"/>
        <v>0.41399999999999998</v>
      </c>
      <c r="M222" s="563">
        <f t="shared" si="13"/>
        <v>121.345</v>
      </c>
      <c r="N222" s="563">
        <f t="shared" si="14"/>
        <v>31.986000000000001</v>
      </c>
      <c r="O222" s="563">
        <f t="shared" si="15"/>
        <v>48.2</v>
      </c>
      <c r="P222" s="563">
        <f t="shared" si="16"/>
        <v>3.823</v>
      </c>
      <c r="Q222" s="563">
        <f t="shared" si="17"/>
        <v>1.472</v>
      </c>
      <c r="R222" s="563">
        <f t="shared" si="18"/>
        <v>2.2679999999999998</v>
      </c>
      <c r="S222" s="563">
        <f t="shared" si="19"/>
        <v>62.783999999999999</v>
      </c>
      <c r="T222" s="563">
        <f t="shared" si="20"/>
        <v>0.623</v>
      </c>
      <c r="U222" s="563">
        <f t="shared" si="20"/>
        <v>1.21</v>
      </c>
      <c r="V222" s="563">
        <f t="shared" si="21"/>
        <v>0.28100000000000003</v>
      </c>
      <c r="W222" s="563">
        <f t="shared" si="22"/>
        <v>0</v>
      </c>
      <c r="X222" s="563">
        <f t="shared" si="22"/>
        <v>45.713000000000001</v>
      </c>
      <c r="Y222" s="563">
        <f t="shared" si="23"/>
        <v>29.245999999999999</v>
      </c>
      <c r="Z222" s="563">
        <f t="shared" si="23"/>
        <v>17.536000000000001</v>
      </c>
      <c r="AA222" s="563">
        <f t="shared" si="23"/>
        <v>7.8659999999999997</v>
      </c>
      <c r="AB222" s="563">
        <f t="shared" si="24"/>
        <v>16.934000000000001</v>
      </c>
      <c r="AC222" s="563">
        <f t="shared" si="25"/>
        <v>1.278</v>
      </c>
      <c r="AD222" s="563">
        <f t="shared" si="25"/>
        <v>8.3699999999999992</v>
      </c>
      <c r="AE222" s="563">
        <f t="shared" ref="AE222:AE226" si="26">AE214</f>
        <v>97.927000000000007</v>
      </c>
      <c r="AF222" s="535">
        <f t="shared" ref="AF222:AF226" si="27">AI214</f>
        <v>10.183999999999999</v>
      </c>
      <c r="AG222" s="535">
        <f t="shared" ref="AG222:AH226" si="28">AG214</f>
        <v>0</v>
      </c>
      <c r="AH222" s="535">
        <f t="shared" si="28"/>
        <v>0</v>
      </c>
      <c r="AI222" s="535"/>
      <c r="AJ222" s="535"/>
      <c r="AK222" s="535"/>
      <c r="AL222" s="535"/>
    </row>
    <row r="223" spans="1:38">
      <c r="D223" s="530" t="s">
        <v>966</v>
      </c>
      <c r="E223" s="563">
        <f t="shared" si="6"/>
        <v>11.682</v>
      </c>
      <c r="F223" s="563">
        <f>E215</f>
        <v>1.7999999999999999E-2</v>
      </c>
      <c r="G223" s="563">
        <f t="shared" si="7"/>
        <v>0.61899999999999999</v>
      </c>
      <c r="H223" s="563">
        <f t="shared" si="8"/>
        <v>0</v>
      </c>
      <c r="I223" s="563">
        <f t="shared" si="9"/>
        <v>2.452</v>
      </c>
      <c r="J223" s="563">
        <f t="shared" si="10"/>
        <v>73.584000000000003</v>
      </c>
      <c r="K223" s="563">
        <f t="shared" si="11"/>
        <v>7.0000000000000001E-3</v>
      </c>
      <c r="L223" s="563">
        <f t="shared" si="12"/>
        <v>0.11899999999999999</v>
      </c>
      <c r="M223" s="563">
        <f t="shared" si="13"/>
        <v>4.0540000000000003</v>
      </c>
      <c r="N223" s="563">
        <f t="shared" si="14"/>
        <v>3.7080000000000002</v>
      </c>
      <c r="O223" s="563">
        <f t="shared" si="15"/>
        <v>26.899000000000001</v>
      </c>
      <c r="P223" s="563">
        <f t="shared" si="16"/>
        <v>8.5999999999999993E-2</v>
      </c>
      <c r="Q223" s="563">
        <f t="shared" si="17"/>
        <v>7.0000000000000001E-3</v>
      </c>
      <c r="R223" s="563">
        <f t="shared" si="18"/>
        <v>0</v>
      </c>
      <c r="S223" s="563">
        <f t="shared" si="19"/>
        <v>3.589</v>
      </c>
      <c r="T223" s="563">
        <f t="shared" si="20"/>
        <v>0</v>
      </c>
      <c r="U223" s="563">
        <f t="shared" si="20"/>
        <v>0</v>
      </c>
      <c r="V223" s="563">
        <f t="shared" si="21"/>
        <v>4.0000000000000001E-3</v>
      </c>
      <c r="W223" s="563">
        <f t="shared" si="22"/>
        <v>0</v>
      </c>
      <c r="X223" s="563">
        <f t="shared" si="22"/>
        <v>7.7080000000000002</v>
      </c>
      <c r="Y223" s="563">
        <f t="shared" si="23"/>
        <v>0</v>
      </c>
      <c r="Z223" s="563">
        <f t="shared" si="23"/>
        <v>2.347</v>
      </c>
      <c r="AA223" s="563">
        <f t="shared" si="23"/>
        <v>0.47199999999999998</v>
      </c>
      <c r="AB223" s="563">
        <f t="shared" si="24"/>
        <v>0.88900000000000001</v>
      </c>
      <c r="AC223" s="563">
        <f t="shared" si="25"/>
        <v>3.2000000000000001E-2</v>
      </c>
      <c r="AD223" s="563">
        <f t="shared" si="25"/>
        <v>4.0000000000000001E-3</v>
      </c>
      <c r="AE223" s="563">
        <f t="shared" si="26"/>
        <v>51.040999999999997</v>
      </c>
      <c r="AF223" s="535">
        <f t="shared" si="27"/>
        <v>0.79600000000000004</v>
      </c>
      <c r="AG223" s="535">
        <f t="shared" si="28"/>
        <v>4.0000000000000001E-3</v>
      </c>
      <c r="AH223" s="535">
        <f t="shared" si="28"/>
        <v>2.4980000000000002</v>
      </c>
      <c r="AI223" s="535"/>
      <c r="AJ223" s="535"/>
      <c r="AK223" s="535"/>
      <c r="AL223" s="535"/>
    </row>
    <row r="224" spans="1:38">
      <c r="D224" s="530" t="s">
        <v>100</v>
      </c>
      <c r="E224" s="563">
        <f t="shared" si="6"/>
        <v>0</v>
      </c>
      <c r="F224" s="563">
        <f t="shared" ref="F224:G226" si="29">E216</f>
        <v>4.0000000000000001E-3</v>
      </c>
      <c r="G224" s="563">
        <f t="shared" si="29"/>
        <v>0</v>
      </c>
      <c r="H224" s="563">
        <f t="shared" si="8"/>
        <v>4.0000000000000001E-3</v>
      </c>
      <c r="I224" s="563">
        <f t="shared" si="9"/>
        <v>0</v>
      </c>
      <c r="J224" s="563">
        <f t="shared" si="10"/>
        <v>0</v>
      </c>
      <c r="K224" s="563">
        <f t="shared" si="11"/>
        <v>7.0000000000000001E-3</v>
      </c>
      <c r="L224" s="563">
        <f t="shared" si="12"/>
        <v>0</v>
      </c>
      <c r="M224" s="563">
        <f t="shared" si="13"/>
        <v>3.5999999999999997E-2</v>
      </c>
      <c r="N224" s="563">
        <f t="shared" si="14"/>
        <v>0</v>
      </c>
      <c r="O224" s="563">
        <f t="shared" si="15"/>
        <v>2.9000000000000001E-2</v>
      </c>
      <c r="P224" s="563">
        <f t="shared" si="16"/>
        <v>0</v>
      </c>
      <c r="Q224" s="563">
        <f t="shared" si="17"/>
        <v>0</v>
      </c>
      <c r="R224" s="563">
        <f t="shared" si="18"/>
        <v>0</v>
      </c>
      <c r="S224" s="563">
        <f t="shared" si="19"/>
        <v>0</v>
      </c>
      <c r="T224" s="563">
        <f t="shared" si="20"/>
        <v>0</v>
      </c>
      <c r="U224" s="563">
        <f t="shared" si="20"/>
        <v>6.5000000000000002E-2</v>
      </c>
      <c r="V224" s="563">
        <f t="shared" si="21"/>
        <v>0</v>
      </c>
      <c r="W224" s="563">
        <f t="shared" si="22"/>
        <v>0</v>
      </c>
      <c r="X224" s="563">
        <f t="shared" si="22"/>
        <v>0.115</v>
      </c>
      <c r="Y224" s="563">
        <f t="shared" ref="Y224:AA226" si="30">X216</f>
        <v>0</v>
      </c>
      <c r="Z224" s="563">
        <f t="shared" si="30"/>
        <v>0</v>
      </c>
      <c r="AA224" s="563">
        <f t="shared" si="30"/>
        <v>0</v>
      </c>
      <c r="AB224" s="563">
        <f t="shared" si="24"/>
        <v>0</v>
      </c>
      <c r="AC224" s="563">
        <f t="shared" si="25"/>
        <v>0</v>
      </c>
      <c r="AD224" s="563">
        <f t="shared" si="25"/>
        <v>0</v>
      </c>
      <c r="AE224" s="563">
        <f t="shared" si="26"/>
        <v>2.9000000000000001E-2</v>
      </c>
      <c r="AF224" s="535">
        <f t="shared" si="27"/>
        <v>6.8000000000000005E-2</v>
      </c>
      <c r="AG224" s="535">
        <f t="shared" si="28"/>
        <v>0</v>
      </c>
      <c r="AH224" s="535">
        <f t="shared" si="28"/>
        <v>0</v>
      </c>
      <c r="AI224" s="535"/>
      <c r="AJ224" s="535"/>
      <c r="AK224" s="535"/>
      <c r="AL224" s="535"/>
    </row>
    <row r="225" spans="3:38">
      <c r="D225" s="530" t="s">
        <v>103</v>
      </c>
      <c r="E225" s="563">
        <f t="shared" si="6"/>
        <v>0</v>
      </c>
      <c r="F225" s="563">
        <f t="shared" si="29"/>
        <v>7.0000000000000001E-3</v>
      </c>
      <c r="G225" s="563">
        <f t="shared" si="29"/>
        <v>0</v>
      </c>
      <c r="H225" s="563">
        <f t="shared" si="8"/>
        <v>0</v>
      </c>
      <c r="I225" s="563">
        <f t="shared" si="9"/>
        <v>0</v>
      </c>
      <c r="J225" s="563">
        <f t="shared" si="10"/>
        <v>0</v>
      </c>
      <c r="K225" s="563">
        <f t="shared" si="11"/>
        <v>0</v>
      </c>
      <c r="L225" s="563">
        <f t="shared" si="12"/>
        <v>4.0000000000000001E-3</v>
      </c>
      <c r="M225" s="563">
        <f t="shared" si="13"/>
        <v>5.3999999999999999E-2</v>
      </c>
      <c r="N225" s="563">
        <f t="shared" si="14"/>
        <v>0</v>
      </c>
      <c r="O225" s="563">
        <f t="shared" si="15"/>
        <v>0.38200000000000001</v>
      </c>
      <c r="P225" s="563">
        <f t="shared" si="16"/>
        <v>0</v>
      </c>
      <c r="Q225" s="563">
        <f t="shared" si="17"/>
        <v>0</v>
      </c>
      <c r="R225" s="563">
        <f t="shared" si="18"/>
        <v>0</v>
      </c>
      <c r="S225" s="563">
        <f t="shared" si="19"/>
        <v>1.0999999999999999E-2</v>
      </c>
      <c r="T225" s="563">
        <f t="shared" si="20"/>
        <v>0</v>
      </c>
      <c r="U225" s="563">
        <f t="shared" si="20"/>
        <v>0</v>
      </c>
      <c r="V225" s="563">
        <f t="shared" si="21"/>
        <v>0</v>
      </c>
      <c r="W225" s="563">
        <f t="shared" si="22"/>
        <v>0</v>
      </c>
      <c r="X225" s="563">
        <f t="shared" si="22"/>
        <v>1.0189999999999999</v>
      </c>
      <c r="Y225" s="563">
        <f t="shared" si="30"/>
        <v>0</v>
      </c>
      <c r="Z225" s="563">
        <f t="shared" si="30"/>
        <v>0</v>
      </c>
      <c r="AA225" s="563">
        <f t="shared" si="30"/>
        <v>0</v>
      </c>
      <c r="AB225" s="563">
        <f t="shared" si="24"/>
        <v>0</v>
      </c>
      <c r="AC225" s="563">
        <f t="shared" si="25"/>
        <v>0</v>
      </c>
      <c r="AD225" s="563">
        <f t="shared" si="25"/>
        <v>2.1999999999999999E-2</v>
      </c>
      <c r="AE225" s="563">
        <f t="shared" si="26"/>
        <v>10.454000000000001</v>
      </c>
      <c r="AF225" s="535">
        <f t="shared" si="27"/>
        <v>0</v>
      </c>
      <c r="AG225" s="535">
        <f t="shared" si="28"/>
        <v>0</v>
      </c>
      <c r="AH225" s="535">
        <f t="shared" si="28"/>
        <v>0</v>
      </c>
      <c r="AI225" s="535"/>
      <c r="AJ225" s="535"/>
      <c r="AK225" s="535"/>
      <c r="AL225" s="535"/>
    </row>
    <row r="226" spans="3:38">
      <c r="D226" s="530" t="s">
        <v>102</v>
      </c>
      <c r="E226" s="563">
        <f t="shared" si="6"/>
        <v>4.4390000000000001</v>
      </c>
      <c r="F226" s="563">
        <f t="shared" si="29"/>
        <v>0</v>
      </c>
      <c r="G226" s="563">
        <f t="shared" si="29"/>
        <v>0</v>
      </c>
      <c r="H226" s="563">
        <f t="shared" si="8"/>
        <v>0</v>
      </c>
      <c r="I226" s="563">
        <f t="shared" si="9"/>
        <v>1.98</v>
      </c>
      <c r="J226" s="563">
        <f t="shared" si="10"/>
        <v>1.3</v>
      </c>
      <c r="K226" s="563">
        <f t="shared" si="11"/>
        <v>0</v>
      </c>
      <c r="L226" s="563">
        <f t="shared" si="12"/>
        <v>0</v>
      </c>
      <c r="M226" s="563">
        <f t="shared" si="13"/>
        <v>1.26</v>
      </c>
      <c r="N226" s="563">
        <f t="shared" si="14"/>
        <v>3.5640000000000001</v>
      </c>
      <c r="O226" s="563">
        <f t="shared" si="15"/>
        <v>2.9049999999999998</v>
      </c>
      <c r="P226" s="563">
        <f t="shared" si="16"/>
        <v>0</v>
      </c>
      <c r="Q226" s="563">
        <f t="shared" si="17"/>
        <v>0</v>
      </c>
      <c r="R226" s="563">
        <f t="shared" si="18"/>
        <v>0</v>
      </c>
      <c r="S226" s="563">
        <f t="shared" si="19"/>
        <v>2.8759999999999999</v>
      </c>
      <c r="T226" s="563">
        <f t="shared" si="20"/>
        <v>0</v>
      </c>
      <c r="U226" s="563">
        <f t="shared" si="20"/>
        <v>1.7999999999999999E-2</v>
      </c>
      <c r="V226" s="563">
        <f t="shared" si="21"/>
        <v>3.5999999999999997E-2</v>
      </c>
      <c r="W226" s="563">
        <f t="shared" si="22"/>
        <v>0</v>
      </c>
      <c r="X226" s="563">
        <f t="shared" si="22"/>
        <v>0</v>
      </c>
      <c r="Y226" s="563">
        <f t="shared" si="30"/>
        <v>7.0000000000000001E-3</v>
      </c>
      <c r="Z226" s="563">
        <f t="shared" si="30"/>
        <v>2.9000000000000001E-2</v>
      </c>
      <c r="AA226" s="563">
        <f t="shared" si="30"/>
        <v>0.27400000000000002</v>
      </c>
      <c r="AB226" s="563">
        <f t="shared" si="24"/>
        <v>0.04</v>
      </c>
      <c r="AC226" s="563">
        <f t="shared" si="25"/>
        <v>0.81</v>
      </c>
      <c r="AD226" s="563">
        <f t="shared" si="25"/>
        <v>0.29499999999999998</v>
      </c>
      <c r="AE226" s="563">
        <f t="shared" si="26"/>
        <v>3.9460000000000002</v>
      </c>
      <c r="AF226" s="535">
        <f t="shared" si="27"/>
        <v>8.42</v>
      </c>
      <c r="AG226" s="535">
        <f t="shared" si="28"/>
        <v>1.4E-2</v>
      </c>
      <c r="AH226" s="535">
        <f t="shared" si="28"/>
        <v>20.184999999999999</v>
      </c>
      <c r="AI226" s="535"/>
      <c r="AJ226" s="535"/>
      <c r="AK226" s="535"/>
      <c r="AL226" s="535"/>
    </row>
    <row r="227" spans="3:38">
      <c r="E227" s="563"/>
      <c r="F227" s="563"/>
      <c r="G227" s="563"/>
      <c r="H227" s="563"/>
      <c r="I227" s="563"/>
      <c r="J227" s="563"/>
      <c r="K227" s="563"/>
      <c r="L227" s="563"/>
      <c r="M227" s="563"/>
      <c r="N227" s="563"/>
      <c r="O227" s="563"/>
      <c r="P227" s="563"/>
      <c r="Q227" s="563"/>
      <c r="R227" s="563"/>
      <c r="S227" s="563"/>
      <c r="T227" s="563"/>
      <c r="U227" s="563"/>
      <c r="V227" s="563"/>
      <c r="W227" s="563"/>
      <c r="X227" s="563"/>
      <c r="Y227" s="563"/>
      <c r="Z227" s="563"/>
      <c r="AA227" s="563"/>
      <c r="AB227" s="563"/>
      <c r="AC227" s="563"/>
      <c r="AD227" s="563"/>
      <c r="AE227" s="563"/>
      <c r="AF227" s="535"/>
      <c r="AG227" s="535"/>
      <c r="AH227" s="535"/>
      <c r="AI227" s="535"/>
      <c r="AJ227" s="535"/>
      <c r="AK227" s="535"/>
      <c r="AL227" s="535"/>
    </row>
    <row r="228" spans="3:38">
      <c r="E228" s="563"/>
      <c r="F228" s="563"/>
      <c r="G228" s="563"/>
      <c r="H228" s="563"/>
      <c r="I228" s="563"/>
      <c r="J228" s="563"/>
      <c r="K228" s="563"/>
      <c r="L228" s="563"/>
      <c r="M228" s="563"/>
      <c r="N228" s="563"/>
      <c r="O228" s="563"/>
      <c r="P228" s="563"/>
      <c r="Q228" s="563"/>
      <c r="R228" s="563"/>
      <c r="S228" s="563"/>
      <c r="T228" s="563"/>
      <c r="U228" s="563"/>
      <c r="V228" s="563"/>
      <c r="W228" s="563"/>
      <c r="X228" s="563"/>
      <c r="Y228" s="563"/>
      <c r="Z228" s="563"/>
      <c r="AA228" s="563"/>
      <c r="AB228" s="563"/>
      <c r="AC228" s="563"/>
      <c r="AD228" s="563"/>
      <c r="AE228" s="563"/>
      <c r="AF228" s="535"/>
      <c r="AG228" s="535"/>
      <c r="AH228" s="535"/>
      <c r="AI228" s="535"/>
      <c r="AJ228" s="535"/>
      <c r="AK228" s="535"/>
      <c r="AL228" s="535"/>
    </row>
    <row r="229" spans="3:38">
      <c r="E229" s="563"/>
      <c r="F229" s="563"/>
      <c r="G229" s="563"/>
      <c r="H229" s="563"/>
      <c r="I229" s="563"/>
      <c r="J229" s="563"/>
      <c r="K229" s="563"/>
      <c r="L229" s="563"/>
      <c r="M229" s="563"/>
      <c r="N229" s="563"/>
      <c r="O229" s="563"/>
      <c r="P229" s="563"/>
      <c r="Q229" s="563"/>
      <c r="R229" s="563"/>
      <c r="S229" s="563"/>
      <c r="T229" s="563"/>
      <c r="U229" s="563"/>
      <c r="V229" s="563"/>
      <c r="W229" s="563"/>
      <c r="X229" s="563"/>
      <c r="Y229" s="563"/>
      <c r="Z229" s="563"/>
      <c r="AA229" s="563"/>
      <c r="AB229" s="563"/>
      <c r="AC229" s="563"/>
      <c r="AD229" s="563"/>
      <c r="AE229" s="563"/>
      <c r="AF229" s="535"/>
      <c r="AG229" s="535"/>
      <c r="AH229" s="535"/>
      <c r="AI229" s="535"/>
      <c r="AJ229" s="535"/>
      <c r="AK229" s="535"/>
      <c r="AL229" s="535"/>
    </row>
    <row r="230" spans="3:38">
      <c r="E230" s="563"/>
      <c r="F230" s="563"/>
      <c r="G230" s="563"/>
      <c r="H230" s="563"/>
      <c r="I230" s="563"/>
      <c r="J230" s="563"/>
      <c r="K230" s="563"/>
      <c r="L230" s="563"/>
      <c r="M230" s="563"/>
      <c r="N230" s="563"/>
      <c r="O230" s="563"/>
      <c r="P230" s="563"/>
      <c r="Q230" s="563"/>
      <c r="R230" s="563"/>
      <c r="S230" s="563"/>
      <c r="T230" s="563"/>
      <c r="U230" s="563"/>
      <c r="V230" s="563"/>
      <c r="W230" s="563"/>
      <c r="X230" s="563"/>
      <c r="Y230" s="563"/>
      <c r="Z230" s="563"/>
      <c r="AA230" s="563"/>
      <c r="AB230" s="563"/>
      <c r="AC230" s="563"/>
      <c r="AD230" s="563"/>
      <c r="AE230" s="563"/>
      <c r="AF230" s="535"/>
      <c r="AG230" s="535"/>
      <c r="AH230" s="535"/>
      <c r="AI230" s="535"/>
      <c r="AJ230" s="535"/>
      <c r="AK230" s="535"/>
      <c r="AL230" s="535"/>
    </row>
    <row r="231" spans="3:38">
      <c r="E231" s="563"/>
      <c r="F231" s="563"/>
      <c r="G231" s="563"/>
      <c r="H231" s="563"/>
      <c r="I231" s="563"/>
      <c r="J231" s="563"/>
      <c r="K231" s="563"/>
      <c r="L231" s="563"/>
      <c r="M231" s="563"/>
      <c r="N231" s="563"/>
      <c r="O231" s="563"/>
      <c r="P231" s="563"/>
      <c r="Q231" s="563"/>
      <c r="R231" s="563"/>
      <c r="S231" s="563"/>
      <c r="T231" s="563"/>
      <c r="U231" s="563"/>
      <c r="V231" s="563"/>
      <c r="W231" s="563"/>
      <c r="X231" s="563"/>
      <c r="Y231" s="563"/>
      <c r="Z231" s="563"/>
      <c r="AA231" s="563"/>
      <c r="AB231" s="563"/>
      <c r="AC231" s="563"/>
      <c r="AD231" s="563"/>
      <c r="AE231" s="563"/>
      <c r="AF231" s="535"/>
      <c r="AG231" s="535"/>
      <c r="AH231" s="535"/>
      <c r="AI231" s="535"/>
      <c r="AJ231" s="535"/>
      <c r="AK231" s="535"/>
      <c r="AL231" s="535"/>
    </row>
    <row r="232" spans="3:38">
      <c r="E232" s="563"/>
      <c r="F232" s="563"/>
      <c r="G232" s="563"/>
      <c r="H232" s="563"/>
      <c r="I232" s="563"/>
      <c r="J232" s="563"/>
      <c r="K232" s="563"/>
      <c r="L232" s="563"/>
      <c r="M232" s="563"/>
      <c r="N232" s="563"/>
      <c r="O232" s="563"/>
      <c r="P232" s="563"/>
      <c r="Q232" s="563"/>
      <c r="R232" s="563"/>
      <c r="S232" s="563"/>
      <c r="T232" s="563"/>
      <c r="U232" s="563"/>
      <c r="V232" s="563"/>
      <c r="W232" s="563"/>
      <c r="X232" s="563"/>
      <c r="Y232" s="563"/>
      <c r="Z232" s="563"/>
      <c r="AA232" s="563"/>
      <c r="AB232" s="563"/>
      <c r="AC232" s="563"/>
      <c r="AD232" s="563"/>
      <c r="AE232" s="563"/>
      <c r="AF232" s="535"/>
      <c r="AG232" s="535"/>
      <c r="AH232" s="535"/>
      <c r="AI232" s="535"/>
      <c r="AJ232" s="535"/>
      <c r="AK232" s="535"/>
      <c r="AL232" s="535"/>
    </row>
    <row r="233" spans="3:38">
      <c r="C233" s="529" t="s">
        <v>589</v>
      </c>
    </row>
    <row r="234" spans="3:38">
      <c r="C234" s="529" t="s">
        <v>36</v>
      </c>
      <c r="D234" s="529" t="s">
        <v>590</v>
      </c>
    </row>
    <row r="237" spans="3:38">
      <c r="C237" s="529" t="s">
        <v>657</v>
      </c>
    </row>
    <row r="239" spans="3:38">
      <c r="C239" s="529" t="s">
        <v>269</v>
      </c>
      <c r="D239" s="531">
        <v>41353.593414351853</v>
      </c>
    </row>
    <row r="240" spans="3:38">
      <c r="C240" s="529" t="s">
        <v>271</v>
      </c>
      <c r="D240" s="531">
        <v>41389.488000127312</v>
      </c>
    </row>
    <row r="241" spans="1:37">
      <c r="C241" s="529" t="s">
        <v>273</v>
      </c>
      <c r="D241" s="529" t="s">
        <v>67</v>
      </c>
    </row>
    <row r="243" spans="1:37">
      <c r="C243" s="529" t="s">
        <v>340</v>
      </c>
      <c r="D243" s="529" t="s">
        <v>576</v>
      </c>
    </row>
    <row r="244" spans="1:37">
      <c r="C244" s="529" t="s">
        <v>341</v>
      </c>
      <c r="D244" s="529" t="s">
        <v>658</v>
      </c>
    </row>
    <row r="245" spans="1:37">
      <c r="C245" s="529" t="s">
        <v>578</v>
      </c>
      <c r="D245" s="529" t="s">
        <v>298</v>
      </c>
    </row>
    <row r="247" spans="1:37">
      <c r="A247" s="537"/>
      <c r="B247" s="537"/>
      <c r="C247" s="538" t="s">
        <v>579</v>
      </c>
      <c r="D247" s="538" t="s">
        <v>580</v>
      </c>
      <c r="E247" s="538" t="s">
        <v>180</v>
      </c>
      <c r="F247" s="538" t="s">
        <v>181</v>
      </c>
      <c r="G247" s="538" t="s">
        <v>215</v>
      </c>
      <c r="H247" s="538" t="s">
        <v>182</v>
      </c>
      <c r="I247" s="538" t="s">
        <v>581</v>
      </c>
      <c r="J247" s="538" t="s">
        <v>217</v>
      </c>
      <c r="K247" s="538" t="s">
        <v>218</v>
      </c>
      <c r="L247" s="538" t="s">
        <v>183</v>
      </c>
      <c r="M247" s="538" t="s">
        <v>184</v>
      </c>
      <c r="N247" s="538" t="s">
        <v>185</v>
      </c>
      <c r="O247" s="538" t="s">
        <v>186</v>
      </c>
      <c r="P247" s="538" t="s">
        <v>187</v>
      </c>
      <c r="Q247" s="538" t="s">
        <v>219</v>
      </c>
      <c r="R247" s="538" t="s">
        <v>188</v>
      </c>
      <c r="S247" s="538" t="s">
        <v>474</v>
      </c>
      <c r="T247" s="538" t="s">
        <v>189</v>
      </c>
      <c r="U247" s="538" t="s">
        <v>190</v>
      </c>
      <c r="V247" s="538" t="s">
        <v>191</v>
      </c>
      <c r="W247" s="538" t="s">
        <v>192</v>
      </c>
      <c r="X247" s="538" t="s">
        <v>193</v>
      </c>
      <c r="Y247" s="538" t="s">
        <v>194</v>
      </c>
      <c r="Z247" s="538" t="s">
        <v>195</v>
      </c>
      <c r="AA247" s="538" t="s">
        <v>196</v>
      </c>
      <c r="AB247" s="538" t="s">
        <v>197</v>
      </c>
      <c r="AC247" s="538" t="s">
        <v>198</v>
      </c>
      <c r="AD247" s="538" t="s">
        <v>199</v>
      </c>
      <c r="AE247" s="538" t="s">
        <v>221</v>
      </c>
      <c r="AF247" s="538" t="s">
        <v>179</v>
      </c>
      <c r="AG247" s="538" t="s">
        <v>178</v>
      </c>
      <c r="AH247" s="538" t="s">
        <v>222</v>
      </c>
      <c r="AI247" s="538" t="s">
        <v>299</v>
      </c>
      <c r="AJ247" s="538" t="s">
        <v>582</v>
      </c>
      <c r="AK247" s="538" t="s">
        <v>300</v>
      </c>
    </row>
    <row r="248" spans="1:37">
      <c r="A248" s="539" t="s">
        <v>660</v>
      </c>
      <c r="B248" s="539" t="s">
        <v>661</v>
      </c>
      <c r="C248" s="538" t="s">
        <v>842</v>
      </c>
      <c r="D248" s="540">
        <v>3312832</v>
      </c>
      <c r="E248" s="540">
        <v>163206</v>
      </c>
      <c r="F248" s="540">
        <v>62435</v>
      </c>
      <c r="G248" s="540">
        <v>83718</v>
      </c>
      <c r="H248" s="540">
        <v>0</v>
      </c>
      <c r="I248" s="540">
        <v>556603</v>
      </c>
      <c r="J248" s="540">
        <v>0</v>
      </c>
      <c r="K248" s="540">
        <v>0</v>
      </c>
      <c r="L248" s="540">
        <v>0</v>
      </c>
      <c r="M248" s="540">
        <v>199271</v>
      </c>
      <c r="N248" s="540">
        <v>1547917</v>
      </c>
      <c r="O248" s="540">
        <v>0</v>
      </c>
      <c r="P248" s="540">
        <v>0</v>
      </c>
      <c r="Q248" s="540">
        <v>0</v>
      </c>
      <c r="R248" s="540">
        <v>0</v>
      </c>
      <c r="S248" s="540">
        <v>0</v>
      </c>
      <c r="T248" s="540">
        <v>46177</v>
      </c>
      <c r="U248" s="540">
        <v>0</v>
      </c>
      <c r="V248" s="540">
        <v>13568</v>
      </c>
      <c r="W248" s="540">
        <v>0</v>
      </c>
      <c r="X248" s="540">
        <v>0</v>
      </c>
      <c r="Y248" s="540">
        <v>0</v>
      </c>
      <c r="Z248" s="540">
        <v>18421</v>
      </c>
      <c r="AA248" s="540">
        <v>20210</v>
      </c>
      <c r="AB248" s="540">
        <v>0</v>
      </c>
      <c r="AC248" s="540">
        <v>80482</v>
      </c>
      <c r="AD248" s="540">
        <v>250200</v>
      </c>
      <c r="AE248" s="540">
        <v>270623</v>
      </c>
      <c r="AF248" s="540">
        <v>0</v>
      </c>
      <c r="AG248" s="540">
        <v>0</v>
      </c>
      <c r="AH248" s="540">
        <v>79272</v>
      </c>
      <c r="AI248" s="540">
        <v>0</v>
      </c>
      <c r="AJ248" s="540">
        <v>0</v>
      </c>
      <c r="AK248" s="540">
        <v>0</v>
      </c>
    </row>
    <row r="249" spans="1:37">
      <c r="A249" s="539" t="s">
        <v>660</v>
      </c>
      <c r="B249" s="539" t="s">
        <v>668</v>
      </c>
      <c r="C249" s="538" t="s">
        <v>843</v>
      </c>
      <c r="D249" s="540">
        <v>93312</v>
      </c>
      <c r="E249" s="540">
        <v>0</v>
      </c>
      <c r="F249" s="540">
        <v>0</v>
      </c>
      <c r="G249" s="540">
        <v>0</v>
      </c>
      <c r="H249" s="540">
        <v>0</v>
      </c>
      <c r="I249" s="540">
        <v>0</v>
      </c>
      <c r="J249" s="540">
        <v>0</v>
      </c>
      <c r="K249" s="540">
        <v>0</v>
      </c>
      <c r="L249" s="540">
        <v>0</v>
      </c>
      <c r="M249" s="540">
        <v>0</v>
      </c>
      <c r="N249" s="540">
        <v>0</v>
      </c>
      <c r="O249" s="540">
        <v>0</v>
      </c>
      <c r="P249" s="540">
        <v>0</v>
      </c>
      <c r="Q249" s="540">
        <v>0</v>
      </c>
      <c r="R249" s="540">
        <v>34358</v>
      </c>
      <c r="S249" s="540">
        <v>0</v>
      </c>
      <c r="T249" s="540">
        <v>0</v>
      </c>
      <c r="U249" s="540">
        <v>0</v>
      </c>
      <c r="V249" s="540">
        <v>0</v>
      </c>
      <c r="W249" s="540">
        <v>0</v>
      </c>
      <c r="X249" s="540">
        <v>0</v>
      </c>
      <c r="Y249" s="540">
        <v>0</v>
      </c>
      <c r="Z249" s="540">
        <v>0</v>
      </c>
      <c r="AA249" s="540">
        <v>0</v>
      </c>
      <c r="AB249" s="540">
        <v>58954</v>
      </c>
      <c r="AC249" s="540">
        <v>0</v>
      </c>
      <c r="AD249" s="540">
        <v>0</v>
      </c>
      <c r="AE249" s="540">
        <v>0</v>
      </c>
      <c r="AF249" s="540">
        <v>0</v>
      </c>
      <c r="AG249" s="540">
        <v>0</v>
      </c>
      <c r="AH249" s="540">
        <v>0</v>
      </c>
      <c r="AI249" s="540">
        <v>0</v>
      </c>
      <c r="AJ249" s="540">
        <v>0</v>
      </c>
      <c r="AK249" s="540">
        <v>0</v>
      </c>
    </row>
    <row r="250" spans="1:37">
      <c r="A250" s="539" t="s">
        <v>664</v>
      </c>
      <c r="B250" s="539" t="s">
        <v>661</v>
      </c>
      <c r="C250" s="538" t="s">
        <v>844</v>
      </c>
      <c r="D250" s="540">
        <v>0</v>
      </c>
      <c r="E250" s="540">
        <v>0</v>
      </c>
      <c r="F250" s="540">
        <v>0</v>
      </c>
      <c r="G250" s="540">
        <v>0</v>
      </c>
      <c r="H250" s="540">
        <v>0</v>
      </c>
      <c r="I250" s="540">
        <v>0</v>
      </c>
      <c r="J250" s="540">
        <v>0</v>
      </c>
      <c r="K250" s="540">
        <v>0</v>
      </c>
      <c r="L250" s="540">
        <v>0</v>
      </c>
      <c r="M250" s="540">
        <v>0</v>
      </c>
      <c r="N250" s="540">
        <v>0</v>
      </c>
      <c r="O250" s="540">
        <v>0</v>
      </c>
      <c r="P250" s="540">
        <v>0</v>
      </c>
      <c r="Q250" s="540">
        <v>0</v>
      </c>
      <c r="R250" s="540">
        <v>0</v>
      </c>
      <c r="S250" s="540">
        <v>0</v>
      </c>
      <c r="T250" s="540">
        <v>0</v>
      </c>
      <c r="U250" s="540">
        <v>0</v>
      </c>
      <c r="V250" s="540">
        <v>0</v>
      </c>
      <c r="W250" s="540">
        <v>0</v>
      </c>
      <c r="X250" s="540">
        <v>0</v>
      </c>
      <c r="Y250" s="540">
        <v>0</v>
      </c>
      <c r="Z250" s="540">
        <v>0</v>
      </c>
      <c r="AA250" s="540">
        <v>0</v>
      </c>
      <c r="AB250" s="540">
        <v>0</v>
      </c>
      <c r="AC250" s="540">
        <v>0</v>
      </c>
      <c r="AD250" s="540">
        <v>0</v>
      </c>
      <c r="AE250" s="540">
        <v>0</v>
      </c>
      <c r="AF250" s="540">
        <v>0</v>
      </c>
      <c r="AG250" s="540">
        <v>0</v>
      </c>
      <c r="AH250" s="540">
        <v>0</v>
      </c>
      <c r="AI250" s="540">
        <v>0</v>
      </c>
      <c r="AJ250" s="540">
        <v>0</v>
      </c>
      <c r="AK250" s="540">
        <v>0</v>
      </c>
    </row>
    <row r="251" spans="1:37">
      <c r="A251" s="539" t="s">
        <v>664</v>
      </c>
      <c r="B251" s="539" t="s">
        <v>668</v>
      </c>
      <c r="C251" s="538" t="s">
        <v>845</v>
      </c>
      <c r="D251" s="540">
        <v>0</v>
      </c>
      <c r="E251" s="540">
        <v>0</v>
      </c>
      <c r="F251" s="540">
        <v>0</v>
      </c>
      <c r="G251" s="540">
        <v>0</v>
      </c>
      <c r="H251" s="540">
        <v>0</v>
      </c>
      <c r="I251" s="540">
        <v>0</v>
      </c>
      <c r="J251" s="540">
        <v>0</v>
      </c>
      <c r="K251" s="540">
        <v>0</v>
      </c>
      <c r="L251" s="540">
        <v>0</v>
      </c>
      <c r="M251" s="540">
        <v>0</v>
      </c>
      <c r="N251" s="540">
        <v>0</v>
      </c>
      <c r="O251" s="540">
        <v>0</v>
      </c>
      <c r="P251" s="540">
        <v>0</v>
      </c>
      <c r="Q251" s="540">
        <v>0</v>
      </c>
      <c r="R251" s="540">
        <v>0</v>
      </c>
      <c r="S251" s="540">
        <v>0</v>
      </c>
      <c r="T251" s="540">
        <v>0</v>
      </c>
      <c r="U251" s="540">
        <v>0</v>
      </c>
      <c r="V251" s="540">
        <v>0</v>
      </c>
      <c r="W251" s="540">
        <v>0</v>
      </c>
      <c r="X251" s="540">
        <v>0</v>
      </c>
      <c r="Y251" s="540">
        <v>0</v>
      </c>
      <c r="Z251" s="540">
        <v>0</v>
      </c>
      <c r="AA251" s="540">
        <v>0</v>
      </c>
      <c r="AB251" s="540">
        <v>0</v>
      </c>
      <c r="AC251" s="540">
        <v>0</v>
      </c>
      <c r="AD251" s="540">
        <v>0</v>
      </c>
      <c r="AE251" s="540">
        <v>0</v>
      </c>
      <c r="AF251" s="540">
        <v>0</v>
      </c>
      <c r="AG251" s="540">
        <v>0</v>
      </c>
      <c r="AH251" s="540">
        <v>0</v>
      </c>
      <c r="AI251" s="540">
        <v>0</v>
      </c>
      <c r="AJ251" s="540">
        <v>0</v>
      </c>
      <c r="AK251" s="540">
        <v>0</v>
      </c>
    </row>
    <row r="252" spans="1:37">
      <c r="A252" s="539" t="s">
        <v>660</v>
      </c>
      <c r="B252" s="539" t="s">
        <v>661</v>
      </c>
      <c r="C252" s="538" t="s">
        <v>846</v>
      </c>
      <c r="D252" s="540">
        <v>1185962</v>
      </c>
      <c r="E252" s="540">
        <v>5724</v>
      </c>
      <c r="F252" s="540">
        <v>16884</v>
      </c>
      <c r="G252" s="540">
        <v>8878</v>
      </c>
      <c r="H252" s="540">
        <v>83</v>
      </c>
      <c r="I252" s="540">
        <v>93445</v>
      </c>
      <c r="J252" s="540">
        <v>79</v>
      </c>
      <c r="K252" s="540">
        <v>3481</v>
      </c>
      <c r="L252" s="540">
        <v>20095</v>
      </c>
      <c r="M252" s="540">
        <v>80622</v>
      </c>
      <c r="N252" s="540">
        <v>198342</v>
      </c>
      <c r="O252" s="540">
        <v>149645</v>
      </c>
      <c r="P252" s="540">
        <v>0</v>
      </c>
      <c r="Q252" s="540">
        <v>11790</v>
      </c>
      <c r="R252" s="540">
        <v>2884</v>
      </c>
      <c r="S252" s="540">
        <v>3107</v>
      </c>
      <c r="T252" s="540">
        <v>709</v>
      </c>
      <c r="U252" s="540">
        <v>0</v>
      </c>
      <c r="V252" s="540">
        <v>317</v>
      </c>
      <c r="W252" s="540">
        <v>129892</v>
      </c>
      <c r="X252" s="540">
        <v>13471</v>
      </c>
      <c r="Y252" s="540">
        <v>18090</v>
      </c>
      <c r="Z252" s="540">
        <v>70985</v>
      </c>
      <c r="AA252" s="540">
        <v>11459</v>
      </c>
      <c r="AB252" s="540">
        <v>16582</v>
      </c>
      <c r="AC252" s="540">
        <v>45432</v>
      </c>
      <c r="AD252" s="540">
        <v>260219</v>
      </c>
      <c r="AE252" s="540">
        <v>23749</v>
      </c>
      <c r="AF252" s="540">
        <v>25002</v>
      </c>
      <c r="AG252" s="540">
        <v>468932</v>
      </c>
      <c r="AH252" s="540">
        <v>109595</v>
      </c>
      <c r="AI252" s="540">
        <v>22997</v>
      </c>
      <c r="AJ252" s="540">
        <v>5353</v>
      </c>
      <c r="AK252" s="540">
        <v>138370</v>
      </c>
    </row>
    <row r="253" spans="1:37">
      <c r="A253" s="539" t="s">
        <v>664</v>
      </c>
      <c r="B253" s="539" t="s">
        <v>661</v>
      </c>
      <c r="C253" s="538" t="s">
        <v>847</v>
      </c>
      <c r="D253" s="540">
        <v>22997</v>
      </c>
      <c r="E253" s="540">
        <v>0</v>
      </c>
      <c r="F253" s="540">
        <v>0</v>
      </c>
      <c r="G253" s="540">
        <v>1973</v>
      </c>
      <c r="H253" s="540">
        <v>0</v>
      </c>
      <c r="I253" s="540">
        <v>1285</v>
      </c>
      <c r="J253" s="540">
        <v>0</v>
      </c>
      <c r="K253" s="540">
        <v>0</v>
      </c>
      <c r="L253" s="540">
        <v>0</v>
      </c>
      <c r="M253" s="540">
        <v>1246</v>
      </c>
      <c r="N253" s="540">
        <v>2869</v>
      </c>
      <c r="O253" s="540">
        <v>2840</v>
      </c>
      <c r="P253" s="540">
        <v>0</v>
      </c>
      <c r="Q253" s="540">
        <v>36</v>
      </c>
      <c r="R253" s="540">
        <v>0</v>
      </c>
      <c r="S253" s="540">
        <v>18</v>
      </c>
      <c r="T253" s="540">
        <v>0</v>
      </c>
      <c r="U253" s="540">
        <v>0</v>
      </c>
      <c r="V253" s="540">
        <v>0</v>
      </c>
      <c r="W253" s="540">
        <v>4439</v>
      </c>
      <c r="X253" s="540">
        <v>7</v>
      </c>
      <c r="Y253" s="540">
        <v>29</v>
      </c>
      <c r="Z253" s="540">
        <v>270</v>
      </c>
      <c r="AA253" s="540">
        <v>803</v>
      </c>
      <c r="AB253" s="540">
        <v>281</v>
      </c>
      <c r="AC253" s="540">
        <v>3517</v>
      </c>
      <c r="AD253" s="540">
        <v>36</v>
      </c>
      <c r="AE253" s="540">
        <v>3348</v>
      </c>
      <c r="AF253" s="540">
        <v>14</v>
      </c>
      <c r="AG253" s="540">
        <v>20146</v>
      </c>
      <c r="AH253" s="540">
        <v>8338</v>
      </c>
      <c r="AI253" s="540">
        <v>58</v>
      </c>
      <c r="AJ253" s="540">
        <v>0</v>
      </c>
      <c r="AK253" s="540">
        <v>2981</v>
      </c>
    </row>
    <row r="254" spans="1:37">
      <c r="A254" s="539" t="s">
        <v>660</v>
      </c>
      <c r="B254" s="539" t="s">
        <v>661</v>
      </c>
      <c r="C254" s="538" t="s">
        <v>848</v>
      </c>
      <c r="D254" s="540">
        <v>124592</v>
      </c>
      <c r="E254" s="540">
        <v>4705</v>
      </c>
      <c r="F254" s="540">
        <v>1415</v>
      </c>
      <c r="G254" s="540">
        <v>2329</v>
      </c>
      <c r="H254" s="540">
        <v>0</v>
      </c>
      <c r="I254" s="540">
        <v>25254</v>
      </c>
      <c r="J254" s="540">
        <v>0</v>
      </c>
      <c r="K254" s="540">
        <v>1224</v>
      </c>
      <c r="L254" s="540">
        <v>2135</v>
      </c>
      <c r="M254" s="540">
        <v>16387</v>
      </c>
      <c r="N254" s="540">
        <v>16772</v>
      </c>
      <c r="O254" s="540">
        <v>24354</v>
      </c>
      <c r="P254" s="540">
        <v>0</v>
      </c>
      <c r="Q254" s="540">
        <v>0</v>
      </c>
      <c r="R254" s="540">
        <v>1274</v>
      </c>
      <c r="S254" s="540">
        <v>2797</v>
      </c>
      <c r="T254" s="540">
        <v>0</v>
      </c>
      <c r="U254" s="540">
        <v>0</v>
      </c>
      <c r="V254" s="540">
        <v>0</v>
      </c>
      <c r="W254" s="540">
        <v>8348</v>
      </c>
      <c r="X254" s="540">
        <v>5638</v>
      </c>
      <c r="Y254" s="540">
        <v>1354</v>
      </c>
      <c r="Z254" s="540">
        <v>0</v>
      </c>
      <c r="AA254" s="540">
        <v>0</v>
      </c>
      <c r="AB254" s="540">
        <v>371</v>
      </c>
      <c r="AC254" s="540">
        <v>0</v>
      </c>
      <c r="AD254" s="540">
        <v>241</v>
      </c>
      <c r="AE254" s="540">
        <v>9994</v>
      </c>
      <c r="AF254" s="540">
        <v>0</v>
      </c>
      <c r="AG254" s="540">
        <v>2642</v>
      </c>
      <c r="AH254" s="540">
        <v>6552</v>
      </c>
      <c r="AI254" s="540">
        <v>378</v>
      </c>
      <c r="AJ254" s="540">
        <v>0</v>
      </c>
      <c r="AK254" s="540">
        <v>0</v>
      </c>
    </row>
    <row r="255" spans="1:37">
      <c r="A255" s="539" t="s">
        <v>664</v>
      </c>
      <c r="B255" s="539" t="s">
        <v>661</v>
      </c>
      <c r="C255" s="538" t="s">
        <v>849</v>
      </c>
      <c r="D255" s="540">
        <v>0</v>
      </c>
      <c r="E255" s="540">
        <v>0</v>
      </c>
      <c r="F255" s="540">
        <v>0</v>
      </c>
      <c r="G255" s="540">
        <v>0</v>
      </c>
      <c r="H255" s="540">
        <v>0</v>
      </c>
      <c r="I255" s="540">
        <v>0</v>
      </c>
      <c r="J255" s="540">
        <v>0</v>
      </c>
      <c r="K255" s="540">
        <v>0</v>
      </c>
      <c r="L255" s="540">
        <v>0</v>
      </c>
      <c r="M255" s="540">
        <v>0</v>
      </c>
      <c r="N255" s="540">
        <v>0</v>
      </c>
      <c r="O255" s="540">
        <v>0</v>
      </c>
      <c r="P255" s="540">
        <v>0</v>
      </c>
      <c r="Q255" s="540">
        <v>0</v>
      </c>
      <c r="R255" s="540">
        <v>0</v>
      </c>
      <c r="S255" s="540">
        <v>0</v>
      </c>
      <c r="T255" s="540">
        <v>0</v>
      </c>
      <c r="U255" s="540">
        <v>0</v>
      </c>
      <c r="V255" s="540">
        <v>0</v>
      </c>
      <c r="W255" s="540">
        <v>0</v>
      </c>
      <c r="X255" s="540">
        <v>0</v>
      </c>
      <c r="Y255" s="540">
        <v>0</v>
      </c>
      <c r="Z255" s="540">
        <v>0</v>
      </c>
      <c r="AA255" s="540">
        <v>0</v>
      </c>
      <c r="AB255" s="540">
        <v>0</v>
      </c>
      <c r="AC255" s="540">
        <v>0</v>
      </c>
      <c r="AD255" s="540">
        <v>0</v>
      </c>
      <c r="AE255" s="540">
        <v>0</v>
      </c>
      <c r="AF255" s="540">
        <v>0</v>
      </c>
      <c r="AG255" s="540">
        <v>86</v>
      </c>
      <c r="AH255" s="540">
        <v>79</v>
      </c>
      <c r="AI255" s="540">
        <v>0</v>
      </c>
      <c r="AJ255" s="540">
        <v>0</v>
      </c>
      <c r="AK255" s="540">
        <v>0</v>
      </c>
    </row>
    <row r="256" spans="1:37">
      <c r="A256" s="539" t="s">
        <v>660</v>
      </c>
      <c r="B256" s="539" t="s">
        <v>661</v>
      </c>
      <c r="C256" s="538" t="s">
        <v>850</v>
      </c>
      <c r="D256" s="540">
        <v>18342</v>
      </c>
      <c r="E256" s="540">
        <v>0</v>
      </c>
      <c r="F256" s="540">
        <v>0</v>
      </c>
      <c r="G256" s="540">
        <v>0</v>
      </c>
      <c r="H256" s="540">
        <v>0</v>
      </c>
      <c r="I256" s="540">
        <v>0</v>
      </c>
      <c r="J256" s="540">
        <v>0</v>
      </c>
      <c r="K256" s="540">
        <v>0</v>
      </c>
      <c r="L256" s="540">
        <v>0</v>
      </c>
      <c r="M256" s="540">
        <v>0</v>
      </c>
      <c r="N256" s="540">
        <v>0</v>
      </c>
      <c r="O256" s="540">
        <v>18079</v>
      </c>
      <c r="P256" s="540">
        <v>0</v>
      </c>
      <c r="Q256" s="540">
        <v>0</v>
      </c>
      <c r="R256" s="540">
        <v>0</v>
      </c>
      <c r="S256" s="540">
        <v>0</v>
      </c>
      <c r="T256" s="540">
        <v>0</v>
      </c>
      <c r="U256" s="540">
        <v>0</v>
      </c>
      <c r="V256" s="540">
        <v>0</v>
      </c>
      <c r="W256" s="540">
        <v>7</v>
      </c>
      <c r="X256" s="540">
        <v>0</v>
      </c>
      <c r="Y256" s="540">
        <v>256</v>
      </c>
      <c r="Z256" s="540">
        <v>0</v>
      </c>
      <c r="AA256" s="540">
        <v>0</v>
      </c>
      <c r="AB256" s="540">
        <v>0</v>
      </c>
      <c r="AC256" s="540">
        <v>0</v>
      </c>
      <c r="AD256" s="540">
        <v>0</v>
      </c>
      <c r="AE256" s="540">
        <v>0</v>
      </c>
      <c r="AF256" s="540">
        <v>1721</v>
      </c>
      <c r="AG256" s="540">
        <v>0</v>
      </c>
      <c r="AH256" s="540">
        <v>0</v>
      </c>
      <c r="AI256" s="540">
        <v>0</v>
      </c>
      <c r="AJ256" s="540">
        <v>0</v>
      </c>
      <c r="AK256" s="540">
        <v>310</v>
      </c>
    </row>
    <row r="257" spans="1:37">
      <c r="A257" s="539" t="s">
        <v>660</v>
      </c>
      <c r="B257" s="539" t="s">
        <v>668</v>
      </c>
      <c r="C257" s="538" t="s">
        <v>851</v>
      </c>
      <c r="D257" s="540">
        <v>0</v>
      </c>
      <c r="E257" s="540">
        <v>0</v>
      </c>
      <c r="F257" s="540">
        <v>0</v>
      </c>
      <c r="G257" s="540">
        <v>0</v>
      </c>
      <c r="H257" s="540">
        <v>0</v>
      </c>
      <c r="I257" s="540">
        <v>0</v>
      </c>
      <c r="J257" s="540">
        <v>0</v>
      </c>
      <c r="K257" s="540">
        <v>0</v>
      </c>
      <c r="L257" s="540">
        <v>0</v>
      </c>
      <c r="M257" s="540">
        <v>0</v>
      </c>
      <c r="N257" s="540">
        <v>0</v>
      </c>
      <c r="O257" s="540">
        <v>0</v>
      </c>
      <c r="P257" s="540">
        <v>0</v>
      </c>
      <c r="Q257" s="540">
        <v>0</v>
      </c>
      <c r="R257" s="540">
        <v>0</v>
      </c>
      <c r="S257" s="540">
        <v>0</v>
      </c>
      <c r="T257" s="540">
        <v>0</v>
      </c>
      <c r="U257" s="540">
        <v>0</v>
      </c>
      <c r="V257" s="540">
        <v>0</v>
      </c>
      <c r="W257" s="540">
        <v>0</v>
      </c>
      <c r="X257" s="540">
        <v>0</v>
      </c>
      <c r="Y257" s="540">
        <v>0</v>
      </c>
      <c r="Z257" s="540">
        <v>0</v>
      </c>
      <c r="AA257" s="540">
        <v>0</v>
      </c>
      <c r="AB257" s="540">
        <v>0</v>
      </c>
      <c r="AC257" s="540">
        <v>0</v>
      </c>
      <c r="AD257" s="540">
        <v>0</v>
      </c>
      <c r="AE257" s="540">
        <v>0</v>
      </c>
      <c r="AF257" s="540">
        <v>3888</v>
      </c>
      <c r="AG257" s="540">
        <v>0</v>
      </c>
      <c r="AH257" s="540">
        <v>0</v>
      </c>
      <c r="AI257" s="540">
        <v>0</v>
      </c>
      <c r="AJ257" s="540">
        <v>0</v>
      </c>
      <c r="AK257" s="540">
        <v>0</v>
      </c>
    </row>
    <row r="258" spans="1:37">
      <c r="A258" s="539" t="s">
        <v>664</v>
      </c>
      <c r="B258" s="539" t="s">
        <v>661</v>
      </c>
      <c r="C258" s="538" t="s">
        <v>852</v>
      </c>
      <c r="D258" s="540">
        <v>0</v>
      </c>
      <c r="E258" s="540">
        <v>0</v>
      </c>
      <c r="F258" s="540">
        <v>0</v>
      </c>
      <c r="G258" s="540">
        <v>0</v>
      </c>
      <c r="H258" s="540">
        <v>0</v>
      </c>
      <c r="I258" s="540">
        <v>0</v>
      </c>
      <c r="J258" s="540">
        <v>0</v>
      </c>
      <c r="K258" s="540">
        <v>0</v>
      </c>
      <c r="L258" s="540">
        <v>0</v>
      </c>
      <c r="M258" s="540">
        <v>0</v>
      </c>
      <c r="N258" s="540">
        <v>0</v>
      </c>
      <c r="O258" s="540">
        <v>0</v>
      </c>
      <c r="P258" s="540">
        <v>0</v>
      </c>
      <c r="Q258" s="540">
        <v>0</v>
      </c>
      <c r="R258" s="540">
        <v>0</v>
      </c>
      <c r="S258" s="540">
        <v>0</v>
      </c>
      <c r="T258" s="540">
        <v>0</v>
      </c>
      <c r="U258" s="540">
        <v>0</v>
      </c>
      <c r="V258" s="540">
        <v>0</v>
      </c>
      <c r="W258" s="540">
        <v>0</v>
      </c>
      <c r="X258" s="540">
        <v>0</v>
      </c>
      <c r="Y258" s="540">
        <v>0</v>
      </c>
      <c r="Z258" s="540">
        <v>0</v>
      </c>
      <c r="AA258" s="540">
        <v>0</v>
      </c>
      <c r="AB258" s="540">
        <v>0</v>
      </c>
      <c r="AC258" s="540">
        <v>0</v>
      </c>
      <c r="AD258" s="540">
        <v>0</v>
      </c>
      <c r="AE258" s="540">
        <v>0</v>
      </c>
      <c r="AF258" s="540">
        <v>0</v>
      </c>
      <c r="AG258" s="540">
        <v>0</v>
      </c>
      <c r="AH258" s="540">
        <v>0</v>
      </c>
      <c r="AI258" s="540">
        <v>0</v>
      </c>
      <c r="AJ258" s="540">
        <v>0</v>
      </c>
      <c r="AK258" s="540">
        <v>0</v>
      </c>
    </row>
    <row r="259" spans="1:37">
      <c r="A259" s="539" t="s">
        <v>664</v>
      </c>
      <c r="B259" s="539" t="s">
        <v>668</v>
      </c>
      <c r="C259" s="538" t="s">
        <v>853</v>
      </c>
      <c r="D259" s="540">
        <v>0</v>
      </c>
      <c r="E259" s="540">
        <v>0</v>
      </c>
      <c r="F259" s="540">
        <v>0</v>
      </c>
      <c r="G259" s="540">
        <v>0</v>
      </c>
      <c r="H259" s="540">
        <v>0</v>
      </c>
      <c r="I259" s="540">
        <v>0</v>
      </c>
      <c r="J259" s="540">
        <v>0</v>
      </c>
      <c r="K259" s="540">
        <v>0</v>
      </c>
      <c r="L259" s="540">
        <v>0</v>
      </c>
      <c r="M259" s="540">
        <v>0</v>
      </c>
      <c r="N259" s="540">
        <v>0</v>
      </c>
      <c r="O259" s="540">
        <v>0</v>
      </c>
      <c r="P259" s="540">
        <v>0</v>
      </c>
      <c r="Q259" s="540">
        <v>0</v>
      </c>
      <c r="R259" s="540">
        <v>0</v>
      </c>
      <c r="S259" s="540">
        <v>0</v>
      </c>
      <c r="T259" s="540">
        <v>0</v>
      </c>
      <c r="U259" s="540">
        <v>0</v>
      </c>
      <c r="V259" s="540">
        <v>0</v>
      </c>
      <c r="W259" s="540">
        <v>0</v>
      </c>
      <c r="X259" s="540">
        <v>0</v>
      </c>
      <c r="Y259" s="540">
        <v>0</v>
      </c>
      <c r="Z259" s="540">
        <v>0</v>
      </c>
      <c r="AA259" s="540">
        <v>0</v>
      </c>
      <c r="AB259" s="540">
        <v>0</v>
      </c>
      <c r="AC259" s="540">
        <v>0</v>
      </c>
      <c r="AD259" s="540">
        <v>0</v>
      </c>
      <c r="AE259" s="540">
        <v>0</v>
      </c>
      <c r="AF259" s="540">
        <v>0</v>
      </c>
      <c r="AG259" s="540">
        <v>0</v>
      </c>
      <c r="AH259" s="540">
        <v>0</v>
      </c>
      <c r="AI259" s="540">
        <v>0</v>
      </c>
      <c r="AJ259" s="540">
        <v>0</v>
      </c>
      <c r="AK259" s="540">
        <v>0</v>
      </c>
    </row>
    <row r="260" spans="1:37">
      <c r="A260" s="539" t="s">
        <v>660</v>
      </c>
      <c r="B260" s="539" t="s">
        <v>661</v>
      </c>
      <c r="C260" s="538" t="s">
        <v>854</v>
      </c>
      <c r="D260" s="540">
        <v>4961</v>
      </c>
      <c r="E260" s="540">
        <v>0</v>
      </c>
      <c r="F260" s="540">
        <v>0</v>
      </c>
      <c r="G260" s="540">
        <v>0</v>
      </c>
      <c r="H260" s="540">
        <v>0</v>
      </c>
      <c r="I260" s="540">
        <v>4615</v>
      </c>
      <c r="J260" s="540">
        <v>0</v>
      </c>
      <c r="K260" s="540">
        <v>0</v>
      </c>
      <c r="L260" s="540">
        <v>4</v>
      </c>
      <c r="M260" s="540">
        <v>112</v>
      </c>
      <c r="N260" s="540">
        <v>7</v>
      </c>
      <c r="O260" s="540">
        <v>112</v>
      </c>
      <c r="P260" s="540">
        <v>0</v>
      </c>
      <c r="Q260" s="540">
        <v>0</v>
      </c>
      <c r="R260" s="540">
        <v>0</v>
      </c>
      <c r="S260" s="540">
        <v>0</v>
      </c>
      <c r="T260" s="540">
        <v>0</v>
      </c>
      <c r="U260" s="540">
        <v>0</v>
      </c>
      <c r="V260" s="540">
        <v>7</v>
      </c>
      <c r="W260" s="540">
        <v>76</v>
      </c>
      <c r="X260" s="540">
        <v>0</v>
      </c>
      <c r="Y260" s="540">
        <v>11</v>
      </c>
      <c r="Z260" s="540">
        <v>0</v>
      </c>
      <c r="AA260" s="540">
        <v>0</v>
      </c>
      <c r="AB260" s="540">
        <v>0</v>
      </c>
      <c r="AC260" s="540">
        <v>11</v>
      </c>
      <c r="AD260" s="540">
        <v>7</v>
      </c>
      <c r="AE260" s="540">
        <v>0</v>
      </c>
      <c r="AF260" s="540">
        <v>0</v>
      </c>
      <c r="AG260" s="540">
        <v>0</v>
      </c>
      <c r="AH260" s="540">
        <v>0</v>
      </c>
      <c r="AI260" s="540">
        <v>0</v>
      </c>
      <c r="AJ260" s="540">
        <v>0</v>
      </c>
      <c r="AK260" s="540">
        <v>0</v>
      </c>
    </row>
    <row r="261" spans="1:37">
      <c r="A261" s="539" t="s">
        <v>664</v>
      </c>
      <c r="B261" s="539" t="s">
        <v>661</v>
      </c>
      <c r="C261" s="538" t="s">
        <v>855</v>
      </c>
      <c r="D261" s="540">
        <v>284</v>
      </c>
      <c r="E261" s="540">
        <v>4</v>
      </c>
      <c r="F261" s="540">
        <v>0</v>
      </c>
      <c r="G261" s="540">
        <v>0</v>
      </c>
      <c r="H261" s="540">
        <v>7</v>
      </c>
      <c r="I261" s="540">
        <v>0</v>
      </c>
      <c r="J261" s="540">
        <v>0</v>
      </c>
      <c r="K261" s="540">
        <v>0</v>
      </c>
      <c r="L261" s="540">
        <v>0</v>
      </c>
      <c r="M261" s="540">
        <v>36</v>
      </c>
      <c r="N261" s="540">
        <v>25</v>
      </c>
      <c r="O261" s="540">
        <v>0</v>
      </c>
      <c r="P261" s="540">
        <v>4</v>
      </c>
      <c r="Q261" s="540">
        <v>0</v>
      </c>
      <c r="R261" s="540">
        <v>0</v>
      </c>
      <c r="S261" s="540">
        <v>65</v>
      </c>
      <c r="T261" s="540">
        <v>0</v>
      </c>
      <c r="U261" s="540">
        <v>0</v>
      </c>
      <c r="V261" s="540">
        <v>115</v>
      </c>
      <c r="W261" s="540">
        <v>0</v>
      </c>
      <c r="X261" s="540">
        <v>0</v>
      </c>
      <c r="Y261" s="540">
        <v>0</v>
      </c>
      <c r="Z261" s="540">
        <v>0</v>
      </c>
      <c r="AA261" s="540">
        <v>0</v>
      </c>
      <c r="AB261" s="540">
        <v>0</v>
      </c>
      <c r="AC261" s="540">
        <v>0</v>
      </c>
      <c r="AD261" s="540">
        <v>0</v>
      </c>
      <c r="AE261" s="540">
        <v>29</v>
      </c>
      <c r="AF261" s="540">
        <v>0</v>
      </c>
      <c r="AG261" s="540">
        <v>0</v>
      </c>
      <c r="AH261" s="540">
        <v>68</v>
      </c>
      <c r="AI261" s="540">
        <v>0</v>
      </c>
      <c r="AJ261" s="540">
        <v>0</v>
      </c>
      <c r="AK261" s="540">
        <v>0</v>
      </c>
    </row>
    <row r="262" spans="1:37">
      <c r="A262" s="539" t="s">
        <v>660</v>
      </c>
      <c r="B262" s="539" t="s">
        <v>661</v>
      </c>
      <c r="C262" s="538" t="s">
        <v>856</v>
      </c>
      <c r="D262" s="540">
        <v>1901</v>
      </c>
      <c r="E262" s="540">
        <v>0</v>
      </c>
      <c r="F262" s="540">
        <v>0</v>
      </c>
      <c r="G262" s="540">
        <v>0</v>
      </c>
      <c r="H262" s="540">
        <v>0</v>
      </c>
      <c r="I262" s="540">
        <v>0</v>
      </c>
      <c r="J262" s="540">
        <v>0</v>
      </c>
      <c r="K262" s="540">
        <v>0</v>
      </c>
      <c r="L262" s="540">
        <v>0</v>
      </c>
      <c r="M262" s="540">
        <v>0</v>
      </c>
      <c r="N262" s="540">
        <v>1901</v>
      </c>
      <c r="O262" s="540">
        <v>0</v>
      </c>
      <c r="P262" s="540">
        <v>0</v>
      </c>
      <c r="Q262" s="540">
        <v>0</v>
      </c>
      <c r="R262" s="540">
        <v>0</v>
      </c>
      <c r="S262" s="540">
        <v>0</v>
      </c>
      <c r="T262" s="540">
        <v>0</v>
      </c>
      <c r="U262" s="540">
        <v>0</v>
      </c>
      <c r="V262" s="540">
        <v>0</v>
      </c>
      <c r="W262" s="540">
        <v>0</v>
      </c>
      <c r="X262" s="540">
        <v>0</v>
      </c>
      <c r="Y262" s="540">
        <v>0</v>
      </c>
      <c r="Z262" s="540">
        <v>0</v>
      </c>
      <c r="AA262" s="540">
        <v>0</v>
      </c>
      <c r="AB262" s="540">
        <v>0</v>
      </c>
      <c r="AC262" s="540">
        <v>0</v>
      </c>
      <c r="AD262" s="540">
        <v>0</v>
      </c>
      <c r="AE262" s="540">
        <v>0</v>
      </c>
      <c r="AF262" s="540">
        <v>0</v>
      </c>
      <c r="AG262" s="540">
        <v>0</v>
      </c>
      <c r="AH262" s="540">
        <v>0</v>
      </c>
      <c r="AI262" s="540">
        <v>0</v>
      </c>
      <c r="AJ262" s="540">
        <v>0</v>
      </c>
      <c r="AK262" s="540">
        <v>0</v>
      </c>
    </row>
    <row r="263" spans="1:37">
      <c r="A263" s="539" t="s">
        <v>664</v>
      </c>
      <c r="B263" s="539" t="s">
        <v>661</v>
      </c>
      <c r="C263" s="538" t="s">
        <v>857</v>
      </c>
      <c r="D263" s="540">
        <v>0</v>
      </c>
      <c r="E263" s="540">
        <v>0</v>
      </c>
      <c r="F263" s="540">
        <v>0</v>
      </c>
      <c r="G263" s="540">
        <v>0</v>
      </c>
      <c r="H263" s="540">
        <v>0</v>
      </c>
      <c r="I263" s="540">
        <v>0</v>
      </c>
      <c r="J263" s="540">
        <v>0</v>
      </c>
      <c r="K263" s="540">
        <v>0</v>
      </c>
      <c r="L263" s="540">
        <v>0</v>
      </c>
      <c r="M263" s="540">
        <v>0</v>
      </c>
      <c r="N263" s="540">
        <v>0</v>
      </c>
      <c r="O263" s="540">
        <v>0</v>
      </c>
      <c r="P263" s="540">
        <v>0</v>
      </c>
      <c r="Q263" s="540">
        <v>0</v>
      </c>
      <c r="R263" s="540">
        <v>0</v>
      </c>
      <c r="S263" s="540">
        <v>0</v>
      </c>
      <c r="T263" s="540">
        <v>0</v>
      </c>
      <c r="U263" s="540">
        <v>0</v>
      </c>
      <c r="V263" s="540">
        <v>0</v>
      </c>
      <c r="W263" s="540">
        <v>0</v>
      </c>
      <c r="X263" s="540">
        <v>0</v>
      </c>
      <c r="Y263" s="540">
        <v>0</v>
      </c>
      <c r="Z263" s="540">
        <v>0</v>
      </c>
      <c r="AA263" s="540">
        <v>0</v>
      </c>
      <c r="AB263" s="540">
        <v>0</v>
      </c>
      <c r="AC263" s="540">
        <v>0</v>
      </c>
      <c r="AD263" s="540">
        <v>0</v>
      </c>
      <c r="AE263" s="540">
        <v>0</v>
      </c>
      <c r="AF263" s="540">
        <v>0</v>
      </c>
      <c r="AG263" s="540">
        <v>0</v>
      </c>
      <c r="AH263" s="540">
        <v>0</v>
      </c>
      <c r="AI263" s="540">
        <v>0</v>
      </c>
      <c r="AJ263" s="540">
        <v>0</v>
      </c>
      <c r="AK263" s="540">
        <v>0</v>
      </c>
    </row>
    <row r="264" spans="1:37">
      <c r="A264" s="539" t="s">
        <v>660</v>
      </c>
      <c r="B264" s="539" t="s">
        <v>661</v>
      </c>
      <c r="C264" s="538" t="s">
        <v>858</v>
      </c>
      <c r="D264" s="540">
        <v>241384</v>
      </c>
      <c r="E264" s="540">
        <v>799</v>
      </c>
      <c r="F264" s="540">
        <v>18</v>
      </c>
      <c r="G264" s="540">
        <v>76</v>
      </c>
      <c r="H264" s="540">
        <v>23810</v>
      </c>
      <c r="I264" s="540">
        <v>98024</v>
      </c>
      <c r="J264" s="540">
        <v>191</v>
      </c>
      <c r="K264" s="540">
        <v>4003</v>
      </c>
      <c r="L264" s="540">
        <v>4554</v>
      </c>
      <c r="M264" s="540">
        <v>76007</v>
      </c>
      <c r="N264" s="540">
        <v>3082</v>
      </c>
      <c r="O264" s="540">
        <v>8406</v>
      </c>
      <c r="P264" s="540">
        <v>0</v>
      </c>
      <c r="Q264" s="540">
        <v>169</v>
      </c>
      <c r="R264" s="540">
        <v>7</v>
      </c>
      <c r="S264" s="540">
        <v>187</v>
      </c>
      <c r="T264" s="540">
        <v>36</v>
      </c>
      <c r="U264" s="540">
        <v>0</v>
      </c>
      <c r="V264" s="540">
        <v>6422</v>
      </c>
      <c r="W264" s="540">
        <v>4792</v>
      </c>
      <c r="X264" s="540">
        <v>486</v>
      </c>
      <c r="Y264" s="540">
        <v>6332</v>
      </c>
      <c r="Z264" s="540">
        <v>0</v>
      </c>
      <c r="AA264" s="540">
        <v>0</v>
      </c>
      <c r="AB264" s="540">
        <v>0</v>
      </c>
      <c r="AC264" s="540">
        <v>612</v>
      </c>
      <c r="AD264" s="540">
        <v>3370</v>
      </c>
      <c r="AE264" s="540">
        <v>0</v>
      </c>
      <c r="AF264" s="540">
        <v>0</v>
      </c>
      <c r="AG264" s="540">
        <v>1768</v>
      </c>
      <c r="AH264" s="540">
        <v>29</v>
      </c>
      <c r="AI264" s="540">
        <v>36</v>
      </c>
      <c r="AJ264" s="540">
        <v>0</v>
      </c>
      <c r="AK264" s="540">
        <v>191</v>
      </c>
    </row>
    <row r="265" spans="1:37">
      <c r="A265" s="539" t="s">
        <v>664</v>
      </c>
      <c r="B265" s="539" t="s">
        <v>661</v>
      </c>
      <c r="C265" s="538" t="s">
        <v>859</v>
      </c>
      <c r="D265" s="540">
        <v>11948</v>
      </c>
      <c r="E265" s="540">
        <v>7</v>
      </c>
      <c r="F265" s="540">
        <v>0</v>
      </c>
      <c r="G265" s="540">
        <v>0</v>
      </c>
      <c r="H265" s="540">
        <v>0</v>
      </c>
      <c r="I265" s="540">
        <v>0</v>
      </c>
      <c r="J265" s="540">
        <v>4</v>
      </c>
      <c r="K265" s="540">
        <v>0</v>
      </c>
      <c r="L265" s="540">
        <v>0</v>
      </c>
      <c r="M265" s="540">
        <v>50</v>
      </c>
      <c r="N265" s="540">
        <v>382</v>
      </c>
      <c r="O265" s="540">
        <v>11</v>
      </c>
      <c r="P265" s="540">
        <v>0</v>
      </c>
      <c r="Q265" s="540">
        <v>0</v>
      </c>
      <c r="R265" s="540">
        <v>0</v>
      </c>
      <c r="S265" s="540">
        <v>0</v>
      </c>
      <c r="T265" s="540">
        <v>0</v>
      </c>
      <c r="U265" s="540">
        <v>0</v>
      </c>
      <c r="V265" s="540">
        <v>1019</v>
      </c>
      <c r="W265" s="540">
        <v>0</v>
      </c>
      <c r="X265" s="540">
        <v>0</v>
      </c>
      <c r="Y265" s="540">
        <v>0</v>
      </c>
      <c r="Z265" s="540">
        <v>0</v>
      </c>
      <c r="AA265" s="540">
        <v>0</v>
      </c>
      <c r="AB265" s="540">
        <v>22</v>
      </c>
      <c r="AC265" s="540">
        <v>0</v>
      </c>
      <c r="AD265" s="540">
        <v>0</v>
      </c>
      <c r="AE265" s="540">
        <v>10454</v>
      </c>
      <c r="AF265" s="540">
        <v>0</v>
      </c>
      <c r="AG265" s="540">
        <v>0</v>
      </c>
      <c r="AH265" s="540">
        <v>0</v>
      </c>
      <c r="AI265" s="540">
        <v>0</v>
      </c>
      <c r="AJ265" s="540">
        <v>0</v>
      </c>
      <c r="AK265" s="540">
        <v>22</v>
      </c>
    </row>
    <row r="266" spans="1:37">
      <c r="A266" s="539" t="s">
        <v>660</v>
      </c>
      <c r="B266" s="539" t="s">
        <v>661</v>
      </c>
      <c r="C266" s="538" t="s">
        <v>860</v>
      </c>
      <c r="D266" s="540">
        <v>4012848</v>
      </c>
      <c r="E266" s="540">
        <v>103748</v>
      </c>
      <c r="F266" s="540">
        <v>48031</v>
      </c>
      <c r="G266" s="540">
        <v>110556</v>
      </c>
      <c r="H266" s="540">
        <v>47</v>
      </c>
      <c r="I266" s="540">
        <v>972644</v>
      </c>
      <c r="J266" s="540">
        <v>29063</v>
      </c>
      <c r="K266" s="540">
        <v>79610</v>
      </c>
      <c r="L266" s="540">
        <v>149198</v>
      </c>
      <c r="M266" s="540">
        <v>521604</v>
      </c>
      <c r="N266" s="540">
        <v>117007</v>
      </c>
      <c r="O266" s="540">
        <v>530784</v>
      </c>
      <c r="P266" s="540">
        <v>14767</v>
      </c>
      <c r="Q266" s="540">
        <v>0</v>
      </c>
      <c r="R266" s="540">
        <v>0</v>
      </c>
      <c r="S266" s="540">
        <v>9799</v>
      </c>
      <c r="T266" s="540">
        <v>43391</v>
      </c>
      <c r="U266" s="540">
        <v>7970</v>
      </c>
      <c r="V266" s="540">
        <v>117112</v>
      </c>
      <c r="W266" s="540">
        <v>51113</v>
      </c>
      <c r="X266" s="540">
        <v>0</v>
      </c>
      <c r="Y266" s="540">
        <v>114016</v>
      </c>
      <c r="Z266" s="540">
        <v>52711</v>
      </c>
      <c r="AA266" s="540">
        <v>2254</v>
      </c>
      <c r="AB266" s="540">
        <v>2311</v>
      </c>
      <c r="AC266" s="540">
        <v>15682</v>
      </c>
      <c r="AD266" s="540">
        <v>562</v>
      </c>
      <c r="AE266" s="540">
        <v>918868</v>
      </c>
      <c r="AF266" s="540">
        <v>18</v>
      </c>
      <c r="AG266" s="540">
        <v>338</v>
      </c>
      <c r="AH266" s="540">
        <v>0</v>
      </c>
      <c r="AI266" s="540">
        <v>11992</v>
      </c>
      <c r="AJ266" s="540">
        <v>17903</v>
      </c>
      <c r="AK266" s="540">
        <v>354488</v>
      </c>
    </row>
    <row r="267" spans="1:37">
      <c r="A267" s="539" t="s">
        <v>660</v>
      </c>
      <c r="B267" s="539" t="s">
        <v>668</v>
      </c>
      <c r="C267" s="538" t="s">
        <v>861</v>
      </c>
      <c r="D267" s="540">
        <v>1581973</v>
      </c>
      <c r="E267" s="540">
        <v>21298</v>
      </c>
      <c r="F267" s="540">
        <v>12575</v>
      </c>
      <c r="G267" s="540">
        <v>36983</v>
      </c>
      <c r="H267" s="540">
        <v>89586</v>
      </c>
      <c r="I267" s="540">
        <v>223286</v>
      </c>
      <c r="J267" s="540">
        <v>2995</v>
      </c>
      <c r="K267" s="540">
        <v>0</v>
      </c>
      <c r="L267" s="540">
        <v>22975</v>
      </c>
      <c r="M267" s="540">
        <v>0</v>
      </c>
      <c r="N267" s="540">
        <v>38732</v>
      </c>
      <c r="O267" s="540">
        <v>269863</v>
      </c>
      <c r="P267" s="540">
        <v>0</v>
      </c>
      <c r="Q267" s="540">
        <v>3636</v>
      </c>
      <c r="R267" s="540">
        <v>10339</v>
      </c>
      <c r="S267" s="540">
        <v>396</v>
      </c>
      <c r="T267" s="540">
        <v>27922</v>
      </c>
      <c r="U267" s="540">
        <v>0</v>
      </c>
      <c r="V267" s="540">
        <v>155844</v>
      </c>
      <c r="W267" s="540">
        <v>13165</v>
      </c>
      <c r="X267" s="540">
        <v>476302</v>
      </c>
      <c r="Y267" s="540">
        <v>3326</v>
      </c>
      <c r="Z267" s="540">
        <v>49842</v>
      </c>
      <c r="AA267" s="540">
        <v>14998</v>
      </c>
      <c r="AB267" s="540">
        <v>19328</v>
      </c>
      <c r="AC267" s="540">
        <v>63655</v>
      </c>
      <c r="AD267" s="540">
        <v>24926</v>
      </c>
      <c r="AE267" s="540">
        <v>0</v>
      </c>
      <c r="AF267" s="540">
        <v>0</v>
      </c>
      <c r="AG267" s="540">
        <v>410</v>
      </c>
      <c r="AH267" s="540">
        <v>490</v>
      </c>
      <c r="AI267" s="540">
        <v>6390</v>
      </c>
      <c r="AJ267" s="540">
        <v>0</v>
      </c>
      <c r="AK267" s="540">
        <v>7495</v>
      </c>
    </row>
    <row r="268" spans="1:37">
      <c r="A268" s="539" t="s">
        <v>664</v>
      </c>
      <c r="B268" s="539" t="s">
        <v>661</v>
      </c>
      <c r="C268" s="538" t="s">
        <v>862</v>
      </c>
      <c r="D268" s="540">
        <v>167947</v>
      </c>
      <c r="E268" s="540">
        <v>11</v>
      </c>
      <c r="F268" s="540">
        <v>540</v>
      </c>
      <c r="G268" s="540">
        <v>2311</v>
      </c>
      <c r="H268" s="540">
        <v>7</v>
      </c>
      <c r="I268" s="540">
        <v>58421</v>
      </c>
      <c r="J268" s="540">
        <v>108</v>
      </c>
      <c r="K268" s="540">
        <v>0</v>
      </c>
      <c r="L268" s="540">
        <v>86</v>
      </c>
      <c r="M268" s="540">
        <v>3798</v>
      </c>
      <c r="N268" s="540">
        <v>25380</v>
      </c>
      <c r="O268" s="540">
        <v>3352</v>
      </c>
      <c r="P268" s="540">
        <v>0</v>
      </c>
      <c r="Q268" s="540">
        <v>4</v>
      </c>
      <c r="R268" s="540">
        <v>0</v>
      </c>
      <c r="S268" s="540">
        <v>0</v>
      </c>
      <c r="T268" s="540">
        <v>7</v>
      </c>
      <c r="U268" s="540">
        <v>0</v>
      </c>
      <c r="V268" s="540">
        <v>7340</v>
      </c>
      <c r="W268" s="540">
        <v>11581</v>
      </c>
      <c r="X268" s="540">
        <v>0</v>
      </c>
      <c r="Y268" s="540">
        <v>2347</v>
      </c>
      <c r="Z268" s="540">
        <v>367</v>
      </c>
      <c r="AA268" s="540">
        <v>32</v>
      </c>
      <c r="AB268" s="540">
        <v>4</v>
      </c>
      <c r="AC268" s="540">
        <v>3298</v>
      </c>
      <c r="AD268" s="540">
        <v>828</v>
      </c>
      <c r="AE268" s="540">
        <v>48125</v>
      </c>
      <c r="AF268" s="540">
        <v>4</v>
      </c>
      <c r="AG268" s="540">
        <v>2426</v>
      </c>
      <c r="AH268" s="540">
        <v>756</v>
      </c>
      <c r="AI268" s="540">
        <v>0</v>
      </c>
      <c r="AJ268" s="540">
        <v>0</v>
      </c>
      <c r="AK268" s="540">
        <v>38470</v>
      </c>
    </row>
    <row r="269" spans="1:37">
      <c r="A269" s="539" t="s">
        <v>664</v>
      </c>
      <c r="B269" s="539" t="s">
        <v>668</v>
      </c>
      <c r="C269" s="538" t="s">
        <v>863</v>
      </c>
      <c r="D269" s="540">
        <v>625259</v>
      </c>
      <c r="E269" s="540">
        <v>4550</v>
      </c>
      <c r="F269" s="540">
        <v>4529</v>
      </c>
      <c r="G269" s="540">
        <v>29794</v>
      </c>
      <c r="H269" s="540">
        <v>10346</v>
      </c>
      <c r="I269" s="540">
        <v>85288</v>
      </c>
      <c r="J269" s="540">
        <v>371</v>
      </c>
      <c r="K269" s="540">
        <v>2153</v>
      </c>
      <c r="L269" s="540">
        <v>3751</v>
      </c>
      <c r="M269" s="540">
        <v>116734</v>
      </c>
      <c r="N269" s="540">
        <v>45472</v>
      </c>
      <c r="O269" s="540">
        <v>59314</v>
      </c>
      <c r="P269" s="540">
        <v>101</v>
      </c>
      <c r="Q269" s="540">
        <v>266</v>
      </c>
      <c r="R269" s="540">
        <v>608</v>
      </c>
      <c r="S269" s="540">
        <v>1210</v>
      </c>
      <c r="T269" s="540">
        <v>1346</v>
      </c>
      <c r="U269" s="540">
        <v>0</v>
      </c>
      <c r="V269" s="540">
        <v>43528</v>
      </c>
      <c r="W269" s="540">
        <v>13694</v>
      </c>
      <c r="X269" s="540">
        <v>26698</v>
      </c>
      <c r="Y269" s="540">
        <v>17536</v>
      </c>
      <c r="Z269" s="540">
        <v>7218</v>
      </c>
      <c r="AA269" s="540">
        <v>1181</v>
      </c>
      <c r="AB269" s="540">
        <v>7895</v>
      </c>
      <c r="AC269" s="540">
        <v>30679</v>
      </c>
      <c r="AD269" s="540">
        <v>16456</v>
      </c>
      <c r="AE269" s="540">
        <v>94543</v>
      </c>
      <c r="AF269" s="540">
        <v>0</v>
      </c>
      <c r="AG269" s="540">
        <v>0</v>
      </c>
      <c r="AH269" s="540">
        <v>9677</v>
      </c>
      <c r="AI269" s="540">
        <v>1710</v>
      </c>
      <c r="AJ269" s="540">
        <v>11</v>
      </c>
      <c r="AK269" s="540">
        <v>17363</v>
      </c>
    </row>
    <row r="270" spans="1:37">
      <c r="A270" s="539" t="s">
        <v>664</v>
      </c>
      <c r="B270" s="539" t="s">
        <v>661</v>
      </c>
      <c r="C270" s="538" t="s">
        <v>864</v>
      </c>
      <c r="D270" s="540">
        <v>644</v>
      </c>
      <c r="E270" s="540">
        <v>475</v>
      </c>
      <c r="F270" s="540">
        <v>0</v>
      </c>
      <c r="G270" s="540">
        <v>0</v>
      </c>
      <c r="H270" s="540">
        <v>0</v>
      </c>
      <c r="I270" s="540">
        <v>0</v>
      </c>
      <c r="J270" s="540">
        <v>0</v>
      </c>
      <c r="K270" s="540">
        <v>0</v>
      </c>
      <c r="L270" s="540">
        <v>0</v>
      </c>
      <c r="M270" s="540">
        <v>0</v>
      </c>
      <c r="N270" s="540">
        <v>0</v>
      </c>
      <c r="O270" s="540">
        <v>0</v>
      </c>
      <c r="P270" s="540">
        <v>0</v>
      </c>
      <c r="Q270" s="540">
        <v>0</v>
      </c>
      <c r="R270" s="540">
        <v>0</v>
      </c>
      <c r="S270" s="540">
        <v>0</v>
      </c>
      <c r="T270" s="540">
        <v>0</v>
      </c>
      <c r="U270" s="540">
        <v>0</v>
      </c>
      <c r="V270" s="540">
        <v>0</v>
      </c>
      <c r="W270" s="540">
        <v>11</v>
      </c>
      <c r="X270" s="540">
        <v>0</v>
      </c>
      <c r="Y270" s="540">
        <v>0</v>
      </c>
      <c r="Z270" s="540">
        <v>0</v>
      </c>
      <c r="AA270" s="540">
        <v>0</v>
      </c>
      <c r="AB270" s="540">
        <v>0</v>
      </c>
      <c r="AC270" s="540">
        <v>158</v>
      </c>
      <c r="AD270" s="540">
        <v>0</v>
      </c>
      <c r="AE270" s="540">
        <v>0</v>
      </c>
      <c r="AF270" s="540">
        <v>0</v>
      </c>
      <c r="AG270" s="540">
        <v>346</v>
      </c>
      <c r="AH270" s="540">
        <v>0</v>
      </c>
      <c r="AI270" s="540">
        <v>0</v>
      </c>
      <c r="AJ270" s="540">
        <v>0</v>
      </c>
      <c r="AK270" s="540">
        <v>0</v>
      </c>
    </row>
    <row r="271" spans="1:37">
      <c r="A271" s="539" t="s">
        <v>664</v>
      </c>
      <c r="B271" s="539" t="s">
        <v>668</v>
      </c>
      <c r="C271" s="538" t="s">
        <v>865</v>
      </c>
      <c r="D271" s="540">
        <v>1674</v>
      </c>
      <c r="E271" s="540">
        <v>403</v>
      </c>
      <c r="F271" s="540">
        <v>0</v>
      </c>
      <c r="G271" s="540">
        <v>4</v>
      </c>
      <c r="H271" s="540">
        <v>0</v>
      </c>
      <c r="I271" s="540">
        <v>0</v>
      </c>
      <c r="J271" s="540">
        <v>0</v>
      </c>
      <c r="K271" s="540">
        <v>0</v>
      </c>
      <c r="L271" s="540">
        <v>0</v>
      </c>
      <c r="M271" s="540">
        <v>0</v>
      </c>
      <c r="N271" s="540">
        <v>0</v>
      </c>
      <c r="O271" s="540">
        <v>0</v>
      </c>
      <c r="P271" s="540">
        <v>0</v>
      </c>
      <c r="Q271" s="540">
        <v>0</v>
      </c>
      <c r="R271" s="540">
        <v>706</v>
      </c>
      <c r="S271" s="540">
        <v>0</v>
      </c>
      <c r="T271" s="540">
        <v>0</v>
      </c>
      <c r="U271" s="540">
        <v>0</v>
      </c>
      <c r="V271" s="540">
        <v>0</v>
      </c>
      <c r="W271" s="540">
        <v>0</v>
      </c>
      <c r="X271" s="540">
        <v>0</v>
      </c>
      <c r="Y271" s="540">
        <v>0</v>
      </c>
      <c r="Z271" s="540">
        <v>0</v>
      </c>
      <c r="AA271" s="540">
        <v>0</v>
      </c>
      <c r="AB271" s="540">
        <v>0</v>
      </c>
      <c r="AC271" s="540">
        <v>562</v>
      </c>
      <c r="AD271" s="540">
        <v>0</v>
      </c>
      <c r="AE271" s="540">
        <v>0</v>
      </c>
      <c r="AF271" s="540">
        <v>0</v>
      </c>
      <c r="AG271" s="540">
        <v>0</v>
      </c>
      <c r="AH271" s="540">
        <v>0</v>
      </c>
      <c r="AI271" s="540">
        <v>0</v>
      </c>
      <c r="AJ271" s="540">
        <v>0</v>
      </c>
      <c r="AK271" s="540">
        <v>0</v>
      </c>
    </row>
    <row r="272" spans="1:37">
      <c r="A272" s="539" t="s">
        <v>660</v>
      </c>
      <c r="B272" s="539" t="s">
        <v>661</v>
      </c>
      <c r="C272" s="538" t="s">
        <v>866</v>
      </c>
      <c r="D272" s="540">
        <v>2142</v>
      </c>
      <c r="E272" s="540">
        <v>0</v>
      </c>
      <c r="F272" s="540">
        <v>0</v>
      </c>
      <c r="G272" s="540">
        <v>0</v>
      </c>
      <c r="H272" s="540">
        <v>0</v>
      </c>
      <c r="I272" s="540">
        <v>0</v>
      </c>
      <c r="J272" s="540">
        <v>0</v>
      </c>
      <c r="K272" s="540">
        <v>0</v>
      </c>
      <c r="L272" s="540">
        <v>0</v>
      </c>
      <c r="M272" s="540">
        <v>0</v>
      </c>
      <c r="N272" s="540">
        <v>0</v>
      </c>
      <c r="O272" s="540">
        <v>1966</v>
      </c>
      <c r="P272" s="540">
        <v>0</v>
      </c>
      <c r="Q272" s="540">
        <v>0</v>
      </c>
      <c r="R272" s="540">
        <v>0</v>
      </c>
      <c r="S272" s="540">
        <v>0</v>
      </c>
      <c r="T272" s="540">
        <v>0</v>
      </c>
      <c r="U272" s="540">
        <v>0</v>
      </c>
      <c r="V272" s="540">
        <v>176</v>
      </c>
      <c r="W272" s="540">
        <v>0</v>
      </c>
      <c r="X272" s="540">
        <v>0</v>
      </c>
      <c r="Y272" s="540">
        <v>0</v>
      </c>
      <c r="Z272" s="540">
        <v>0</v>
      </c>
      <c r="AA272" s="540">
        <v>0</v>
      </c>
      <c r="AB272" s="540">
        <v>0</v>
      </c>
      <c r="AC272" s="540">
        <v>0</v>
      </c>
      <c r="AD272" s="540">
        <v>0</v>
      </c>
      <c r="AE272" s="540">
        <v>0</v>
      </c>
      <c r="AF272" s="540">
        <v>0</v>
      </c>
      <c r="AG272" s="540">
        <v>180</v>
      </c>
      <c r="AH272" s="540">
        <v>0</v>
      </c>
      <c r="AI272" s="540">
        <v>0</v>
      </c>
      <c r="AJ272" s="540">
        <v>0</v>
      </c>
      <c r="AK272" s="540">
        <v>0</v>
      </c>
    </row>
    <row r="273" spans="1:37">
      <c r="A273" s="539" t="s">
        <v>660</v>
      </c>
      <c r="B273" s="539" t="s">
        <v>668</v>
      </c>
      <c r="C273" s="538" t="s">
        <v>867</v>
      </c>
      <c r="D273" s="540">
        <v>0</v>
      </c>
      <c r="E273" s="540">
        <v>0</v>
      </c>
      <c r="F273" s="540">
        <v>0</v>
      </c>
      <c r="G273" s="540">
        <v>0</v>
      </c>
      <c r="H273" s="540">
        <v>0</v>
      </c>
      <c r="I273" s="540">
        <v>0</v>
      </c>
      <c r="J273" s="540">
        <v>0</v>
      </c>
      <c r="K273" s="540">
        <v>0</v>
      </c>
      <c r="L273" s="540">
        <v>0</v>
      </c>
      <c r="M273" s="540">
        <v>0</v>
      </c>
      <c r="N273" s="540">
        <v>0</v>
      </c>
      <c r="O273" s="540">
        <v>0</v>
      </c>
      <c r="P273" s="540">
        <v>0</v>
      </c>
      <c r="Q273" s="540">
        <v>0</v>
      </c>
      <c r="R273" s="540">
        <v>0</v>
      </c>
      <c r="S273" s="540">
        <v>0</v>
      </c>
      <c r="T273" s="540">
        <v>0</v>
      </c>
      <c r="U273" s="540">
        <v>0</v>
      </c>
      <c r="V273" s="540">
        <v>0</v>
      </c>
      <c r="W273" s="540">
        <v>0</v>
      </c>
      <c r="X273" s="540">
        <v>0</v>
      </c>
      <c r="Y273" s="540">
        <v>0</v>
      </c>
      <c r="Z273" s="540">
        <v>0</v>
      </c>
      <c r="AA273" s="540">
        <v>0</v>
      </c>
      <c r="AB273" s="540">
        <v>0</v>
      </c>
      <c r="AC273" s="540">
        <v>0</v>
      </c>
      <c r="AD273" s="540">
        <v>0</v>
      </c>
      <c r="AE273" s="540">
        <v>0</v>
      </c>
      <c r="AF273" s="540">
        <v>0</v>
      </c>
      <c r="AG273" s="540">
        <v>0</v>
      </c>
      <c r="AH273" s="540">
        <v>0</v>
      </c>
      <c r="AI273" s="540">
        <v>0</v>
      </c>
      <c r="AJ273" s="540">
        <v>0</v>
      </c>
      <c r="AK273" s="540">
        <v>0</v>
      </c>
    </row>
    <row r="274" spans="1:37">
      <c r="A274" s="539" t="s">
        <v>664</v>
      </c>
      <c r="B274" s="539" t="s">
        <v>661</v>
      </c>
      <c r="C274" s="538" t="s">
        <v>868</v>
      </c>
      <c r="D274" s="540">
        <v>2682</v>
      </c>
      <c r="E274" s="540">
        <v>0</v>
      </c>
      <c r="F274" s="540">
        <v>0</v>
      </c>
      <c r="G274" s="540">
        <v>0</v>
      </c>
      <c r="H274" s="540">
        <v>0</v>
      </c>
      <c r="I274" s="540">
        <v>0</v>
      </c>
      <c r="J274" s="540">
        <v>0</v>
      </c>
      <c r="K274" s="540">
        <v>0</v>
      </c>
      <c r="L274" s="540">
        <v>0</v>
      </c>
      <c r="M274" s="540">
        <v>0</v>
      </c>
      <c r="N274" s="540">
        <v>0</v>
      </c>
      <c r="O274" s="540">
        <v>1915</v>
      </c>
      <c r="P274" s="540">
        <v>0</v>
      </c>
      <c r="Q274" s="540">
        <v>0</v>
      </c>
      <c r="R274" s="540">
        <v>0</v>
      </c>
      <c r="S274" s="540">
        <v>0</v>
      </c>
      <c r="T274" s="540">
        <v>0</v>
      </c>
      <c r="U274" s="540">
        <v>0</v>
      </c>
      <c r="V274" s="540">
        <v>767</v>
      </c>
      <c r="W274" s="540">
        <v>0</v>
      </c>
      <c r="X274" s="540">
        <v>0</v>
      </c>
      <c r="Y274" s="540">
        <v>0</v>
      </c>
      <c r="Z274" s="540">
        <v>0</v>
      </c>
      <c r="AA274" s="540">
        <v>0</v>
      </c>
      <c r="AB274" s="540">
        <v>0</v>
      </c>
      <c r="AC274" s="540">
        <v>0</v>
      </c>
      <c r="AD274" s="540">
        <v>0</v>
      </c>
      <c r="AE274" s="540">
        <v>0</v>
      </c>
      <c r="AF274" s="540">
        <v>0</v>
      </c>
      <c r="AG274" s="540">
        <v>0</v>
      </c>
      <c r="AH274" s="540">
        <v>0</v>
      </c>
      <c r="AI274" s="540">
        <v>0</v>
      </c>
      <c r="AJ274" s="540">
        <v>0</v>
      </c>
      <c r="AK274" s="540">
        <v>0</v>
      </c>
    </row>
    <row r="275" spans="1:37">
      <c r="A275" s="539" t="s">
        <v>664</v>
      </c>
      <c r="B275" s="539" t="s">
        <v>668</v>
      </c>
      <c r="C275" s="538" t="s">
        <v>869</v>
      </c>
      <c r="D275" s="540">
        <v>16268</v>
      </c>
      <c r="E275" s="540">
        <v>0</v>
      </c>
      <c r="F275" s="540">
        <v>0</v>
      </c>
      <c r="G275" s="540">
        <v>0</v>
      </c>
      <c r="H275" s="540">
        <v>0</v>
      </c>
      <c r="I275" s="540">
        <v>0</v>
      </c>
      <c r="J275" s="540">
        <v>0</v>
      </c>
      <c r="K275" s="540">
        <v>0</v>
      </c>
      <c r="L275" s="540">
        <v>0</v>
      </c>
      <c r="M275" s="540">
        <v>16196</v>
      </c>
      <c r="N275" s="540">
        <v>0</v>
      </c>
      <c r="O275" s="540">
        <v>0</v>
      </c>
      <c r="P275" s="540">
        <v>0</v>
      </c>
      <c r="Q275" s="540">
        <v>0</v>
      </c>
      <c r="R275" s="540">
        <v>0</v>
      </c>
      <c r="S275" s="540">
        <v>0</v>
      </c>
      <c r="T275" s="540">
        <v>0</v>
      </c>
      <c r="U275" s="540">
        <v>0</v>
      </c>
      <c r="V275" s="540">
        <v>0</v>
      </c>
      <c r="W275" s="540">
        <v>0</v>
      </c>
      <c r="X275" s="540">
        <v>0</v>
      </c>
      <c r="Y275" s="540">
        <v>0</v>
      </c>
      <c r="Z275" s="540">
        <v>0</v>
      </c>
      <c r="AA275" s="540">
        <v>0</v>
      </c>
      <c r="AB275" s="540">
        <v>72</v>
      </c>
      <c r="AC275" s="540">
        <v>0</v>
      </c>
      <c r="AD275" s="540">
        <v>0</v>
      </c>
      <c r="AE275" s="540">
        <v>0</v>
      </c>
      <c r="AF275" s="540">
        <v>0</v>
      </c>
      <c r="AG275" s="540">
        <v>0</v>
      </c>
      <c r="AH275" s="540">
        <v>0</v>
      </c>
      <c r="AI275" s="540">
        <v>0</v>
      </c>
      <c r="AJ275" s="540">
        <v>0</v>
      </c>
      <c r="AK275" s="540">
        <v>0</v>
      </c>
    </row>
    <row r="276" spans="1:37">
      <c r="A276" s="539" t="s">
        <v>695</v>
      </c>
      <c r="B276" s="539" t="s">
        <v>695</v>
      </c>
      <c r="C276" s="538" t="s">
        <v>870</v>
      </c>
      <c r="D276" s="540">
        <v>11305469</v>
      </c>
      <c r="E276" s="540">
        <v>300226</v>
      </c>
      <c r="F276" s="540">
        <v>145012</v>
      </c>
      <c r="G276" s="540">
        <v>274291</v>
      </c>
      <c r="H276" s="540">
        <v>123887</v>
      </c>
      <c r="I276" s="540">
        <v>2093612</v>
      </c>
      <c r="J276" s="540">
        <v>32810</v>
      </c>
      <c r="K276" s="540">
        <v>89248</v>
      </c>
      <c r="L276" s="540">
        <v>200664</v>
      </c>
      <c r="M276" s="540">
        <v>1015675</v>
      </c>
      <c r="N276" s="540">
        <v>1981116</v>
      </c>
      <c r="O276" s="540">
        <v>1046286</v>
      </c>
      <c r="P276" s="540">
        <v>14872</v>
      </c>
      <c r="Q276" s="540">
        <v>15901</v>
      </c>
      <c r="R276" s="540">
        <v>48902</v>
      </c>
      <c r="S276" s="540">
        <v>14782</v>
      </c>
      <c r="T276" s="540">
        <v>119588</v>
      </c>
      <c r="U276" s="540">
        <v>7970</v>
      </c>
      <c r="V276" s="540">
        <v>346216</v>
      </c>
      <c r="W276" s="540">
        <v>228769</v>
      </c>
      <c r="X276" s="540">
        <v>516964</v>
      </c>
      <c r="Y276" s="540">
        <v>161942</v>
      </c>
      <c r="Z276" s="540">
        <v>199814</v>
      </c>
      <c r="AA276" s="540">
        <v>50936</v>
      </c>
      <c r="AB276" s="540">
        <v>105448</v>
      </c>
      <c r="AC276" s="540">
        <v>244195</v>
      </c>
      <c r="AD276" s="540">
        <v>556603</v>
      </c>
      <c r="AE276" s="540">
        <v>1369739</v>
      </c>
      <c r="AF276" s="540">
        <v>30647</v>
      </c>
      <c r="AG276" s="540">
        <v>494546</v>
      </c>
      <c r="AH276" s="540">
        <v>208224</v>
      </c>
      <c r="AI276" s="540">
        <v>43182</v>
      </c>
      <c r="AJ276" s="540">
        <v>23267</v>
      </c>
      <c r="AK276" s="540">
        <v>559688</v>
      </c>
    </row>
    <row r="277" spans="1:37">
      <c r="A277" s="539" t="s">
        <v>695</v>
      </c>
      <c r="B277" s="539" t="s">
        <v>695</v>
      </c>
      <c r="C277" s="538" t="s">
        <v>871</v>
      </c>
      <c r="D277" s="540">
        <v>10428887</v>
      </c>
      <c r="E277" s="540">
        <v>306695</v>
      </c>
      <c r="F277" s="540">
        <v>142668</v>
      </c>
      <c r="G277" s="540">
        <v>286308</v>
      </c>
      <c r="H277" s="540">
        <v>106585</v>
      </c>
      <c r="I277" s="540">
        <v>2035246</v>
      </c>
      <c r="J277" s="540">
        <v>36464</v>
      </c>
      <c r="K277" s="540">
        <v>85979</v>
      </c>
      <c r="L277" s="540">
        <v>191315</v>
      </c>
      <c r="M277" s="540">
        <v>899406</v>
      </c>
      <c r="N277" s="540">
        <v>1865682</v>
      </c>
      <c r="O277" s="540">
        <v>930229</v>
      </c>
      <c r="P277" s="540">
        <v>15754</v>
      </c>
      <c r="Q277" s="540">
        <v>5519</v>
      </c>
      <c r="R277" s="540">
        <v>50263</v>
      </c>
      <c r="S277" s="540">
        <v>11459</v>
      </c>
      <c r="T277" s="540">
        <v>127958</v>
      </c>
      <c r="U277" s="540">
        <v>8064</v>
      </c>
      <c r="V277" s="540">
        <v>352908</v>
      </c>
      <c r="W277" s="540">
        <v>93733</v>
      </c>
      <c r="X277" s="540">
        <v>550883</v>
      </c>
      <c r="Y277" s="540">
        <v>142852</v>
      </c>
      <c r="Z277" s="540">
        <v>141142</v>
      </c>
      <c r="AA277" s="540">
        <v>41962</v>
      </c>
      <c r="AB277" s="540">
        <v>96149</v>
      </c>
      <c r="AC277" s="540">
        <v>203692</v>
      </c>
      <c r="AD277" s="540">
        <v>304646</v>
      </c>
      <c r="AE277" s="540">
        <v>1395328</v>
      </c>
      <c r="AF277" s="540">
        <v>6001</v>
      </c>
      <c r="AG277" s="540">
        <v>3809</v>
      </c>
      <c r="AH277" s="540">
        <v>95522</v>
      </c>
      <c r="AI277" s="540">
        <v>21640</v>
      </c>
      <c r="AJ277" s="540">
        <v>19631</v>
      </c>
      <c r="AK277" s="540">
        <v>440410</v>
      </c>
    </row>
    <row r="278" spans="1:37">
      <c r="A278" s="539" t="s">
        <v>695</v>
      </c>
      <c r="B278" s="539" t="s">
        <v>695</v>
      </c>
      <c r="C278" s="538" t="s">
        <v>841</v>
      </c>
      <c r="D278" s="540">
        <v>6837170</v>
      </c>
      <c r="E278" s="540">
        <v>135353</v>
      </c>
      <c r="F278" s="540">
        <v>75517</v>
      </c>
      <c r="G278" s="540">
        <v>197287</v>
      </c>
      <c r="H278" s="540">
        <v>106585</v>
      </c>
      <c r="I278" s="540">
        <v>1448248</v>
      </c>
      <c r="J278" s="540">
        <v>36464</v>
      </c>
      <c r="K278" s="540">
        <v>85979</v>
      </c>
      <c r="L278" s="540">
        <v>191315</v>
      </c>
      <c r="M278" s="540">
        <v>692266</v>
      </c>
      <c r="N278" s="540">
        <v>240178</v>
      </c>
      <c r="O278" s="540">
        <v>930229</v>
      </c>
      <c r="P278" s="540">
        <v>15754</v>
      </c>
      <c r="Q278" s="540">
        <v>5519</v>
      </c>
      <c r="R278" s="540">
        <v>13050</v>
      </c>
      <c r="S278" s="540">
        <v>11459</v>
      </c>
      <c r="T278" s="540">
        <v>78156</v>
      </c>
      <c r="U278" s="540">
        <v>8064</v>
      </c>
      <c r="V278" s="540">
        <v>338519</v>
      </c>
      <c r="W278" s="540">
        <v>93733</v>
      </c>
      <c r="X278" s="540">
        <v>550883</v>
      </c>
      <c r="Y278" s="540">
        <v>142852</v>
      </c>
      <c r="Z278" s="540">
        <v>121144</v>
      </c>
      <c r="AA278" s="540">
        <v>20779</v>
      </c>
      <c r="AB278" s="540">
        <v>32332</v>
      </c>
      <c r="AC278" s="540">
        <v>119916</v>
      </c>
      <c r="AD278" s="540">
        <v>44089</v>
      </c>
      <c r="AE278" s="540">
        <v>1101503</v>
      </c>
      <c r="AF278" s="540">
        <v>6001</v>
      </c>
      <c r="AG278" s="540">
        <v>3809</v>
      </c>
      <c r="AH278" s="540">
        <v>11495</v>
      </c>
      <c r="AI278" s="540">
        <v>21640</v>
      </c>
      <c r="AJ278" s="540">
        <v>19631</v>
      </c>
      <c r="AK278" s="540">
        <v>440410</v>
      </c>
    </row>
    <row r="279" spans="1:37">
      <c r="A279" s="539" t="s">
        <v>695</v>
      </c>
      <c r="B279" s="539" t="s">
        <v>695</v>
      </c>
      <c r="C279" s="538" t="s">
        <v>655</v>
      </c>
      <c r="D279" s="540">
        <v>5973386</v>
      </c>
      <c r="E279" s="540">
        <v>129312</v>
      </c>
      <c r="F279" s="540">
        <v>69566</v>
      </c>
      <c r="G279" s="540">
        <v>162835</v>
      </c>
      <c r="H279" s="540">
        <v>96232</v>
      </c>
      <c r="I279" s="540">
        <v>1289376</v>
      </c>
      <c r="J279" s="540">
        <v>35932</v>
      </c>
      <c r="K279" s="540">
        <v>83711</v>
      </c>
      <c r="L279" s="540">
        <v>187405</v>
      </c>
      <c r="M279" s="540">
        <v>548888</v>
      </c>
      <c r="N279" s="540">
        <v>165078</v>
      </c>
      <c r="O279" s="540">
        <v>861872</v>
      </c>
      <c r="P279" s="540">
        <v>15653</v>
      </c>
      <c r="Q279" s="540">
        <v>5234</v>
      </c>
      <c r="R279" s="540">
        <v>11707</v>
      </c>
      <c r="S279" s="540">
        <v>10249</v>
      </c>
      <c r="T279" s="540">
        <v>76676</v>
      </c>
      <c r="U279" s="540">
        <v>8064</v>
      </c>
      <c r="V279" s="540">
        <v>284332</v>
      </c>
      <c r="W279" s="540">
        <v>68249</v>
      </c>
      <c r="X279" s="540">
        <v>521636</v>
      </c>
      <c r="Y279" s="540">
        <v>122969</v>
      </c>
      <c r="Z279" s="540">
        <v>112806</v>
      </c>
      <c r="AA279" s="540">
        <v>19469</v>
      </c>
      <c r="AB279" s="540">
        <v>23886</v>
      </c>
      <c r="AC279" s="540">
        <v>83448</v>
      </c>
      <c r="AD279" s="540">
        <v>26266</v>
      </c>
      <c r="AE279" s="540">
        <v>952535</v>
      </c>
      <c r="AF279" s="540">
        <v>5998</v>
      </c>
      <c r="AG279" s="540">
        <v>965</v>
      </c>
      <c r="AH279" s="540">
        <v>515</v>
      </c>
      <c r="AI279" s="540">
        <v>19818</v>
      </c>
      <c r="AJ279" s="540">
        <v>19609</v>
      </c>
      <c r="AK279" s="540">
        <v>381920</v>
      </c>
    </row>
    <row r="280" spans="1:37">
      <c r="A280" s="539" t="s">
        <v>695</v>
      </c>
      <c r="B280" s="539" t="s">
        <v>695</v>
      </c>
      <c r="C280" s="538" t="s">
        <v>656</v>
      </c>
      <c r="D280" s="540">
        <v>863784</v>
      </c>
      <c r="E280" s="540">
        <v>6041</v>
      </c>
      <c r="F280" s="540">
        <v>5951</v>
      </c>
      <c r="G280" s="540">
        <v>34452</v>
      </c>
      <c r="H280" s="540">
        <v>10354</v>
      </c>
      <c r="I280" s="540">
        <v>158872</v>
      </c>
      <c r="J280" s="540">
        <v>533</v>
      </c>
      <c r="K280" s="540">
        <v>2268</v>
      </c>
      <c r="L280" s="540">
        <v>3910</v>
      </c>
      <c r="M280" s="540">
        <v>143377</v>
      </c>
      <c r="N280" s="540">
        <v>75100</v>
      </c>
      <c r="O280" s="540">
        <v>68357</v>
      </c>
      <c r="P280" s="540">
        <v>101</v>
      </c>
      <c r="Q280" s="540">
        <v>284</v>
      </c>
      <c r="R280" s="540">
        <v>1343</v>
      </c>
      <c r="S280" s="540">
        <v>1210</v>
      </c>
      <c r="T280" s="540">
        <v>1480</v>
      </c>
      <c r="U280" s="540">
        <v>0</v>
      </c>
      <c r="V280" s="540">
        <v>54187</v>
      </c>
      <c r="W280" s="540">
        <v>25484</v>
      </c>
      <c r="X280" s="540">
        <v>29246</v>
      </c>
      <c r="Y280" s="540">
        <v>19883</v>
      </c>
      <c r="Z280" s="540">
        <v>8338</v>
      </c>
      <c r="AA280" s="540">
        <v>1310</v>
      </c>
      <c r="AB280" s="540">
        <v>8446</v>
      </c>
      <c r="AC280" s="540">
        <v>36468</v>
      </c>
      <c r="AD280" s="540">
        <v>17824</v>
      </c>
      <c r="AE280" s="540">
        <v>148968</v>
      </c>
      <c r="AF280" s="540">
        <v>4</v>
      </c>
      <c r="AG280" s="540">
        <v>2844</v>
      </c>
      <c r="AH280" s="540">
        <v>10980</v>
      </c>
      <c r="AI280" s="540">
        <v>1822</v>
      </c>
      <c r="AJ280" s="540">
        <v>22</v>
      </c>
      <c r="AK280" s="540">
        <v>58489</v>
      </c>
    </row>
    <row r="281" spans="1:37">
      <c r="A281" s="539" t="s">
        <v>695</v>
      </c>
      <c r="B281" s="539" t="s">
        <v>695</v>
      </c>
      <c r="C281" s="538" t="s">
        <v>872</v>
      </c>
      <c r="D281" s="540">
        <v>3591716</v>
      </c>
      <c r="E281" s="540">
        <v>171342</v>
      </c>
      <c r="F281" s="540">
        <v>67151</v>
      </c>
      <c r="G281" s="540">
        <v>89021</v>
      </c>
      <c r="H281" s="540">
        <v>0</v>
      </c>
      <c r="I281" s="540">
        <v>586998</v>
      </c>
      <c r="J281" s="540">
        <v>0</v>
      </c>
      <c r="K281" s="540">
        <v>0</v>
      </c>
      <c r="L281" s="540">
        <v>0</v>
      </c>
      <c r="M281" s="540">
        <v>207140</v>
      </c>
      <c r="N281" s="540">
        <v>1625504</v>
      </c>
      <c r="O281" s="540">
        <v>0</v>
      </c>
      <c r="P281" s="540">
        <v>0</v>
      </c>
      <c r="Q281" s="540">
        <v>0</v>
      </c>
      <c r="R281" s="540">
        <v>37213</v>
      </c>
      <c r="S281" s="540">
        <v>0</v>
      </c>
      <c r="T281" s="540">
        <v>49802</v>
      </c>
      <c r="U281" s="540">
        <v>0</v>
      </c>
      <c r="V281" s="540">
        <v>14389</v>
      </c>
      <c r="W281" s="540">
        <v>0</v>
      </c>
      <c r="X281" s="540">
        <v>0</v>
      </c>
      <c r="Y281" s="540">
        <v>0</v>
      </c>
      <c r="Z281" s="540">
        <v>19998</v>
      </c>
      <c r="AA281" s="540">
        <v>21182</v>
      </c>
      <c r="AB281" s="540">
        <v>63817</v>
      </c>
      <c r="AC281" s="540">
        <v>83776</v>
      </c>
      <c r="AD281" s="540">
        <v>260557</v>
      </c>
      <c r="AE281" s="540">
        <v>293825</v>
      </c>
      <c r="AF281" s="540">
        <v>0</v>
      </c>
      <c r="AG281" s="540">
        <v>0</v>
      </c>
      <c r="AH281" s="540">
        <v>84028</v>
      </c>
      <c r="AI281" s="540">
        <v>0</v>
      </c>
      <c r="AJ281" s="540">
        <v>0</v>
      </c>
      <c r="AK281" s="540">
        <v>0</v>
      </c>
    </row>
    <row r="283" spans="1:37">
      <c r="C283" s="529" t="s">
        <v>589</v>
      </c>
    </row>
    <row r="284" spans="1:37">
      <c r="C284" s="529" t="s">
        <v>36</v>
      </c>
      <c r="D284" s="529" t="s">
        <v>590</v>
      </c>
    </row>
  </sheetData>
  <autoFilter ref="A32:AL211">
    <filterColumn colId="0">
      <filters>
        <filter val="A"/>
        <filter val="G"/>
      </filters>
    </filterColumn>
  </autoFilter>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F0"/>
  </sheetPr>
  <dimension ref="A1:AT102"/>
  <sheetViews>
    <sheetView topLeftCell="A7" zoomScale="115" zoomScaleNormal="115" workbookViewId="0">
      <pane xSplit="2" ySplit="6" topLeftCell="U13" activePane="bottomRight" state="frozen"/>
      <selection activeCell="D71" sqref="D71"/>
      <selection pane="topRight" activeCell="D71" sqref="D71"/>
      <selection pane="bottomLeft" activeCell="D71" sqref="D71"/>
      <selection pane="bottomRight" activeCell="AD68" sqref="AD68"/>
    </sheetView>
  </sheetViews>
  <sheetFormatPr defaultColWidth="9.140625" defaultRowHeight="14.25"/>
  <cols>
    <col min="1" max="1" width="4.85546875" style="530" customWidth="1"/>
    <col min="2" max="2" width="52.28515625" style="530" customWidth="1"/>
    <col min="3" max="3" width="15" style="530" customWidth="1"/>
    <col min="4" max="4" width="22.28515625" style="543" customWidth="1"/>
    <col min="5" max="5" width="27.5703125" style="543" customWidth="1"/>
    <col min="6" max="46" width="10.28515625" style="543" customWidth="1"/>
    <col min="47" max="16384" width="9.140625" style="530"/>
  </cols>
  <sheetData>
    <row r="1" spans="1:39">
      <c r="B1" s="529" t="s">
        <v>908</v>
      </c>
      <c r="C1" s="529"/>
      <c r="D1" s="530"/>
      <c r="E1" s="530"/>
      <c r="F1" s="530"/>
      <c r="G1" s="530"/>
      <c r="H1" s="530"/>
      <c r="I1" s="530"/>
      <c r="J1" s="530"/>
      <c r="K1" s="530"/>
      <c r="L1" s="530"/>
      <c r="M1" s="530"/>
      <c r="N1" s="530"/>
      <c r="O1" s="530"/>
      <c r="P1" s="530"/>
      <c r="Q1" s="530"/>
      <c r="R1" s="530"/>
      <c r="S1" s="530"/>
      <c r="T1" s="530"/>
      <c r="U1" s="530"/>
      <c r="V1" s="530"/>
      <c r="W1" s="530"/>
      <c r="X1" s="530"/>
      <c r="Y1" s="530"/>
      <c r="Z1" s="530"/>
      <c r="AA1" s="530"/>
      <c r="AB1" s="530"/>
      <c r="AC1" s="530"/>
      <c r="AD1" s="530"/>
      <c r="AE1" s="530"/>
      <c r="AF1" s="530"/>
      <c r="AG1" s="530"/>
      <c r="AH1" s="530"/>
      <c r="AI1" s="530"/>
      <c r="AJ1" s="530"/>
      <c r="AK1" s="530"/>
      <c r="AL1" s="530"/>
      <c r="AM1" s="530"/>
    </row>
    <row r="3" spans="1:39">
      <c r="B3" s="529" t="s">
        <v>269</v>
      </c>
      <c r="C3" s="529"/>
      <c r="D3" s="531">
        <v>41353.594131944446</v>
      </c>
      <c r="E3" s="531"/>
      <c r="F3" s="530"/>
      <c r="G3" s="530"/>
      <c r="H3" s="530"/>
      <c r="I3" s="530"/>
      <c r="J3" s="530"/>
      <c r="K3" s="530"/>
      <c r="L3" s="530"/>
      <c r="M3" s="530"/>
      <c r="N3" s="530"/>
      <c r="O3" s="530"/>
      <c r="P3" s="530"/>
      <c r="Q3" s="530"/>
      <c r="R3" s="530"/>
      <c r="S3" s="530"/>
      <c r="T3" s="530"/>
      <c r="U3" s="530"/>
      <c r="V3" s="530"/>
      <c r="W3" s="530"/>
      <c r="X3" s="530"/>
      <c r="Y3" s="530"/>
      <c r="Z3" s="530"/>
      <c r="AA3" s="530"/>
      <c r="AB3" s="530"/>
      <c r="AC3" s="530"/>
      <c r="AD3" s="530"/>
      <c r="AE3" s="530"/>
      <c r="AF3" s="530"/>
      <c r="AG3" s="530"/>
      <c r="AH3" s="530"/>
      <c r="AI3" s="530"/>
      <c r="AJ3" s="530"/>
      <c r="AK3" s="530"/>
      <c r="AL3" s="530"/>
      <c r="AM3" s="530"/>
    </row>
    <row r="4" spans="1:39">
      <c r="B4" s="529" t="s">
        <v>271</v>
      </c>
      <c r="C4" s="529"/>
      <c r="D4" s="531">
        <v>41389.494228124997</v>
      </c>
      <c r="E4" s="531"/>
      <c r="F4" s="530"/>
      <c r="G4" s="530"/>
      <c r="H4" s="530"/>
      <c r="I4" s="530"/>
      <c r="J4" s="530"/>
      <c r="K4" s="530"/>
      <c r="L4" s="530"/>
      <c r="M4" s="530"/>
      <c r="N4" s="530"/>
      <c r="O4" s="530"/>
      <c r="P4" s="530"/>
      <c r="Q4" s="530"/>
      <c r="R4" s="530"/>
      <c r="S4" s="530"/>
      <c r="T4" s="530"/>
      <c r="U4" s="530"/>
      <c r="V4" s="530"/>
      <c r="W4" s="530"/>
      <c r="X4" s="530"/>
      <c r="Y4" s="530"/>
      <c r="Z4" s="530"/>
      <c r="AA4" s="530"/>
      <c r="AB4" s="530"/>
      <c r="AC4" s="530"/>
      <c r="AD4" s="530"/>
      <c r="AE4" s="530"/>
      <c r="AF4" s="530"/>
      <c r="AG4" s="530"/>
      <c r="AH4" s="530"/>
      <c r="AI4" s="530"/>
      <c r="AJ4" s="530"/>
      <c r="AK4" s="530"/>
      <c r="AL4" s="530"/>
      <c r="AM4" s="530"/>
    </row>
    <row r="5" spans="1:39">
      <c r="B5" s="529" t="s">
        <v>273</v>
      </c>
      <c r="C5" s="529"/>
      <c r="D5" s="529" t="s">
        <v>67</v>
      </c>
      <c r="E5" s="529"/>
      <c r="F5" s="530"/>
      <c r="G5" s="530"/>
      <c r="H5" s="530"/>
      <c r="I5" s="530"/>
      <c r="J5" s="530"/>
      <c r="K5" s="530"/>
      <c r="L5" s="530"/>
      <c r="M5" s="530"/>
      <c r="N5" s="530"/>
      <c r="O5" s="530"/>
      <c r="P5" s="530"/>
      <c r="Q5" s="530"/>
      <c r="R5" s="530"/>
      <c r="S5" s="530"/>
      <c r="T5" s="530"/>
      <c r="U5" s="530"/>
      <c r="V5" s="530"/>
      <c r="W5" s="530"/>
      <c r="X5" s="530"/>
      <c r="Y5" s="530"/>
      <c r="Z5" s="530"/>
      <c r="AA5" s="530"/>
      <c r="AB5" s="530"/>
      <c r="AC5" s="530"/>
      <c r="AD5" s="530"/>
      <c r="AE5" s="530"/>
      <c r="AF5" s="530"/>
      <c r="AG5" s="530"/>
      <c r="AH5" s="530"/>
      <c r="AI5" s="530"/>
      <c r="AJ5" s="530"/>
      <c r="AK5" s="530"/>
      <c r="AL5" s="530"/>
      <c r="AM5" s="530"/>
    </row>
    <row r="7" spans="1:39">
      <c r="B7" s="529" t="s">
        <v>340</v>
      </c>
      <c r="C7" s="529"/>
      <c r="D7" s="529" t="s">
        <v>909</v>
      </c>
      <c r="E7" s="529"/>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0"/>
      <c r="AK7" s="530"/>
      <c r="AL7" s="530"/>
      <c r="AM7" s="530"/>
    </row>
    <row r="8" spans="1:39">
      <c r="B8" s="529" t="s">
        <v>341</v>
      </c>
      <c r="C8" s="529"/>
      <c r="D8" s="529" t="s">
        <v>910</v>
      </c>
      <c r="E8" s="529"/>
      <c r="F8" s="530"/>
      <c r="G8" s="530"/>
      <c r="H8" s="530"/>
      <c r="I8" s="530"/>
      <c r="J8" s="530"/>
      <c r="K8" s="530"/>
      <c r="L8" s="530"/>
      <c r="M8" s="530"/>
      <c r="N8" s="530"/>
      <c r="O8" s="530"/>
      <c r="P8" s="530"/>
      <c r="Q8" s="530"/>
      <c r="R8" s="530"/>
      <c r="S8" s="530"/>
      <c r="T8" s="530"/>
      <c r="U8" s="530"/>
      <c r="V8" s="530"/>
      <c r="W8" s="530"/>
      <c r="X8" s="530"/>
      <c r="Y8" s="530"/>
      <c r="Z8" s="530"/>
      <c r="AA8" s="530"/>
      <c r="AB8" s="530"/>
      <c r="AC8" s="530"/>
      <c r="AD8" s="530"/>
      <c r="AE8" s="530"/>
      <c r="AF8" s="530"/>
      <c r="AG8" s="530"/>
      <c r="AH8" s="530"/>
      <c r="AI8" s="530"/>
      <c r="AJ8" s="530"/>
      <c r="AK8" s="530"/>
      <c r="AL8" s="530"/>
      <c r="AM8" s="530"/>
    </row>
    <row r="9" spans="1:39">
      <c r="B9" s="529" t="s">
        <v>578</v>
      </c>
      <c r="C9" s="529"/>
      <c r="D9" s="529" t="s">
        <v>298</v>
      </c>
      <c r="E9" s="529"/>
      <c r="F9" s="530"/>
      <c r="G9" s="530"/>
      <c r="H9" s="530"/>
      <c r="I9" s="530"/>
      <c r="J9" s="530"/>
      <c r="K9" s="530"/>
      <c r="L9" s="530"/>
      <c r="M9" s="530"/>
      <c r="N9" s="530"/>
      <c r="O9" s="530"/>
      <c r="P9" s="530"/>
      <c r="Q9" s="530"/>
      <c r="R9" s="530"/>
      <c r="S9" s="530"/>
      <c r="T9" s="530"/>
      <c r="U9" s="530"/>
      <c r="V9" s="530"/>
      <c r="W9" s="530"/>
      <c r="X9" s="530"/>
      <c r="Y9" s="530"/>
      <c r="Z9" s="530"/>
      <c r="AA9" s="530"/>
      <c r="AB9" s="530"/>
      <c r="AC9" s="530"/>
      <c r="AD9" s="530"/>
      <c r="AE9" s="530"/>
      <c r="AF9" s="530"/>
      <c r="AG9" s="530"/>
      <c r="AH9" s="530"/>
      <c r="AI9" s="530"/>
      <c r="AJ9" s="530"/>
      <c r="AK9" s="530"/>
      <c r="AL9" s="530"/>
      <c r="AM9" s="530"/>
    </row>
    <row r="10" spans="1:39">
      <c r="C10" s="530" t="s">
        <v>911</v>
      </c>
      <c r="E10" s="543" t="s">
        <v>912</v>
      </c>
      <c r="F10" s="543">
        <v>1</v>
      </c>
      <c r="G10" s="543">
        <v>2</v>
      </c>
      <c r="H10" s="543">
        <v>3</v>
      </c>
      <c r="I10" s="543">
        <v>4</v>
      </c>
      <c r="J10" s="543">
        <v>5</v>
      </c>
      <c r="K10" s="543">
        <v>6</v>
      </c>
      <c r="L10" s="543">
        <v>7</v>
      </c>
      <c r="M10" s="543">
        <v>8</v>
      </c>
      <c r="N10" s="543">
        <v>9</v>
      </c>
      <c r="O10" s="543">
        <v>10</v>
      </c>
      <c r="P10" s="543">
        <v>11</v>
      </c>
      <c r="Q10" s="543">
        <v>12</v>
      </c>
      <c r="R10" s="543">
        <v>13</v>
      </c>
      <c r="S10" s="543">
        <v>14</v>
      </c>
      <c r="T10" s="543">
        <v>15</v>
      </c>
      <c r="U10" s="543">
        <v>16</v>
      </c>
      <c r="V10" s="543">
        <v>17</v>
      </c>
      <c r="W10" s="543">
        <v>18</v>
      </c>
      <c r="X10" s="543">
        <v>19</v>
      </c>
      <c r="Y10" s="543">
        <v>20</v>
      </c>
      <c r="Z10" s="543">
        <v>21</v>
      </c>
      <c r="AA10" s="543">
        <v>22</v>
      </c>
      <c r="AB10" s="543">
        <v>23</v>
      </c>
      <c r="AC10" s="543">
        <v>24</v>
      </c>
      <c r="AD10" s="543">
        <v>25</v>
      </c>
      <c r="AE10" s="543">
        <v>26</v>
      </c>
      <c r="AF10" s="543">
        <v>27</v>
      </c>
    </row>
    <row r="11" spans="1:39">
      <c r="B11" s="532" t="s">
        <v>579</v>
      </c>
      <c r="C11" s="532"/>
      <c r="D11" s="532" t="s">
        <v>580</v>
      </c>
      <c r="E11" s="532" t="s">
        <v>580</v>
      </c>
      <c r="F11" s="532" t="s">
        <v>180</v>
      </c>
      <c r="G11" s="532" t="s">
        <v>181</v>
      </c>
      <c r="H11" s="532" t="s">
        <v>215</v>
      </c>
      <c r="I11" s="532" t="s">
        <v>182</v>
      </c>
      <c r="J11" s="532" t="s">
        <v>581</v>
      </c>
      <c r="K11" s="532" t="s">
        <v>217</v>
      </c>
      <c r="L11" s="532" t="s">
        <v>218</v>
      </c>
      <c r="M11" s="532" t="s">
        <v>183</v>
      </c>
      <c r="N11" s="532" t="s">
        <v>184</v>
      </c>
      <c r="O11" s="532" t="s">
        <v>185</v>
      </c>
      <c r="P11" s="532" t="s">
        <v>186</v>
      </c>
      <c r="Q11" s="532" t="s">
        <v>187</v>
      </c>
      <c r="R11" s="532" t="s">
        <v>219</v>
      </c>
      <c r="S11" s="532" t="s">
        <v>188</v>
      </c>
      <c r="T11" s="532" t="s">
        <v>474</v>
      </c>
      <c r="U11" s="532" t="s">
        <v>189</v>
      </c>
      <c r="V11" s="532" t="s">
        <v>190</v>
      </c>
      <c r="W11" s="532" t="s">
        <v>191</v>
      </c>
      <c r="X11" s="532" t="s">
        <v>192</v>
      </c>
      <c r="Y11" s="532" t="s">
        <v>193</v>
      </c>
      <c r="Z11" s="532" t="s">
        <v>194</v>
      </c>
      <c r="AA11" s="532" t="s">
        <v>195</v>
      </c>
      <c r="AB11" s="532" t="s">
        <v>196</v>
      </c>
      <c r="AC11" s="532" t="s">
        <v>197</v>
      </c>
      <c r="AD11" s="532" t="s">
        <v>198</v>
      </c>
      <c r="AE11" s="532" t="s">
        <v>199</v>
      </c>
      <c r="AF11" s="532" t="s">
        <v>221</v>
      </c>
      <c r="AG11" s="532" t="s">
        <v>659</v>
      </c>
      <c r="AH11" s="532" t="s">
        <v>179</v>
      </c>
      <c r="AI11" s="532" t="s">
        <v>178</v>
      </c>
      <c r="AJ11" s="532" t="s">
        <v>222</v>
      </c>
      <c r="AK11" s="532" t="s">
        <v>299</v>
      </c>
      <c r="AL11" s="532" t="s">
        <v>582</v>
      </c>
      <c r="AM11" s="532" t="s">
        <v>300</v>
      </c>
    </row>
    <row r="12" spans="1:39" hidden="1">
      <c r="A12" s="544" t="s">
        <v>660</v>
      </c>
      <c r="B12" s="532" t="s">
        <v>913</v>
      </c>
      <c r="C12" s="532"/>
      <c r="D12" s="533">
        <v>389157</v>
      </c>
      <c r="E12" s="533"/>
      <c r="F12" s="533">
        <v>8223</v>
      </c>
      <c r="G12" s="533">
        <v>6419</v>
      </c>
      <c r="H12" s="533">
        <v>9321</v>
      </c>
      <c r="I12" s="533">
        <v>9258</v>
      </c>
      <c r="J12" s="533">
        <v>65818</v>
      </c>
      <c r="K12" s="533">
        <v>2492</v>
      </c>
      <c r="L12" s="533">
        <v>4987</v>
      </c>
      <c r="M12" s="533">
        <v>9451</v>
      </c>
      <c r="N12" s="533">
        <v>40799</v>
      </c>
      <c r="O12" s="533">
        <v>20014</v>
      </c>
      <c r="P12" s="533">
        <v>57409</v>
      </c>
      <c r="Q12" s="533">
        <v>1118</v>
      </c>
      <c r="R12" s="533">
        <v>576</v>
      </c>
      <c r="S12" s="533">
        <v>2433</v>
      </c>
      <c r="T12" s="533">
        <v>384</v>
      </c>
      <c r="U12" s="533">
        <v>6519</v>
      </c>
      <c r="V12" s="533">
        <v>0</v>
      </c>
      <c r="W12" s="533">
        <v>17239</v>
      </c>
      <c r="X12" s="533">
        <v>5243</v>
      </c>
      <c r="Y12" s="533">
        <v>27762</v>
      </c>
      <c r="Z12" s="533">
        <v>5971</v>
      </c>
      <c r="AA12" s="533">
        <v>11350</v>
      </c>
      <c r="AB12" s="533">
        <v>1279</v>
      </c>
      <c r="AC12" s="533">
        <v>2565</v>
      </c>
      <c r="AD12" s="533">
        <v>8406</v>
      </c>
      <c r="AE12" s="533">
        <v>6093</v>
      </c>
      <c r="AF12" s="533">
        <v>58028</v>
      </c>
      <c r="AG12" s="533">
        <v>317460</v>
      </c>
      <c r="AH12" s="533">
        <v>116</v>
      </c>
      <c r="AI12" s="533">
        <v>137</v>
      </c>
      <c r="AJ12" s="533">
        <v>39</v>
      </c>
      <c r="AK12" s="533">
        <v>1591</v>
      </c>
      <c r="AL12" s="533">
        <v>1013</v>
      </c>
      <c r="AM12" s="533">
        <v>22405</v>
      </c>
    </row>
    <row r="13" spans="1:39">
      <c r="A13" s="544" t="s">
        <v>664</v>
      </c>
      <c r="B13" s="532" t="s">
        <v>914</v>
      </c>
      <c r="C13" s="532"/>
      <c r="D13" s="533">
        <v>44175</v>
      </c>
      <c r="E13" s="533">
        <f>SUM(F13:AF13)</f>
        <v>50656</v>
      </c>
      <c r="F13" s="533">
        <v>490</v>
      </c>
      <c r="G13" s="533">
        <v>263</v>
      </c>
      <c r="H13" s="533">
        <v>2135</v>
      </c>
      <c r="I13" s="533">
        <v>636</v>
      </c>
      <c r="J13" s="533">
        <v>10557</v>
      </c>
      <c r="K13" s="533">
        <v>31</v>
      </c>
      <c r="L13" s="533">
        <v>145</v>
      </c>
      <c r="M13" s="533">
        <v>257</v>
      </c>
      <c r="N13" s="545">
        <v>6481</v>
      </c>
      <c r="O13" s="533">
        <v>6433</v>
      </c>
      <c r="P13" s="533">
        <v>4523</v>
      </c>
      <c r="Q13" s="533">
        <v>6</v>
      </c>
      <c r="R13" s="533">
        <v>27</v>
      </c>
      <c r="S13" s="533">
        <v>37</v>
      </c>
      <c r="T13" s="533">
        <v>106</v>
      </c>
      <c r="U13" s="533">
        <v>135</v>
      </c>
      <c r="V13" s="533">
        <v>0</v>
      </c>
      <c r="W13" s="533">
        <v>2728</v>
      </c>
      <c r="X13" s="533">
        <v>1213</v>
      </c>
      <c r="Y13" s="533">
        <v>2053</v>
      </c>
      <c r="Z13" s="533">
        <v>1306</v>
      </c>
      <c r="AA13" s="533">
        <v>604</v>
      </c>
      <c r="AB13" s="533">
        <v>78</v>
      </c>
      <c r="AC13" s="533">
        <v>525</v>
      </c>
      <c r="AD13" s="533">
        <v>2270</v>
      </c>
      <c r="AE13" s="533">
        <v>984</v>
      </c>
      <c r="AF13" s="533">
        <v>6633</v>
      </c>
      <c r="AG13" s="533">
        <v>38417</v>
      </c>
      <c r="AH13" s="533">
        <v>27</v>
      </c>
      <c r="AI13" s="533">
        <v>136</v>
      </c>
      <c r="AJ13" s="533">
        <v>816</v>
      </c>
      <c r="AK13" s="533">
        <v>209</v>
      </c>
      <c r="AL13" s="533">
        <v>0</v>
      </c>
      <c r="AM13" s="533">
        <v>3496</v>
      </c>
    </row>
    <row r="14" spans="1:39" hidden="1">
      <c r="A14" s="544" t="s">
        <v>660</v>
      </c>
      <c r="B14" s="532" t="s">
        <v>915</v>
      </c>
      <c r="C14" s="532"/>
      <c r="D14" s="533">
        <v>134994</v>
      </c>
      <c r="E14" s="533"/>
      <c r="F14" s="533">
        <v>5802</v>
      </c>
      <c r="G14" s="533">
        <v>2722</v>
      </c>
      <c r="H14" s="533">
        <v>3760</v>
      </c>
      <c r="I14" s="533">
        <v>0</v>
      </c>
      <c r="J14" s="533">
        <v>20378</v>
      </c>
      <c r="K14" s="533">
        <v>0</v>
      </c>
      <c r="L14" s="533">
        <v>0</v>
      </c>
      <c r="M14" s="533">
        <v>0</v>
      </c>
      <c r="N14" s="533">
        <v>7577</v>
      </c>
      <c r="O14" s="533">
        <v>63260</v>
      </c>
      <c r="P14" s="533">
        <v>0</v>
      </c>
      <c r="Q14" s="533">
        <v>0</v>
      </c>
      <c r="R14" s="533">
        <v>0</v>
      </c>
      <c r="S14" s="533">
        <v>1183</v>
      </c>
      <c r="T14" s="533">
        <v>0</v>
      </c>
      <c r="U14" s="533">
        <v>1866</v>
      </c>
      <c r="V14" s="533">
        <v>0</v>
      </c>
      <c r="W14" s="533">
        <v>449</v>
      </c>
      <c r="X14" s="533">
        <v>0</v>
      </c>
      <c r="Y14" s="533">
        <v>0</v>
      </c>
      <c r="Z14" s="533">
        <v>0</v>
      </c>
      <c r="AA14" s="533">
        <v>707</v>
      </c>
      <c r="AB14" s="533">
        <v>656</v>
      </c>
      <c r="AC14" s="533">
        <v>2640</v>
      </c>
      <c r="AD14" s="533">
        <v>2671</v>
      </c>
      <c r="AE14" s="533">
        <v>9471</v>
      </c>
      <c r="AF14" s="533">
        <v>11852</v>
      </c>
      <c r="AG14" s="533">
        <v>121460</v>
      </c>
      <c r="AH14" s="533">
        <v>0</v>
      </c>
      <c r="AI14" s="533">
        <v>0</v>
      </c>
      <c r="AJ14" s="533">
        <v>3220</v>
      </c>
      <c r="AK14" s="533">
        <v>0</v>
      </c>
      <c r="AL14" s="533">
        <v>0</v>
      </c>
      <c r="AM14" s="533">
        <v>0</v>
      </c>
    </row>
    <row r="15" spans="1:39">
      <c r="A15" s="544" t="s">
        <v>664</v>
      </c>
      <c r="B15" s="532" t="s">
        <v>916</v>
      </c>
      <c r="C15" s="532"/>
      <c r="D15" s="533">
        <v>0</v>
      </c>
      <c r="E15" s="533">
        <f>SUM(F15:AF15)</f>
        <v>0</v>
      </c>
      <c r="F15" s="533">
        <v>0</v>
      </c>
      <c r="G15" s="533">
        <v>0</v>
      </c>
      <c r="H15" s="533">
        <v>0</v>
      </c>
      <c r="I15" s="533">
        <v>0</v>
      </c>
      <c r="J15" s="533">
        <v>0</v>
      </c>
      <c r="K15" s="533">
        <v>0</v>
      </c>
      <c r="L15" s="533">
        <v>0</v>
      </c>
      <c r="M15" s="533">
        <v>0</v>
      </c>
      <c r="N15" s="533">
        <v>0</v>
      </c>
      <c r="O15" s="533">
        <v>0</v>
      </c>
      <c r="P15" s="533">
        <v>0</v>
      </c>
      <c r="Q15" s="533">
        <v>0</v>
      </c>
      <c r="R15" s="533">
        <v>0</v>
      </c>
      <c r="S15" s="533">
        <v>0</v>
      </c>
      <c r="T15" s="533">
        <v>0</v>
      </c>
      <c r="U15" s="533">
        <v>0</v>
      </c>
      <c r="V15" s="533">
        <v>0</v>
      </c>
      <c r="W15" s="533">
        <v>0</v>
      </c>
      <c r="X15" s="533">
        <v>0</v>
      </c>
      <c r="Y15" s="533">
        <v>0</v>
      </c>
      <c r="Z15" s="533">
        <v>0</v>
      </c>
      <c r="AA15" s="533">
        <v>0</v>
      </c>
      <c r="AB15" s="533">
        <v>0</v>
      </c>
      <c r="AC15" s="533">
        <v>0</v>
      </c>
      <c r="AD15" s="533">
        <v>0</v>
      </c>
      <c r="AE15" s="533">
        <v>0</v>
      </c>
      <c r="AF15" s="533">
        <v>0</v>
      </c>
      <c r="AG15" s="533">
        <v>0</v>
      </c>
      <c r="AH15" s="533">
        <v>0</v>
      </c>
      <c r="AI15" s="533">
        <v>0</v>
      </c>
      <c r="AJ15" s="533">
        <v>0</v>
      </c>
      <c r="AK15" s="533">
        <v>0</v>
      </c>
      <c r="AL15" s="533">
        <v>0</v>
      </c>
      <c r="AM15" s="533">
        <v>0</v>
      </c>
    </row>
    <row r="16" spans="1:39" hidden="1">
      <c r="A16" s="544" t="s">
        <v>660</v>
      </c>
      <c r="B16" s="532" t="s">
        <v>917</v>
      </c>
      <c r="C16" s="532"/>
      <c r="D16" s="533">
        <v>137253</v>
      </c>
      <c r="E16" s="533"/>
      <c r="F16" s="533">
        <v>1412</v>
      </c>
      <c r="G16" s="533">
        <v>2848</v>
      </c>
      <c r="H16" s="533">
        <v>2012</v>
      </c>
      <c r="I16" s="533">
        <v>11</v>
      </c>
      <c r="J16" s="533">
        <v>8277</v>
      </c>
      <c r="K16" s="533">
        <v>5</v>
      </c>
      <c r="L16" s="533">
        <v>526</v>
      </c>
      <c r="M16" s="533">
        <v>3106</v>
      </c>
      <c r="N16" s="533">
        <v>18220</v>
      </c>
      <c r="O16" s="533">
        <v>24836</v>
      </c>
      <c r="P16" s="533">
        <v>20794</v>
      </c>
      <c r="Q16" s="533">
        <v>0</v>
      </c>
      <c r="R16" s="533">
        <v>1530</v>
      </c>
      <c r="S16" s="533">
        <v>877</v>
      </c>
      <c r="T16" s="533">
        <v>1132</v>
      </c>
      <c r="U16" s="533">
        <v>49</v>
      </c>
      <c r="V16" s="533">
        <v>0</v>
      </c>
      <c r="W16" s="533">
        <v>37</v>
      </c>
      <c r="X16" s="533">
        <v>11291</v>
      </c>
      <c r="Y16" s="533">
        <v>2320</v>
      </c>
      <c r="Z16" s="533">
        <v>5028</v>
      </c>
      <c r="AA16" s="533">
        <v>6266</v>
      </c>
      <c r="AB16" s="533">
        <v>875</v>
      </c>
      <c r="AC16" s="533">
        <v>2488</v>
      </c>
      <c r="AD16" s="533">
        <v>2840</v>
      </c>
      <c r="AE16" s="533">
        <v>16342</v>
      </c>
      <c r="AF16" s="533">
        <v>4131</v>
      </c>
      <c r="AG16" s="533">
        <v>145718</v>
      </c>
      <c r="AH16" s="533">
        <v>1159</v>
      </c>
      <c r="AI16" s="533">
        <v>27735</v>
      </c>
      <c r="AJ16" s="533">
        <v>12833</v>
      </c>
      <c r="AK16" s="533">
        <v>2056</v>
      </c>
      <c r="AL16" s="533">
        <v>544</v>
      </c>
      <c r="AM16" s="533">
        <v>12343</v>
      </c>
    </row>
    <row r="17" spans="1:39">
      <c r="A17" s="544" t="s">
        <v>664</v>
      </c>
      <c r="B17" s="532" t="s">
        <v>918</v>
      </c>
      <c r="C17" s="532"/>
      <c r="D17" s="533">
        <v>1748</v>
      </c>
      <c r="E17" s="533">
        <f>SUM(F17:AF17)</f>
        <v>1748</v>
      </c>
      <c r="F17" s="533">
        <v>0</v>
      </c>
      <c r="G17" s="533">
        <v>0</v>
      </c>
      <c r="H17" s="533">
        <v>155</v>
      </c>
      <c r="I17" s="533">
        <v>0</v>
      </c>
      <c r="J17" s="533">
        <v>64</v>
      </c>
      <c r="K17" s="533">
        <v>0</v>
      </c>
      <c r="L17" s="533">
        <v>0</v>
      </c>
      <c r="M17" s="533">
        <v>0</v>
      </c>
      <c r="N17" s="533">
        <v>0</v>
      </c>
      <c r="O17" s="533">
        <v>268</v>
      </c>
      <c r="P17" s="533">
        <v>199</v>
      </c>
      <c r="Q17" s="533">
        <v>0</v>
      </c>
      <c r="R17" s="533">
        <v>6</v>
      </c>
      <c r="S17" s="533">
        <v>0</v>
      </c>
      <c r="T17" s="533">
        <v>2</v>
      </c>
      <c r="U17" s="533">
        <v>0</v>
      </c>
      <c r="V17" s="533">
        <v>0</v>
      </c>
      <c r="W17" s="533">
        <v>0</v>
      </c>
      <c r="X17" s="533">
        <v>540</v>
      </c>
      <c r="Y17" s="533">
        <v>1</v>
      </c>
      <c r="Z17" s="533">
        <v>6</v>
      </c>
      <c r="AA17" s="533">
        <v>23</v>
      </c>
      <c r="AB17" s="533">
        <v>104</v>
      </c>
      <c r="AC17" s="533">
        <v>24</v>
      </c>
      <c r="AD17" s="533">
        <v>195</v>
      </c>
      <c r="AE17" s="533">
        <v>3</v>
      </c>
      <c r="AF17" s="533">
        <v>158</v>
      </c>
      <c r="AG17" s="533">
        <v>2249</v>
      </c>
      <c r="AH17" s="533">
        <v>4</v>
      </c>
      <c r="AI17" s="533">
        <v>814</v>
      </c>
      <c r="AJ17" s="533">
        <v>522</v>
      </c>
      <c r="AK17" s="533">
        <v>4</v>
      </c>
      <c r="AL17" s="533">
        <v>0</v>
      </c>
      <c r="AM17" s="533">
        <v>563</v>
      </c>
    </row>
    <row r="18" spans="1:39" hidden="1">
      <c r="A18" s="544" t="s">
        <v>660</v>
      </c>
      <c r="B18" s="532" t="s">
        <v>919</v>
      </c>
      <c r="C18" s="532"/>
      <c r="D18" s="533">
        <v>37886</v>
      </c>
      <c r="E18" s="533"/>
      <c r="F18" s="533">
        <v>1307</v>
      </c>
      <c r="G18" s="533">
        <v>864</v>
      </c>
      <c r="H18" s="533">
        <v>1147</v>
      </c>
      <c r="I18" s="533">
        <v>0</v>
      </c>
      <c r="J18" s="533">
        <v>4198</v>
      </c>
      <c r="K18" s="533">
        <v>0</v>
      </c>
      <c r="L18" s="533">
        <v>292</v>
      </c>
      <c r="M18" s="533">
        <v>699</v>
      </c>
      <c r="N18" s="533">
        <v>5412</v>
      </c>
      <c r="O18" s="533">
        <v>7125</v>
      </c>
      <c r="P18" s="533">
        <v>7103</v>
      </c>
      <c r="Q18" s="533">
        <v>0</v>
      </c>
      <c r="R18" s="533">
        <v>0</v>
      </c>
      <c r="S18" s="533">
        <v>760</v>
      </c>
      <c r="T18" s="533">
        <v>1100</v>
      </c>
      <c r="U18" s="533">
        <v>0</v>
      </c>
      <c r="V18" s="533">
        <v>0</v>
      </c>
      <c r="W18" s="533">
        <v>0</v>
      </c>
      <c r="X18" s="533">
        <v>2189</v>
      </c>
      <c r="Y18" s="533">
        <v>1406</v>
      </c>
      <c r="Z18" s="533">
        <v>537</v>
      </c>
      <c r="AA18" s="533">
        <v>0</v>
      </c>
      <c r="AB18" s="533">
        <v>0</v>
      </c>
      <c r="AC18" s="533">
        <v>916</v>
      </c>
      <c r="AD18" s="533">
        <v>0</v>
      </c>
      <c r="AE18" s="533">
        <v>43</v>
      </c>
      <c r="AF18" s="533">
        <v>2788</v>
      </c>
      <c r="AG18" s="533">
        <v>34044</v>
      </c>
      <c r="AH18" s="533">
        <v>0</v>
      </c>
      <c r="AI18" s="533">
        <v>1251</v>
      </c>
      <c r="AJ18" s="533">
        <v>1590</v>
      </c>
      <c r="AK18" s="533">
        <v>256</v>
      </c>
      <c r="AL18" s="533">
        <v>0</v>
      </c>
      <c r="AM18" s="533">
        <v>0</v>
      </c>
    </row>
    <row r="19" spans="1:39">
      <c r="A19" s="544" t="s">
        <v>664</v>
      </c>
      <c r="B19" s="532" t="s">
        <v>920</v>
      </c>
      <c r="C19" s="532"/>
      <c r="D19" s="533">
        <v>0</v>
      </c>
      <c r="E19" s="533">
        <f>SUM(F19:AF19)</f>
        <v>0</v>
      </c>
      <c r="F19" s="533">
        <v>0</v>
      </c>
      <c r="G19" s="533">
        <v>0</v>
      </c>
      <c r="H19" s="533">
        <v>0</v>
      </c>
      <c r="I19" s="533">
        <v>0</v>
      </c>
      <c r="J19" s="533">
        <v>0</v>
      </c>
      <c r="K19" s="533">
        <v>0</v>
      </c>
      <c r="L19" s="533">
        <v>0</v>
      </c>
      <c r="M19" s="533">
        <v>0</v>
      </c>
      <c r="N19" s="533">
        <v>0</v>
      </c>
      <c r="O19" s="533">
        <v>0</v>
      </c>
      <c r="P19" s="533">
        <v>0</v>
      </c>
      <c r="Q19" s="533">
        <v>0</v>
      </c>
      <c r="R19" s="533">
        <v>0</v>
      </c>
      <c r="S19" s="533">
        <v>0</v>
      </c>
      <c r="T19" s="533">
        <v>0</v>
      </c>
      <c r="U19" s="533">
        <v>0</v>
      </c>
      <c r="V19" s="533">
        <v>0</v>
      </c>
      <c r="W19" s="533">
        <v>0</v>
      </c>
      <c r="X19" s="533">
        <v>0</v>
      </c>
      <c r="Y19" s="533">
        <v>0</v>
      </c>
      <c r="Z19" s="533">
        <v>0</v>
      </c>
      <c r="AA19" s="533">
        <v>0</v>
      </c>
      <c r="AB19" s="533">
        <v>0</v>
      </c>
      <c r="AC19" s="533">
        <v>0</v>
      </c>
      <c r="AD19" s="533">
        <v>0</v>
      </c>
      <c r="AE19" s="533">
        <v>0</v>
      </c>
      <c r="AF19" s="533">
        <v>0</v>
      </c>
      <c r="AG19" s="533">
        <v>76</v>
      </c>
      <c r="AH19" s="533">
        <v>0</v>
      </c>
      <c r="AI19" s="533">
        <v>76</v>
      </c>
      <c r="AJ19" s="533">
        <v>65</v>
      </c>
      <c r="AK19" s="533">
        <v>0</v>
      </c>
      <c r="AL19" s="533">
        <v>0</v>
      </c>
      <c r="AM19" s="533">
        <v>0</v>
      </c>
    </row>
    <row r="20" spans="1:39" hidden="1">
      <c r="A20" s="544" t="s">
        <v>660</v>
      </c>
      <c r="B20" s="532" t="s">
        <v>921</v>
      </c>
      <c r="C20" s="532"/>
      <c r="D20" s="533">
        <v>688</v>
      </c>
      <c r="E20" s="533"/>
      <c r="F20" s="533">
        <v>0</v>
      </c>
      <c r="G20" s="533">
        <v>0</v>
      </c>
      <c r="H20" s="533">
        <v>0</v>
      </c>
      <c r="I20" s="533">
        <v>0</v>
      </c>
      <c r="J20" s="533">
        <v>1</v>
      </c>
      <c r="K20" s="533">
        <v>0</v>
      </c>
      <c r="L20" s="533">
        <v>0</v>
      </c>
      <c r="M20" s="533">
        <v>0</v>
      </c>
      <c r="N20" s="533">
        <v>0</v>
      </c>
      <c r="O20" s="533">
        <v>0</v>
      </c>
      <c r="P20" s="533">
        <v>671</v>
      </c>
      <c r="Q20" s="533">
        <v>0</v>
      </c>
      <c r="R20" s="533">
        <v>0</v>
      </c>
      <c r="S20" s="533">
        <v>0</v>
      </c>
      <c r="T20" s="533">
        <v>0</v>
      </c>
      <c r="U20" s="533">
        <v>0</v>
      </c>
      <c r="V20" s="533">
        <v>0</v>
      </c>
      <c r="W20" s="533">
        <v>0</v>
      </c>
      <c r="X20" s="533">
        <v>2</v>
      </c>
      <c r="Y20" s="533">
        <v>0</v>
      </c>
      <c r="Z20" s="533">
        <v>14</v>
      </c>
      <c r="AA20" s="533">
        <v>0</v>
      </c>
      <c r="AB20" s="533">
        <v>0</v>
      </c>
      <c r="AC20" s="533">
        <v>0</v>
      </c>
      <c r="AD20" s="533">
        <v>0</v>
      </c>
      <c r="AE20" s="533">
        <v>0</v>
      </c>
      <c r="AF20" s="533">
        <v>0</v>
      </c>
      <c r="AG20" s="533">
        <v>688</v>
      </c>
      <c r="AH20" s="533">
        <v>232</v>
      </c>
      <c r="AI20" s="533">
        <v>0</v>
      </c>
      <c r="AJ20" s="533">
        <v>0</v>
      </c>
      <c r="AK20" s="533">
        <v>0</v>
      </c>
      <c r="AL20" s="533">
        <v>0</v>
      </c>
      <c r="AM20" s="533">
        <v>15</v>
      </c>
    </row>
    <row r="21" spans="1:39">
      <c r="A21" s="544" t="s">
        <v>664</v>
      </c>
      <c r="B21" s="532" t="s">
        <v>922</v>
      </c>
      <c r="C21" s="532"/>
      <c r="D21" s="533">
        <v>0</v>
      </c>
      <c r="E21" s="533">
        <f>SUM(F21:AF21)</f>
        <v>0</v>
      </c>
      <c r="F21" s="533">
        <v>0</v>
      </c>
      <c r="G21" s="533">
        <v>0</v>
      </c>
      <c r="H21" s="533">
        <v>0</v>
      </c>
      <c r="I21" s="533">
        <v>0</v>
      </c>
      <c r="J21" s="533">
        <v>0</v>
      </c>
      <c r="K21" s="533">
        <v>0</v>
      </c>
      <c r="L21" s="533">
        <v>0</v>
      </c>
      <c r="M21" s="533">
        <v>0</v>
      </c>
      <c r="N21" s="533">
        <v>0</v>
      </c>
      <c r="O21" s="533">
        <v>0</v>
      </c>
      <c r="P21" s="533">
        <v>0</v>
      </c>
      <c r="Q21" s="533">
        <v>0</v>
      </c>
      <c r="R21" s="533">
        <v>0</v>
      </c>
      <c r="S21" s="533">
        <v>0</v>
      </c>
      <c r="T21" s="533">
        <v>0</v>
      </c>
      <c r="U21" s="533">
        <v>0</v>
      </c>
      <c r="V21" s="533">
        <v>0</v>
      </c>
      <c r="W21" s="533">
        <v>0</v>
      </c>
      <c r="X21" s="533">
        <v>0</v>
      </c>
      <c r="Y21" s="533">
        <v>0</v>
      </c>
      <c r="Z21" s="533">
        <v>0</v>
      </c>
      <c r="AA21" s="533">
        <v>0</v>
      </c>
      <c r="AB21" s="533">
        <v>0</v>
      </c>
      <c r="AC21" s="533">
        <v>0</v>
      </c>
      <c r="AD21" s="533">
        <v>0</v>
      </c>
      <c r="AE21" s="533">
        <v>0</v>
      </c>
      <c r="AF21" s="533">
        <v>0</v>
      </c>
      <c r="AG21" s="533">
        <v>0</v>
      </c>
      <c r="AH21" s="533">
        <v>0</v>
      </c>
      <c r="AI21" s="533">
        <v>0</v>
      </c>
      <c r="AJ21" s="533">
        <v>0</v>
      </c>
      <c r="AK21" s="533">
        <v>0</v>
      </c>
      <c r="AL21" s="533">
        <v>0</v>
      </c>
      <c r="AM21" s="533">
        <v>0</v>
      </c>
    </row>
    <row r="22" spans="1:39" hidden="1">
      <c r="A22" s="544" t="s">
        <v>923</v>
      </c>
      <c r="B22" s="532" t="s">
        <v>924</v>
      </c>
      <c r="C22" s="532"/>
      <c r="D22" s="533">
        <v>688</v>
      </c>
      <c r="E22" s="533"/>
      <c r="F22" s="533">
        <v>0</v>
      </c>
      <c r="G22" s="533">
        <v>0</v>
      </c>
      <c r="H22" s="533">
        <v>0</v>
      </c>
      <c r="I22" s="533">
        <v>0</v>
      </c>
      <c r="J22" s="533">
        <v>1</v>
      </c>
      <c r="K22" s="533">
        <v>0</v>
      </c>
      <c r="L22" s="533">
        <v>0</v>
      </c>
      <c r="M22" s="533">
        <v>0</v>
      </c>
      <c r="N22" s="533">
        <v>0</v>
      </c>
      <c r="O22" s="533">
        <v>0</v>
      </c>
      <c r="P22" s="533">
        <v>671</v>
      </c>
      <c r="Q22" s="533">
        <v>0</v>
      </c>
      <c r="R22" s="533">
        <v>0</v>
      </c>
      <c r="S22" s="533">
        <v>0</v>
      </c>
      <c r="T22" s="533">
        <v>0</v>
      </c>
      <c r="U22" s="533">
        <v>0</v>
      </c>
      <c r="V22" s="534" t="s">
        <v>36</v>
      </c>
      <c r="W22" s="533">
        <v>0</v>
      </c>
      <c r="X22" s="533">
        <v>2</v>
      </c>
      <c r="Y22" s="533">
        <v>0</v>
      </c>
      <c r="Z22" s="533">
        <v>14</v>
      </c>
      <c r="AA22" s="533">
        <v>0</v>
      </c>
      <c r="AB22" s="533">
        <v>0</v>
      </c>
      <c r="AC22" s="533">
        <v>0</v>
      </c>
      <c r="AD22" s="533">
        <v>0</v>
      </c>
      <c r="AE22" s="533">
        <v>0</v>
      </c>
      <c r="AF22" s="533">
        <v>0</v>
      </c>
      <c r="AG22" s="533">
        <v>920</v>
      </c>
      <c r="AH22" s="533">
        <v>232</v>
      </c>
      <c r="AI22" s="533">
        <v>0</v>
      </c>
      <c r="AJ22" s="533">
        <v>0</v>
      </c>
      <c r="AK22" s="533">
        <v>0</v>
      </c>
      <c r="AL22" s="533">
        <v>0</v>
      </c>
      <c r="AM22" s="533">
        <v>15</v>
      </c>
    </row>
    <row r="23" spans="1:39" hidden="1">
      <c r="A23" s="544" t="s">
        <v>660</v>
      </c>
      <c r="B23" s="532" t="s">
        <v>925</v>
      </c>
      <c r="C23" s="532"/>
      <c r="D23" s="533">
        <v>38659</v>
      </c>
      <c r="E23" s="533"/>
      <c r="F23" s="533">
        <v>165</v>
      </c>
      <c r="G23" s="533">
        <v>8</v>
      </c>
      <c r="H23" s="533">
        <v>22</v>
      </c>
      <c r="I23" s="533">
        <v>3127</v>
      </c>
      <c r="J23" s="533">
        <v>18428</v>
      </c>
      <c r="K23" s="533">
        <v>30</v>
      </c>
      <c r="L23" s="533">
        <v>494</v>
      </c>
      <c r="M23" s="533">
        <v>491</v>
      </c>
      <c r="N23" s="533">
        <v>9918</v>
      </c>
      <c r="O23" s="533">
        <v>669</v>
      </c>
      <c r="P23" s="533">
        <v>1634</v>
      </c>
      <c r="Q23" s="533">
        <v>0</v>
      </c>
      <c r="R23" s="533">
        <v>26</v>
      </c>
      <c r="S23" s="533">
        <v>1</v>
      </c>
      <c r="T23" s="533">
        <v>35</v>
      </c>
      <c r="U23" s="533">
        <v>17</v>
      </c>
      <c r="V23" s="533">
        <v>0</v>
      </c>
      <c r="W23" s="533">
        <v>1056</v>
      </c>
      <c r="X23" s="533">
        <v>778</v>
      </c>
      <c r="Y23" s="533">
        <v>121</v>
      </c>
      <c r="Z23" s="533">
        <v>1064</v>
      </c>
      <c r="AA23" s="533">
        <v>0</v>
      </c>
      <c r="AB23" s="533">
        <v>0</v>
      </c>
      <c r="AC23" s="533">
        <v>0</v>
      </c>
      <c r="AD23" s="533">
        <v>82</v>
      </c>
      <c r="AE23" s="533">
        <v>493</v>
      </c>
      <c r="AF23" s="533">
        <v>0</v>
      </c>
      <c r="AG23" s="533">
        <v>38699</v>
      </c>
      <c r="AH23" s="533">
        <v>0</v>
      </c>
      <c r="AI23" s="533">
        <v>265</v>
      </c>
      <c r="AJ23" s="533">
        <v>12</v>
      </c>
      <c r="AK23" s="533">
        <v>6</v>
      </c>
      <c r="AL23" s="533">
        <v>0</v>
      </c>
      <c r="AM23" s="533">
        <v>18</v>
      </c>
    </row>
    <row r="24" spans="1:39">
      <c r="A24" s="544" t="s">
        <v>664</v>
      </c>
      <c r="B24" s="532" t="s">
        <v>926</v>
      </c>
      <c r="C24" s="532"/>
      <c r="D24" s="533">
        <v>1796</v>
      </c>
      <c r="E24" s="533">
        <f>SUM(F24:AF24)</f>
        <v>1796</v>
      </c>
      <c r="F24" s="533">
        <v>2</v>
      </c>
      <c r="G24" s="533">
        <v>0</v>
      </c>
      <c r="H24" s="533">
        <v>0</v>
      </c>
      <c r="I24" s="533">
        <v>0</v>
      </c>
      <c r="J24" s="533">
        <v>0</v>
      </c>
      <c r="K24" s="533">
        <v>1</v>
      </c>
      <c r="L24" s="533">
        <v>0</v>
      </c>
      <c r="M24" s="533">
        <v>0</v>
      </c>
      <c r="N24" s="533">
        <v>0</v>
      </c>
      <c r="O24" s="533">
        <v>54</v>
      </c>
      <c r="P24" s="533">
        <v>1</v>
      </c>
      <c r="Q24" s="533">
        <v>0</v>
      </c>
      <c r="R24" s="533">
        <v>0</v>
      </c>
      <c r="S24" s="533">
        <v>0</v>
      </c>
      <c r="T24" s="533">
        <v>0</v>
      </c>
      <c r="U24" s="533">
        <v>0</v>
      </c>
      <c r="V24" s="533">
        <v>0</v>
      </c>
      <c r="W24" s="533">
        <v>168</v>
      </c>
      <c r="X24" s="533">
        <v>0</v>
      </c>
      <c r="Y24" s="533">
        <v>0</v>
      </c>
      <c r="Z24" s="533">
        <v>0</v>
      </c>
      <c r="AA24" s="533">
        <v>0</v>
      </c>
      <c r="AB24" s="533">
        <v>0</v>
      </c>
      <c r="AC24" s="533">
        <v>5</v>
      </c>
      <c r="AD24" s="533">
        <v>0</v>
      </c>
      <c r="AE24" s="533">
        <v>0</v>
      </c>
      <c r="AF24" s="533">
        <v>1565</v>
      </c>
      <c r="AG24" s="533">
        <v>1790</v>
      </c>
      <c r="AH24" s="533">
        <v>0</v>
      </c>
      <c r="AI24" s="533">
        <v>0</v>
      </c>
      <c r="AJ24" s="533">
        <v>0</v>
      </c>
      <c r="AK24" s="533">
        <v>0</v>
      </c>
      <c r="AL24" s="533">
        <v>0</v>
      </c>
      <c r="AM24" s="533">
        <v>3</v>
      </c>
    </row>
    <row r="25" spans="1:39" hidden="1">
      <c r="A25" s="544" t="s">
        <v>660</v>
      </c>
      <c r="B25" s="532" t="s">
        <v>927</v>
      </c>
      <c r="C25" s="532"/>
      <c r="D25" s="533">
        <v>254</v>
      </c>
      <c r="E25" s="533"/>
      <c r="F25" s="533">
        <v>0</v>
      </c>
      <c r="G25" s="533">
        <v>0</v>
      </c>
      <c r="H25" s="533">
        <v>0</v>
      </c>
      <c r="I25" s="533">
        <v>0</v>
      </c>
      <c r="J25" s="533">
        <v>0</v>
      </c>
      <c r="K25" s="533">
        <v>0</v>
      </c>
      <c r="L25" s="533">
        <v>118</v>
      </c>
      <c r="M25" s="533">
        <v>0</v>
      </c>
      <c r="N25" s="533">
        <v>0</v>
      </c>
      <c r="O25" s="533">
        <v>0</v>
      </c>
      <c r="P25" s="533">
        <v>116</v>
      </c>
      <c r="Q25" s="533">
        <v>0</v>
      </c>
      <c r="R25" s="533">
        <v>0</v>
      </c>
      <c r="S25" s="533">
        <v>0</v>
      </c>
      <c r="T25" s="533">
        <v>0</v>
      </c>
      <c r="U25" s="533">
        <v>0</v>
      </c>
      <c r="V25" s="533">
        <v>0</v>
      </c>
      <c r="W25" s="533">
        <v>20</v>
      </c>
      <c r="X25" s="533">
        <v>0</v>
      </c>
      <c r="Y25" s="533">
        <v>0</v>
      </c>
      <c r="Z25" s="533">
        <v>0</v>
      </c>
      <c r="AA25" s="533">
        <v>0</v>
      </c>
      <c r="AB25" s="533">
        <v>0</v>
      </c>
      <c r="AC25" s="533">
        <v>0</v>
      </c>
      <c r="AD25" s="533">
        <v>0</v>
      </c>
      <c r="AE25" s="533">
        <v>0</v>
      </c>
      <c r="AF25" s="533">
        <v>0</v>
      </c>
      <c r="AG25" s="533">
        <v>267</v>
      </c>
      <c r="AH25" s="533">
        <v>0</v>
      </c>
      <c r="AI25" s="533">
        <v>13</v>
      </c>
      <c r="AJ25" s="533">
        <v>0</v>
      </c>
      <c r="AK25" s="533">
        <v>0</v>
      </c>
      <c r="AL25" s="533">
        <v>0</v>
      </c>
      <c r="AM25" s="533">
        <v>0</v>
      </c>
    </row>
    <row r="26" spans="1:39">
      <c r="A26" s="544" t="s">
        <v>664</v>
      </c>
      <c r="B26" s="532" t="s">
        <v>928</v>
      </c>
      <c r="C26" s="532"/>
      <c r="D26" s="533">
        <v>204</v>
      </c>
      <c r="E26" s="533">
        <f>SUM(F26:AF26)</f>
        <v>204</v>
      </c>
      <c r="F26" s="533">
        <v>0</v>
      </c>
      <c r="G26" s="533">
        <v>0</v>
      </c>
      <c r="H26" s="533">
        <v>0</v>
      </c>
      <c r="I26" s="533">
        <v>0</v>
      </c>
      <c r="J26" s="533">
        <v>0</v>
      </c>
      <c r="K26" s="533">
        <v>0</v>
      </c>
      <c r="L26" s="533">
        <v>0</v>
      </c>
      <c r="M26" s="533">
        <v>0</v>
      </c>
      <c r="N26" s="533">
        <v>0</v>
      </c>
      <c r="O26" s="533">
        <v>0</v>
      </c>
      <c r="P26" s="533">
        <v>117</v>
      </c>
      <c r="Q26" s="533">
        <v>0</v>
      </c>
      <c r="R26" s="533">
        <v>0</v>
      </c>
      <c r="S26" s="533">
        <v>25</v>
      </c>
      <c r="T26" s="533">
        <v>0</v>
      </c>
      <c r="U26" s="533">
        <v>0</v>
      </c>
      <c r="V26" s="533">
        <v>0</v>
      </c>
      <c r="W26" s="533">
        <v>52</v>
      </c>
      <c r="X26" s="533">
        <v>0</v>
      </c>
      <c r="Y26" s="533">
        <v>0</v>
      </c>
      <c r="Z26" s="533">
        <v>0</v>
      </c>
      <c r="AA26" s="533">
        <v>0</v>
      </c>
      <c r="AB26" s="533">
        <v>0</v>
      </c>
      <c r="AC26" s="533">
        <v>10</v>
      </c>
      <c r="AD26" s="533">
        <v>0</v>
      </c>
      <c r="AE26" s="533">
        <v>0</v>
      </c>
      <c r="AF26" s="533">
        <v>0</v>
      </c>
      <c r="AG26" s="533">
        <v>184</v>
      </c>
      <c r="AH26" s="533">
        <v>0</v>
      </c>
      <c r="AI26" s="533">
        <v>15</v>
      </c>
      <c r="AJ26" s="533">
        <v>0</v>
      </c>
      <c r="AK26" s="533">
        <v>0</v>
      </c>
      <c r="AL26" s="533">
        <v>0</v>
      </c>
      <c r="AM26" s="533">
        <v>0</v>
      </c>
    </row>
    <row r="27" spans="1:39" hidden="1">
      <c r="A27" s="544" t="s">
        <v>660</v>
      </c>
      <c r="B27" s="532" t="s">
        <v>929</v>
      </c>
      <c r="C27" s="532"/>
      <c r="D27" s="533">
        <v>174072</v>
      </c>
      <c r="E27" s="533"/>
      <c r="F27" s="533">
        <v>3484</v>
      </c>
      <c r="G27" s="533">
        <v>6419</v>
      </c>
      <c r="H27" s="533">
        <v>8937</v>
      </c>
      <c r="I27" s="533">
        <v>6917</v>
      </c>
      <c r="J27" s="533">
        <v>0</v>
      </c>
      <c r="K27" s="533">
        <v>2483</v>
      </c>
      <c r="L27" s="533">
        <v>2734</v>
      </c>
      <c r="M27" s="533">
        <v>5999</v>
      </c>
      <c r="N27" s="533">
        <v>0</v>
      </c>
      <c r="O27" s="533">
        <v>0</v>
      </c>
      <c r="P27" s="533">
        <v>29305</v>
      </c>
      <c r="Q27" s="533">
        <v>930</v>
      </c>
      <c r="R27" s="533">
        <v>413</v>
      </c>
      <c r="S27" s="533">
        <v>2429</v>
      </c>
      <c r="T27" s="533">
        <v>8</v>
      </c>
      <c r="U27" s="533">
        <v>4426</v>
      </c>
      <c r="V27" s="533">
        <v>350</v>
      </c>
      <c r="W27" s="533">
        <v>8986</v>
      </c>
      <c r="X27" s="533">
        <v>3369</v>
      </c>
      <c r="Y27" s="533">
        <v>26994</v>
      </c>
      <c r="Z27" s="533">
        <v>3491</v>
      </c>
      <c r="AA27" s="533">
        <v>11338</v>
      </c>
      <c r="AB27" s="533">
        <v>936</v>
      </c>
      <c r="AC27" s="533">
        <v>2282</v>
      </c>
      <c r="AD27" s="533">
        <v>5193</v>
      </c>
      <c r="AE27" s="533">
        <v>4357</v>
      </c>
      <c r="AF27" s="533">
        <v>32292</v>
      </c>
      <c r="AG27" s="533">
        <v>106262</v>
      </c>
      <c r="AH27" s="533">
        <v>0</v>
      </c>
      <c r="AI27" s="533">
        <v>127</v>
      </c>
      <c r="AJ27" s="533">
        <v>22</v>
      </c>
      <c r="AK27" s="533">
        <v>1222</v>
      </c>
      <c r="AL27" s="533">
        <v>0</v>
      </c>
      <c r="AM27" s="533">
        <v>7981</v>
      </c>
    </row>
    <row r="28" spans="1:39">
      <c r="A28" s="544" t="s">
        <v>664</v>
      </c>
      <c r="B28" s="532" t="s">
        <v>930</v>
      </c>
      <c r="C28" s="532" t="s">
        <v>931</v>
      </c>
      <c r="D28" s="546">
        <v>13786</v>
      </c>
      <c r="E28" s="533">
        <f>SUM(F28:AF28)</f>
        <v>25688.56413463307</v>
      </c>
      <c r="F28" s="533">
        <v>0</v>
      </c>
      <c r="G28" s="533">
        <v>263</v>
      </c>
      <c r="H28" s="533">
        <v>1756</v>
      </c>
      <c r="I28" s="533">
        <v>266</v>
      </c>
      <c r="J28" s="545">
        <f>$J$13*D28/$D$57</f>
        <v>5353.6436270001841</v>
      </c>
      <c r="K28" s="533">
        <v>22</v>
      </c>
      <c r="L28" s="533">
        <v>34</v>
      </c>
      <c r="M28" s="533">
        <v>105</v>
      </c>
      <c r="N28" s="545">
        <f>$N$13*$D28/$D$57</f>
        <v>3286.6310833180064</v>
      </c>
      <c r="O28" s="545">
        <f>$O$13*$D28/$D$57</f>
        <v>3262.2894243148794</v>
      </c>
      <c r="P28" s="533">
        <v>2733</v>
      </c>
      <c r="Q28" s="533">
        <v>0</v>
      </c>
      <c r="R28" s="533">
        <v>16</v>
      </c>
      <c r="S28" s="533">
        <v>13</v>
      </c>
      <c r="T28" s="533">
        <v>0</v>
      </c>
      <c r="U28" s="533">
        <v>0</v>
      </c>
      <c r="V28" s="533">
        <v>0</v>
      </c>
      <c r="W28" s="533">
        <v>773</v>
      </c>
      <c r="X28" s="533">
        <v>694</v>
      </c>
      <c r="Y28" s="533">
        <v>2004</v>
      </c>
      <c r="Z28" s="533">
        <v>586</v>
      </c>
      <c r="AA28" s="533">
        <v>508</v>
      </c>
      <c r="AB28" s="533">
        <v>67</v>
      </c>
      <c r="AC28" s="533">
        <v>488</v>
      </c>
      <c r="AD28" s="533">
        <v>2000</v>
      </c>
      <c r="AE28" s="533">
        <v>966</v>
      </c>
      <c r="AF28" s="533">
        <v>492</v>
      </c>
      <c r="AG28" s="533">
        <v>8732</v>
      </c>
      <c r="AH28" s="533">
        <v>0</v>
      </c>
      <c r="AI28" s="533">
        <v>83</v>
      </c>
      <c r="AJ28" s="533">
        <v>456</v>
      </c>
      <c r="AK28" s="533">
        <v>173</v>
      </c>
      <c r="AL28" s="533">
        <v>0</v>
      </c>
      <c r="AM28" s="533">
        <v>1448</v>
      </c>
    </row>
    <row r="29" spans="1:39" hidden="1">
      <c r="A29" s="544" t="s">
        <v>660</v>
      </c>
      <c r="B29" s="532" t="s">
        <v>932</v>
      </c>
      <c r="C29" s="532"/>
      <c r="D29" s="533">
        <v>14373</v>
      </c>
      <c r="E29" s="533"/>
      <c r="F29" s="533">
        <v>1313</v>
      </c>
      <c r="G29" s="533">
        <v>0</v>
      </c>
      <c r="H29" s="533">
        <v>0</v>
      </c>
      <c r="I29" s="533">
        <v>470</v>
      </c>
      <c r="J29" s="533">
        <v>0</v>
      </c>
      <c r="K29" s="533">
        <v>0</v>
      </c>
      <c r="L29" s="533">
        <v>735</v>
      </c>
      <c r="M29" s="533">
        <v>456</v>
      </c>
      <c r="N29" s="545">
        <f>$J$13*H29/$D$57</f>
        <v>0</v>
      </c>
      <c r="O29" s="533">
        <v>0</v>
      </c>
      <c r="P29" s="533">
        <v>3219</v>
      </c>
      <c r="Q29" s="533">
        <v>188</v>
      </c>
      <c r="R29" s="533">
        <v>0</v>
      </c>
      <c r="S29" s="533">
        <v>2</v>
      </c>
      <c r="T29" s="533">
        <v>376</v>
      </c>
      <c r="U29" s="533">
        <v>678</v>
      </c>
      <c r="V29" s="533">
        <v>461</v>
      </c>
      <c r="W29" s="533">
        <v>666</v>
      </c>
      <c r="X29" s="533">
        <v>469</v>
      </c>
      <c r="Y29" s="533">
        <v>51</v>
      </c>
      <c r="Z29" s="533">
        <v>238</v>
      </c>
      <c r="AA29" s="533">
        <v>0</v>
      </c>
      <c r="AB29" s="533">
        <v>319</v>
      </c>
      <c r="AC29" s="533">
        <v>5</v>
      </c>
      <c r="AD29" s="533">
        <v>1727</v>
      </c>
      <c r="AE29" s="533">
        <v>1644</v>
      </c>
      <c r="AF29" s="533">
        <v>1356</v>
      </c>
      <c r="AG29" s="533">
        <v>12673</v>
      </c>
      <c r="AH29" s="533">
        <v>35</v>
      </c>
      <c r="AI29" s="533">
        <v>4</v>
      </c>
      <c r="AJ29" s="533">
        <v>2</v>
      </c>
      <c r="AK29" s="533">
        <v>113</v>
      </c>
      <c r="AL29" s="533">
        <v>0</v>
      </c>
      <c r="AM29" s="533">
        <v>299</v>
      </c>
    </row>
    <row r="30" spans="1:39">
      <c r="A30" s="544" t="s">
        <v>664</v>
      </c>
      <c r="B30" s="532" t="s">
        <v>933</v>
      </c>
      <c r="C30" s="532" t="s">
        <v>308</v>
      </c>
      <c r="D30" s="546">
        <v>2435</v>
      </c>
      <c r="E30" s="533">
        <f>SUM(F30:AF30)</f>
        <v>4537.3316167003868</v>
      </c>
      <c r="F30" s="533">
        <v>0</v>
      </c>
      <c r="G30" s="533">
        <v>0</v>
      </c>
      <c r="H30" s="533">
        <v>0</v>
      </c>
      <c r="I30" s="533">
        <v>97</v>
      </c>
      <c r="J30" s="545">
        <f>$J$13*D30/$D$57</f>
        <v>945.60584881368402</v>
      </c>
      <c r="K30" s="533">
        <v>0</v>
      </c>
      <c r="L30" s="533">
        <v>69</v>
      </c>
      <c r="M30" s="533">
        <v>67</v>
      </c>
      <c r="N30" s="545">
        <f>$N$13*$D30/$D$57</f>
        <v>580.51259885966522</v>
      </c>
      <c r="O30" s="545">
        <f>$O$13*$D30/$D$57</f>
        <v>576.213169027037</v>
      </c>
      <c r="P30" s="533">
        <v>734</v>
      </c>
      <c r="Q30" s="533">
        <v>0</v>
      </c>
      <c r="R30" s="533">
        <v>1</v>
      </c>
      <c r="S30" s="533">
        <v>21</v>
      </c>
      <c r="T30" s="533">
        <v>28</v>
      </c>
      <c r="U30" s="533">
        <v>0</v>
      </c>
      <c r="V30" s="533">
        <v>0</v>
      </c>
      <c r="W30" s="533">
        <v>527</v>
      </c>
      <c r="X30" s="533">
        <v>36</v>
      </c>
      <c r="Y30" s="533">
        <v>34</v>
      </c>
      <c r="Z30" s="533">
        <v>181</v>
      </c>
      <c r="AA30" s="533">
        <v>0</v>
      </c>
      <c r="AB30" s="533">
        <v>2</v>
      </c>
      <c r="AC30" s="533">
        <v>12</v>
      </c>
      <c r="AD30" s="533">
        <v>120</v>
      </c>
      <c r="AE30" s="533">
        <v>18</v>
      </c>
      <c r="AF30" s="533">
        <v>488</v>
      </c>
      <c r="AG30" s="533">
        <v>2401</v>
      </c>
      <c r="AH30" s="533">
        <v>0</v>
      </c>
      <c r="AI30" s="533">
        <v>36</v>
      </c>
      <c r="AJ30" s="533">
        <v>47</v>
      </c>
      <c r="AK30" s="533">
        <v>17</v>
      </c>
      <c r="AL30" s="533">
        <v>0</v>
      </c>
      <c r="AM30" s="533">
        <v>552</v>
      </c>
    </row>
    <row r="31" spans="1:39" hidden="1">
      <c r="A31" s="544" t="s">
        <v>660</v>
      </c>
      <c r="B31" s="532" t="s">
        <v>934</v>
      </c>
      <c r="C31" s="532"/>
      <c r="D31" s="533">
        <v>70111</v>
      </c>
      <c r="E31" s="533"/>
      <c r="F31" s="533">
        <v>3044</v>
      </c>
      <c r="G31" s="533">
        <v>0</v>
      </c>
      <c r="H31" s="533">
        <v>370</v>
      </c>
      <c r="I31" s="533">
        <v>1025</v>
      </c>
      <c r="J31" s="533">
        <v>0</v>
      </c>
      <c r="K31" s="533">
        <v>0</v>
      </c>
      <c r="L31" s="533">
        <v>1481</v>
      </c>
      <c r="M31" s="533">
        <v>2240</v>
      </c>
      <c r="N31" s="545">
        <f>$J$13*H31/$D$57</f>
        <v>143.68548832076513</v>
      </c>
      <c r="O31" s="533">
        <v>0</v>
      </c>
      <c r="P31" s="533">
        <v>24115</v>
      </c>
      <c r="Q31" s="533">
        <v>0</v>
      </c>
      <c r="R31" s="533">
        <v>146</v>
      </c>
      <c r="S31" s="533">
        <v>0</v>
      </c>
      <c r="T31" s="533">
        <v>0</v>
      </c>
      <c r="U31" s="533">
        <v>990</v>
      </c>
      <c r="V31" s="533">
        <v>110</v>
      </c>
      <c r="W31" s="533">
        <v>6889</v>
      </c>
      <c r="X31" s="533">
        <v>1235</v>
      </c>
      <c r="Y31" s="533">
        <v>705</v>
      </c>
      <c r="Z31" s="533">
        <v>1774</v>
      </c>
      <c r="AA31" s="533">
        <v>0</v>
      </c>
      <c r="AB31" s="533">
        <v>0</v>
      </c>
      <c r="AC31" s="533">
        <v>246</v>
      </c>
      <c r="AD31" s="533">
        <v>1436</v>
      </c>
      <c r="AE31" s="533">
        <v>42</v>
      </c>
      <c r="AF31" s="533">
        <v>24263</v>
      </c>
      <c r="AG31" s="533">
        <v>67544</v>
      </c>
      <c r="AH31" s="533">
        <v>0</v>
      </c>
      <c r="AI31" s="533">
        <v>0</v>
      </c>
      <c r="AJ31" s="533">
        <v>11</v>
      </c>
      <c r="AK31" s="533">
        <v>256</v>
      </c>
      <c r="AL31" s="533">
        <v>0</v>
      </c>
      <c r="AM31" s="533">
        <v>13080</v>
      </c>
    </row>
    <row r="32" spans="1:39">
      <c r="A32" s="544" t="s">
        <v>664</v>
      </c>
      <c r="B32" s="532" t="s">
        <v>935</v>
      </c>
      <c r="C32" s="532" t="s">
        <v>308</v>
      </c>
      <c r="D32" s="546">
        <v>4902</v>
      </c>
      <c r="E32" s="533">
        <f>SUM(F32:AF32)</f>
        <v>9134.2914107044326</v>
      </c>
      <c r="F32" s="533">
        <v>320</v>
      </c>
      <c r="G32" s="533">
        <v>0</v>
      </c>
      <c r="H32" s="533">
        <v>364</v>
      </c>
      <c r="I32" s="533">
        <v>60</v>
      </c>
      <c r="J32" s="545">
        <f>$J$13*D32/$D$57</f>
        <v>1903.6385506713261</v>
      </c>
      <c r="K32" s="533">
        <v>0</v>
      </c>
      <c r="L32" s="533">
        <v>0</v>
      </c>
      <c r="M32" s="533">
        <v>66</v>
      </c>
      <c r="N32" s="545">
        <f>$N$13*$D32/$D$57</f>
        <v>1168.6541107228252</v>
      </c>
      <c r="O32" s="545">
        <f>$O$13*$D32/$D$57</f>
        <v>1159.9987493102815</v>
      </c>
      <c r="P32" s="533">
        <v>722</v>
      </c>
      <c r="Q32" s="533">
        <v>0</v>
      </c>
      <c r="R32" s="533">
        <v>0</v>
      </c>
      <c r="S32" s="533">
        <v>3</v>
      </c>
      <c r="T32" s="533">
        <v>0</v>
      </c>
      <c r="U32" s="533">
        <v>135</v>
      </c>
      <c r="V32" s="533">
        <v>0</v>
      </c>
      <c r="W32" s="533">
        <v>450</v>
      </c>
      <c r="X32" s="533">
        <v>442</v>
      </c>
      <c r="Y32" s="533">
        <v>0</v>
      </c>
      <c r="Z32" s="533">
        <v>0</v>
      </c>
      <c r="AA32" s="533">
        <v>0</v>
      </c>
      <c r="AB32" s="533">
        <v>0</v>
      </c>
      <c r="AC32" s="533">
        <v>8</v>
      </c>
      <c r="AD32" s="533">
        <v>150</v>
      </c>
      <c r="AE32" s="533">
        <v>0</v>
      </c>
      <c r="AF32" s="533">
        <v>2182</v>
      </c>
      <c r="AG32" s="533">
        <v>4392</v>
      </c>
      <c r="AH32" s="533">
        <v>0</v>
      </c>
      <c r="AI32" s="533">
        <v>0</v>
      </c>
      <c r="AJ32" s="533">
        <v>235</v>
      </c>
      <c r="AK32" s="533">
        <v>6</v>
      </c>
      <c r="AL32" s="533">
        <v>0</v>
      </c>
      <c r="AM32" s="533">
        <v>999</v>
      </c>
    </row>
    <row r="33" spans="1:39" hidden="1">
      <c r="A33" s="544" t="s">
        <v>660</v>
      </c>
      <c r="B33" s="532" t="s">
        <v>936</v>
      </c>
      <c r="C33" s="532"/>
      <c r="D33" s="533">
        <v>4746</v>
      </c>
      <c r="E33" s="533"/>
      <c r="F33" s="533">
        <v>382</v>
      </c>
      <c r="G33" s="533">
        <v>0</v>
      </c>
      <c r="H33" s="533">
        <v>14</v>
      </c>
      <c r="I33" s="533">
        <v>846</v>
      </c>
      <c r="J33" s="533">
        <v>0</v>
      </c>
      <c r="K33" s="533">
        <v>9</v>
      </c>
      <c r="L33" s="533">
        <v>27</v>
      </c>
      <c r="M33" s="533">
        <v>756</v>
      </c>
      <c r="N33" s="533">
        <v>0</v>
      </c>
      <c r="O33" s="533">
        <v>0</v>
      </c>
      <c r="P33" s="533">
        <v>770</v>
      </c>
      <c r="Q33" s="533">
        <v>0</v>
      </c>
      <c r="R33" s="533">
        <v>17</v>
      </c>
      <c r="S33" s="533">
        <v>2</v>
      </c>
      <c r="T33" s="533">
        <v>0</v>
      </c>
      <c r="U33" s="533">
        <v>425</v>
      </c>
      <c r="V33" s="533">
        <v>0</v>
      </c>
      <c r="W33" s="533">
        <v>698</v>
      </c>
      <c r="X33" s="533">
        <v>170</v>
      </c>
      <c r="Y33" s="533">
        <v>12</v>
      </c>
      <c r="Z33" s="533">
        <v>468</v>
      </c>
      <c r="AA33" s="533">
        <v>12</v>
      </c>
      <c r="AB33" s="533">
        <v>24</v>
      </c>
      <c r="AC33" s="533">
        <v>14</v>
      </c>
      <c r="AD33" s="533">
        <v>50</v>
      </c>
      <c r="AE33" s="533">
        <v>50</v>
      </c>
      <c r="AF33" s="533">
        <v>0</v>
      </c>
      <c r="AG33" s="533">
        <v>4223</v>
      </c>
      <c r="AH33" s="533">
        <v>80</v>
      </c>
      <c r="AI33" s="533">
        <v>6</v>
      </c>
      <c r="AJ33" s="533">
        <v>0</v>
      </c>
      <c r="AK33" s="533">
        <v>0</v>
      </c>
      <c r="AL33" s="533">
        <v>0</v>
      </c>
      <c r="AM33" s="533">
        <v>1014</v>
      </c>
    </row>
    <row r="34" spans="1:39">
      <c r="A34" s="544" t="s">
        <v>664</v>
      </c>
      <c r="B34" s="532" t="s">
        <v>937</v>
      </c>
      <c r="C34" s="532" t="s">
        <v>307</v>
      </c>
      <c r="D34" s="546">
        <v>2615</v>
      </c>
      <c r="E34" s="533">
        <f>SUM(F34:AF34)</f>
        <v>4872.740114033475</v>
      </c>
      <c r="F34" s="533">
        <v>51</v>
      </c>
      <c r="G34" s="533">
        <v>0</v>
      </c>
      <c r="H34" s="533">
        <v>15</v>
      </c>
      <c r="I34" s="533">
        <v>209</v>
      </c>
      <c r="J34" s="545">
        <f>$J$13*D34/$D$57</f>
        <v>1015.5068971859481</v>
      </c>
      <c r="K34" s="533">
        <v>9</v>
      </c>
      <c r="L34" s="533">
        <v>37</v>
      </c>
      <c r="M34" s="533">
        <v>19</v>
      </c>
      <c r="N34" s="545">
        <f>$N$13*$D34/$D$57</f>
        <v>623.42523450432225</v>
      </c>
      <c r="O34" s="545">
        <f>$O$13*$D34/$D$57</f>
        <v>618.807982343204</v>
      </c>
      <c r="P34" s="533">
        <v>334</v>
      </c>
      <c r="Q34" s="533">
        <v>6</v>
      </c>
      <c r="R34" s="533">
        <v>10</v>
      </c>
      <c r="S34" s="533">
        <v>0</v>
      </c>
      <c r="T34" s="533">
        <v>78</v>
      </c>
      <c r="U34" s="533">
        <v>0</v>
      </c>
      <c r="V34" s="533">
        <v>0</v>
      </c>
      <c r="W34" s="533">
        <v>978</v>
      </c>
      <c r="X34" s="533">
        <v>41</v>
      </c>
      <c r="Y34" s="533">
        <v>15</v>
      </c>
      <c r="Z34" s="533">
        <v>539</v>
      </c>
      <c r="AA34" s="533">
        <v>96</v>
      </c>
      <c r="AB34" s="533">
        <v>9</v>
      </c>
      <c r="AC34" s="533">
        <v>6</v>
      </c>
      <c r="AD34" s="533">
        <v>0</v>
      </c>
      <c r="AE34" s="533">
        <v>0</v>
      </c>
      <c r="AF34" s="533">
        <v>163</v>
      </c>
      <c r="AG34" s="533">
        <v>2466</v>
      </c>
      <c r="AH34" s="533">
        <v>27</v>
      </c>
      <c r="AI34" s="533">
        <v>17</v>
      </c>
      <c r="AJ34" s="533">
        <v>0</v>
      </c>
      <c r="AK34" s="533">
        <v>13</v>
      </c>
      <c r="AL34" s="533">
        <v>0</v>
      </c>
      <c r="AM34" s="533">
        <v>489</v>
      </c>
    </row>
    <row r="35" spans="1:39" hidden="1">
      <c r="A35" s="544" t="s">
        <v>923</v>
      </c>
      <c r="B35" s="532" t="s">
        <v>938</v>
      </c>
      <c r="C35" s="532"/>
      <c r="D35" s="533">
        <v>2830</v>
      </c>
      <c r="E35" s="533"/>
      <c r="F35" s="533">
        <v>8</v>
      </c>
      <c r="G35" s="533">
        <v>25</v>
      </c>
      <c r="H35" s="533">
        <v>123</v>
      </c>
      <c r="I35" s="533">
        <v>7</v>
      </c>
      <c r="J35" s="533">
        <v>641</v>
      </c>
      <c r="K35" s="533">
        <v>5</v>
      </c>
      <c r="L35" s="533">
        <v>18</v>
      </c>
      <c r="M35" s="533">
        <v>26</v>
      </c>
      <c r="N35" s="533">
        <v>252</v>
      </c>
      <c r="O35" s="533">
        <v>431</v>
      </c>
      <c r="P35" s="533">
        <v>409</v>
      </c>
      <c r="Q35" s="533">
        <v>0</v>
      </c>
      <c r="R35" s="533">
        <v>24</v>
      </c>
      <c r="S35" s="533">
        <v>19</v>
      </c>
      <c r="T35" s="533">
        <v>2</v>
      </c>
      <c r="U35" s="533">
        <v>3</v>
      </c>
      <c r="V35" s="534" t="s">
        <v>36</v>
      </c>
      <c r="W35" s="533">
        <v>0</v>
      </c>
      <c r="X35" s="533">
        <v>324</v>
      </c>
      <c r="Y35" s="533">
        <v>72</v>
      </c>
      <c r="Z35" s="533">
        <v>28</v>
      </c>
      <c r="AA35" s="533">
        <v>63</v>
      </c>
      <c r="AB35" s="533">
        <v>107</v>
      </c>
      <c r="AC35" s="533">
        <v>16</v>
      </c>
      <c r="AD35" s="533">
        <v>31</v>
      </c>
      <c r="AE35" s="533">
        <v>140</v>
      </c>
      <c r="AF35" s="533">
        <v>56</v>
      </c>
      <c r="AG35" s="533">
        <v>2432</v>
      </c>
      <c r="AH35" s="533">
        <v>10</v>
      </c>
      <c r="AI35" s="533">
        <v>49</v>
      </c>
      <c r="AJ35" s="533">
        <v>0</v>
      </c>
      <c r="AK35" s="533">
        <v>1</v>
      </c>
      <c r="AL35" s="533">
        <v>3</v>
      </c>
      <c r="AM35" s="533">
        <v>15</v>
      </c>
    </row>
    <row r="36" spans="1:39" hidden="1">
      <c r="A36" s="544" t="s">
        <v>923</v>
      </c>
      <c r="B36" s="532" t="s">
        <v>939</v>
      </c>
      <c r="C36" s="532"/>
      <c r="D36" s="533">
        <v>9376</v>
      </c>
      <c r="E36" s="533"/>
      <c r="F36" s="533">
        <v>42</v>
      </c>
      <c r="G36" s="533">
        <v>200</v>
      </c>
      <c r="H36" s="533">
        <v>144</v>
      </c>
      <c r="I36" s="533">
        <v>4</v>
      </c>
      <c r="J36" s="533">
        <v>1073</v>
      </c>
      <c r="K36" s="533">
        <v>0</v>
      </c>
      <c r="L36" s="533">
        <v>20</v>
      </c>
      <c r="M36" s="533">
        <v>63</v>
      </c>
      <c r="N36" s="533">
        <v>1521</v>
      </c>
      <c r="O36" s="533">
        <v>1599</v>
      </c>
      <c r="P36" s="533">
        <v>1944</v>
      </c>
      <c r="Q36" s="533">
        <v>0</v>
      </c>
      <c r="R36" s="533">
        <v>1</v>
      </c>
      <c r="S36" s="533">
        <v>8</v>
      </c>
      <c r="T36" s="533">
        <v>32</v>
      </c>
      <c r="U36" s="533">
        <v>9</v>
      </c>
      <c r="V36" s="534" t="s">
        <v>36</v>
      </c>
      <c r="W36" s="533">
        <v>0</v>
      </c>
      <c r="X36" s="533">
        <v>671</v>
      </c>
      <c r="Y36" s="533">
        <v>174</v>
      </c>
      <c r="Z36" s="533">
        <v>323</v>
      </c>
      <c r="AA36" s="533">
        <v>262</v>
      </c>
      <c r="AB36" s="533">
        <v>36</v>
      </c>
      <c r="AC36" s="533">
        <v>46</v>
      </c>
      <c r="AD36" s="533">
        <v>280</v>
      </c>
      <c r="AE36" s="533">
        <v>765</v>
      </c>
      <c r="AF36" s="533">
        <v>159</v>
      </c>
      <c r="AG36" s="533">
        <v>9485</v>
      </c>
      <c r="AH36" s="533">
        <v>46</v>
      </c>
      <c r="AI36" s="533">
        <v>943</v>
      </c>
      <c r="AJ36" s="533">
        <v>0</v>
      </c>
      <c r="AK36" s="533">
        <v>32</v>
      </c>
      <c r="AL36" s="533">
        <v>27</v>
      </c>
      <c r="AM36" s="533">
        <v>160</v>
      </c>
    </row>
    <row r="37" spans="1:39" hidden="1">
      <c r="A37" s="544" t="s">
        <v>923</v>
      </c>
      <c r="B37" s="532" t="s">
        <v>940</v>
      </c>
      <c r="C37" s="532"/>
      <c r="D37" s="533">
        <v>88974</v>
      </c>
      <c r="E37" s="533"/>
      <c r="F37" s="533">
        <v>55</v>
      </c>
      <c r="G37" s="533">
        <v>1759</v>
      </c>
      <c r="H37" s="533">
        <v>753</v>
      </c>
      <c r="I37" s="533">
        <v>0</v>
      </c>
      <c r="J37" s="533">
        <v>2429</v>
      </c>
      <c r="K37" s="533">
        <v>0</v>
      </c>
      <c r="L37" s="533">
        <v>196</v>
      </c>
      <c r="M37" s="533">
        <v>2318</v>
      </c>
      <c r="N37" s="533">
        <v>11100</v>
      </c>
      <c r="O37" s="533">
        <v>15949</v>
      </c>
      <c r="P37" s="533">
        <v>11537</v>
      </c>
      <c r="Q37" s="533">
        <v>0</v>
      </c>
      <c r="R37" s="533">
        <v>1511</v>
      </c>
      <c r="S37" s="533">
        <v>90</v>
      </c>
      <c r="T37" s="533">
        <v>0</v>
      </c>
      <c r="U37" s="533">
        <v>37</v>
      </c>
      <c r="V37" s="534" t="s">
        <v>36</v>
      </c>
      <c r="W37" s="533">
        <v>37</v>
      </c>
      <c r="X37" s="533">
        <v>8647</v>
      </c>
      <c r="Y37" s="533">
        <v>669</v>
      </c>
      <c r="Z37" s="533">
        <v>4146</v>
      </c>
      <c r="AA37" s="533">
        <v>5964</v>
      </c>
      <c r="AB37" s="533">
        <v>836</v>
      </c>
      <c r="AC37" s="533">
        <v>1534</v>
      </c>
      <c r="AD37" s="533">
        <v>2724</v>
      </c>
      <c r="AE37" s="533">
        <v>15397</v>
      </c>
      <c r="AF37" s="533">
        <v>1286</v>
      </c>
      <c r="AG37" s="533">
        <v>103158</v>
      </c>
      <c r="AH37" s="533">
        <v>1107</v>
      </c>
      <c r="AI37" s="533">
        <v>26230</v>
      </c>
      <c r="AJ37" s="533">
        <v>11700</v>
      </c>
      <c r="AK37" s="533">
        <v>1771</v>
      </c>
      <c r="AL37" s="533">
        <v>514</v>
      </c>
      <c r="AM37" s="533">
        <v>12731</v>
      </c>
    </row>
    <row r="38" spans="1:39" hidden="1">
      <c r="A38" s="544" t="s">
        <v>660</v>
      </c>
      <c r="B38" s="532" t="s">
        <v>941</v>
      </c>
      <c r="C38" s="532"/>
      <c r="D38" s="533">
        <v>1651</v>
      </c>
      <c r="E38" s="533"/>
      <c r="F38" s="533">
        <v>0</v>
      </c>
      <c r="G38" s="533">
        <v>0</v>
      </c>
      <c r="H38" s="533">
        <v>1</v>
      </c>
      <c r="I38" s="533">
        <v>0</v>
      </c>
      <c r="J38" s="533">
        <v>1508</v>
      </c>
      <c r="K38" s="533">
        <v>0</v>
      </c>
      <c r="L38" s="533">
        <v>0</v>
      </c>
      <c r="M38" s="533">
        <v>1</v>
      </c>
      <c r="N38" s="533">
        <v>60</v>
      </c>
      <c r="O38" s="533">
        <v>3</v>
      </c>
      <c r="P38" s="533">
        <v>34</v>
      </c>
      <c r="Q38" s="533">
        <v>1</v>
      </c>
      <c r="R38" s="533">
        <v>0</v>
      </c>
      <c r="S38" s="533">
        <v>0</v>
      </c>
      <c r="T38" s="533">
        <v>0</v>
      </c>
      <c r="U38" s="533">
        <v>0</v>
      </c>
      <c r="V38" s="533">
        <v>0</v>
      </c>
      <c r="W38" s="533">
        <v>3</v>
      </c>
      <c r="X38" s="533">
        <v>30</v>
      </c>
      <c r="Y38" s="533">
        <v>0</v>
      </c>
      <c r="Z38" s="533">
        <v>2</v>
      </c>
      <c r="AA38" s="533">
        <v>0</v>
      </c>
      <c r="AB38" s="533">
        <v>0</v>
      </c>
      <c r="AC38" s="533">
        <v>0</v>
      </c>
      <c r="AD38" s="533">
        <v>4</v>
      </c>
      <c r="AE38" s="533">
        <v>4</v>
      </c>
      <c r="AF38" s="533">
        <v>0</v>
      </c>
      <c r="AG38" s="533">
        <v>1649</v>
      </c>
      <c r="AH38" s="533">
        <v>0</v>
      </c>
      <c r="AI38" s="533">
        <v>0</v>
      </c>
      <c r="AJ38" s="533">
        <v>0</v>
      </c>
      <c r="AK38" s="533">
        <v>0</v>
      </c>
      <c r="AL38" s="533">
        <v>0</v>
      </c>
      <c r="AM38" s="533">
        <v>0</v>
      </c>
    </row>
    <row r="39" spans="1:39">
      <c r="A39" s="544" t="s">
        <v>664</v>
      </c>
      <c r="B39" s="532" t="s">
        <v>942</v>
      </c>
      <c r="C39" s="532"/>
      <c r="D39" s="533">
        <v>98</v>
      </c>
      <c r="E39" s="533">
        <f>SUM(F39:AF39)</f>
        <v>88</v>
      </c>
      <c r="F39" s="533">
        <v>2</v>
      </c>
      <c r="G39" s="533">
        <v>0</v>
      </c>
      <c r="H39" s="533">
        <v>0</v>
      </c>
      <c r="I39" s="533">
        <v>3</v>
      </c>
      <c r="J39" s="533">
        <v>0</v>
      </c>
      <c r="K39" s="533">
        <v>0</v>
      </c>
      <c r="L39" s="533">
        <v>0</v>
      </c>
      <c r="M39" s="533">
        <v>0</v>
      </c>
      <c r="N39" s="533">
        <v>0</v>
      </c>
      <c r="O39" s="533">
        <v>0</v>
      </c>
      <c r="P39" s="533">
        <v>0</v>
      </c>
      <c r="Q39" s="533">
        <v>0</v>
      </c>
      <c r="R39" s="533">
        <v>0</v>
      </c>
      <c r="S39" s="533">
        <v>0</v>
      </c>
      <c r="T39" s="533">
        <v>24</v>
      </c>
      <c r="U39" s="533">
        <v>0</v>
      </c>
      <c r="V39" s="533">
        <v>0</v>
      </c>
      <c r="W39" s="533">
        <v>48</v>
      </c>
      <c r="X39" s="533">
        <v>0</v>
      </c>
      <c r="Y39" s="533">
        <v>0</v>
      </c>
      <c r="Z39" s="533">
        <v>0</v>
      </c>
      <c r="AA39" s="533">
        <v>0</v>
      </c>
      <c r="AB39" s="533">
        <v>0</v>
      </c>
      <c r="AC39" s="533">
        <v>0</v>
      </c>
      <c r="AD39" s="533">
        <v>0</v>
      </c>
      <c r="AE39" s="533">
        <v>0</v>
      </c>
      <c r="AF39" s="533">
        <v>11</v>
      </c>
      <c r="AG39" s="533">
        <v>105</v>
      </c>
      <c r="AH39" s="533">
        <v>0</v>
      </c>
      <c r="AI39" s="533">
        <v>7</v>
      </c>
      <c r="AJ39" s="533">
        <v>26</v>
      </c>
      <c r="AK39" s="533">
        <v>0</v>
      </c>
      <c r="AL39" s="533">
        <v>0</v>
      </c>
      <c r="AM39" s="533">
        <v>0</v>
      </c>
    </row>
    <row r="40" spans="1:39" hidden="1">
      <c r="A40" s="544" t="s">
        <v>923</v>
      </c>
      <c r="B40" s="532" t="s">
        <v>943</v>
      </c>
      <c r="C40" s="532"/>
      <c r="D40" s="533">
        <v>1748</v>
      </c>
      <c r="E40" s="533"/>
      <c r="F40" s="533">
        <v>2</v>
      </c>
      <c r="G40" s="533">
        <v>0</v>
      </c>
      <c r="H40" s="533">
        <v>1</v>
      </c>
      <c r="I40" s="533">
        <v>3</v>
      </c>
      <c r="J40" s="533">
        <v>1508</v>
      </c>
      <c r="K40" s="533">
        <v>0</v>
      </c>
      <c r="L40" s="533">
        <v>0</v>
      </c>
      <c r="M40" s="533">
        <v>1</v>
      </c>
      <c r="N40" s="533">
        <v>60</v>
      </c>
      <c r="O40" s="533">
        <v>13</v>
      </c>
      <c r="P40" s="533">
        <v>34</v>
      </c>
      <c r="Q40" s="533">
        <v>0</v>
      </c>
      <c r="R40" s="533">
        <v>0</v>
      </c>
      <c r="S40" s="533">
        <v>0</v>
      </c>
      <c r="T40" s="533">
        <v>24</v>
      </c>
      <c r="U40" s="533">
        <v>0</v>
      </c>
      <c r="V40" s="534" t="s">
        <v>36</v>
      </c>
      <c r="W40" s="533">
        <v>51</v>
      </c>
      <c r="X40" s="533">
        <v>30</v>
      </c>
      <c r="Y40" s="533">
        <v>0</v>
      </c>
      <c r="Z40" s="533">
        <v>2</v>
      </c>
      <c r="AA40" s="533">
        <v>0</v>
      </c>
      <c r="AB40" s="533">
        <v>0</v>
      </c>
      <c r="AC40" s="533">
        <v>0</v>
      </c>
      <c r="AD40" s="533">
        <v>4</v>
      </c>
      <c r="AE40" s="533">
        <v>4</v>
      </c>
      <c r="AF40" s="533">
        <v>11</v>
      </c>
      <c r="AG40" s="533">
        <v>1754</v>
      </c>
      <c r="AH40" s="533">
        <v>0</v>
      </c>
      <c r="AI40" s="533">
        <v>7</v>
      </c>
      <c r="AJ40" s="533">
        <v>26</v>
      </c>
      <c r="AK40" s="533">
        <v>0</v>
      </c>
      <c r="AL40" s="533">
        <v>0</v>
      </c>
      <c r="AM40" s="533">
        <v>0</v>
      </c>
    </row>
    <row r="41" spans="1:39" hidden="1">
      <c r="A41" s="544" t="s">
        <v>923</v>
      </c>
      <c r="B41" s="532" t="s">
        <v>944</v>
      </c>
      <c r="C41" s="532"/>
      <c r="D41" s="533">
        <v>0</v>
      </c>
      <c r="E41" s="533"/>
      <c r="F41" s="533">
        <v>0</v>
      </c>
      <c r="G41" s="533">
        <v>0</v>
      </c>
      <c r="H41" s="533">
        <v>0</v>
      </c>
      <c r="I41" s="533">
        <v>0</v>
      </c>
      <c r="J41" s="533">
        <v>0</v>
      </c>
      <c r="K41" s="533">
        <v>0</v>
      </c>
      <c r="L41" s="533">
        <v>0</v>
      </c>
      <c r="M41" s="533">
        <v>0</v>
      </c>
      <c r="N41" s="533">
        <v>0</v>
      </c>
      <c r="O41" s="533">
        <v>0</v>
      </c>
      <c r="P41" s="533">
        <v>0</v>
      </c>
      <c r="Q41" s="533">
        <v>0</v>
      </c>
      <c r="R41" s="533">
        <v>0</v>
      </c>
      <c r="S41" s="533">
        <v>0</v>
      </c>
      <c r="T41" s="533">
        <v>0</v>
      </c>
      <c r="U41" s="533">
        <v>0</v>
      </c>
      <c r="V41" s="534" t="s">
        <v>36</v>
      </c>
      <c r="W41" s="533">
        <v>0</v>
      </c>
      <c r="X41" s="533">
        <v>0</v>
      </c>
      <c r="Y41" s="533">
        <v>0</v>
      </c>
      <c r="Z41" s="533">
        <v>0</v>
      </c>
      <c r="AA41" s="533">
        <v>0</v>
      </c>
      <c r="AB41" s="533">
        <v>0</v>
      </c>
      <c r="AC41" s="533">
        <v>0</v>
      </c>
      <c r="AD41" s="533">
        <v>0</v>
      </c>
      <c r="AE41" s="533">
        <v>0</v>
      </c>
      <c r="AF41" s="533">
        <v>0</v>
      </c>
      <c r="AG41" s="533">
        <v>0</v>
      </c>
      <c r="AH41" s="533">
        <v>0</v>
      </c>
      <c r="AI41" s="533">
        <v>0</v>
      </c>
      <c r="AJ41" s="533">
        <v>0</v>
      </c>
      <c r="AK41" s="533">
        <v>0</v>
      </c>
      <c r="AL41" s="533">
        <v>0</v>
      </c>
      <c r="AM41" s="533">
        <v>0</v>
      </c>
    </row>
    <row r="42" spans="1:39" hidden="1">
      <c r="A42" s="544" t="s">
        <v>923</v>
      </c>
      <c r="B42" s="532" t="s">
        <v>945</v>
      </c>
      <c r="C42" s="532"/>
      <c r="D42" s="533">
        <v>4464</v>
      </c>
      <c r="E42" s="533"/>
      <c r="F42" s="533">
        <v>139</v>
      </c>
      <c r="G42" s="533">
        <v>0</v>
      </c>
      <c r="H42" s="533">
        <v>3</v>
      </c>
      <c r="I42" s="533">
        <v>306</v>
      </c>
      <c r="J42" s="533">
        <v>1256</v>
      </c>
      <c r="K42" s="533">
        <v>0</v>
      </c>
      <c r="L42" s="533">
        <v>0</v>
      </c>
      <c r="M42" s="533">
        <v>0</v>
      </c>
      <c r="N42" s="533">
        <v>189</v>
      </c>
      <c r="O42" s="533">
        <v>678</v>
      </c>
      <c r="P42" s="533">
        <v>465</v>
      </c>
      <c r="Q42" s="533">
        <v>0</v>
      </c>
      <c r="R42" s="533">
        <v>0</v>
      </c>
      <c r="S42" s="533">
        <v>0</v>
      </c>
      <c r="T42" s="533">
        <v>8</v>
      </c>
      <c r="U42" s="533">
        <v>24</v>
      </c>
      <c r="V42" s="534" t="s">
        <v>36</v>
      </c>
      <c r="W42" s="533">
        <v>429</v>
      </c>
      <c r="X42" s="533">
        <v>364</v>
      </c>
      <c r="Y42" s="533">
        <v>0</v>
      </c>
      <c r="Z42" s="533">
        <v>77</v>
      </c>
      <c r="AA42" s="533">
        <v>0</v>
      </c>
      <c r="AB42" s="533">
        <v>0</v>
      </c>
      <c r="AC42" s="533">
        <v>6</v>
      </c>
      <c r="AD42" s="533">
        <v>0</v>
      </c>
      <c r="AE42" s="533">
        <v>291</v>
      </c>
      <c r="AF42" s="533">
        <v>229</v>
      </c>
      <c r="AG42" s="533">
        <v>4457</v>
      </c>
      <c r="AH42" s="533">
        <v>0</v>
      </c>
      <c r="AI42" s="533">
        <v>26</v>
      </c>
      <c r="AJ42" s="533">
        <v>302</v>
      </c>
      <c r="AK42" s="533">
        <v>0</v>
      </c>
      <c r="AL42" s="533">
        <v>0</v>
      </c>
      <c r="AM42" s="533">
        <v>0</v>
      </c>
    </row>
    <row r="43" spans="1:39" hidden="1">
      <c r="A43" s="544" t="s">
        <v>923</v>
      </c>
      <c r="B43" s="532" t="s">
        <v>946</v>
      </c>
      <c r="C43" s="532"/>
      <c r="D43" s="533">
        <v>9470</v>
      </c>
      <c r="E43" s="533"/>
      <c r="F43" s="533">
        <v>294</v>
      </c>
      <c r="G43" s="533">
        <v>0</v>
      </c>
      <c r="H43" s="533">
        <v>102</v>
      </c>
      <c r="I43" s="533">
        <v>584</v>
      </c>
      <c r="J43" s="533">
        <v>1008</v>
      </c>
      <c r="K43" s="533">
        <v>10</v>
      </c>
      <c r="L43" s="533">
        <v>2</v>
      </c>
      <c r="M43" s="533">
        <v>0</v>
      </c>
      <c r="N43" s="533">
        <v>354</v>
      </c>
      <c r="O43" s="533">
        <v>231</v>
      </c>
      <c r="P43" s="533">
        <v>358</v>
      </c>
      <c r="Q43" s="533">
        <v>0</v>
      </c>
      <c r="R43" s="533">
        <v>3</v>
      </c>
      <c r="S43" s="533">
        <v>2</v>
      </c>
      <c r="T43" s="533">
        <v>0</v>
      </c>
      <c r="U43" s="533">
        <v>337</v>
      </c>
      <c r="V43" s="534" t="s">
        <v>36</v>
      </c>
      <c r="W43" s="533">
        <v>343</v>
      </c>
      <c r="X43" s="533">
        <v>766</v>
      </c>
      <c r="Y43" s="533">
        <v>25</v>
      </c>
      <c r="Z43" s="533">
        <v>273</v>
      </c>
      <c r="AA43" s="533">
        <v>0</v>
      </c>
      <c r="AB43" s="533">
        <v>13</v>
      </c>
      <c r="AC43" s="533">
        <v>44</v>
      </c>
      <c r="AD43" s="533">
        <v>1720</v>
      </c>
      <c r="AE43" s="533">
        <v>2526</v>
      </c>
      <c r="AF43" s="533">
        <v>475</v>
      </c>
      <c r="AG43" s="533">
        <v>9013</v>
      </c>
      <c r="AH43" s="533">
        <v>0</v>
      </c>
      <c r="AI43" s="533">
        <v>79</v>
      </c>
      <c r="AJ43" s="533">
        <v>0</v>
      </c>
      <c r="AK43" s="533">
        <v>0</v>
      </c>
      <c r="AL43" s="533">
        <v>0</v>
      </c>
      <c r="AM43" s="533">
        <v>72</v>
      </c>
    </row>
    <row r="44" spans="1:39" hidden="1">
      <c r="A44" s="544" t="s">
        <v>923</v>
      </c>
      <c r="B44" s="532" t="s">
        <v>947</v>
      </c>
      <c r="C44" s="532"/>
      <c r="D44" s="533">
        <v>217</v>
      </c>
      <c r="E44" s="533"/>
      <c r="F44" s="533">
        <v>17</v>
      </c>
      <c r="G44" s="533">
        <v>7</v>
      </c>
      <c r="H44" s="533">
        <v>0</v>
      </c>
      <c r="I44" s="533">
        <v>0</v>
      </c>
      <c r="J44" s="533">
        <v>4</v>
      </c>
      <c r="K44" s="533">
        <v>0</v>
      </c>
      <c r="L44" s="533">
        <v>0</v>
      </c>
      <c r="M44" s="533">
        <v>24</v>
      </c>
      <c r="N44" s="533">
        <v>0</v>
      </c>
      <c r="O44" s="533">
        <v>0</v>
      </c>
      <c r="P44" s="533">
        <v>34</v>
      </c>
      <c r="Q44" s="533">
        <v>0</v>
      </c>
      <c r="R44" s="533">
        <v>0</v>
      </c>
      <c r="S44" s="533">
        <v>0</v>
      </c>
      <c r="T44" s="533">
        <v>0</v>
      </c>
      <c r="U44" s="533">
        <v>2</v>
      </c>
      <c r="V44" s="534" t="s">
        <v>36</v>
      </c>
      <c r="W44" s="533">
        <v>0</v>
      </c>
      <c r="X44" s="533">
        <v>0</v>
      </c>
      <c r="Y44" s="533">
        <v>3</v>
      </c>
      <c r="Z44" s="533">
        <v>4</v>
      </c>
      <c r="AA44" s="533">
        <v>0</v>
      </c>
      <c r="AB44" s="533">
        <v>2</v>
      </c>
      <c r="AC44" s="533">
        <v>0</v>
      </c>
      <c r="AD44" s="533">
        <v>0</v>
      </c>
      <c r="AE44" s="533">
        <v>120</v>
      </c>
      <c r="AF44" s="533">
        <v>0</v>
      </c>
      <c r="AG44" s="533">
        <v>208</v>
      </c>
      <c r="AH44" s="533">
        <v>0</v>
      </c>
      <c r="AI44" s="533">
        <v>5</v>
      </c>
      <c r="AJ44" s="533">
        <v>0</v>
      </c>
      <c r="AK44" s="533">
        <v>0</v>
      </c>
      <c r="AL44" s="533">
        <v>0</v>
      </c>
      <c r="AM44" s="533">
        <v>27</v>
      </c>
    </row>
    <row r="45" spans="1:39" hidden="1">
      <c r="A45" s="544" t="s">
        <v>660</v>
      </c>
      <c r="B45" s="532" t="s">
        <v>948</v>
      </c>
      <c r="C45" s="532"/>
      <c r="D45" s="533">
        <v>240</v>
      </c>
      <c r="E45" s="533"/>
      <c r="F45" s="533">
        <v>0</v>
      </c>
      <c r="G45" s="533">
        <v>0</v>
      </c>
      <c r="H45" s="533">
        <v>0</v>
      </c>
      <c r="I45" s="533">
        <v>0</v>
      </c>
      <c r="J45" s="533">
        <v>0</v>
      </c>
      <c r="K45" s="533">
        <v>0</v>
      </c>
      <c r="L45" s="533">
        <v>0</v>
      </c>
      <c r="M45" s="533">
        <v>0</v>
      </c>
      <c r="N45" s="533">
        <v>0</v>
      </c>
      <c r="O45" s="533">
        <v>240</v>
      </c>
      <c r="P45" s="533">
        <v>0</v>
      </c>
      <c r="Q45" s="533">
        <v>0</v>
      </c>
      <c r="R45" s="533">
        <v>0</v>
      </c>
      <c r="S45" s="533">
        <v>0</v>
      </c>
      <c r="T45" s="533">
        <v>0</v>
      </c>
      <c r="U45" s="533">
        <v>0</v>
      </c>
      <c r="V45" s="533">
        <v>0</v>
      </c>
      <c r="W45" s="533">
        <v>0</v>
      </c>
      <c r="X45" s="533">
        <v>0</v>
      </c>
      <c r="Y45" s="533">
        <v>0</v>
      </c>
      <c r="Z45" s="533">
        <v>0</v>
      </c>
      <c r="AA45" s="533">
        <v>0</v>
      </c>
      <c r="AB45" s="533">
        <v>0</v>
      </c>
      <c r="AC45" s="533">
        <v>0</v>
      </c>
      <c r="AD45" s="533">
        <v>0</v>
      </c>
      <c r="AE45" s="533">
        <v>0</v>
      </c>
      <c r="AF45" s="533">
        <v>0</v>
      </c>
      <c r="AG45" s="533">
        <v>240</v>
      </c>
      <c r="AH45" s="533">
        <v>0</v>
      </c>
      <c r="AI45" s="533">
        <v>0</v>
      </c>
      <c r="AJ45" s="533">
        <v>0</v>
      </c>
      <c r="AK45" s="533">
        <v>0</v>
      </c>
      <c r="AL45" s="533">
        <v>0</v>
      </c>
      <c r="AM45" s="533">
        <v>0</v>
      </c>
    </row>
    <row r="46" spans="1:39">
      <c r="A46" s="544" t="s">
        <v>664</v>
      </c>
      <c r="B46" s="532" t="s">
        <v>949</v>
      </c>
      <c r="C46" s="532"/>
      <c r="D46" s="533">
        <v>1</v>
      </c>
      <c r="E46" s="533">
        <f>SUM(F46:AF46)</f>
        <v>1</v>
      </c>
      <c r="F46" s="533">
        <v>0</v>
      </c>
      <c r="G46" s="533">
        <v>0</v>
      </c>
      <c r="H46" s="533">
        <v>0</v>
      </c>
      <c r="I46" s="533">
        <v>0</v>
      </c>
      <c r="J46" s="533">
        <v>0</v>
      </c>
      <c r="K46" s="533">
        <v>0</v>
      </c>
      <c r="L46" s="533">
        <v>0</v>
      </c>
      <c r="M46" s="533">
        <v>0</v>
      </c>
      <c r="N46" s="533">
        <v>0</v>
      </c>
      <c r="O46" s="533">
        <v>0</v>
      </c>
      <c r="P46" s="533">
        <v>0</v>
      </c>
      <c r="Q46" s="533">
        <v>0</v>
      </c>
      <c r="R46" s="533">
        <v>0</v>
      </c>
      <c r="S46" s="533">
        <v>0</v>
      </c>
      <c r="T46" s="533">
        <v>0</v>
      </c>
      <c r="U46" s="533">
        <v>0</v>
      </c>
      <c r="V46" s="533">
        <v>0</v>
      </c>
      <c r="W46" s="533">
        <v>0</v>
      </c>
      <c r="X46" s="533">
        <v>0</v>
      </c>
      <c r="Y46" s="533">
        <v>0</v>
      </c>
      <c r="Z46" s="533">
        <v>0</v>
      </c>
      <c r="AA46" s="533">
        <v>0</v>
      </c>
      <c r="AB46" s="533">
        <v>0</v>
      </c>
      <c r="AC46" s="533">
        <v>0</v>
      </c>
      <c r="AD46" s="533">
        <v>0</v>
      </c>
      <c r="AE46" s="533">
        <v>0</v>
      </c>
      <c r="AF46" s="533">
        <v>1</v>
      </c>
      <c r="AG46" s="533">
        <v>1</v>
      </c>
      <c r="AH46" s="533">
        <v>0</v>
      </c>
      <c r="AI46" s="533">
        <v>0</v>
      </c>
      <c r="AJ46" s="533">
        <v>0</v>
      </c>
      <c r="AK46" s="533">
        <v>0</v>
      </c>
      <c r="AL46" s="533">
        <v>0</v>
      </c>
      <c r="AM46" s="533">
        <v>0</v>
      </c>
    </row>
    <row r="47" spans="1:39" hidden="1">
      <c r="A47" s="544" t="s">
        <v>923</v>
      </c>
      <c r="B47" s="532" t="s">
        <v>950</v>
      </c>
      <c r="C47" s="532"/>
      <c r="D47" s="533">
        <v>241</v>
      </c>
      <c r="E47" s="533"/>
      <c r="F47" s="533">
        <v>0</v>
      </c>
      <c r="G47" s="533">
        <v>0</v>
      </c>
      <c r="H47" s="533">
        <v>0</v>
      </c>
      <c r="I47" s="533">
        <v>0</v>
      </c>
      <c r="J47" s="533">
        <v>0</v>
      </c>
      <c r="K47" s="533">
        <v>0</v>
      </c>
      <c r="L47" s="533">
        <v>0</v>
      </c>
      <c r="M47" s="533">
        <v>0</v>
      </c>
      <c r="N47" s="533">
        <v>0</v>
      </c>
      <c r="O47" s="533">
        <v>240</v>
      </c>
      <c r="P47" s="533">
        <v>0</v>
      </c>
      <c r="Q47" s="533">
        <v>0</v>
      </c>
      <c r="R47" s="533">
        <v>0</v>
      </c>
      <c r="S47" s="533">
        <v>0</v>
      </c>
      <c r="T47" s="533">
        <v>0</v>
      </c>
      <c r="U47" s="533">
        <v>0</v>
      </c>
      <c r="V47" s="534" t="s">
        <v>36</v>
      </c>
      <c r="W47" s="533">
        <v>0</v>
      </c>
      <c r="X47" s="533">
        <v>0</v>
      </c>
      <c r="Y47" s="533">
        <v>0</v>
      </c>
      <c r="Z47" s="533">
        <v>0</v>
      </c>
      <c r="AA47" s="533">
        <v>0</v>
      </c>
      <c r="AB47" s="533">
        <v>0</v>
      </c>
      <c r="AC47" s="533">
        <v>0</v>
      </c>
      <c r="AD47" s="533">
        <v>0</v>
      </c>
      <c r="AE47" s="533">
        <v>0</v>
      </c>
      <c r="AF47" s="533">
        <v>1</v>
      </c>
      <c r="AG47" s="533">
        <v>241</v>
      </c>
      <c r="AH47" s="533">
        <v>0</v>
      </c>
      <c r="AI47" s="533">
        <v>0</v>
      </c>
      <c r="AJ47" s="533">
        <v>0</v>
      </c>
      <c r="AK47" s="533">
        <v>0</v>
      </c>
      <c r="AL47" s="533">
        <v>0</v>
      </c>
      <c r="AM47" s="533">
        <v>0</v>
      </c>
    </row>
    <row r="48" spans="1:39" hidden="1">
      <c r="A48" s="544" t="s">
        <v>923</v>
      </c>
      <c r="B48" s="532" t="s">
        <v>951</v>
      </c>
      <c r="C48" s="532"/>
      <c r="D48" s="533">
        <v>1608</v>
      </c>
      <c r="E48" s="533"/>
      <c r="F48" s="533">
        <v>36</v>
      </c>
      <c r="G48" s="533">
        <v>0</v>
      </c>
      <c r="H48" s="533">
        <v>17</v>
      </c>
      <c r="I48" s="533">
        <v>9</v>
      </c>
      <c r="J48" s="533">
        <v>250</v>
      </c>
      <c r="K48" s="533">
        <v>2</v>
      </c>
      <c r="L48" s="533">
        <v>18</v>
      </c>
      <c r="M48" s="533">
        <v>14</v>
      </c>
      <c r="N48" s="533">
        <v>117</v>
      </c>
      <c r="O48" s="533">
        <v>74</v>
      </c>
      <c r="P48" s="533">
        <v>237</v>
      </c>
      <c r="Q48" s="533">
        <v>0</v>
      </c>
      <c r="R48" s="533">
        <v>6</v>
      </c>
      <c r="S48" s="533">
        <v>0</v>
      </c>
      <c r="T48" s="533">
        <v>0</v>
      </c>
      <c r="U48" s="533">
        <v>0</v>
      </c>
      <c r="V48" s="534" t="s">
        <v>36</v>
      </c>
      <c r="W48" s="533">
        <v>31</v>
      </c>
      <c r="X48" s="533">
        <v>10</v>
      </c>
      <c r="Y48" s="533">
        <v>23</v>
      </c>
      <c r="Z48" s="533">
        <v>0</v>
      </c>
      <c r="AA48" s="533">
        <v>0</v>
      </c>
      <c r="AB48" s="533">
        <v>4</v>
      </c>
      <c r="AC48" s="533">
        <v>0</v>
      </c>
      <c r="AD48" s="533">
        <v>0</v>
      </c>
      <c r="AE48" s="533">
        <v>0</v>
      </c>
      <c r="AF48" s="533">
        <v>760</v>
      </c>
      <c r="AG48" s="533">
        <v>1557</v>
      </c>
      <c r="AH48" s="533">
        <v>1</v>
      </c>
      <c r="AI48" s="533">
        <v>0</v>
      </c>
      <c r="AJ48" s="533">
        <v>7</v>
      </c>
      <c r="AK48" s="533">
        <v>2</v>
      </c>
      <c r="AL48" s="533">
        <v>0</v>
      </c>
      <c r="AM48" s="533">
        <v>4</v>
      </c>
    </row>
    <row r="49" spans="1:39" hidden="1">
      <c r="A49" s="544" t="s">
        <v>923</v>
      </c>
      <c r="B49" s="532" t="s">
        <v>952</v>
      </c>
      <c r="C49" s="532"/>
      <c r="D49" s="533">
        <v>487</v>
      </c>
      <c r="E49" s="533"/>
      <c r="F49" s="533">
        <v>2</v>
      </c>
      <c r="G49" s="533">
        <v>0</v>
      </c>
      <c r="H49" s="533">
        <v>17</v>
      </c>
      <c r="I49" s="533">
        <v>10</v>
      </c>
      <c r="J49" s="533">
        <v>159</v>
      </c>
      <c r="K49" s="533">
        <v>0</v>
      </c>
      <c r="L49" s="533">
        <v>0</v>
      </c>
      <c r="M49" s="533">
        <v>10</v>
      </c>
      <c r="N49" s="533">
        <v>30</v>
      </c>
      <c r="O49" s="533">
        <v>14</v>
      </c>
      <c r="P49" s="533">
        <v>5</v>
      </c>
      <c r="Q49" s="533">
        <v>0</v>
      </c>
      <c r="R49" s="533">
        <v>1</v>
      </c>
      <c r="S49" s="533">
        <v>2</v>
      </c>
      <c r="T49" s="533">
        <v>2</v>
      </c>
      <c r="U49" s="533">
        <v>3</v>
      </c>
      <c r="V49" s="534" t="s">
        <v>36</v>
      </c>
      <c r="W49" s="533">
        <v>23</v>
      </c>
      <c r="X49" s="533">
        <v>20</v>
      </c>
      <c r="Y49" s="533">
        <v>7</v>
      </c>
      <c r="Z49" s="533">
        <v>0</v>
      </c>
      <c r="AA49" s="533">
        <v>0</v>
      </c>
      <c r="AB49" s="533">
        <v>1</v>
      </c>
      <c r="AC49" s="533">
        <v>1</v>
      </c>
      <c r="AD49" s="533">
        <v>0</v>
      </c>
      <c r="AE49" s="533">
        <v>42</v>
      </c>
      <c r="AF49" s="533">
        <v>138</v>
      </c>
      <c r="AG49" s="533">
        <v>455</v>
      </c>
      <c r="AH49" s="533">
        <v>0</v>
      </c>
      <c r="AI49" s="533">
        <v>0</v>
      </c>
      <c r="AJ49" s="533">
        <v>27</v>
      </c>
      <c r="AK49" s="533">
        <v>0</v>
      </c>
      <c r="AL49" s="533">
        <v>0</v>
      </c>
      <c r="AM49" s="533">
        <v>0</v>
      </c>
    </row>
    <row r="50" spans="1:39" hidden="1">
      <c r="A50" s="544" t="s">
        <v>923</v>
      </c>
      <c r="B50" s="532" t="s">
        <v>953</v>
      </c>
      <c r="C50" s="532"/>
      <c r="D50" s="533">
        <v>807</v>
      </c>
      <c r="E50" s="533"/>
      <c r="F50" s="533">
        <v>18</v>
      </c>
      <c r="G50" s="533">
        <v>0</v>
      </c>
      <c r="H50" s="533">
        <v>2</v>
      </c>
      <c r="I50" s="533">
        <v>46</v>
      </c>
      <c r="J50" s="533">
        <v>665</v>
      </c>
      <c r="K50" s="533">
        <v>0</v>
      </c>
      <c r="L50" s="533">
        <v>0</v>
      </c>
      <c r="M50" s="533">
        <v>0</v>
      </c>
      <c r="N50" s="533">
        <v>5</v>
      </c>
      <c r="O50" s="533">
        <v>0</v>
      </c>
      <c r="P50" s="533">
        <v>42</v>
      </c>
      <c r="Q50" s="533">
        <v>0</v>
      </c>
      <c r="R50" s="533">
        <v>0</v>
      </c>
      <c r="S50" s="533">
        <v>1</v>
      </c>
      <c r="T50" s="533">
        <v>3</v>
      </c>
      <c r="U50" s="533">
        <v>3</v>
      </c>
      <c r="V50" s="534" t="s">
        <v>36</v>
      </c>
      <c r="W50" s="533">
        <v>13</v>
      </c>
      <c r="X50" s="533">
        <v>0</v>
      </c>
      <c r="Y50" s="533">
        <v>0</v>
      </c>
      <c r="Z50" s="533">
        <v>8</v>
      </c>
      <c r="AA50" s="533">
        <v>0</v>
      </c>
      <c r="AB50" s="533">
        <v>0</v>
      </c>
      <c r="AC50" s="533">
        <v>1</v>
      </c>
      <c r="AD50" s="533">
        <v>0</v>
      </c>
      <c r="AE50" s="533">
        <v>0</v>
      </c>
      <c r="AF50" s="533">
        <v>0</v>
      </c>
      <c r="AG50" s="533">
        <v>800</v>
      </c>
      <c r="AH50" s="533">
        <v>0</v>
      </c>
      <c r="AI50" s="533">
        <v>0</v>
      </c>
      <c r="AJ50" s="533">
        <v>0</v>
      </c>
      <c r="AK50" s="533">
        <v>0</v>
      </c>
      <c r="AL50" s="533">
        <v>0</v>
      </c>
      <c r="AM50" s="533">
        <v>5</v>
      </c>
    </row>
    <row r="51" spans="1:39" hidden="1">
      <c r="A51" s="544" t="s">
        <v>923</v>
      </c>
      <c r="B51" s="532" t="s">
        <v>954</v>
      </c>
      <c r="C51" s="532"/>
      <c r="D51" s="533">
        <v>780</v>
      </c>
      <c r="E51" s="533"/>
      <c r="F51" s="533">
        <v>95</v>
      </c>
      <c r="G51" s="533">
        <v>0</v>
      </c>
      <c r="H51" s="533">
        <v>0</v>
      </c>
      <c r="I51" s="533">
        <v>0</v>
      </c>
      <c r="J51" s="533">
        <v>162</v>
      </c>
      <c r="K51" s="533">
        <v>0</v>
      </c>
      <c r="L51" s="533">
        <v>0</v>
      </c>
      <c r="M51" s="533">
        <v>0</v>
      </c>
      <c r="N51" s="533">
        <v>0</v>
      </c>
      <c r="O51" s="533">
        <v>0</v>
      </c>
      <c r="P51" s="533">
        <v>0</v>
      </c>
      <c r="Q51" s="533">
        <v>0</v>
      </c>
      <c r="R51" s="533">
        <v>0</v>
      </c>
      <c r="S51" s="533">
        <v>0</v>
      </c>
      <c r="T51" s="533">
        <v>0</v>
      </c>
      <c r="U51" s="533">
        <v>0</v>
      </c>
      <c r="V51" s="534" t="s">
        <v>36</v>
      </c>
      <c r="W51" s="533">
        <v>499</v>
      </c>
      <c r="X51" s="533">
        <v>24</v>
      </c>
      <c r="Y51" s="533">
        <v>0</v>
      </c>
      <c r="Z51" s="533">
        <v>0</v>
      </c>
      <c r="AA51" s="533">
        <v>0</v>
      </c>
      <c r="AB51" s="533">
        <v>0</v>
      </c>
      <c r="AC51" s="533">
        <v>0</v>
      </c>
      <c r="AD51" s="533">
        <v>0</v>
      </c>
      <c r="AE51" s="533">
        <v>0</v>
      </c>
      <c r="AF51" s="533">
        <v>0</v>
      </c>
      <c r="AG51" s="533">
        <v>780</v>
      </c>
      <c r="AH51" s="533">
        <v>0</v>
      </c>
      <c r="AI51" s="533">
        <v>0</v>
      </c>
      <c r="AJ51" s="533">
        <v>0</v>
      </c>
      <c r="AK51" s="533">
        <v>0</v>
      </c>
      <c r="AL51" s="533">
        <v>0</v>
      </c>
      <c r="AM51" s="533">
        <v>0</v>
      </c>
    </row>
    <row r="52" spans="1:39" hidden="1">
      <c r="A52" s="544" t="s">
        <v>660</v>
      </c>
      <c r="B52" s="532" t="s">
        <v>955</v>
      </c>
      <c r="C52" s="532"/>
      <c r="D52" s="533">
        <v>145</v>
      </c>
      <c r="E52" s="533"/>
      <c r="F52" s="533">
        <v>0</v>
      </c>
      <c r="G52" s="533">
        <v>0</v>
      </c>
      <c r="H52" s="533">
        <v>0</v>
      </c>
      <c r="I52" s="533">
        <v>0</v>
      </c>
      <c r="J52" s="533">
        <v>0</v>
      </c>
      <c r="K52" s="533">
        <v>0</v>
      </c>
      <c r="L52" s="533">
        <v>10</v>
      </c>
      <c r="M52" s="533">
        <v>0</v>
      </c>
      <c r="N52" s="533">
        <v>0</v>
      </c>
      <c r="O52" s="533">
        <v>0</v>
      </c>
      <c r="P52" s="533">
        <v>0</v>
      </c>
      <c r="Q52" s="533">
        <v>0</v>
      </c>
      <c r="R52" s="533">
        <v>0</v>
      </c>
      <c r="S52" s="533">
        <v>0</v>
      </c>
      <c r="T52" s="533">
        <v>0</v>
      </c>
      <c r="U52" s="533">
        <v>0</v>
      </c>
      <c r="V52" s="533">
        <v>0</v>
      </c>
      <c r="W52" s="533">
        <v>0</v>
      </c>
      <c r="X52" s="533">
        <v>0</v>
      </c>
      <c r="Y52" s="533">
        <v>0</v>
      </c>
      <c r="Z52" s="533">
        <v>0</v>
      </c>
      <c r="AA52" s="533">
        <v>0</v>
      </c>
      <c r="AB52" s="533">
        <v>0</v>
      </c>
      <c r="AC52" s="533">
        <v>18</v>
      </c>
      <c r="AD52" s="533">
        <v>0</v>
      </c>
      <c r="AE52" s="533">
        <v>0</v>
      </c>
      <c r="AF52" s="533">
        <v>117</v>
      </c>
      <c r="AG52" s="533">
        <v>127</v>
      </c>
      <c r="AH52" s="533">
        <v>0</v>
      </c>
      <c r="AI52" s="533">
        <v>0</v>
      </c>
      <c r="AJ52" s="533">
        <v>4</v>
      </c>
      <c r="AK52" s="533">
        <v>0</v>
      </c>
      <c r="AL52" s="533">
        <v>1013</v>
      </c>
      <c r="AM52" s="533">
        <v>31</v>
      </c>
    </row>
    <row r="53" spans="1:39">
      <c r="A53" s="544" t="s">
        <v>664</v>
      </c>
      <c r="B53" s="532" t="s">
        <v>956</v>
      </c>
      <c r="C53" s="532" t="s">
        <v>931</v>
      </c>
      <c r="D53" s="546">
        <v>3447</v>
      </c>
      <c r="E53" s="533">
        <f>SUM(F53:AF53)</f>
        <v>6423.0727239286371</v>
      </c>
      <c r="F53" s="533">
        <v>119</v>
      </c>
      <c r="G53" s="533">
        <v>0</v>
      </c>
      <c r="H53" s="533">
        <v>0</v>
      </c>
      <c r="I53" s="533">
        <v>4</v>
      </c>
      <c r="J53" s="545">
        <f>$J$13*D53/$D$57</f>
        <v>1338.6050763288579</v>
      </c>
      <c r="K53" s="533">
        <v>0</v>
      </c>
      <c r="L53" s="533">
        <v>5</v>
      </c>
      <c r="M53" s="533">
        <v>0</v>
      </c>
      <c r="N53" s="545">
        <f>$N$13*$D53/$D$57</f>
        <v>821.77697259518118</v>
      </c>
      <c r="O53" s="545">
        <f>$O$13*$D53/$D$57</f>
        <v>815.69067500459812</v>
      </c>
      <c r="P53" s="533">
        <v>0</v>
      </c>
      <c r="Q53" s="533">
        <v>0</v>
      </c>
      <c r="R53" s="533">
        <v>0</v>
      </c>
      <c r="S53" s="533">
        <v>0</v>
      </c>
      <c r="T53" s="533">
        <v>0</v>
      </c>
      <c r="U53" s="533">
        <v>0</v>
      </c>
      <c r="V53" s="533">
        <v>0</v>
      </c>
      <c r="W53" s="533">
        <v>0</v>
      </c>
      <c r="X53" s="533">
        <v>0</v>
      </c>
      <c r="Y53" s="533">
        <v>0</v>
      </c>
      <c r="Z53" s="533">
        <v>0</v>
      </c>
      <c r="AA53" s="533">
        <v>0</v>
      </c>
      <c r="AB53" s="533">
        <v>0</v>
      </c>
      <c r="AC53" s="533">
        <v>11</v>
      </c>
      <c r="AD53" s="533">
        <v>0</v>
      </c>
      <c r="AE53" s="533">
        <v>0</v>
      </c>
      <c r="AF53" s="533">
        <v>3308</v>
      </c>
      <c r="AG53" s="533">
        <v>3436</v>
      </c>
      <c r="AH53" s="533">
        <v>0</v>
      </c>
      <c r="AI53" s="533">
        <v>0</v>
      </c>
      <c r="AJ53" s="533">
        <v>78</v>
      </c>
      <c r="AK53" s="533">
        <v>0</v>
      </c>
      <c r="AL53" s="533">
        <v>0</v>
      </c>
      <c r="AM53" s="533">
        <v>8</v>
      </c>
    </row>
    <row r="55" spans="1:39">
      <c r="D55" s="535"/>
      <c r="E55" s="547">
        <v>1.624995</v>
      </c>
      <c r="F55" s="535"/>
      <c r="G55" s="535"/>
      <c r="H55" s="535"/>
      <c r="I55" s="535"/>
      <c r="J55" s="535"/>
      <c r="K55" s="535"/>
      <c r="L55" s="535"/>
      <c r="M55" s="535"/>
      <c r="N55" s="535"/>
      <c r="O55" s="535"/>
      <c r="P55" s="535"/>
      <c r="Q55" s="535"/>
      <c r="R55" s="535"/>
      <c r="S55" s="535"/>
      <c r="T55" s="535"/>
      <c r="U55" s="535"/>
      <c r="V55" s="535"/>
      <c r="W55" s="535"/>
      <c r="X55" s="535"/>
      <c r="Y55" s="535"/>
      <c r="Z55" s="535"/>
      <c r="AA55" s="535"/>
      <c r="AB55" s="535"/>
      <c r="AC55" s="535"/>
      <c r="AD55" s="535"/>
      <c r="AE55" s="535"/>
      <c r="AF55" s="535"/>
      <c r="AG55" s="535"/>
      <c r="AH55" s="535"/>
      <c r="AI55" s="535"/>
      <c r="AJ55" s="535"/>
      <c r="AK55" s="535"/>
      <c r="AL55" s="535"/>
      <c r="AM55" s="535"/>
    </row>
    <row r="56" spans="1:39">
      <c r="B56" s="548" t="s">
        <v>169</v>
      </c>
      <c r="C56" s="548"/>
      <c r="D56" s="549">
        <f>D13+D15+D17+D19+D21+D24+D26+D39+D46</f>
        <v>48022</v>
      </c>
      <c r="E56" s="549">
        <f>E13+E15+E17+E19+E21+E24+E26+E39+E46</f>
        <v>54493</v>
      </c>
      <c r="F56" s="549">
        <f t="shared" ref="F56:AM56" si="0">F13+F15+F17+F19+F21+F24+F26+F39+F46</f>
        <v>494</v>
      </c>
      <c r="G56" s="549">
        <f t="shared" si="0"/>
        <v>263</v>
      </c>
      <c r="H56" s="549">
        <f t="shared" si="0"/>
        <v>2290</v>
      </c>
      <c r="I56" s="549">
        <f t="shared" si="0"/>
        <v>639</v>
      </c>
      <c r="J56" s="549">
        <f t="shared" si="0"/>
        <v>10621</v>
      </c>
      <c r="K56" s="549">
        <f t="shared" si="0"/>
        <v>32</v>
      </c>
      <c r="L56" s="549">
        <f t="shared" si="0"/>
        <v>145</v>
      </c>
      <c r="M56" s="549">
        <f t="shared" si="0"/>
        <v>257</v>
      </c>
      <c r="N56" s="549">
        <f t="shared" si="0"/>
        <v>6481</v>
      </c>
      <c r="O56" s="549">
        <f t="shared" si="0"/>
        <v>6755</v>
      </c>
      <c r="P56" s="549">
        <f t="shared" si="0"/>
        <v>4840</v>
      </c>
      <c r="Q56" s="549">
        <f t="shared" si="0"/>
        <v>6</v>
      </c>
      <c r="R56" s="549">
        <f t="shared" si="0"/>
        <v>33</v>
      </c>
      <c r="S56" s="549">
        <f t="shared" si="0"/>
        <v>62</v>
      </c>
      <c r="T56" s="549">
        <f t="shared" si="0"/>
        <v>132</v>
      </c>
      <c r="U56" s="549">
        <f t="shared" si="0"/>
        <v>135</v>
      </c>
      <c r="V56" s="549">
        <f t="shared" si="0"/>
        <v>0</v>
      </c>
      <c r="W56" s="549">
        <f t="shared" si="0"/>
        <v>2996</v>
      </c>
      <c r="X56" s="549">
        <f t="shared" si="0"/>
        <v>1753</v>
      </c>
      <c r="Y56" s="549">
        <f t="shared" si="0"/>
        <v>2054</v>
      </c>
      <c r="Z56" s="549">
        <f t="shared" si="0"/>
        <v>1312</v>
      </c>
      <c r="AA56" s="549">
        <f t="shared" si="0"/>
        <v>627</v>
      </c>
      <c r="AB56" s="549">
        <f t="shared" si="0"/>
        <v>182</v>
      </c>
      <c r="AC56" s="549">
        <f t="shared" si="0"/>
        <v>564</v>
      </c>
      <c r="AD56" s="549">
        <f t="shared" si="0"/>
        <v>2465</v>
      </c>
      <c r="AE56" s="549">
        <f t="shared" si="0"/>
        <v>987</v>
      </c>
      <c r="AF56" s="549">
        <f t="shared" si="0"/>
        <v>8368</v>
      </c>
      <c r="AG56" s="549">
        <f t="shared" si="0"/>
        <v>42822</v>
      </c>
      <c r="AH56" s="549">
        <f t="shared" si="0"/>
        <v>31</v>
      </c>
      <c r="AI56" s="549">
        <f t="shared" si="0"/>
        <v>1048</v>
      </c>
      <c r="AJ56" s="549">
        <f t="shared" si="0"/>
        <v>1429</v>
      </c>
      <c r="AK56" s="549">
        <f t="shared" si="0"/>
        <v>213</v>
      </c>
      <c r="AL56" s="549">
        <f t="shared" si="0"/>
        <v>0</v>
      </c>
      <c r="AM56" s="549">
        <f t="shared" si="0"/>
        <v>4062</v>
      </c>
    </row>
    <row r="57" spans="1:39">
      <c r="B57" s="550" t="s">
        <v>957</v>
      </c>
      <c r="C57" s="550"/>
      <c r="D57" s="551">
        <f>D28+D30+D32+D34+D53</f>
        <v>27185</v>
      </c>
      <c r="E57" s="549">
        <f>E28+E30+E32+E34+E53</f>
        <v>50656</v>
      </c>
      <c r="F57" s="549">
        <f t="shared" ref="F57:AM57" si="1">F28+F30+F32+F34+F53</f>
        <v>490</v>
      </c>
      <c r="G57" s="549">
        <f t="shared" si="1"/>
        <v>263</v>
      </c>
      <c r="H57" s="549">
        <f t="shared" si="1"/>
        <v>2135</v>
      </c>
      <c r="I57" s="549">
        <f t="shared" si="1"/>
        <v>636</v>
      </c>
      <c r="J57" s="549">
        <f t="shared" si="1"/>
        <v>10557</v>
      </c>
      <c r="K57" s="549">
        <f t="shared" si="1"/>
        <v>31</v>
      </c>
      <c r="L57" s="549">
        <f t="shared" si="1"/>
        <v>145</v>
      </c>
      <c r="M57" s="549">
        <f t="shared" si="1"/>
        <v>257</v>
      </c>
      <c r="N57" s="549">
        <f>N28+N30+N32+N34+N53</f>
        <v>6481</v>
      </c>
      <c r="O57" s="549">
        <f t="shared" si="1"/>
        <v>6433</v>
      </c>
      <c r="P57" s="549">
        <f t="shared" si="1"/>
        <v>4523</v>
      </c>
      <c r="Q57" s="549">
        <f t="shared" si="1"/>
        <v>6</v>
      </c>
      <c r="R57" s="549">
        <f t="shared" si="1"/>
        <v>27</v>
      </c>
      <c r="S57" s="549">
        <f t="shared" si="1"/>
        <v>37</v>
      </c>
      <c r="T57" s="549">
        <f t="shared" si="1"/>
        <v>106</v>
      </c>
      <c r="U57" s="549">
        <f t="shared" si="1"/>
        <v>135</v>
      </c>
      <c r="V57" s="549">
        <f t="shared" si="1"/>
        <v>0</v>
      </c>
      <c r="W57" s="549">
        <f t="shared" si="1"/>
        <v>2728</v>
      </c>
      <c r="X57" s="549">
        <f t="shared" si="1"/>
        <v>1213</v>
      </c>
      <c r="Y57" s="549">
        <f t="shared" si="1"/>
        <v>2053</v>
      </c>
      <c r="Z57" s="549">
        <f t="shared" si="1"/>
        <v>1306</v>
      </c>
      <c r="AA57" s="549">
        <f t="shared" si="1"/>
        <v>604</v>
      </c>
      <c r="AB57" s="549">
        <f t="shared" si="1"/>
        <v>78</v>
      </c>
      <c r="AC57" s="549">
        <f t="shared" si="1"/>
        <v>525</v>
      </c>
      <c r="AD57" s="549">
        <f t="shared" si="1"/>
        <v>2270</v>
      </c>
      <c r="AE57" s="549">
        <f t="shared" si="1"/>
        <v>984</v>
      </c>
      <c r="AF57" s="549">
        <f t="shared" si="1"/>
        <v>6633</v>
      </c>
      <c r="AG57" s="549">
        <f t="shared" si="1"/>
        <v>21427</v>
      </c>
      <c r="AH57" s="549">
        <f t="shared" si="1"/>
        <v>27</v>
      </c>
      <c r="AI57" s="549">
        <f t="shared" si="1"/>
        <v>136</v>
      </c>
      <c r="AJ57" s="549">
        <f t="shared" si="1"/>
        <v>816</v>
      </c>
      <c r="AK57" s="549">
        <f t="shared" si="1"/>
        <v>209</v>
      </c>
      <c r="AL57" s="549">
        <f t="shared" si="1"/>
        <v>0</v>
      </c>
      <c r="AM57" s="549">
        <f t="shared" si="1"/>
        <v>3496</v>
      </c>
    </row>
    <row r="58" spans="1:39">
      <c r="B58" s="550" t="s">
        <v>958</v>
      </c>
      <c r="C58" s="550"/>
      <c r="D58" s="552">
        <f>D13-D57</f>
        <v>16990</v>
      </c>
      <c r="E58" s="552">
        <f t="shared" ref="E58:AM58" si="2">E13-E57</f>
        <v>0</v>
      </c>
      <c r="F58" s="552">
        <f t="shared" si="2"/>
        <v>0</v>
      </c>
      <c r="G58" s="552">
        <f t="shared" si="2"/>
        <v>0</v>
      </c>
      <c r="H58" s="552">
        <f t="shared" si="2"/>
        <v>0</v>
      </c>
      <c r="I58" s="552">
        <f t="shared" si="2"/>
        <v>0</v>
      </c>
      <c r="J58" s="552">
        <f t="shared" si="2"/>
        <v>0</v>
      </c>
      <c r="K58" s="552">
        <f t="shared" si="2"/>
        <v>0</v>
      </c>
      <c r="L58" s="552">
        <f t="shared" si="2"/>
        <v>0</v>
      </c>
      <c r="M58" s="552">
        <f t="shared" si="2"/>
        <v>0</v>
      </c>
      <c r="N58" s="552">
        <f t="shared" si="2"/>
        <v>0</v>
      </c>
      <c r="O58" s="552">
        <f t="shared" si="2"/>
        <v>0</v>
      </c>
      <c r="P58" s="552">
        <f t="shared" si="2"/>
        <v>0</v>
      </c>
      <c r="Q58" s="552">
        <f t="shared" si="2"/>
        <v>0</v>
      </c>
      <c r="R58" s="552">
        <f t="shared" si="2"/>
        <v>0</v>
      </c>
      <c r="S58" s="552">
        <f t="shared" si="2"/>
        <v>0</v>
      </c>
      <c r="T58" s="552">
        <f t="shared" si="2"/>
        <v>0</v>
      </c>
      <c r="U58" s="552">
        <f t="shared" si="2"/>
        <v>0</v>
      </c>
      <c r="V58" s="552">
        <f t="shared" si="2"/>
        <v>0</v>
      </c>
      <c r="W58" s="552">
        <f t="shared" si="2"/>
        <v>0</v>
      </c>
      <c r="X58" s="552">
        <f t="shared" si="2"/>
        <v>0</v>
      </c>
      <c r="Y58" s="552">
        <f t="shared" si="2"/>
        <v>0</v>
      </c>
      <c r="Z58" s="552">
        <f t="shared" si="2"/>
        <v>0</v>
      </c>
      <c r="AA58" s="552">
        <f t="shared" si="2"/>
        <v>0</v>
      </c>
      <c r="AB58" s="552">
        <f t="shared" si="2"/>
        <v>0</v>
      </c>
      <c r="AC58" s="552">
        <f t="shared" si="2"/>
        <v>0</v>
      </c>
      <c r="AD58" s="552">
        <f t="shared" si="2"/>
        <v>0</v>
      </c>
      <c r="AE58" s="552">
        <f t="shared" si="2"/>
        <v>0</v>
      </c>
      <c r="AF58" s="552">
        <f t="shared" si="2"/>
        <v>0</v>
      </c>
      <c r="AG58" s="552">
        <f t="shared" si="2"/>
        <v>16990</v>
      </c>
      <c r="AH58" s="552">
        <f t="shared" si="2"/>
        <v>0</v>
      </c>
      <c r="AI58" s="552">
        <f t="shared" si="2"/>
        <v>0</v>
      </c>
      <c r="AJ58" s="552">
        <f t="shared" si="2"/>
        <v>0</v>
      </c>
      <c r="AK58" s="552">
        <f t="shared" si="2"/>
        <v>0</v>
      </c>
      <c r="AL58" s="552">
        <f t="shared" si="2"/>
        <v>0</v>
      </c>
      <c r="AM58" s="552">
        <f t="shared" si="2"/>
        <v>0</v>
      </c>
    </row>
    <row r="61" spans="1:39">
      <c r="J61" s="221" t="s">
        <v>959</v>
      </c>
      <c r="N61" s="221" t="s">
        <v>184</v>
      </c>
      <c r="O61" s="214"/>
      <c r="R61" s="221" t="s">
        <v>960</v>
      </c>
      <c r="S61" s="214"/>
    </row>
    <row r="62" spans="1:39" ht="15" thickBot="1">
      <c r="N62" s="214"/>
      <c r="O62" s="223"/>
      <c r="R62" s="214"/>
      <c r="S62" s="214"/>
    </row>
    <row r="63" spans="1:39">
      <c r="J63" s="224" t="s">
        <v>475</v>
      </c>
      <c r="K63" s="225" t="s">
        <v>476</v>
      </c>
      <c r="N63" s="224" t="s">
        <v>475</v>
      </c>
      <c r="O63" s="225" t="s">
        <v>476</v>
      </c>
      <c r="R63" s="346" t="s">
        <v>475</v>
      </c>
      <c r="S63" s="233" t="s">
        <v>476</v>
      </c>
    </row>
    <row r="64" spans="1:39">
      <c r="J64" s="266"/>
      <c r="K64" s="240" t="s">
        <v>9</v>
      </c>
      <c r="N64" s="239"/>
      <c r="O64" s="240" t="s">
        <v>481</v>
      </c>
      <c r="R64" s="266"/>
      <c r="S64" s="240" t="s">
        <v>9</v>
      </c>
    </row>
    <row r="65" spans="10:20">
      <c r="J65" s="350" t="s">
        <v>488</v>
      </c>
      <c r="K65" s="252" t="s">
        <v>0</v>
      </c>
      <c r="N65" s="251" t="s">
        <v>488</v>
      </c>
      <c r="O65" s="252" t="s">
        <v>0</v>
      </c>
      <c r="R65" s="350" t="s">
        <v>488</v>
      </c>
      <c r="S65" s="252" t="s">
        <v>0</v>
      </c>
    </row>
    <row r="66" spans="10:20">
      <c r="J66" s="266"/>
      <c r="K66" s="252" t="s">
        <v>496</v>
      </c>
      <c r="N66" s="239"/>
      <c r="O66" s="252" t="s">
        <v>496</v>
      </c>
      <c r="R66" s="266"/>
      <c r="S66" s="252" t="s">
        <v>496</v>
      </c>
    </row>
    <row r="67" spans="10:20">
      <c r="J67" s="352" t="s">
        <v>262</v>
      </c>
      <c r="K67" s="201">
        <v>2719</v>
      </c>
      <c r="N67" s="261" t="s">
        <v>262</v>
      </c>
      <c r="O67" s="262">
        <v>29.5</v>
      </c>
      <c r="P67" s="553">
        <f t="shared" ref="P67:P73" si="3">O67+O78</f>
        <v>768.05112611801019</v>
      </c>
      <c r="R67" s="352" t="s">
        <v>262</v>
      </c>
      <c r="S67" s="262"/>
    </row>
    <row r="68" spans="10:20">
      <c r="J68" s="266" t="s">
        <v>263</v>
      </c>
      <c r="K68" s="204">
        <v>19056</v>
      </c>
      <c r="N68" s="239" t="s">
        <v>263</v>
      </c>
      <c r="O68" s="262">
        <v>551.69199999999989</v>
      </c>
      <c r="P68" s="553">
        <f t="shared" si="3"/>
        <v>672.0182733610859</v>
      </c>
      <c r="R68" s="266" t="s">
        <v>263</v>
      </c>
      <c r="S68" s="262">
        <v>1727.8210000000004</v>
      </c>
      <c r="T68" s="553">
        <f t="shared" ref="T68:T73" si="4">S68+S79</f>
        <v>1833.4060000000004</v>
      </c>
    </row>
    <row r="69" spans="10:20">
      <c r="J69" s="266" t="s">
        <v>499</v>
      </c>
      <c r="K69" s="216"/>
      <c r="N69" s="239" t="s">
        <v>499</v>
      </c>
      <c r="O69" s="262"/>
      <c r="P69" s="553">
        <f t="shared" si="3"/>
        <v>126.75849547080777</v>
      </c>
      <c r="R69" s="266" t="s">
        <v>499</v>
      </c>
      <c r="S69" s="262">
        <v>120.675</v>
      </c>
      <c r="T69" s="553">
        <f t="shared" si="4"/>
        <v>349.66681999999997</v>
      </c>
    </row>
    <row r="70" spans="10:20">
      <c r="J70" s="266" t="s">
        <v>265</v>
      </c>
      <c r="K70" s="216">
        <v>2066</v>
      </c>
      <c r="N70" s="239" t="s">
        <v>265</v>
      </c>
      <c r="O70" s="262">
        <v>375.58300000000003</v>
      </c>
      <c r="P70" s="553">
        <f t="shared" si="3"/>
        <v>719.81153161279781</v>
      </c>
      <c r="R70" s="266" t="s">
        <v>265</v>
      </c>
      <c r="S70" s="262">
        <v>2028.4119999999994</v>
      </c>
      <c r="T70" s="553">
        <f t="shared" si="4"/>
        <v>2801.3458999999993</v>
      </c>
    </row>
    <row r="71" spans="10:20">
      <c r="J71" s="266" t="s">
        <v>266</v>
      </c>
      <c r="K71" s="216">
        <v>729</v>
      </c>
      <c r="N71" s="239" t="s">
        <v>266</v>
      </c>
      <c r="O71" s="262">
        <v>150.22099999999998</v>
      </c>
      <c r="P71" s="553">
        <f t="shared" si="3"/>
        <v>1037.08010671803</v>
      </c>
      <c r="R71" s="266" t="s">
        <v>266</v>
      </c>
      <c r="S71" s="262">
        <v>655.71599999999989</v>
      </c>
      <c r="T71" s="553">
        <f t="shared" si="4"/>
        <v>1512.0294000000001</v>
      </c>
    </row>
    <row r="72" spans="10:20">
      <c r="J72" s="353" t="s">
        <v>267</v>
      </c>
      <c r="K72" s="218">
        <v>1875</v>
      </c>
      <c r="N72" s="272" t="s">
        <v>267</v>
      </c>
      <c r="O72" s="262"/>
      <c r="P72" s="553">
        <f t="shared" si="3"/>
        <v>0</v>
      </c>
      <c r="R72" s="353" t="s">
        <v>267</v>
      </c>
      <c r="S72" s="218"/>
      <c r="T72" s="553">
        <f t="shared" si="4"/>
        <v>0</v>
      </c>
    </row>
    <row r="73" spans="10:20">
      <c r="J73" s="276" t="s">
        <v>500</v>
      </c>
      <c r="K73" s="277">
        <f>SUM(K67:K72)</f>
        <v>26445</v>
      </c>
      <c r="N73" s="276" t="s">
        <v>500</v>
      </c>
      <c r="O73" s="277">
        <f>SUM(O67:O72)</f>
        <v>1106.9959999999999</v>
      </c>
      <c r="P73" s="553">
        <f t="shared" si="3"/>
        <v>3323.7195332807314</v>
      </c>
      <c r="R73" s="276" t="s">
        <v>500</v>
      </c>
      <c r="S73" s="277">
        <f>SUM(S67:S72)</f>
        <v>4532.6239999999998</v>
      </c>
      <c r="T73" s="553">
        <f t="shared" si="4"/>
        <v>6496.44812</v>
      </c>
    </row>
    <row r="74" spans="10:20">
      <c r="J74" s="285" t="s">
        <v>501</v>
      </c>
      <c r="K74" s="228" t="s">
        <v>476</v>
      </c>
      <c r="N74" s="285" t="s">
        <v>501</v>
      </c>
      <c r="O74" s="228" t="s">
        <v>476</v>
      </c>
      <c r="R74" s="285" t="s">
        <v>501</v>
      </c>
      <c r="S74" s="228" t="s">
        <v>476</v>
      </c>
    </row>
    <row r="75" spans="10:20">
      <c r="J75" s="266"/>
      <c r="K75" s="240" t="s">
        <v>481</v>
      </c>
      <c r="N75" s="239"/>
      <c r="O75" s="240" t="s">
        <v>481</v>
      </c>
      <c r="R75" s="266"/>
      <c r="S75" s="240" t="s">
        <v>481</v>
      </c>
    </row>
    <row r="76" spans="10:20">
      <c r="J76" s="350" t="s">
        <v>488</v>
      </c>
      <c r="K76" s="252" t="s">
        <v>0</v>
      </c>
      <c r="N76" s="251" t="s">
        <v>488</v>
      </c>
      <c r="O76" s="252" t="s">
        <v>0</v>
      </c>
      <c r="R76" s="350" t="s">
        <v>488</v>
      </c>
      <c r="S76" s="252" t="s">
        <v>0</v>
      </c>
    </row>
    <row r="77" spans="10:20">
      <c r="J77" s="266"/>
      <c r="K77" s="252" t="s">
        <v>496</v>
      </c>
      <c r="N77" s="239"/>
      <c r="O77" s="252" t="s">
        <v>496</v>
      </c>
      <c r="R77" s="266"/>
      <c r="S77" s="252" t="s">
        <v>496</v>
      </c>
    </row>
    <row r="78" spans="10:20">
      <c r="J78" s="352" t="s">
        <v>262</v>
      </c>
      <c r="K78" s="365"/>
      <c r="N78" s="261" t="s">
        <v>533</v>
      </c>
      <c r="O78" s="262">
        <v>738.55112611801019</v>
      </c>
      <c r="R78" s="352" t="s">
        <v>262</v>
      </c>
      <c r="S78" s="262"/>
    </row>
    <row r="79" spans="10:20">
      <c r="J79" s="266" t="s">
        <v>263</v>
      </c>
      <c r="K79" s="320"/>
      <c r="N79" s="239" t="s">
        <v>263</v>
      </c>
      <c r="O79" s="262">
        <v>120.32627336108595</v>
      </c>
      <c r="R79" s="266" t="s">
        <v>263</v>
      </c>
      <c r="S79" s="334">
        <v>105.58499999999999</v>
      </c>
    </row>
    <row r="80" spans="10:20">
      <c r="J80" s="266" t="s">
        <v>499</v>
      </c>
      <c r="K80" s="320"/>
      <c r="N80" s="239" t="s">
        <v>499</v>
      </c>
      <c r="O80" s="262">
        <v>126.75849547080777</v>
      </c>
      <c r="R80" s="266" t="s">
        <v>499</v>
      </c>
      <c r="S80" s="334">
        <v>228.99181999999999</v>
      </c>
    </row>
    <row r="81" spans="5:39">
      <c r="J81" s="266" t="s">
        <v>265</v>
      </c>
      <c r="K81" s="320"/>
      <c r="N81" s="239" t="s">
        <v>265</v>
      </c>
      <c r="O81" s="262">
        <v>344.22853161279772</v>
      </c>
      <c r="R81" s="266" t="s">
        <v>265</v>
      </c>
      <c r="S81" s="334">
        <v>772.93389999999988</v>
      </c>
    </row>
    <row r="82" spans="5:39">
      <c r="J82" s="266" t="s">
        <v>266</v>
      </c>
      <c r="K82" s="320"/>
      <c r="N82" s="239" t="s">
        <v>266</v>
      </c>
      <c r="O82" s="262">
        <v>886.85910671803003</v>
      </c>
      <c r="R82" s="266" t="s">
        <v>266</v>
      </c>
      <c r="S82" s="334">
        <v>856.31340000000023</v>
      </c>
    </row>
    <row r="83" spans="5:39">
      <c r="J83" s="353" t="s">
        <v>267</v>
      </c>
      <c r="K83" s="372"/>
      <c r="N83" s="272" t="s">
        <v>267</v>
      </c>
      <c r="O83" s="395"/>
      <c r="R83" s="353" t="s">
        <v>267</v>
      </c>
      <c r="S83" s="262"/>
    </row>
    <row r="84" spans="5:39">
      <c r="J84" s="276" t="s">
        <v>500</v>
      </c>
      <c r="K84" s="291">
        <f>SUM(K78:K83)</f>
        <v>0</v>
      </c>
      <c r="N84" s="276" t="s">
        <v>500</v>
      </c>
      <c r="O84" s="291">
        <f>SUM(O78:O83)</f>
        <v>2216.7235332807318</v>
      </c>
      <c r="R84" s="276" t="s">
        <v>500</v>
      </c>
      <c r="S84" s="291">
        <f>SUM(S78:S83)</f>
        <v>1963.82412</v>
      </c>
    </row>
    <row r="85" spans="5:39" ht="15" thickBot="1">
      <c r="J85" s="296" t="s">
        <v>502</v>
      </c>
      <c r="K85" s="297">
        <f>K73+K84</f>
        <v>26445</v>
      </c>
      <c r="N85" s="296" t="s">
        <v>502</v>
      </c>
      <c r="O85" s="297">
        <f>O73+O84</f>
        <v>3323.7195332807314</v>
      </c>
      <c r="R85" s="296" t="s">
        <v>502</v>
      </c>
      <c r="S85" s="297">
        <f>S73+S84</f>
        <v>6496.44812</v>
      </c>
    </row>
    <row r="90" spans="5:39">
      <c r="F90" s="543" t="str">
        <f>F11</f>
        <v>Belgium</v>
      </c>
      <c r="G90" s="543" t="str">
        <f t="shared" ref="G90:AM90" si="5">G11</f>
        <v>Bulgaria</v>
      </c>
      <c r="H90" s="543" t="str">
        <f t="shared" si="5"/>
        <v>Czech Republic</v>
      </c>
      <c r="I90" s="543" t="str">
        <f t="shared" si="5"/>
        <v>Denmark</v>
      </c>
      <c r="J90" s="543" t="str">
        <f t="shared" si="5"/>
        <v>Germany (until 1990 former territory of the FRG)</v>
      </c>
      <c r="K90" s="543" t="str">
        <f t="shared" si="5"/>
        <v>Estonia</v>
      </c>
      <c r="L90" s="543" t="str">
        <f t="shared" si="5"/>
        <v>Ireland</v>
      </c>
      <c r="M90" s="543" t="str">
        <f t="shared" si="5"/>
        <v>Greece</v>
      </c>
      <c r="N90" s="543" t="str">
        <f t="shared" si="5"/>
        <v>Spain</v>
      </c>
      <c r="O90" s="543" t="str">
        <f t="shared" si="5"/>
        <v>France</v>
      </c>
      <c r="P90" s="543" t="str">
        <f t="shared" si="5"/>
        <v>Italy</v>
      </c>
      <c r="Q90" s="543" t="str">
        <f t="shared" si="5"/>
        <v>Cyprus</v>
      </c>
      <c r="R90" s="543" t="str">
        <f t="shared" si="5"/>
        <v>Latvia</v>
      </c>
      <c r="S90" s="543" t="str">
        <f t="shared" si="5"/>
        <v>Lithuania</v>
      </c>
      <c r="T90" s="543" t="str">
        <f t="shared" si="5"/>
        <v>Luxembourg</v>
      </c>
      <c r="U90" s="543" t="str">
        <f t="shared" si="5"/>
        <v>Hungary</v>
      </c>
      <c r="V90" s="543" t="str">
        <f t="shared" si="5"/>
        <v>Malta</v>
      </c>
      <c r="W90" s="543" t="str">
        <f t="shared" si="5"/>
        <v>Netherlands</v>
      </c>
      <c r="X90" s="543" t="str">
        <f t="shared" si="5"/>
        <v>Austria</v>
      </c>
      <c r="Y90" s="543" t="str">
        <f t="shared" si="5"/>
        <v>Poland</v>
      </c>
      <c r="Z90" s="543" t="str">
        <f t="shared" si="5"/>
        <v>Portugal</v>
      </c>
      <c r="AA90" s="543" t="str">
        <f t="shared" si="5"/>
        <v>Romania</v>
      </c>
      <c r="AB90" s="543" t="str">
        <f t="shared" si="5"/>
        <v>Slovenia</v>
      </c>
      <c r="AC90" s="543" t="str">
        <f t="shared" si="5"/>
        <v>Slovakia</v>
      </c>
      <c r="AD90" s="543" t="str">
        <f t="shared" si="5"/>
        <v>Finland</v>
      </c>
      <c r="AE90" s="543" t="str">
        <f t="shared" si="5"/>
        <v>Sweden</v>
      </c>
      <c r="AF90" s="543" t="str">
        <f t="shared" si="5"/>
        <v>United Kingdom</v>
      </c>
      <c r="AG90" s="543" t="str">
        <f t="shared" si="5"/>
        <v>European Economic Area (EU-15 plus IS, LI, NO)</v>
      </c>
      <c r="AH90" s="543" t="str">
        <f t="shared" si="5"/>
        <v>Iceland</v>
      </c>
      <c r="AI90" s="543" t="str">
        <f t="shared" si="5"/>
        <v>Norway</v>
      </c>
      <c r="AJ90" s="543" t="str">
        <f t="shared" si="5"/>
        <v>Switzerland</v>
      </c>
      <c r="AK90" s="543" t="str">
        <f t="shared" si="5"/>
        <v>Croatia</v>
      </c>
      <c r="AL90" s="543" t="str">
        <f t="shared" si="5"/>
        <v>Former Yugoslav Republic of Macedonia, the</v>
      </c>
      <c r="AM90" s="543" t="str">
        <f t="shared" si="5"/>
        <v>Turkey</v>
      </c>
    </row>
    <row r="91" spans="5:39">
      <c r="E91" s="543" t="s">
        <v>972</v>
      </c>
      <c r="F91" s="562">
        <f>F56/1000</f>
        <v>0.49399999999999999</v>
      </c>
      <c r="G91" s="562">
        <f t="shared" ref="G91:AM91" si="6">G56/1000</f>
        <v>0.26300000000000001</v>
      </c>
      <c r="H91" s="562">
        <f t="shared" si="6"/>
        <v>2.29</v>
      </c>
      <c r="I91" s="562">
        <f t="shared" si="6"/>
        <v>0.63900000000000001</v>
      </c>
      <c r="J91" s="562">
        <f t="shared" si="6"/>
        <v>10.621</v>
      </c>
      <c r="K91" s="562">
        <f t="shared" si="6"/>
        <v>3.2000000000000001E-2</v>
      </c>
      <c r="L91" s="562">
        <f t="shared" si="6"/>
        <v>0.14499999999999999</v>
      </c>
      <c r="M91" s="562">
        <f t="shared" si="6"/>
        <v>0.25700000000000001</v>
      </c>
      <c r="N91" s="562">
        <f t="shared" si="6"/>
        <v>6.4809999999999999</v>
      </c>
      <c r="O91" s="562">
        <f t="shared" si="6"/>
        <v>6.7549999999999999</v>
      </c>
      <c r="P91" s="562">
        <f t="shared" si="6"/>
        <v>4.84</v>
      </c>
      <c r="Q91" s="562">
        <f t="shared" si="6"/>
        <v>6.0000000000000001E-3</v>
      </c>
      <c r="R91" s="562">
        <f t="shared" si="6"/>
        <v>3.3000000000000002E-2</v>
      </c>
      <c r="S91" s="562">
        <f t="shared" si="6"/>
        <v>6.2E-2</v>
      </c>
      <c r="T91" s="562">
        <f t="shared" si="6"/>
        <v>0.13200000000000001</v>
      </c>
      <c r="U91" s="562">
        <f t="shared" si="6"/>
        <v>0.13500000000000001</v>
      </c>
      <c r="V91" s="562">
        <f t="shared" si="6"/>
        <v>0</v>
      </c>
      <c r="W91" s="562">
        <f t="shared" si="6"/>
        <v>2.996</v>
      </c>
      <c r="X91" s="562">
        <f t="shared" si="6"/>
        <v>1.7529999999999999</v>
      </c>
      <c r="Y91" s="562">
        <f t="shared" si="6"/>
        <v>2.0539999999999998</v>
      </c>
      <c r="Z91" s="562">
        <f t="shared" si="6"/>
        <v>1.3120000000000001</v>
      </c>
      <c r="AA91" s="562">
        <f t="shared" si="6"/>
        <v>0.627</v>
      </c>
      <c r="AB91" s="562">
        <f t="shared" si="6"/>
        <v>0.182</v>
      </c>
      <c r="AC91" s="562">
        <f t="shared" si="6"/>
        <v>0.56399999999999995</v>
      </c>
      <c r="AD91" s="562">
        <f t="shared" si="6"/>
        <v>2.4649999999999999</v>
      </c>
      <c r="AE91" s="562">
        <f t="shared" si="6"/>
        <v>0.98699999999999999</v>
      </c>
      <c r="AF91" s="562">
        <f t="shared" si="6"/>
        <v>8.3680000000000003</v>
      </c>
      <c r="AG91" s="562">
        <f t="shared" si="6"/>
        <v>42.822000000000003</v>
      </c>
      <c r="AH91" s="562">
        <f t="shared" si="6"/>
        <v>3.1E-2</v>
      </c>
      <c r="AI91" s="562">
        <f t="shared" si="6"/>
        <v>1.048</v>
      </c>
      <c r="AJ91" s="562">
        <f t="shared" si="6"/>
        <v>1.429</v>
      </c>
      <c r="AK91" s="562">
        <f t="shared" si="6"/>
        <v>0.21299999999999999</v>
      </c>
      <c r="AL91" s="562">
        <f t="shared" si="6"/>
        <v>0</v>
      </c>
      <c r="AM91" s="562">
        <f t="shared" si="6"/>
        <v>4.0620000000000003</v>
      </c>
    </row>
    <row r="92" spans="5:39">
      <c r="E92" s="543" t="s">
        <v>957</v>
      </c>
      <c r="F92" s="562">
        <f>F57/1000</f>
        <v>0.49</v>
      </c>
      <c r="G92" s="562">
        <f t="shared" ref="G92:AM92" si="7">G57/1000</f>
        <v>0.26300000000000001</v>
      </c>
      <c r="H92" s="562">
        <f t="shared" si="7"/>
        <v>2.1349999999999998</v>
      </c>
      <c r="I92" s="562">
        <f t="shared" si="7"/>
        <v>0.63600000000000001</v>
      </c>
      <c r="J92" s="562">
        <f t="shared" si="7"/>
        <v>10.557</v>
      </c>
      <c r="K92" s="562">
        <f t="shared" si="7"/>
        <v>3.1E-2</v>
      </c>
      <c r="L92" s="562">
        <f t="shared" si="7"/>
        <v>0.14499999999999999</v>
      </c>
      <c r="M92" s="562">
        <f t="shared" si="7"/>
        <v>0.25700000000000001</v>
      </c>
      <c r="N92" s="562">
        <f t="shared" si="7"/>
        <v>6.4809999999999999</v>
      </c>
      <c r="O92" s="562">
        <f t="shared" si="7"/>
        <v>6.4329999999999998</v>
      </c>
      <c r="P92" s="562">
        <f t="shared" si="7"/>
        <v>4.5229999999999997</v>
      </c>
      <c r="Q92" s="562">
        <f t="shared" si="7"/>
        <v>6.0000000000000001E-3</v>
      </c>
      <c r="R92" s="562">
        <f t="shared" si="7"/>
        <v>2.7E-2</v>
      </c>
      <c r="S92" s="562">
        <f t="shared" si="7"/>
        <v>3.6999999999999998E-2</v>
      </c>
      <c r="T92" s="562">
        <f t="shared" si="7"/>
        <v>0.106</v>
      </c>
      <c r="U92" s="562">
        <f t="shared" si="7"/>
        <v>0.13500000000000001</v>
      </c>
      <c r="V92" s="562">
        <f t="shared" si="7"/>
        <v>0</v>
      </c>
      <c r="W92" s="562">
        <f t="shared" si="7"/>
        <v>2.7280000000000002</v>
      </c>
      <c r="X92" s="562">
        <f t="shared" si="7"/>
        <v>1.2130000000000001</v>
      </c>
      <c r="Y92" s="562">
        <f t="shared" si="7"/>
        <v>2.0529999999999999</v>
      </c>
      <c r="Z92" s="562">
        <f t="shared" si="7"/>
        <v>1.306</v>
      </c>
      <c r="AA92" s="562">
        <f t="shared" si="7"/>
        <v>0.60399999999999998</v>
      </c>
      <c r="AB92" s="562">
        <f t="shared" si="7"/>
        <v>7.8E-2</v>
      </c>
      <c r="AC92" s="562">
        <f t="shared" si="7"/>
        <v>0.52500000000000002</v>
      </c>
      <c r="AD92" s="562">
        <f t="shared" si="7"/>
        <v>2.27</v>
      </c>
      <c r="AE92" s="562">
        <f t="shared" si="7"/>
        <v>0.98399999999999999</v>
      </c>
      <c r="AF92" s="562">
        <f t="shared" si="7"/>
        <v>6.633</v>
      </c>
      <c r="AG92" s="562">
        <f t="shared" si="7"/>
        <v>21.427</v>
      </c>
      <c r="AH92" s="562">
        <f t="shared" si="7"/>
        <v>2.7E-2</v>
      </c>
      <c r="AI92" s="562">
        <f t="shared" si="7"/>
        <v>0.13600000000000001</v>
      </c>
      <c r="AJ92" s="562">
        <f t="shared" si="7"/>
        <v>0.81599999999999995</v>
      </c>
      <c r="AK92" s="562">
        <f t="shared" si="7"/>
        <v>0.20899999999999999</v>
      </c>
      <c r="AL92" s="562">
        <f t="shared" si="7"/>
        <v>0</v>
      </c>
      <c r="AM92" s="562">
        <f t="shared" si="7"/>
        <v>3.496</v>
      </c>
    </row>
    <row r="93" spans="5:39">
      <c r="E93" s="543" t="s">
        <v>100</v>
      </c>
      <c r="F93" s="562">
        <f>F39/1000</f>
        <v>2E-3</v>
      </c>
      <c r="G93" s="562">
        <f t="shared" ref="G93:AM93" si="8">G39/1000</f>
        <v>0</v>
      </c>
      <c r="H93" s="562">
        <f t="shared" si="8"/>
        <v>0</v>
      </c>
      <c r="I93" s="562">
        <f t="shared" si="8"/>
        <v>3.0000000000000001E-3</v>
      </c>
      <c r="J93" s="562">
        <f t="shared" si="8"/>
        <v>0</v>
      </c>
      <c r="K93" s="562">
        <f t="shared" si="8"/>
        <v>0</v>
      </c>
      <c r="L93" s="562">
        <f t="shared" si="8"/>
        <v>0</v>
      </c>
      <c r="M93" s="562">
        <f t="shared" si="8"/>
        <v>0</v>
      </c>
      <c r="N93" s="562">
        <f t="shared" si="8"/>
        <v>0</v>
      </c>
      <c r="O93" s="562">
        <f t="shared" si="8"/>
        <v>0</v>
      </c>
      <c r="P93" s="562">
        <f t="shared" si="8"/>
        <v>0</v>
      </c>
      <c r="Q93" s="562">
        <f t="shared" si="8"/>
        <v>0</v>
      </c>
      <c r="R93" s="562">
        <f t="shared" si="8"/>
        <v>0</v>
      </c>
      <c r="S93" s="562">
        <f t="shared" si="8"/>
        <v>0</v>
      </c>
      <c r="T93" s="562">
        <f t="shared" si="8"/>
        <v>2.4E-2</v>
      </c>
      <c r="U93" s="562">
        <f t="shared" si="8"/>
        <v>0</v>
      </c>
      <c r="V93" s="562">
        <f t="shared" si="8"/>
        <v>0</v>
      </c>
      <c r="W93" s="562">
        <f t="shared" si="8"/>
        <v>4.8000000000000001E-2</v>
      </c>
      <c r="X93" s="562">
        <f t="shared" si="8"/>
        <v>0</v>
      </c>
      <c r="Y93" s="562">
        <f t="shared" si="8"/>
        <v>0</v>
      </c>
      <c r="Z93" s="562">
        <f t="shared" si="8"/>
        <v>0</v>
      </c>
      <c r="AA93" s="562">
        <f t="shared" si="8"/>
        <v>0</v>
      </c>
      <c r="AB93" s="562">
        <f t="shared" si="8"/>
        <v>0</v>
      </c>
      <c r="AC93" s="562">
        <f t="shared" si="8"/>
        <v>0</v>
      </c>
      <c r="AD93" s="562">
        <f t="shared" si="8"/>
        <v>0</v>
      </c>
      <c r="AE93" s="562">
        <f t="shared" si="8"/>
        <v>0</v>
      </c>
      <c r="AF93" s="562">
        <f t="shared" si="8"/>
        <v>1.0999999999999999E-2</v>
      </c>
      <c r="AG93" s="562">
        <f t="shared" si="8"/>
        <v>0.105</v>
      </c>
      <c r="AH93" s="562">
        <f t="shared" si="8"/>
        <v>0</v>
      </c>
      <c r="AI93" s="562">
        <f t="shared" si="8"/>
        <v>7.0000000000000001E-3</v>
      </c>
      <c r="AJ93" s="562">
        <f t="shared" si="8"/>
        <v>2.5999999999999999E-2</v>
      </c>
      <c r="AK93" s="562">
        <f t="shared" si="8"/>
        <v>0</v>
      </c>
      <c r="AL93" s="562">
        <f t="shared" si="8"/>
        <v>0</v>
      </c>
      <c r="AM93" s="562">
        <f t="shared" si="8"/>
        <v>0</v>
      </c>
    </row>
    <row r="94" spans="5:39">
      <c r="E94" s="543" t="s">
        <v>103</v>
      </c>
      <c r="F94" s="562">
        <f>F24/1000</f>
        <v>2E-3</v>
      </c>
      <c r="G94" s="562">
        <f t="shared" ref="G94:AM94" si="9">G24/1000</f>
        <v>0</v>
      </c>
      <c r="H94" s="562">
        <f t="shared" si="9"/>
        <v>0</v>
      </c>
      <c r="I94" s="562">
        <f t="shared" si="9"/>
        <v>0</v>
      </c>
      <c r="J94" s="562">
        <f t="shared" si="9"/>
        <v>0</v>
      </c>
      <c r="K94" s="562">
        <f t="shared" si="9"/>
        <v>1E-3</v>
      </c>
      <c r="L94" s="562">
        <f t="shared" si="9"/>
        <v>0</v>
      </c>
      <c r="M94" s="562">
        <f t="shared" si="9"/>
        <v>0</v>
      </c>
      <c r="N94" s="562">
        <f t="shared" si="9"/>
        <v>0</v>
      </c>
      <c r="O94" s="562">
        <f t="shared" si="9"/>
        <v>5.3999999999999999E-2</v>
      </c>
      <c r="P94" s="562">
        <f t="shared" si="9"/>
        <v>1E-3</v>
      </c>
      <c r="Q94" s="562">
        <f t="shared" si="9"/>
        <v>0</v>
      </c>
      <c r="R94" s="562">
        <f t="shared" si="9"/>
        <v>0</v>
      </c>
      <c r="S94" s="562">
        <f t="shared" si="9"/>
        <v>0</v>
      </c>
      <c r="T94" s="562">
        <f t="shared" si="9"/>
        <v>0</v>
      </c>
      <c r="U94" s="562">
        <f t="shared" si="9"/>
        <v>0</v>
      </c>
      <c r="V94" s="562">
        <f t="shared" si="9"/>
        <v>0</v>
      </c>
      <c r="W94" s="562">
        <f t="shared" si="9"/>
        <v>0.16800000000000001</v>
      </c>
      <c r="X94" s="562">
        <f t="shared" si="9"/>
        <v>0</v>
      </c>
      <c r="Y94" s="562">
        <f t="shared" si="9"/>
        <v>0</v>
      </c>
      <c r="Z94" s="562">
        <f t="shared" si="9"/>
        <v>0</v>
      </c>
      <c r="AA94" s="562">
        <f t="shared" si="9"/>
        <v>0</v>
      </c>
      <c r="AB94" s="562">
        <f t="shared" si="9"/>
        <v>0</v>
      </c>
      <c r="AC94" s="562">
        <f t="shared" si="9"/>
        <v>5.0000000000000001E-3</v>
      </c>
      <c r="AD94" s="562">
        <f t="shared" si="9"/>
        <v>0</v>
      </c>
      <c r="AE94" s="562">
        <f t="shared" si="9"/>
        <v>0</v>
      </c>
      <c r="AF94" s="562">
        <f t="shared" si="9"/>
        <v>1.5649999999999999</v>
      </c>
      <c r="AG94" s="562">
        <f t="shared" si="9"/>
        <v>1.79</v>
      </c>
      <c r="AH94" s="562">
        <f t="shared" si="9"/>
        <v>0</v>
      </c>
      <c r="AI94" s="562">
        <f t="shared" si="9"/>
        <v>0</v>
      </c>
      <c r="AJ94" s="562">
        <f t="shared" si="9"/>
        <v>0</v>
      </c>
      <c r="AK94" s="562">
        <f t="shared" si="9"/>
        <v>0</v>
      </c>
      <c r="AL94" s="562">
        <f t="shared" si="9"/>
        <v>0</v>
      </c>
      <c r="AM94" s="562">
        <f t="shared" si="9"/>
        <v>3.0000000000000001E-3</v>
      </c>
    </row>
    <row r="95" spans="5:39">
      <c r="E95" s="543" t="s">
        <v>102</v>
      </c>
      <c r="F95" s="543">
        <f>F17/1000</f>
        <v>0</v>
      </c>
      <c r="G95" s="543">
        <f t="shared" ref="G95:AM95" si="10">G17/1000</f>
        <v>0</v>
      </c>
      <c r="H95" s="543">
        <f t="shared" si="10"/>
        <v>0.155</v>
      </c>
      <c r="I95" s="543">
        <f t="shared" si="10"/>
        <v>0</v>
      </c>
      <c r="J95" s="543">
        <f t="shared" si="10"/>
        <v>6.4000000000000001E-2</v>
      </c>
      <c r="K95" s="543">
        <f t="shared" si="10"/>
        <v>0</v>
      </c>
      <c r="L95" s="543">
        <f t="shared" si="10"/>
        <v>0</v>
      </c>
      <c r="M95" s="543">
        <f t="shared" si="10"/>
        <v>0</v>
      </c>
      <c r="N95" s="543">
        <f t="shared" si="10"/>
        <v>0</v>
      </c>
      <c r="O95" s="543">
        <f t="shared" si="10"/>
        <v>0.26800000000000002</v>
      </c>
      <c r="P95" s="543">
        <f t="shared" si="10"/>
        <v>0.19900000000000001</v>
      </c>
      <c r="Q95" s="543">
        <f t="shared" si="10"/>
        <v>0</v>
      </c>
      <c r="R95" s="543">
        <f t="shared" si="10"/>
        <v>6.0000000000000001E-3</v>
      </c>
      <c r="S95" s="543">
        <f t="shared" si="10"/>
        <v>0</v>
      </c>
      <c r="T95" s="543">
        <f t="shared" si="10"/>
        <v>2E-3</v>
      </c>
      <c r="U95" s="543">
        <f t="shared" si="10"/>
        <v>0</v>
      </c>
      <c r="V95" s="543">
        <f t="shared" si="10"/>
        <v>0</v>
      </c>
      <c r="W95" s="543">
        <f t="shared" si="10"/>
        <v>0</v>
      </c>
      <c r="X95" s="543">
        <f t="shared" si="10"/>
        <v>0.54</v>
      </c>
      <c r="Y95" s="543">
        <f t="shared" si="10"/>
        <v>1E-3</v>
      </c>
      <c r="Z95" s="543">
        <f t="shared" si="10"/>
        <v>6.0000000000000001E-3</v>
      </c>
      <c r="AA95" s="543">
        <f t="shared" si="10"/>
        <v>2.3E-2</v>
      </c>
      <c r="AB95" s="543">
        <f t="shared" si="10"/>
        <v>0.104</v>
      </c>
      <c r="AC95" s="543">
        <f t="shared" si="10"/>
        <v>2.4E-2</v>
      </c>
      <c r="AD95" s="543">
        <f t="shared" si="10"/>
        <v>0.19500000000000001</v>
      </c>
      <c r="AE95" s="543">
        <f t="shared" si="10"/>
        <v>3.0000000000000001E-3</v>
      </c>
      <c r="AF95" s="543">
        <f t="shared" si="10"/>
        <v>0.158</v>
      </c>
      <c r="AG95" s="543">
        <f t="shared" si="10"/>
        <v>2.2490000000000001</v>
      </c>
      <c r="AH95" s="543">
        <f t="shared" si="10"/>
        <v>4.0000000000000001E-3</v>
      </c>
      <c r="AI95" s="543">
        <f t="shared" si="10"/>
        <v>0.81399999999999995</v>
      </c>
      <c r="AJ95" s="543">
        <f t="shared" si="10"/>
        <v>0.52200000000000002</v>
      </c>
      <c r="AK95" s="543">
        <f t="shared" si="10"/>
        <v>4.0000000000000001E-3</v>
      </c>
      <c r="AL95" s="543">
        <f t="shared" si="10"/>
        <v>0</v>
      </c>
      <c r="AM95" s="543">
        <f t="shared" si="10"/>
        <v>0.56299999999999994</v>
      </c>
    </row>
    <row r="97" spans="5:35">
      <c r="F97" s="530" t="s">
        <v>56</v>
      </c>
      <c r="G97" s="530" t="s">
        <v>39</v>
      </c>
      <c r="H97" s="530" t="s">
        <v>40</v>
      </c>
      <c r="I97" s="530" t="s">
        <v>49</v>
      </c>
      <c r="J97" s="530" t="s">
        <v>41</v>
      </c>
      <c r="K97" s="530" t="s">
        <v>43</v>
      </c>
      <c r="L97" s="530" t="s">
        <v>42</v>
      </c>
      <c r="M97" s="530" t="s">
        <v>44</v>
      </c>
      <c r="N97" s="530" t="s">
        <v>45</v>
      </c>
      <c r="O97" s="530" t="s">
        <v>62</v>
      </c>
      <c r="P97" s="530" t="s">
        <v>46</v>
      </c>
      <c r="Q97" s="530" t="s">
        <v>82</v>
      </c>
      <c r="R97" s="530" t="s">
        <v>53</v>
      </c>
      <c r="S97" s="530" t="s">
        <v>47</v>
      </c>
      <c r="T97" s="530" t="s">
        <v>48</v>
      </c>
      <c r="U97" s="530" t="s">
        <v>51</v>
      </c>
      <c r="V97" s="530" t="s">
        <v>52</v>
      </c>
      <c r="W97" s="530" t="s">
        <v>50</v>
      </c>
      <c r="X97" s="530" t="s">
        <v>54</v>
      </c>
      <c r="Y97" s="530" t="s">
        <v>55</v>
      </c>
      <c r="Z97" s="530" t="s">
        <v>57</v>
      </c>
      <c r="AA97" s="530" t="s">
        <v>58</v>
      </c>
      <c r="AB97" s="530" t="s">
        <v>59</v>
      </c>
      <c r="AC97" s="530" t="s">
        <v>63</v>
      </c>
      <c r="AD97" s="530" t="s">
        <v>60</v>
      </c>
      <c r="AE97" s="530" t="s">
        <v>61</v>
      </c>
      <c r="AF97" s="530" t="s">
        <v>64</v>
      </c>
      <c r="AG97" s="543" t="s">
        <v>81</v>
      </c>
      <c r="AH97" s="543" t="s">
        <v>83</v>
      </c>
      <c r="AI97" s="543" t="s">
        <v>84</v>
      </c>
    </row>
    <row r="98" spans="5:35">
      <c r="E98" s="543" t="s">
        <v>972</v>
      </c>
      <c r="F98" s="563">
        <f>X91</f>
        <v>1.7529999999999999</v>
      </c>
      <c r="G98" s="563">
        <f>F91</f>
        <v>0.49399999999999999</v>
      </c>
      <c r="H98" s="563">
        <f>G91</f>
        <v>0.26300000000000001</v>
      </c>
      <c r="I98" s="563">
        <f>Q91</f>
        <v>6.0000000000000001E-3</v>
      </c>
      <c r="J98" s="563">
        <f>H91</f>
        <v>2.29</v>
      </c>
      <c r="K98" s="563">
        <f>J91</f>
        <v>10.621</v>
      </c>
      <c r="L98" s="563">
        <f>I91</f>
        <v>0.63900000000000001</v>
      </c>
      <c r="M98" s="563">
        <f>K91</f>
        <v>3.2000000000000001E-2</v>
      </c>
      <c r="N98" s="563">
        <f>N91</f>
        <v>6.4809999999999999</v>
      </c>
      <c r="O98" s="563">
        <f>AD91</f>
        <v>2.4649999999999999</v>
      </c>
      <c r="P98" s="563">
        <f>O91</f>
        <v>6.7549999999999999</v>
      </c>
      <c r="Q98" s="563">
        <f>M91</f>
        <v>0.25700000000000001</v>
      </c>
      <c r="R98" s="563">
        <f>U91</f>
        <v>0.13500000000000001</v>
      </c>
      <c r="S98" s="563">
        <f>L91</f>
        <v>0.14499999999999999</v>
      </c>
      <c r="T98" s="563">
        <f>P91</f>
        <v>4.84</v>
      </c>
      <c r="U98" s="563">
        <f t="shared" ref="U98:V102" si="11">S91</f>
        <v>6.2E-2</v>
      </c>
      <c r="V98" s="563">
        <f t="shared" si="11"/>
        <v>0.13200000000000001</v>
      </c>
      <c r="W98" s="563">
        <f>R91</f>
        <v>3.3000000000000002E-2</v>
      </c>
      <c r="X98" s="563">
        <f t="shared" ref="X98:Y102" si="12">V91</f>
        <v>0</v>
      </c>
      <c r="Y98" s="563">
        <f t="shared" si="12"/>
        <v>2.996</v>
      </c>
      <c r="Z98" s="563">
        <f>Y91</f>
        <v>2.0539999999999998</v>
      </c>
      <c r="AA98" s="563">
        <f>Z91</f>
        <v>1.3120000000000001</v>
      </c>
      <c r="AB98" s="563">
        <f>AA91</f>
        <v>0.627</v>
      </c>
      <c r="AC98" s="563">
        <f>AE91</f>
        <v>0.98699999999999999</v>
      </c>
      <c r="AD98" s="563">
        <f t="shared" ref="AD98:AE102" si="13">AB91</f>
        <v>0.182</v>
      </c>
      <c r="AE98" s="563">
        <f t="shared" si="13"/>
        <v>0.56399999999999995</v>
      </c>
      <c r="AF98" s="563">
        <f>AF91</f>
        <v>8.3680000000000003</v>
      </c>
      <c r="AG98" s="562">
        <f>AJ91</f>
        <v>1.429</v>
      </c>
      <c r="AH98" s="562">
        <f>AH91</f>
        <v>3.1E-2</v>
      </c>
      <c r="AI98" s="562">
        <f>AI91</f>
        <v>1.048</v>
      </c>
    </row>
    <row r="99" spans="5:35">
      <c r="E99" s="543" t="s">
        <v>957</v>
      </c>
      <c r="F99" s="563">
        <f>X92</f>
        <v>1.2130000000000001</v>
      </c>
      <c r="G99" s="563">
        <f t="shared" ref="G99:H102" si="14">F92</f>
        <v>0.49</v>
      </c>
      <c r="H99" s="563">
        <f t="shared" si="14"/>
        <v>0.26300000000000001</v>
      </c>
      <c r="I99" s="563">
        <f>Q92</f>
        <v>6.0000000000000001E-3</v>
      </c>
      <c r="J99" s="563">
        <f>H92</f>
        <v>2.1349999999999998</v>
      </c>
      <c r="K99" s="563">
        <f>J92</f>
        <v>10.557</v>
      </c>
      <c r="L99" s="563">
        <f>I92</f>
        <v>0.63600000000000001</v>
      </c>
      <c r="M99" s="563">
        <f>K92</f>
        <v>3.1E-2</v>
      </c>
      <c r="N99" s="563">
        <f>N92</f>
        <v>6.4809999999999999</v>
      </c>
      <c r="O99" s="563">
        <f>AD92</f>
        <v>2.27</v>
      </c>
      <c r="P99" s="563">
        <f>O92</f>
        <v>6.4329999999999998</v>
      </c>
      <c r="Q99" s="563">
        <f>M92</f>
        <v>0.25700000000000001</v>
      </c>
      <c r="R99" s="563">
        <f>U92</f>
        <v>0.13500000000000001</v>
      </c>
      <c r="S99" s="563">
        <f>L92</f>
        <v>0.14499999999999999</v>
      </c>
      <c r="T99" s="563">
        <f>P92</f>
        <v>4.5229999999999997</v>
      </c>
      <c r="U99" s="563">
        <f t="shared" si="11"/>
        <v>3.6999999999999998E-2</v>
      </c>
      <c r="V99" s="563">
        <f t="shared" si="11"/>
        <v>0.106</v>
      </c>
      <c r="W99" s="563">
        <f>R92</f>
        <v>2.7E-2</v>
      </c>
      <c r="X99" s="563">
        <f t="shared" si="12"/>
        <v>0</v>
      </c>
      <c r="Y99" s="563">
        <f t="shared" si="12"/>
        <v>2.7280000000000002</v>
      </c>
      <c r="Z99" s="563">
        <f t="shared" ref="Z99:AB102" si="15">Y92</f>
        <v>2.0529999999999999</v>
      </c>
      <c r="AA99" s="563">
        <f t="shared" si="15"/>
        <v>1.306</v>
      </c>
      <c r="AB99" s="563">
        <f t="shared" si="15"/>
        <v>0.60399999999999998</v>
      </c>
      <c r="AC99" s="563">
        <f>AE92</f>
        <v>0.98399999999999999</v>
      </c>
      <c r="AD99" s="563">
        <f t="shared" si="13"/>
        <v>7.8E-2</v>
      </c>
      <c r="AE99" s="563">
        <f t="shared" si="13"/>
        <v>0.52500000000000002</v>
      </c>
      <c r="AF99" s="563">
        <f>AF92</f>
        <v>6.633</v>
      </c>
      <c r="AG99" s="562">
        <f t="shared" ref="AG99:AG102" si="16">AJ92</f>
        <v>0.81599999999999995</v>
      </c>
      <c r="AH99" s="562">
        <f t="shared" ref="AH99:AI102" si="17">AH92</f>
        <v>2.7E-2</v>
      </c>
      <c r="AI99" s="562">
        <f t="shared" si="17"/>
        <v>0.13600000000000001</v>
      </c>
    </row>
    <row r="100" spans="5:35">
      <c r="E100" s="543" t="s">
        <v>100</v>
      </c>
      <c r="F100" s="563">
        <f>X93</f>
        <v>0</v>
      </c>
      <c r="G100" s="563">
        <f t="shared" si="14"/>
        <v>2E-3</v>
      </c>
      <c r="H100" s="563">
        <f t="shared" si="14"/>
        <v>0</v>
      </c>
      <c r="I100" s="563">
        <f>Q93</f>
        <v>0</v>
      </c>
      <c r="J100" s="563">
        <f>H93</f>
        <v>0</v>
      </c>
      <c r="K100" s="563">
        <f>J93</f>
        <v>0</v>
      </c>
      <c r="L100" s="563">
        <f>I93</f>
        <v>3.0000000000000001E-3</v>
      </c>
      <c r="M100" s="563">
        <f>K93</f>
        <v>0</v>
      </c>
      <c r="N100" s="563">
        <f>N93</f>
        <v>0</v>
      </c>
      <c r="O100" s="563">
        <f>AD93</f>
        <v>0</v>
      </c>
      <c r="P100" s="563">
        <f>O93</f>
        <v>0</v>
      </c>
      <c r="Q100" s="563">
        <f>M93</f>
        <v>0</v>
      </c>
      <c r="R100" s="563">
        <f>U93</f>
        <v>0</v>
      </c>
      <c r="S100" s="563">
        <f>L93</f>
        <v>0</v>
      </c>
      <c r="T100" s="563">
        <f>P93</f>
        <v>0</v>
      </c>
      <c r="U100" s="563">
        <f t="shared" si="11"/>
        <v>0</v>
      </c>
      <c r="V100" s="563">
        <f t="shared" si="11"/>
        <v>2.4E-2</v>
      </c>
      <c r="W100" s="563">
        <f>R93</f>
        <v>0</v>
      </c>
      <c r="X100" s="563">
        <f t="shared" si="12"/>
        <v>0</v>
      </c>
      <c r="Y100" s="563">
        <f t="shared" si="12"/>
        <v>4.8000000000000001E-2</v>
      </c>
      <c r="Z100" s="563">
        <f t="shared" si="15"/>
        <v>0</v>
      </c>
      <c r="AA100" s="563">
        <f t="shared" si="15"/>
        <v>0</v>
      </c>
      <c r="AB100" s="563">
        <f t="shared" si="15"/>
        <v>0</v>
      </c>
      <c r="AC100" s="563">
        <f>AE93</f>
        <v>0</v>
      </c>
      <c r="AD100" s="563">
        <f t="shared" si="13"/>
        <v>0</v>
      </c>
      <c r="AE100" s="563">
        <f t="shared" si="13"/>
        <v>0</v>
      </c>
      <c r="AF100" s="563">
        <f>AF93</f>
        <v>1.0999999999999999E-2</v>
      </c>
      <c r="AG100" s="562">
        <f t="shared" si="16"/>
        <v>2.5999999999999999E-2</v>
      </c>
      <c r="AH100" s="562">
        <f t="shared" si="17"/>
        <v>0</v>
      </c>
      <c r="AI100" s="562">
        <f t="shared" si="17"/>
        <v>7.0000000000000001E-3</v>
      </c>
    </row>
    <row r="101" spans="5:35">
      <c r="E101" s="543" t="s">
        <v>103</v>
      </c>
      <c r="F101" s="563">
        <f>X94</f>
        <v>0</v>
      </c>
      <c r="G101" s="563">
        <f t="shared" si="14"/>
        <v>2E-3</v>
      </c>
      <c r="H101" s="563">
        <f t="shared" si="14"/>
        <v>0</v>
      </c>
      <c r="I101" s="563">
        <f>Q94</f>
        <v>0</v>
      </c>
      <c r="J101" s="563">
        <f>H94</f>
        <v>0</v>
      </c>
      <c r="K101" s="563">
        <f>J94</f>
        <v>0</v>
      </c>
      <c r="L101" s="563">
        <f>I94</f>
        <v>0</v>
      </c>
      <c r="M101" s="563">
        <f>K94</f>
        <v>1E-3</v>
      </c>
      <c r="N101" s="563">
        <f>N94</f>
        <v>0</v>
      </c>
      <c r="O101" s="563">
        <f>AD94</f>
        <v>0</v>
      </c>
      <c r="P101" s="563">
        <f>O94</f>
        <v>5.3999999999999999E-2</v>
      </c>
      <c r="Q101" s="563">
        <f>M94</f>
        <v>0</v>
      </c>
      <c r="R101" s="563">
        <f>U94</f>
        <v>0</v>
      </c>
      <c r="S101" s="563">
        <f>L94</f>
        <v>0</v>
      </c>
      <c r="T101" s="563">
        <f>P94</f>
        <v>1E-3</v>
      </c>
      <c r="U101" s="563">
        <f t="shared" si="11"/>
        <v>0</v>
      </c>
      <c r="V101" s="563">
        <f t="shared" si="11"/>
        <v>0</v>
      </c>
      <c r="W101" s="563">
        <f>R94</f>
        <v>0</v>
      </c>
      <c r="X101" s="563">
        <f t="shared" si="12"/>
        <v>0</v>
      </c>
      <c r="Y101" s="563">
        <f t="shared" si="12"/>
        <v>0.16800000000000001</v>
      </c>
      <c r="Z101" s="563">
        <f t="shared" si="15"/>
        <v>0</v>
      </c>
      <c r="AA101" s="563">
        <f t="shared" si="15"/>
        <v>0</v>
      </c>
      <c r="AB101" s="563">
        <f t="shared" si="15"/>
        <v>0</v>
      </c>
      <c r="AC101" s="563">
        <f>AE94</f>
        <v>0</v>
      </c>
      <c r="AD101" s="563">
        <f t="shared" si="13"/>
        <v>0</v>
      </c>
      <c r="AE101" s="563">
        <f t="shared" si="13"/>
        <v>5.0000000000000001E-3</v>
      </c>
      <c r="AF101" s="563">
        <f>AF94</f>
        <v>1.5649999999999999</v>
      </c>
      <c r="AG101" s="562">
        <f t="shared" si="16"/>
        <v>0</v>
      </c>
      <c r="AH101" s="562">
        <f t="shared" si="17"/>
        <v>0</v>
      </c>
      <c r="AI101" s="562">
        <f t="shared" si="17"/>
        <v>0</v>
      </c>
    </row>
    <row r="102" spans="5:35">
      <c r="E102" s="543" t="s">
        <v>102</v>
      </c>
      <c r="F102" s="563">
        <f>X95</f>
        <v>0.54</v>
      </c>
      <c r="G102" s="563">
        <f t="shared" si="14"/>
        <v>0</v>
      </c>
      <c r="H102" s="563">
        <f t="shared" si="14"/>
        <v>0</v>
      </c>
      <c r="I102" s="563">
        <f>Q95</f>
        <v>0</v>
      </c>
      <c r="J102" s="563">
        <f>H95</f>
        <v>0.155</v>
      </c>
      <c r="K102" s="563">
        <f>J95</f>
        <v>6.4000000000000001E-2</v>
      </c>
      <c r="L102" s="563">
        <f>I95</f>
        <v>0</v>
      </c>
      <c r="M102" s="563">
        <f>K95</f>
        <v>0</v>
      </c>
      <c r="N102" s="563">
        <f>N95</f>
        <v>0</v>
      </c>
      <c r="O102" s="563">
        <f>AD95</f>
        <v>0.19500000000000001</v>
      </c>
      <c r="P102" s="563">
        <f>O95</f>
        <v>0.26800000000000002</v>
      </c>
      <c r="Q102" s="563">
        <f>M95</f>
        <v>0</v>
      </c>
      <c r="R102" s="563">
        <f>U95</f>
        <v>0</v>
      </c>
      <c r="S102" s="563">
        <f>L95</f>
        <v>0</v>
      </c>
      <c r="T102" s="563">
        <f>P95</f>
        <v>0.19900000000000001</v>
      </c>
      <c r="U102" s="563">
        <f t="shared" si="11"/>
        <v>0</v>
      </c>
      <c r="V102" s="563">
        <f t="shared" si="11"/>
        <v>2E-3</v>
      </c>
      <c r="W102" s="563">
        <f>R95</f>
        <v>6.0000000000000001E-3</v>
      </c>
      <c r="X102" s="563">
        <f t="shared" si="12"/>
        <v>0</v>
      </c>
      <c r="Y102" s="563">
        <f t="shared" si="12"/>
        <v>0</v>
      </c>
      <c r="Z102" s="563">
        <f t="shared" si="15"/>
        <v>1E-3</v>
      </c>
      <c r="AA102" s="563">
        <f t="shared" si="15"/>
        <v>6.0000000000000001E-3</v>
      </c>
      <c r="AB102" s="563">
        <f t="shared" si="15"/>
        <v>2.3E-2</v>
      </c>
      <c r="AC102" s="563">
        <f>AE95</f>
        <v>3.0000000000000001E-3</v>
      </c>
      <c r="AD102" s="563">
        <f t="shared" si="13"/>
        <v>0.104</v>
      </c>
      <c r="AE102" s="563">
        <f t="shared" si="13"/>
        <v>2.4E-2</v>
      </c>
      <c r="AF102" s="563">
        <f>AF95</f>
        <v>0.158</v>
      </c>
      <c r="AG102" s="562">
        <f t="shared" si="16"/>
        <v>0.52200000000000002</v>
      </c>
      <c r="AH102" s="562">
        <f t="shared" si="17"/>
        <v>4.0000000000000001E-3</v>
      </c>
      <c r="AI102" s="562">
        <f t="shared" si="17"/>
        <v>0.81399999999999995</v>
      </c>
    </row>
  </sheetData>
  <autoFilter ref="A11:AM53">
    <filterColumn colId="0">
      <filters>
        <filter val="A"/>
      </filters>
    </filterColumn>
  </autoFilter>
  <pageMargins left="0.7" right="0.7" top="0.75" bottom="0.75" header="0.3" footer="0.3"/>
  <pageSetup paperSize="9" orientation="portrait" horizontalDpi="4294967293"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AN576"/>
  <sheetViews>
    <sheetView topLeftCell="A76" zoomScale="85" zoomScaleNormal="85" workbookViewId="0">
      <selection activeCell="B113" sqref="B113"/>
    </sheetView>
  </sheetViews>
  <sheetFormatPr defaultColWidth="9.140625" defaultRowHeight="14.25"/>
  <cols>
    <col min="1" max="1" width="66.28515625" style="530" customWidth="1"/>
    <col min="2" max="2" width="9.140625" style="530"/>
    <col min="3" max="3" width="28.7109375" style="530" customWidth="1"/>
    <col min="4" max="4" width="9.140625" style="530"/>
    <col min="5" max="5" width="18" style="530" customWidth="1"/>
    <col min="6" max="6" width="9.140625" style="530"/>
    <col min="7" max="7" width="12.5703125" style="530" customWidth="1"/>
    <col min="8" max="8" width="24.5703125" style="530" customWidth="1"/>
    <col min="9" max="9" width="26.7109375" style="530" customWidth="1"/>
    <col min="10" max="10" width="9.140625" style="530"/>
    <col min="11" max="11" width="15.42578125" style="530" customWidth="1"/>
    <col min="12" max="16384" width="9.140625" style="530"/>
  </cols>
  <sheetData>
    <row r="3" spans="1:40">
      <c r="F3" s="530">
        <v>37</v>
      </c>
      <c r="G3" s="530">
        <f>54</f>
        <v>54</v>
      </c>
      <c r="H3" s="530">
        <f>G3+G3-F3</f>
        <v>71</v>
      </c>
      <c r="I3" s="530">
        <f t="shared" ref="I3:AC3" si="0">H3+H3-G3</f>
        <v>88</v>
      </c>
      <c r="J3" s="530">
        <f t="shared" si="0"/>
        <v>105</v>
      </c>
      <c r="K3" s="530">
        <f t="shared" si="0"/>
        <v>122</v>
      </c>
      <c r="L3" s="530">
        <f t="shared" si="0"/>
        <v>139</v>
      </c>
      <c r="M3" s="530">
        <f t="shared" si="0"/>
        <v>156</v>
      </c>
      <c r="N3" s="530">
        <f t="shared" si="0"/>
        <v>173</v>
      </c>
      <c r="O3" s="530">
        <f t="shared" si="0"/>
        <v>190</v>
      </c>
      <c r="P3" s="530">
        <f t="shared" si="0"/>
        <v>207</v>
      </c>
      <c r="Q3" s="530">
        <f t="shared" si="0"/>
        <v>224</v>
      </c>
      <c r="R3" s="530">
        <f t="shared" si="0"/>
        <v>241</v>
      </c>
      <c r="S3" s="530">
        <f t="shared" si="0"/>
        <v>258</v>
      </c>
      <c r="T3" s="530">
        <f t="shared" si="0"/>
        <v>275</v>
      </c>
      <c r="U3" s="530">
        <f t="shared" si="0"/>
        <v>292</v>
      </c>
      <c r="V3" s="530">
        <f t="shared" si="0"/>
        <v>309</v>
      </c>
      <c r="W3" s="530">
        <f t="shared" si="0"/>
        <v>326</v>
      </c>
      <c r="X3" s="530">
        <f t="shared" si="0"/>
        <v>343</v>
      </c>
      <c r="Y3" s="530">
        <f t="shared" si="0"/>
        <v>360</v>
      </c>
      <c r="Z3" s="530">
        <f t="shared" si="0"/>
        <v>377</v>
      </c>
      <c r="AA3" s="530">
        <f t="shared" si="0"/>
        <v>394</v>
      </c>
      <c r="AB3" s="530">
        <f t="shared" si="0"/>
        <v>411</v>
      </c>
      <c r="AC3" s="530">
        <f t="shared" si="0"/>
        <v>428</v>
      </c>
      <c r="AD3" s="530">
        <f t="shared" ref="AD3" si="1">AC3+AC3-AB3</f>
        <v>445</v>
      </c>
      <c r="AE3" s="530">
        <f t="shared" ref="AE3" si="2">AD3+AD3-AC3</f>
        <v>462</v>
      </c>
      <c r="AF3" s="530">
        <f t="shared" ref="AF3" si="3">AE3+AE3-AD3</f>
        <v>479</v>
      </c>
      <c r="AG3" s="530">
        <f t="shared" ref="AG3" si="4">AF3+AF3-AE3</f>
        <v>496</v>
      </c>
      <c r="AH3" s="530">
        <f t="shared" ref="AH3" si="5">AG3+AG3-AF3</f>
        <v>513</v>
      </c>
      <c r="AI3" s="530">
        <f t="shared" ref="AI3" si="6">AH3+AH3-AG3</f>
        <v>530</v>
      </c>
      <c r="AJ3" s="530">
        <f t="shared" ref="AJ3" si="7">AI3+AI3-AH3</f>
        <v>547</v>
      </c>
      <c r="AK3" s="530">
        <f t="shared" ref="AK3" si="8">AJ3+AJ3-AI3</f>
        <v>564</v>
      </c>
      <c r="AL3" s="530">
        <f t="shared" ref="AL3" si="9">AK3+AK3-AJ3</f>
        <v>581</v>
      </c>
      <c r="AM3" s="530">
        <f t="shared" ref="AM3" si="10">AL3+AL3-AK3</f>
        <v>598</v>
      </c>
      <c r="AN3" s="530">
        <f t="shared" ref="AN3" si="11">AM3+AM3-AL3</f>
        <v>615</v>
      </c>
    </row>
    <row r="4" spans="1:40">
      <c r="F4" s="530" t="str">
        <f>S37</f>
        <v>Belgium</v>
      </c>
      <c r="G4" s="530" t="str">
        <f>S54</f>
        <v>Bulgaria</v>
      </c>
      <c r="H4" s="530" t="str">
        <f>S71</f>
        <v>Czech Republic</v>
      </c>
      <c r="I4" s="530" t="str">
        <f>S88</f>
        <v>Denmark</v>
      </c>
      <c r="J4" s="530" t="str">
        <f>S105</f>
        <v>Germany (until 1990 former territory of the FRG)</v>
      </c>
      <c r="K4" s="530" t="str">
        <f>S122</f>
        <v>Estonia</v>
      </c>
      <c r="L4" s="530" t="str">
        <f>S139</f>
        <v>Ireland</v>
      </c>
      <c r="M4" s="530" t="str">
        <f>S156</f>
        <v>Greece</v>
      </c>
      <c r="N4" s="530" t="str">
        <f>S173</f>
        <v>Spain</v>
      </c>
      <c r="O4" s="530" t="str">
        <f>S190</f>
        <v>France</v>
      </c>
      <c r="P4" s="530" t="str">
        <f>S207</f>
        <v>Italy</v>
      </c>
      <c r="Q4" s="530" t="str">
        <f>S224</f>
        <v>Cyprus</v>
      </c>
      <c r="R4" s="530" t="str">
        <f>S241</f>
        <v>Latvia</v>
      </c>
      <c r="S4" s="530" t="str">
        <f>S258</f>
        <v>Lithuania</v>
      </c>
      <c r="T4" s="530" t="str">
        <f>S275</f>
        <v>Luxembourg</v>
      </c>
      <c r="U4" s="530" t="str">
        <f>S292</f>
        <v>Hungary</v>
      </c>
      <c r="V4" s="530" t="str">
        <f>S309</f>
        <v>Netherlands</v>
      </c>
      <c r="W4" s="530" t="str">
        <f>S326</f>
        <v>Austria</v>
      </c>
      <c r="X4" s="530" t="str">
        <f>S343</f>
        <v>Poland</v>
      </c>
      <c r="Y4" s="530" t="str">
        <f>S360</f>
        <v>Portugal</v>
      </c>
      <c r="Z4" s="530" t="str">
        <f>S377</f>
        <v>Romania</v>
      </c>
      <c r="AA4" s="530" t="str">
        <f>S394</f>
        <v>Slovenia</v>
      </c>
      <c r="AB4" s="530" t="str">
        <f>S411</f>
        <v>Slovakia</v>
      </c>
      <c r="AC4" s="530" t="str">
        <f>S428</f>
        <v>Finland</v>
      </c>
      <c r="AD4" s="530" t="str">
        <f>S445</f>
        <v>Sweden</v>
      </c>
      <c r="AE4" s="530" t="str">
        <f>S462</f>
        <v>United Kingdom</v>
      </c>
      <c r="AF4" s="530" t="str">
        <f>S479</f>
        <v>Iceland</v>
      </c>
      <c r="AG4" s="530" t="str">
        <f>S496</f>
        <v>Norway</v>
      </c>
      <c r="AH4" s="530" t="str">
        <f>S513</f>
        <v>Switzerland</v>
      </c>
      <c r="AI4" s="530" t="str">
        <f>S530</f>
        <v>Croatia</v>
      </c>
      <c r="AJ4" s="530" t="str">
        <f>S547</f>
        <v>Former Yugoslav Republic of Macedonia, the</v>
      </c>
      <c r="AK4" s="530" t="str">
        <f>S564</f>
        <v>Turkey</v>
      </c>
    </row>
    <row r="5" spans="1:40">
      <c r="F5" s="530">
        <f t="shared" ref="F5:F6" si="12">S38</f>
        <v>1.8169999999999999</v>
      </c>
      <c r="G5" s="530">
        <f>S55</f>
        <v>4.7110000000000003</v>
      </c>
      <c r="H5" s="530">
        <f t="shared" ref="H5:H6" si="13">S72</f>
        <v>0</v>
      </c>
      <c r="I5" s="530">
        <f t="shared" ref="I5:I6" si="14">S89</f>
        <v>0.13300000000000001</v>
      </c>
      <c r="J5" s="530">
        <f t="shared" ref="J5:J6" si="15">S106</f>
        <v>15.505000000000001</v>
      </c>
      <c r="K5" s="530">
        <f t="shared" ref="K5:K6" si="16">S123</f>
        <v>0</v>
      </c>
      <c r="L5" s="530">
        <f t="shared" ref="L5:L6" si="17">S140</f>
        <v>0.27800000000000002</v>
      </c>
      <c r="M5" s="530">
        <f t="shared" ref="M5:M6" si="18">S157</f>
        <v>0</v>
      </c>
      <c r="N5" s="530">
        <f t="shared" ref="N5:N6" si="19">S174</f>
        <v>1.9370000000000001</v>
      </c>
      <c r="O5" s="530">
        <f t="shared" ref="O5:O6" si="20">S191</f>
        <v>18.356000000000002</v>
      </c>
      <c r="P5" s="530">
        <f t="shared" ref="P5:P6" si="21">S208</f>
        <v>2.7650000000000001</v>
      </c>
      <c r="Q5" s="530">
        <f t="shared" ref="Q5:Q6" si="22">S225</f>
        <v>0</v>
      </c>
      <c r="R5" s="530">
        <f t="shared" ref="R5:R6" si="23">S242</f>
        <v>0</v>
      </c>
      <c r="S5" s="530">
        <f t="shared" ref="S5:S6" si="24">S259</f>
        <v>0</v>
      </c>
      <c r="T5" s="530">
        <f t="shared" ref="T5:T6" si="25">S276</f>
        <v>0</v>
      </c>
      <c r="U5" s="530">
        <f t="shared" ref="U5:U6" si="26">S293</f>
        <v>0</v>
      </c>
      <c r="V5" s="530">
        <f t="shared" ref="V5:V6" si="27">S310</f>
        <v>0</v>
      </c>
      <c r="W5" s="530">
        <f t="shared" ref="W5:W6" si="28">S327</f>
        <v>1.0649999999999999</v>
      </c>
      <c r="X5" s="530">
        <f t="shared" ref="X5:X6" si="29">S344</f>
        <v>65.293999999999997</v>
      </c>
      <c r="Y5" s="530">
        <f t="shared" ref="Y5:Y6" si="30">S361</f>
        <v>0</v>
      </c>
      <c r="Z5" s="530">
        <f t="shared" ref="Z5:Z6" si="31">S378</f>
        <v>0</v>
      </c>
      <c r="AA5" s="530">
        <f t="shared" ref="AA5:AA6" si="32">S395</f>
        <v>0.32600000000000001</v>
      </c>
      <c r="AB5" s="530">
        <f t="shared" ref="AB5:AB6" si="33">S412</f>
        <v>5.4489999999999998</v>
      </c>
      <c r="AC5" s="530">
        <f t="shared" ref="AC5:AC6" si="34">S429</f>
        <v>0.45900000000000002</v>
      </c>
      <c r="AD5" s="530">
        <f t="shared" ref="AD5:AD6" si="35">S446</f>
        <v>0.107</v>
      </c>
      <c r="AE5" s="530">
        <f t="shared" ref="AE5:AE6" si="36">S463</f>
        <v>5.431</v>
      </c>
      <c r="AF5" s="530">
        <f t="shared" ref="AF5:AF6" si="37">S480</f>
        <v>0</v>
      </c>
      <c r="AG5" s="530">
        <f t="shared" ref="AG5:AG6" si="38">S497</f>
        <v>0</v>
      </c>
      <c r="AH5" s="530">
        <f t="shared" ref="AH5:AH6" si="39">S514</f>
        <v>0</v>
      </c>
      <c r="AI5" s="530">
        <f t="shared" ref="AI5:AI6" si="40">S531</f>
        <v>0</v>
      </c>
      <c r="AJ5" s="530">
        <f t="shared" ref="AJ5:AJ6" si="41">S548</f>
        <v>0</v>
      </c>
      <c r="AK5" s="530">
        <f t="shared" ref="AK5:AK6" si="42">S565</f>
        <v>0.83</v>
      </c>
    </row>
    <row r="6" spans="1:40">
      <c r="F6" s="530">
        <f t="shared" si="12"/>
        <v>0</v>
      </c>
      <c r="G6" s="530">
        <f>S56</f>
        <v>0</v>
      </c>
      <c r="H6" s="530">
        <f t="shared" si="13"/>
        <v>0</v>
      </c>
      <c r="I6" s="530">
        <f t="shared" si="14"/>
        <v>0</v>
      </c>
      <c r="J6" s="530">
        <f t="shared" si="15"/>
        <v>89.477999999999994</v>
      </c>
      <c r="K6" s="530">
        <f t="shared" si="16"/>
        <v>0</v>
      </c>
      <c r="L6" s="530">
        <f t="shared" si="17"/>
        <v>0</v>
      </c>
      <c r="M6" s="530">
        <f t="shared" si="18"/>
        <v>0</v>
      </c>
      <c r="N6" s="530">
        <f t="shared" si="19"/>
        <v>0</v>
      </c>
      <c r="O6" s="530">
        <f t="shared" si="20"/>
        <v>6.8120000000000003</v>
      </c>
      <c r="P6" s="530">
        <f t="shared" si="21"/>
        <v>1.4890000000000001</v>
      </c>
      <c r="Q6" s="530">
        <f t="shared" si="22"/>
        <v>0</v>
      </c>
      <c r="R6" s="530">
        <f t="shared" si="23"/>
        <v>0</v>
      </c>
      <c r="S6" s="530">
        <f t="shared" si="24"/>
        <v>0</v>
      </c>
      <c r="T6" s="530">
        <f t="shared" si="25"/>
        <v>0</v>
      </c>
      <c r="U6" s="530">
        <f t="shared" si="26"/>
        <v>0</v>
      </c>
      <c r="V6" s="530">
        <f t="shared" si="27"/>
        <v>0</v>
      </c>
      <c r="W6" s="530">
        <f t="shared" si="28"/>
        <v>0.20699999999999999</v>
      </c>
      <c r="X6" s="530">
        <f t="shared" si="29"/>
        <v>0</v>
      </c>
      <c r="Y6" s="530">
        <f t="shared" si="30"/>
        <v>0</v>
      </c>
      <c r="Z6" s="530">
        <f t="shared" si="31"/>
        <v>0</v>
      </c>
      <c r="AA6" s="530">
        <f t="shared" si="32"/>
        <v>0</v>
      </c>
      <c r="AB6" s="530">
        <f t="shared" si="33"/>
        <v>0</v>
      </c>
      <c r="AC6" s="530">
        <f t="shared" si="34"/>
        <v>0</v>
      </c>
      <c r="AD6" s="530">
        <f t="shared" si="35"/>
        <v>0</v>
      </c>
      <c r="AE6" s="530">
        <f t="shared" si="36"/>
        <v>31.853000000000002</v>
      </c>
      <c r="AF6" s="530">
        <f t="shared" si="37"/>
        <v>0</v>
      </c>
      <c r="AG6" s="530">
        <f t="shared" si="38"/>
        <v>0</v>
      </c>
      <c r="AH6" s="530">
        <f t="shared" si="39"/>
        <v>0</v>
      </c>
      <c r="AI6" s="530">
        <f t="shared" si="40"/>
        <v>0</v>
      </c>
      <c r="AJ6" s="530">
        <f t="shared" si="41"/>
        <v>0</v>
      </c>
      <c r="AK6" s="530">
        <f t="shared" si="42"/>
        <v>16.920000000000002</v>
      </c>
    </row>
    <row r="8" spans="1:40" ht="15.75" thickBot="1">
      <c r="F8" s="514" t="s">
        <v>56</v>
      </c>
      <c r="G8" s="514" t="s">
        <v>39</v>
      </c>
      <c r="H8" s="514" t="s">
        <v>40</v>
      </c>
      <c r="I8" s="514" t="s">
        <v>49</v>
      </c>
      <c r="J8" s="514" t="s">
        <v>41</v>
      </c>
      <c r="K8" s="514" t="s">
        <v>43</v>
      </c>
      <c r="L8" s="514" t="s">
        <v>42</v>
      </c>
      <c r="M8" s="514" t="s">
        <v>44</v>
      </c>
      <c r="N8" s="514" t="s">
        <v>45</v>
      </c>
      <c r="O8" s="514" t="s">
        <v>62</v>
      </c>
      <c r="P8" s="514" t="s">
        <v>46</v>
      </c>
      <c r="Q8" s="514" t="s">
        <v>82</v>
      </c>
      <c r="R8" s="514" t="s">
        <v>53</v>
      </c>
      <c r="S8" s="514" t="s">
        <v>47</v>
      </c>
      <c r="T8" s="514" t="s">
        <v>48</v>
      </c>
      <c r="U8" s="514" t="s">
        <v>51</v>
      </c>
      <c r="V8" s="514" t="s">
        <v>52</v>
      </c>
      <c r="W8" s="514" t="s">
        <v>50</v>
      </c>
      <c r="X8" s="514" t="s">
        <v>54</v>
      </c>
      <c r="Y8" s="514" t="s">
        <v>55</v>
      </c>
      <c r="Z8" s="514" t="s">
        <v>57</v>
      </c>
      <c r="AA8" s="514" t="s">
        <v>58</v>
      </c>
      <c r="AB8" s="514" t="s">
        <v>59</v>
      </c>
      <c r="AC8" s="514" t="s">
        <v>63</v>
      </c>
      <c r="AD8" s="514" t="s">
        <v>60</v>
      </c>
      <c r="AE8" s="514" t="s">
        <v>61</v>
      </c>
      <c r="AF8" s="514" t="s">
        <v>64</v>
      </c>
      <c r="AG8" s="514" t="s">
        <v>81</v>
      </c>
      <c r="AH8" s="514" t="s">
        <v>83</v>
      </c>
      <c r="AI8" s="514" t="s">
        <v>84</v>
      </c>
    </row>
    <row r="9" spans="1:40">
      <c r="F9" s="530">
        <f>W5</f>
        <v>1.0649999999999999</v>
      </c>
      <c r="G9" s="530">
        <f>F5</f>
        <v>1.8169999999999999</v>
      </c>
      <c r="H9" s="530">
        <f>G5</f>
        <v>4.7110000000000003</v>
      </c>
      <c r="I9" s="530">
        <f>Q5</f>
        <v>0</v>
      </c>
      <c r="J9" s="530">
        <f>H5</f>
        <v>0</v>
      </c>
      <c r="K9" s="530">
        <f>J5</f>
        <v>15.505000000000001</v>
      </c>
      <c r="L9" s="530">
        <f>I5</f>
        <v>0.13300000000000001</v>
      </c>
      <c r="M9" s="530">
        <f>K5</f>
        <v>0</v>
      </c>
      <c r="N9" s="530">
        <f>N5</f>
        <v>1.9370000000000001</v>
      </c>
      <c r="O9" s="530">
        <f>AC5</f>
        <v>0.45900000000000002</v>
      </c>
      <c r="P9" s="530">
        <f>O5</f>
        <v>18.356000000000002</v>
      </c>
      <c r="Q9" s="530">
        <f>M5</f>
        <v>0</v>
      </c>
      <c r="R9" s="530">
        <f>U5</f>
        <v>0</v>
      </c>
      <c r="S9" s="530">
        <f>L5</f>
        <v>0.27800000000000002</v>
      </c>
      <c r="T9" s="530">
        <f>P5</f>
        <v>2.7650000000000001</v>
      </c>
      <c r="U9" s="530">
        <f>S5</f>
        <v>0</v>
      </c>
      <c r="V9" s="530">
        <f>T5</f>
        <v>0</v>
      </c>
      <c r="W9" s="530">
        <f>R5</f>
        <v>0</v>
      </c>
      <c r="Y9" s="530">
        <f>V5</f>
        <v>0</v>
      </c>
      <c r="Z9" s="530">
        <f t="shared" ref="Z9:AB10" si="43">X5</f>
        <v>65.293999999999997</v>
      </c>
      <c r="AA9" s="530">
        <f t="shared" si="43"/>
        <v>0</v>
      </c>
      <c r="AB9" s="530">
        <f t="shared" si="43"/>
        <v>0</v>
      </c>
      <c r="AC9" s="530">
        <f>AD5</f>
        <v>0.107</v>
      </c>
      <c r="AD9" s="530">
        <f>AA5</f>
        <v>0.32600000000000001</v>
      </c>
      <c r="AE9" s="530">
        <f>AB5</f>
        <v>5.4489999999999998</v>
      </c>
      <c r="AF9" s="530">
        <f>AE5</f>
        <v>5.431</v>
      </c>
    </row>
    <row r="10" spans="1:40">
      <c r="F10" s="530">
        <f>W6</f>
        <v>0.20699999999999999</v>
      </c>
      <c r="G10" s="530">
        <f>F6</f>
        <v>0</v>
      </c>
      <c r="H10" s="530">
        <f>G6</f>
        <v>0</v>
      </c>
      <c r="I10" s="530">
        <f>Q6</f>
        <v>0</v>
      </c>
      <c r="J10" s="530">
        <f>H6</f>
        <v>0</v>
      </c>
      <c r="K10" s="530">
        <f>J6</f>
        <v>89.477999999999994</v>
      </c>
      <c r="L10" s="530">
        <f>I6</f>
        <v>0</v>
      </c>
      <c r="M10" s="530">
        <f>K6</f>
        <v>0</v>
      </c>
      <c r="N10" s="530">
        <f>N6</f>
        <v>0</v>
      </c>
      <c r="O10" s="530">
        <f>AC6</f>
        <v>0</v>
      </c>
      <c r="P10" s="530">
        <f>O6</f>
        <v>6.8120000000000003</v>
      </c>
      <c r="Q10" s="530">
        <f>M6</f>
        <v>0</v>
      </c>
      <c r="R10" s="530">
        <f>U6</f>
        <v>0</v>
      </c>
      <c r="S10" s="530">
        <f>L6</f>
        <v>0</v>
      </c>
      <c r="T10" s="530">
        <f>P6</f>
        <v>1.4890000000000001</v>
      </c>
      <c r="U10" s="530">
        <f>S6</f>
        <v>0</v>
      </c>
      <c r="V10" s="530">
        <f>T6</f>
        <v>0</v>
      </c>
      <c r="W10" s="530">
        <f>R6</f>
        <v>0</v>
      </c>
      <c r="Y10" s="530">
        <f>V6</f>
        <v>0</v>
      </c>
      <c r="Z10" s="530">
        <f t="shared" si="43"/>
        <v>0</v>
      </c>
      <c r="AA10" s="530">
        <f t="shared" si="43"/>
        <v>0</v>
      </c>
      <c r="AB10" s="530">
        <f t="shared" si="43"/>
        <v>0</v>
      </c>
      <c r="AC10" s="530">
        <f>AD6</f>
        <v>0</v>
      </c>
      <c r="AD10" s="530">
        <f>AA6</f>
        <v>0</v>
      </c>
      <c r="AE10" s="530">
        <f>AB6</f>
        <v>0</v>
      </c>
      <c r="AF10" s="530">
        <f>AE6</f>
        <v>31.853000000000002</v>
      </c>
    </row>
    <row r="11" spans="1:40">
      <c r="A11" s="529" t="s">
        <v>591</v>
      </c>
    </row>
    <row r="13" spans="1:40">
      <c r="A13" s="529" t="s">
        <v>269</v>
      </c>
      <c r="B13" s="531">
        <v>41353.591481481482</v>
      </c>
    </row>
    <row r="14" spans="1:40">
      <c r="A14" s="529" t="s">
        <v>271</v>
      </c>
      <c r="B14" s="531">
        <v>41387.637732222225</v>
      </c>
    </row>
    <row r="15" spans="1:40">
      <c r="A15" s="529" t="s">
        <v>273</v>
      </c>
      <c r="B15" s="529" t="s">
        <v>67</v>
      </c>
    </row>
    <row r="17" spans="1:17">
      <c r="A17" s="529" t="s">
        <v>340</v>
      </c>
      <c r="B17" s="529" t="s">
        <v>576</v>
      </c>
    </row>
    <row r="18" spans="1:17">
      <c r="A18" s="529" t="s">
        <v>343</v>
      </c>
      <c r="B18" s="529" t="s">
        <v>580</v>
      </c>
    </row>
    <row r="19" spans="1:17">
      <c r="A19" s="529" t="s">
        <v>578</v>
      </c>
      <c r="B19" s="529" t="s">
        <v>298</v>
      </c>
    </row>
    <row r="21" spans="1:17">
      <c r="A21" s="532" t="s">
        <v>592</v>
      </c>
      <c r="B21" s="532" t="s">
        <v>593</v>
      </c>
      <c r="C21" s="532" t="s">
        <v>594</v>
      </c>
      <c r="D21" s="532" t="s">
        <v>595</v>
      </c>
      <c r="E21" s="532" t="s">
        <v>596</v>
      </c>
      <c r="F21" s="532" t="s">
        <v>597</v>
      </c>
      <c r="G21" s="532" t="s">
        <v>598</v>
      </c>
      <c r="H21" s="532" t="s">
        <v>599</v>
      </c>
      <c r="I21" s="532" t="s">
        <v>600</v>
      </c>
      <c r="J21" s="532" t="s">
        <v>232</v>
      </c>
      <c r="K21" s="532" t="s">
        <v>601</v>
      </c>
      <c r="L21" s="532" t="s">
        <v>602</v>
      </c>
      <c r="M21" s="532" t="s">
        <v>603</v>
      </c>
      <c r="N21" s="532" t="s">
        <v>604</v>
      </c>
      <c r="O21" s="532" t="s">
        <v>605</v>
      </c>
      <c r="P21" s="532" t="s">
        <v>606</v>
      </c>
      <c r="Q21" s="532" t="s">
        <v>234</v>
      </c>
    </row>
    <row r="22" spans="1:17">
      <c r="A22" s="532" t="s">
        <v>607</v>
      </c>
      <c r="B22" s="533">
        <v>9553768</v>
      </c>
      <c r="C22" s="533">
        <v>5829723</v>
      </c>
      <c r="D22" s="533">
        <v>5826858</v>
      </c>
      <c r="E22" s="533">
        <v>0</v>
      </c>
      <c r="F22" s="533">
        <v>170830</v>
      </c>
      <c r="G22" s="533">
        <v>349666</v>
      </c>
      <c r="H22" s="533">
        <v>5237301</v>
      </c>
      <c r="I22" s="533">
        <v>69060</v>
      </c>
      <c r="J22" s="533">
        <v>0</v>
      </c>
      <c r="K22" s="533">
        <v>0</v>
      </c>
      <c r="L22" s="533">
        <v>0</v>
      </c>
      <c r="M22" s="533">
        <v>2865</v>
      </c>
      <c r="N22" s="533">
        <v>3724045</v>
      </c>
      <c r="O22" s="533">
        <v>3599242</v>
      </c>
      <c r="P22" s="533">
        <v>40600</v>
      </c>
      <c r="Q22" s="533">
        <v>84203</v>
      </c>
    </row>
    <row r="23" spans="1:17">
      <c r="A23" s="532" t="s">
        <v>583</v>
      </c>
      <c r="B23" s="533">
        <v>9208749</v>
      </c>
      <c r="C23" s="533">
        <v>5575648</v>
      </c>
      <c r="D23" s="533">
        <v>5573386</v>
      </c>
      <c r="E23" s="533">
        <v>0</v>
      </c>
      <c r="F23" s="533">
        <v>166285</v>
      </c>
      <c r="G23" s="533">
        <v>312301</v>
      </c>
      <c r="H23" s="533">
        <v>5026065</v>
      </c>
      <c r="I23" s="533">
        <v>68734</v>
      </c>
      <c r="J23" s="533">
        <v>0</v>
      </c>
      <c r="K23" s="533">
        <v>0</v>
      </c>
      <c r="L23" s="533">
        <v>0</v>
      </c>
      <c r="M23" s="533">
        <v>2262</v>
      </c>
      <c r="N23" s="533">
        <v>3633102</v>
      </c>
      <c r="O23" s="533">
        <v>3515041</v>
      </c>
      <c r="P23" s="533">
        <v>37240</v>
      </c>
      <c r="Q23" s="533">
        <v>80821</v>
      </c>
    </row>
    <row r="24" spans="1:17">
      <c r="A24" s="532" t="s">
        <v>584</v>
      </c>
      <c r="B24" s="533">
        <v>6597728</v>
      </c>
      <c r="C24" s="533">
        <v>4009866</v>
      </c>
      <c r="D24" s="533">
        <v>4009866</v>
      </c>
      <c r="E24" s="533">
        <v>0</v>
      </c>
      <c r="F24" s="533">
        <v>162410</v>
      </c>
      <c r="G24" s="533">
        <v>249853</v>
      </c>
      <c r="H24" s="533">
        <v>3548638</v>
      </c>
      <c r="I24" s="533">
        <v>48965</v>
      </c>
      <c r="J24" s="533">
        <v>0</v>
      </c>
      <c r="K24" s="533">
        <v>0</v>
      </c>
      <c r="L24" s="533">
        <v>0</v>
      </c>
      <c r="M24" s="533">
        <v>0</v>
      </c>
      <c r="N24" s="533">
        <v>2587863</v>
      </c>
      <c r="O24" s="533">
        <v>2543602</v>
      </c>
      <c r="P24" s="533">
        <v>11780</v>
      </c>
      <c r="Q24" s="533">
        <v>32481</v>
      </c>
    </row>
    <row r="25" spans="1:17">
      <c r="A25" s="532" t="s">
        <v>585</v>
      </c>
      <c r="B25" s="533">
        <v>2611021</v>
      </c>
      <c r="C25" s="533">
        <v>1565782</v>
      </c>
      <c r="D25" s="533">
        <v>1563520</v>
      </c>
      <c r="E25" s="533">
        <v>0</v>
      </c>
      <c r="F25" s="533">
        <v>3875</v>
      </c>
      <c r="G25" s="533">
        <v>62449</v>
      </c>
      <c r="H25" s="533">
        <v>1477428</v>
      </c>
      <c r="I25" s="533">
        <v>19769</v>
      </c>
      <c r="J25" s="533">
        <v>0</v>
      </c>
      <c r="K25" s="533">
        <v>0</v>
      </c>
      <c r="L25" s="533">
        <v>0</v>
      </c>
      <c r="M25" s="533">
        <v>2262</v>
      </c>
      <c r="N25" s="533">
        <v>1045239</v>
      </c>
      <c r="O25" s="533">
        <v>971439</v>
      </c>
      <c r="P25" s="533">
        <v>25460</v>
      </c>
      <c r="Q25" s="533">
        <v>48341</v>
      </c>
    </row>
    <row r="26" spans="1:17">
      <c r="A26" s="532" t="s">
        <v>586</v>
      </c>
      <c r="B26" s="533">
        <v>345019</v>
      </c>
      <c r="C26" s="533">
        <v>254075</v>
      </c>
      <c r="D26" s="533">
        <v>253472</v>
      </c>
      <c r="E26" s="533">
        <v>0</v>
      </c>
      <c r="F26" s="533">
        <v>4546</v>
      </c>
      <c r="G26" s="533">
        <v>37364</v>
      </c>
      <c r="H26" s="533">
        <v>211236</v>
      </c>
      <c r="I26" s="533">
        <v>326</v>
      </c>
      <c r="J26" s="533">
        <v>0</v>
      </c>
      <c r="K26" s="533">
        <v>0</v>
      </c>
      <c r="L26" s="533">
        <v>0</v>
      </c>
      <c r="M26" s="533">
        <v>603</v>
      </c>
      <c r="N26" s="533">
        <v>90944</v>
      </c>
      <c r="O26" s="533">
        <v>84202</v>
      </c>
      <c r="P26" s="533">
        <v>3360</v>
      </c>
      <c r="Q26" s="533">
        <v>3382</v>
      </c>
    </row>
    <row r="27" spans="1:17">
      <c r="A27" s="532" t="s">
        <v>587</v>
      </c>
      <c r="B27" s="533">
        <v>158122</v>
      </c>
      <c r="C27" s="533">
        <v>129877</v>
      </c>
      <c r="D27" s="533">
        <v>129839</v>
      </c>
      <c r="E27" s="533">
        <v>0</v>
      </c>
      <c r="F27" s="533">
        <v>4546</v>
      </c>
      <c r="G27" s="533">
        <v>26161</v>
      </c>
      <c r="H27" s="533">
        <v>99133</v>
      </c>
      <c r="I27" s="533">
        <v>0</v>
      </c>
      <c r="J27" s="533">
        <v>0</v>
      </c>
      <c r="K27" s="533">
        <v>0</v>
      </c>
      <c r="L27" s="533">
        <v>0</v>
      </c>
      <c r="M27" s="533">
        <v>38</v>
      </c>
      <c r="N27" s="533">
        <v>28245</v>
      </c>
      <c r="O27" s="533">
        <v>26775</v>
      </c>
      <c r="P27" s="533">
        <v>1460</v>
      </c>
      <c r="Q27" s="533">
        <v>10</v>
      </c>
    </row>
    <row r="28" spans="1:17">
      <c r="A28" s="532" t="s">
        <v>588</v>
      </c>
      <c r="B28" s="533">
        <v>186897</v>
      </c>
      <c r="C28" s="533">
        <v>124198</v>
      </c>
      <c r="D28" s="533">
        <v>123633</v>
      </c>
      <c r="E28" s="533">
        <v>0</v>
      </c>
      <c r="F28" s="533">
        <v>0</v>
      </c>
      <c r="G28" s="533">
        <v>11204</v>
      </c>
      <c r="H28" s="533">
        <v>112103</v>
      </c>
      <c r="I28" s="533">
        <v>326</v>
      </c>
      <c r="J28" s="533">
        <v>0</v>
      </c>
      <c r="K28" s="533">
        <v>0</v>
      </c>
      <c r="L28" s="533">
        <v>0</v>
      </c>
      <c r="M28" s="533">
        <v>566</v>
      </c>
      <c r="N28" s="533">
        <v>62699</v>
      </c>
      <c r="O28" s="533">
        <v>57427</v>
      </c>
      <c r="P28" s="533">
        <v>1900</v>
      </c>
      <c r="Q28" s="533">
        <v>3372</v>
      </c>
    </row>
    <row r="29" spans="1:17">
      <c r="A29" s="532" t="s">
        <v>608</v>
      </c>
      <c r="B29" s="533">
        <v>164517</v>
      </c>
      <c r="C29" s="533">
        <v>147508</v>
      </c>
      <c r="D29" s="533">
        <v>147023</v>
      </c>
      <c r="E29" s="533">
        <v>0</v>
      </c>
      <c r="F29" s="533">
        <v>0</v>
      </c>
      <c r="G29" s="533">
        <v>2389</v>
      </c>
      <c r="H29" s="533">
        <v>142800</v>
      </c>
      <c r="I29" s="533">
        <v>1835</v>
      </c>
      <c r="J29" s="533">
        <v>485</v>
      </c>
      <c r="K29" s="533">
        <v>485</v>
      </c>
      <c r="L29" s="533">
        <v>0</v>
      </c>
      <c r="M29" s="533">
        <v>0</v>
      </c>
      <c r="N29" s="533">
        <v>17009</v>
      </c>
      <c r="O29" s="533">
        <v>6276</v>
      </c>
      <c r="P29" s="533">
        <v>820</v>
      </c>
      <c r="Q29" s="533">
        <v>9914</v>
      </c>
    </row>
    <row r="31" spans="1:17">
      <c r="A31" s="529" t="s">
        <v>589</v>
      </c>
    </row>
    <row r="32" spans="1:17">
      <c r="A32" s="529" t="s">
        <v>36</v>
      </c>
      <c r="B32" s="529" t="s">
        <v>590</v>
      </c>
    </row>
    <row r="34" spans="1:19">
      <c r="A34" s="529" t="s">
        <v>340</v>
      </c>
      <c r="B34" s="529" t="s">
        <v>576</v>
      </c>
    </row>
    <row r="35" spans="1:19">
      <c r="A35" s="529" t="s">
        <v>343</v>
      </c>
      <c r="B35" s="529" t="s">
        <v>180</v>
      </c>
    </row>
    <row r="36" spans="1:19">
      <c r="A36" s="529" t="s">
        <v>578</v>
      </c>
      <c r="B36" s="529" t="s">
        <v>298</v>
      </c>
    </row>
    <row r="37" spans="1:19">
      <c r="S37" s="530" t="str">
        <f>B35</f>
        <v>Belgium</v>
      </c>
    </row>
    <row r="38" spans="1:19">
      <c r="A38" s="532" t="s">
        <v>592</v>
      </c>
      <c r="B38" s="532" t="s">
        <v>593</v>
      </c>
      <c r="C38" s="532" t="s">
        <v>594</v>
      </c>
      <c r="D38" s="532" t="s">
        <v>595</v>
      </c>
      <c r="E38" s="532" t="s">
        <v>596</v>
      </c>
      <c r="F38" s="532" t="s">
        <v>597</v>
      </c>
      <c r="G38" s="532" t="s">
        <v>598</v>
      </c>
      <c r="H38" s="532" t="s">
        <v>599</v>
      </c>
      <c r="I38" s="532" t="s">
        <v>600</v>
      </c>
      <c r="J38" s="532" t="s">
        <v>232</v>
      </c>
      <c r="K38" s="532" t="s">
        <v>601</v>
      </c>
      <c r="L38" s="532" t="s">
        <v>602</v>
      </c>
      <c r="M38" s="532" t="s">
        <v>603</v>
      </c>
      <c r="N38" s="532" t="s">
        <v>604</v>
      </c>
      <c r="O38" s="532" t="s">
        <v>605</v>
      </c>
      <c r="P38" s="532" t="s">
        <v>606</v>
      </c>
      <c r="Q38" s="532" t="s">
        <v>234</v>
      </c>
      <c r="S38" s="530">
        <f>D45/1000</f>
        <v>1.8169999999999999</v>
      </c>
    </row>
    <row r="39" spans="1:19">
      <c r="A39" s="532" t="s">
        <v>607</v>
      </c>
      <c r="B39" s="533">
        <v>76778</v>
      </c>
      <c r="C39" s="533">
        <v>76778</v>
      </c>
      <c r="D39" s="533">
        <v>76778</v>
      </c>
      <c r="E39" s="533">
        <v>0</v>
      </c>
      <c r="F39" s="533">
        <v>0</v>
      </c>
      <c r="G39" s="533">
        <v>0</v>
      </c>
      <c r="H39" s="533">
        <v>76778</v>
      </c>
      <c r="I39" s="533">
        <v>0</v>
      </c>
      <c r="J39" s="533">
        <v>0</v>
      </c>
      <c r="K39" s="533">
        <v>0</v>
      </c>
      <c r="L39" s="533">
        <v>0</v>
      </c>
      <c r="M39" s="533">
        <v>0</v>
      </c>
      <c r="N39" s="533">
        <v>0</v>
      </c>
      <c r="O39" s="533">
        <v>0</v>
      </c>
      <c r="P39" s="533">
        <v>0</v>
      </c>
      <c r="Q39" s="533">
        <v>0</v>
      </c>
      <c r="S39" s="530">
        <f>D44/1000</f>
        <v>0</v>
      </c>
    </row>
    <row r="40" spans="1:19">
      <c r="A40" s="532" t="s">
        <v>583</v>
      </c>
      <c r="B40" s="533">
        <v>74961</v>
      </c>
      <c r="C40" s="533">
        <v>74961</v>
      </c>
      <c r="D40" s="533">
        <v>74961</v>
      </c>
      <c r="E40" s="533">
        <v>0</v>
      </c>
      <c r="F40" s="533">
        <v>0</v>
      </c>
      <c r="G40" s="533">
        <v>0</v>
      </c>
      <c r="H40" s="533">
        <v>74961</v>
      </c>
      <c r="I40" s="533">
        <v>0</v>
      </c>
      <c r="J40" s="533">
        <v>0</v>
      </c>
      <c r="K40" s="533">
        <v>0</v>
      </c>
      <c r="L40" s="533">
        <v>0</v>
      </c>
      <c r="M40" s="533">
        <v>0</v>
      </c>
      <c r="N40" s="533">
        <v>0</v>
      </c>
      <c r="O40" s="533">
        <v>0</v>
      </c>
      <c r="P40" s="533">
        <v>0</v>
      </c>
      <c r="Q40" s="533">
        <v>0</v>
      </c>
    </row>
    <row r="41" spans="1:19">
      <c r="A41" s="532" t="s">
        <v>584</v>
      </c>
      <c r="B41" s="533">
        <v>74961</v>
      </c>
      <c r="C41" s="533">
        <v>74961</v>
      </c>
      <c r="D41" s="533">
        <v>74961</v>
      </c>
      <c r="E41" s="533">
        <v>0</v>
      </c>
      <c r="F41" s="533">
        <v>0</v>
      </c>
      <c r="G41" s="533">
        <v>0</v>
      </c>
      <c r="H41" s="533">
        <v>74961</v>
      </c>
      <c r="I41" s="533">
        <v>0</v>
      </c>
      <c r="J41" s="533">
        <v>0</v>
      </c>
      <c r="K41" s="533">
        <v>0</v>
      </c>
      <c r="L41" s="533">
        <v>0</v>
      </c>
      <c r="M41" s="533">
        <v>0</v>
      </c>
      <c r="N41" s="533">
        <v>0</v>
      </c>
      <c r="O41" s="533">
        <v>0</v>
      </c>
      <c r="P41" s="533">
        <v>0</v>
      </c>
      <c r="Q41" s="533">
        <v>0</v>
      </c>
    </row>
    <row r="42" spans="1:19">
      <c r="A42" s="532" t="s">
        <v>585</v>
      </c>
      <c r="B42" s="533">
        <v>0</v>
      </c>
      <c r="C42" s="533">
        <v>0</v>
      </c>
      <c r="D42" s="533">
        <v>0</v>
      </c>
      <c r="E42" s="533">
        <v>0</v>
      </c>
      <c r="F42" s="533">
        <v>0</v>
      </c>
      <c r="G42" s="533">
        <v>0</v>
      </c>
      <c r="H42" s="533">
        <v>0</v>
      </c>
      <c r="I42" s="533">
        <v>0</v>
      </c>
      <c r="J42" s="533">
        <v>0</v>
      </c>
      <c r="K42" s="533">
        <v>0</v>
      </c>
      <c r="L42" s="533">
        <v>0</v>
      </c>
      <c r="M42" s="533">
        <v>0</v>
      </c>
      <c r="N42" s="533">
        <v>0</v>
      </c>
      <c r="O42" s="533">
        <v>0</v>
      </c>
      <c r="P42" s="533">
        <v>0</v>
      </c>
      <c r="Q42" s="533">
        <v>0</v>
      </c>
    </row>
    <row r="43" spans="1:19">
      <c r="A43" s="532" t="s">
        <v>586</v>
      </c>
      <c r="B43" s="533">
        <v>1817</v>
      </c>
      <c r="C43" s="533">
        <v>1817</v>
      </c>
      <c r="D43" s="533">
        <v>1817</v>
      </c>
      <c r="E43" s="533">
        <v>0</v>
      </c>
      <c r="F43" s="533">
        <v>0</v>
      </c>
      <c r="G43" s="533">
        <v>0</v>
      </c>
      <c r="H43" s="533">
        <v>1817</v>
      </c>
      <c r="I43" s="533">
        <v>0</v>
      </c>
      <c r="J43" s="533">
        <v>0</v>
      </c>
      <c r="K43" s="533">
        <v>0</v>
      </c>
      <c r="L43" s="533">
        <v>0</v>
      </c>
      <c r="M43" s="533">
        <v>0</v>
      </c>
      <c r="N43" s="533">
        <v>0</v>
      </c>
      <c r="O43" s="533">
        <v>0</v>
      </c>
      <c r="P43" s="533">
        <v>0</v>
      </c>
      <c r="Q43" s="533">
        <v>0</v>
      </c>
    </row>
    <row r="44" spans="1:19">
      <c r="A44" s="532" t="s">
        <v>587</v>
      </c>
      <c r="B44" s="533">
        <v>0</v>
      </c>
      <c r="C44" s="533">
        <v>0</v>
      </c>
      <c r="D44" s="533">
        <v>0</v>
      </c>
      <c r="E44" s="533">
        <v>0</v>
      </c>
      <c r="F44" s="533">
        <v>0</v>
      </c>
      <c r="G44" s="533">
        <v>0</v>
      </c>
      <c r="H44" s="533">
        <v>0</v>
      </c>
      <c r="I44" s="533">
        <v>0</v>
      </c>
      <c r="J44" s="533">
        <v>0</v>
      </c>
      <c r="K44" s="533">
        <v>0</v>
      </c>
      <c r="L44" s="533">
        <v>0</v>
      </c>
      <c r="M44" s="533">
        <v>0</v>
      </c>
      <c r="N44" s="533">
        <v>0</v>
      </c>
      <c r="O44" s="533">
        <v>0</v>
      </c>
      <c r="P44" s="533">
        <v>0</v>
      </c>
      <c r="Q44" s="533">
        <v>0</v>
      </c>
    </row>
    <row r="45" spans="1:19">
      <c r="A45" s="532" t="s">
        <v>588</v>
      </c>
      <c r="B45" s="533">
        <v>1817</v>
      </c>
      <c r="C45" s="533">
        <v>1817</v>
      </c>
      <c r="D45" s="533">
        <v>1817</v>
      </c>
      <c r="E45" s="533">
        <v>0</v>
      </c>
      <c r="F45" s="533">
        <v>0</v>
      </c>
      <c r="G45" s="533">
        <v>0</v>
      </c>
      <c r="H45" s="533">
        <v>1817</v>
      </c>
      <c r="I45" s="533">
        <v>0</v>
      </c>
      <c r="J45" s="533">
        <v>0</v>
      </c>
      <c r="K45" s="533">
        <v>0</v>
      </c>
      <c r="L45" s="533">
        <v>0</v>
      </c>
      <c r="M45" s="533">
        <v>0</v>
      </c>
      <c r="N45" s="533">
        <v>0</v>
      </c>
      <c r="O45" s="533">
        <v>0</v>
      </c>
      <c r="P45" s="533">
        <v>0</v>
      </c>
      <c r="Q45" s="533">
        <v>0</v>
      </c>
    </row>
    <row r="46" spans="1:19">
      <c r="A46" s="532" t="s">
        <v>608</v>
      </c>
      <c r="B46" s="533">
        <v>0</v>
      </c>
      <c r="C46" s="533">
        <v>0</v>
      </c>
      <c r="D46" s="533">
        <v>0</v>
      </c>
      <c r="E46" s="533">
        <v>0</v>
      </c>
      <c r="F46" s="533">
        <v>0</v>
      </c>
      <c r="G46" s="533">
        <v>0</v>
      </c>
      <c r="H46" s="533">
        <v>0</v>
      </c>
      <c r="I46" s="533">
        <v>0</v>
      </c>
      <c r="J46" s="533">
        <v>0</v>
      </c>
      <c r="K46" s="533">
        <v>0</v>
      </c>
      <c r="L46" s="533">
        <v>0</v>
      </c>
      <c r="M46" s="533">
        <v>0</v>
      </c>
      <c r="N46" s="533">
        <v>0</v>
      </c>
      <c r="O46" s="533">
        <v>0</v>
      </c>
      <c r="P46" s="533">
        <v>0</v>
      </c>
      <c r="Q46" s="533">
        <v>0</v>
      </c>
    </row>
    <row r="48" spans="1:19">
      <c r="A48" s="529" t="s">
        <v>589</v>
      </c>
    </row>
    <row r="49" spans="1:19">
      <c r="A49" s="529" t="s">
        <v>36</v>
      </c>
      <c r="B49" s="529" t="s">
        <v>590</v>
      </c>
    </row>
    <row r="51" spans="1:19">
      <c r="A51" s="529" t="s">
        <v>340</v>
      </c>
      <c r="B51" s="529" t="s">
        <v>576</v>
      </c>
    </row>
    <row r="52" spans="1:19">
      <c r="A52" s="529" t="s">
        <v>343</v>
      </c>
      <c r="B52" s="529" t="s">
        <v>181</v>
      </c>
    </row>
    <row r="53" spans="1:19">
      <c r="A53" s="529" t="s">
        <v>578</v>
      </c>
      <c r="B53" s="529" t="s">
        <v>298</v>
      </c>
    </row>
    <row r="54" spans="1:19">
      <c r="S54" s="530" t="str">
        <f>B52</f>
        <v>Bulgaria</v>
      </c>
    </row>
    <row r="55" spans="1:19">
      <c r="A55" s="532" t="s">
        <v>592</v>
      </c>
      <c r="B55" s="532" t="s">
        <v>593</v>
      </c>
      <c r="C55" s="532" t="s">
        <v>594</v>
      </c>
      <c r="D55" s="532" t="s">
        <v>595</v>
      </c>
      <c r="E55" s="532" t="s">
        <v>596</v>
      </c>
      <c r="F55" s="532" t="s">
        <v>597</v>
      </c>
      <c r="G55" s="532" t="s">
        <v>598</v>
      </c>
      <c r="H55" s="532" t="s">
        <v>599</v>
      </c>
      <c r="I55" s="532" t="s">
        <v>600</v>
      </c>
      <c r="J55" s="532" t="s">
        <v>232</v>
      </c>
      <c r="K55" s="532" t="s">
        <v>601</v>
      </c>
      <c r="L55" s="532" t="s">
        <v>602</v>
      </c>
      <c r="M55" s="532" t="s">
        <v>603</v>
      </c>
      <c r="N55" s="532" t="s">
        <v>604</v>
      </c>
      <c r="O55" s="532" t="s">
        <v>605</v>
      </c>
      <c r="P55" s="532" t="s">
        <v>606</v>
      </c>
      <c r="Q55" s="532" t="s">
        <v>234</v>
      </c>
      <c r="S55" s="530">
        <f>D62/1000</f>
        <v>4.7110000000000003</v>
      </c>
    </row>
    <row r="56" spans="1:19">
      <c r="A56" s="532" t="s">
        <v>607</v>
      </c>
      <c r="B56" s="533">
        <v>243528</v>
      </c>
      <c r="C56" s="533">
        <v>63934</v>
      </c>
      <c r="D56" s="533">
        <v>63594</v>
      </c>
      <c r="E56" s="533">
        <v>0</v>
      </c>
      <c r="F56" s="533">
        <v>29053</v>
      </c>
      <c r="G56" s="533">
        <v>0</v>
      </c>
      <c r="H56" s="533">
        <v>34542</v>
      </c>
      <c r="I56" s="533">
        <v>0</v>
      </c>
      <c r="J56" s="533">
        <v>0</v>
      </c>
      <c r="K56" s="533">
        <v>0</v>
      </c>
      <c r="L56" s="533">
        <v>0</v>
      </c>
      <c r="M56" s="533">
        <v>339</v>
      </c>
      <c r="N56" s="533">
        <v>179594</v>
      </c>
      <c r="O56" s="533">
        <v>154974</v>
      </c>
      <c r="P56" s="533">
        <v>24620</v>
      </c>
      <c r="Q56" s="533">
        <v>0</v>
      </c>
      <c r="S56" s="530">
        <f>D61/1000</f>
        <v>0</v>
      </c>
    </row>
    <row r="57" spans="1:19">
      <c r="A57" s="532" t="s">
        <v>583</v>
      </c>
      <c r="B57" s="533">
        <v>238477</v>
      </c>
      <c r="C57" s="533">
        <v>58883</v>
      </c>
      <c r="D57" s="533">
        <v>58883</v>
      </c>
      <c r="E57" s="533">
        <v>0</v>
      </c>
      <c r="F57" s="533">
        <v>29053</v>
      </c>
      <c r="G57" s="533">
        <v>0</v>
      </c>
      <c r="H57" s="533">
        <v>29831</v>
      </c>
      <c r="I57" s="533">
        <v>0</v>
      </c>
      <c r="J57" s="533">
        <v>0</v>
      </c>
      <c r="K57" s="533">
        <v>0</v>
      </c>
      <c r="L57" s="533">
        <v>0</v>
      </c>
      <c r="M57" s="533">
        <v>0</v>
      </c>
      <c r="N57" s="533">
        <v>179594</v>
      </c>
      <c r="O57" s="533">
        <v>154974</v>
      </c>
      <c r="P57" s="533">
        <v>24620</v>
      </c>
      <c r="Q57" s="533">
        <v>0</v>
      </c>
    </row>
    <row r="58" spans="1:19">
      <c r="A58" s="532" t="s">
        <v>584</v>
      </c>
      <c r="B58" s="533">
        <v>176487</v>
      </c>
      <c r="C58" s="533">
        <v>31749</v>
      </c>
      <c r="D58" s="533">
        <v>31749</v>
      </c>
      <c r="E58" s="533">
        <v>0</v>
      </c>
      <c r="F58" s="533">
        <v>29053</v>
      </c>
      <c r="G58" s="533">
        <v>0</v>
      </c>
      <c r="H58" s="533">
        <v>2696</v>
      </c>
      <c r="I58" s="533">
        <v>0</v>
      </c>
      <c r="J58" s="533">
        <v>0</v>
      </c>
      <c r="K58" s="533">
        <v>0</v>
      </c>
      <c r="L58" s="533">
        <v>0</v>
      </c>
      <c r="M58" s="533">
        <v>0</v>
      </c>
      <c r="N58" s="533">
        <v>144738</v>
      </c>
      <c r="O58" s="533">
        <v>137478</v>
      </c>
      <c r="P58" s="533">
        <v>7260</v>
      </c>
      <c r="Q58" s="533">
        <v>0</v>
      </c>
    </row>
    <row r="59" spans="1:19">
      <c r="A59" s="532" t="s">
        <v>585</v>
      </c>
      <c r="B59" s="533">
        <v>61991</v>
      </c>
      <c r="C59" s="533">
        <v>27135</v>
      </c>
      <c r="D59" s="533">
        <v>27135</v>
      </c>
      <c r="E59" s="533">
        <v>0</v>
      </c>
      <c r="F59" s="533">
        <v>0</v>
      </c>
      <c r="G59" s="533">
        <v>0</v>
      </c>
      <c r="H59" s="533">
        <v>27135</v>
      </c>
      <c r="I59" s="533">
        <v>0</v>
      </c>
      <c r="J59" s="533">
        <v>0</v>
      </c>
      <c r="K59" s="533">
        <v>0</v>
      </c>
      <c r="L59" s="533">
        <v>0</v>
      </c>
      <c r="M59" s="533">
        <v>0</v>
      </c>
      <c r="N59" s="533">
        <v>34856</v>
      </c>
      <c r="O59" s="533">
        <v>17496</v>
      </c>
      <c r="P59" s="533">
        <v>17360</v>
      </c>
      <c r="Q59" s="533">
        <v>0</v>
      </c>
    </row>
    <row r="60" spans="1:19">
      <c r="A60" s="532" t="s">
        <v>586</v>
      </c>
      <c r="B60" s="533">
        <v>5050</v>
      </c>
      <c r="C60" s="533">
        <v>5050</v>
      </c>
      <c r="D60" s="533">
        <v>4711</v>
      </c>
      <c r="E60" s="533">
        <v>0</v>
      </c>
      <c r="F60" s="533">
        <v>0</v>
      </c>
      <c r="G60" s="533">
        <v>0</v>
      </c>
      <c r="H60" s="533">
        <v>4711</v>
      </c>
      <c r="I60" s="533">
        <v>0</v>
      </c>
      <c r="J60" s="533">
        <v>0</v>
      </c>
      <c r="K60" s="533">
        <v>0</v>
      </c>
      <c r="L60" s="533">
        <v>0</v>
      </c>
      <c r="M60" s="533">
        <v>339</v>
      </c>
      <c r="N60" s="533">
        <v>0</v>
      </c>
      <c r="O60" s="533">
        <v>0</v>
      </c>
      <c r="P60" s="533">
        <v>0</v>
      </c>
      <c r="Q60" s="533">
        <v>0</v>
      </c>
    </row>
    <row r="61" spans="1:19">
      <c r="A61" s="532" t="s">
        <v>587</v>
      </c>
      <c r="B61" s="533">
        <v>0</v>
      </c>
      <c r="C61" s="533">
        <v>0</v>
      </c>
      <c r="D61" s="533">
        <v>0</v>
      </c>
      <c r="E61" s="533">
        <v>0</v>
      </c>
      <c r="F61" s="533">
        <v>0</v>
      </c>
      <c r="G61" s="533">
        <v>0</v>
      </c>
      <c r="H61" s="533">
        <v>0</v>
      </c>
      <c r="I61" s="533">
        <v>0</v>
      </c>
      <c r="J61" s="533">
        <v>0</v>
      </c>
      <c r="K61" s="533">
        <v>0</v>
      </c>
      <c r="L61" s="533">
        <v>0</v>
      </c>
      <c r="M61" s="533">
        <v>0</v>
      </c>
      <c r="N61" s="533">
        <v>0</v>
      </c>
      <c r="O61" s="533">
        <v>0</v>
      </c>
      <c r="P61" s="533">
        <v>0</v>
      </c>
      <c r="Q61" s="533">
        <v>0</v>
      </c>
    </row>
    <row r="62" spans="1:19">
      <c r="A62" s="532" t="s">
        <v>588</v>
      </c>
      <c r="B62" s="533">
        <v>5050</v>
      </c>
      <c r="C62" s="533">
        <v>5050</v>
      </c>
      <c r="D62" s="533">
        <v>4711</v>
      </c>
      <c r="E62" s="533">
        <v>0</v>
      </c>
      <c r="F62" s="533">
        <v>0</v>
      </c>
      <c r="G62" s="533">
        <v>0</v>
      </c>
      <c r="H62" s="533">
        <v>4711</v>
      </c>
      <c r="I62" s="533">
        <v>0</v>
      </c>
      <c r="J62" s="533">
        <v>0</v>
      </c>
      <c r="K62" s="533">
        <v>0</v>
      </c>
      <c r="L62" s="533">
        <v>0</v>
      </c>
      <c r="M62" s="533">
        <v>339</v>
      </c>
      <c r="N62" s="533">
        <v>0</v>
      </c>
      <c r="O62" s="533">
        <v>0</v>
      </c>
      <c r="P62" s="533">
        <v>0</v>
      </c>
      <c r="Q62" s="533">
        <v>0</v>
      </c>
    </row>
    <row r="63" spans="1:19">
      <c r="A63" s="532" t="s">
        <v>608</v>
      </c>
      <c r="B63" s="533">
        <v>0</v>
      </c>
      <c r="C63" s="533">
        <v>0</v>
      </c>
      <c r="D63" s="533">
        <v>0</v>
      </c>
      <c r="E63" s="533">
        <v>0</v>
      </c>
      <c r="F63" s="533">
        <v>0</v>
      </c>
      <c r="G63" s="533">
        <v>0</v>
      </c>
      <c r="H63" s="533">
        <v>0</v>
      </c>
      <c r="I63" s="533">
        <v>0</v>
      </c>
      <c r="J63" s="533">
        <v>0</v>
      </c>
      <c r="K63" s="533">
        <v>0</v>
      </c>
      <c r="L63" s="533">
        <v>0</v>
      </c>
      <c r="M63" s="533">
        <v>0</v>
      </c>
      <c r="N63" s="533">
        <v>0</v>
      </c>
      <c r="O63" s="533">
        <v>0</v>
      </c>
      <c r="P63" s="533">
        <v>0</v>
      </c>
      <c r="Q63" s="533">
        <v>0</v>
      </c>
    </row>
    <row r="65" spans="1:19">
      <c r="A65" s="529" t="s">
        <v>589</v>
      </c>
    </row>
    <row r="66" spans="1:19">
      <c r="A66" s="529" t="s">
        <v>36</v>
      </c>
      <c r="B66" s="529" t="s">
        <v>590</v>
      </c>
    </row>
    <row r="68" spans="1:19">
      <c r="A68" s="529" t="s">
        <v>340</v>
      </c>
      <c r="B68" s="529" t="s">
        <v>576</v>
      </c>
    </row>
    <row r="69" spans="1:19">
      <c r="A69" s="529" t="s">
        <v>343</v>
      </c>
      <c r="B69" s="529" t="s">
        <v>215</v>
      </c>
    </row>
    <row r="70" spans="1:19">
      <c r="A70" s="529" t="s">
        <v>578</v>
      </c>
      <c r="B70" s="529" t="s">
        <v>298</v>
      </c>
    </row>
    <row r="71" spans="1:19">
      <c r="S71" s="530" t="str">
        <f>B69</f>
        <v>Czech Republic</v>
      </c>
    </row>
    <row r="72" spans="1:19">
      <c r="A72" s="532" t="s">
        <v>592</v>
      </c>
      <c r="B72" s="532" t="s">
        <v>593</v>
      </c>
      <c r="C72" s="532" t="s">
        <v>594</v>
      </c>
      <c r="D72" s="532" t="s">
        <v>595</v>
      </c>
      <c r="E72" s="532" t="s">
        <v>596</v>
      </c>
      <c r="F72" s="532" t="s">
        <v>597</v>
      </c>
      <c r="G72" s="532" t="s">
        <v>598</v>
      </c>
      <c r="H72" s="532" t="s">
        <v>599</v>
      </c>
      <c r="I72" s="532" t="s">
        <v>600</v>
      </c>
      <c r="J72" s="532" t="s">
        <v>232</v>
      </c>
      <c r="K72" s="532" t="s">
        <v>601</v>
      </c>
      <c r="L72" s="532" t="s">
        <v>602</v>
      </c>
      <c r="M72" s="532" t="s">
        <v>603</v>
      </c>
      <c r="N72" s="532" t="s">
        <v>604</v>
      </c>
      <c r="O72" s="532" t="s">
        <v>605</v>
      </c>
      <c r="P72" s="532" t="s">
        <v>606</v>
      </c>
      <c r="Q72" s="532" t="s">
        <v>234</v>
      </c>
      <c r="S72" s="530">
        <f>D79/1000</f>
        <v>0</v>
      </c>
    </row>
    <row r="73" spans="1:19">
      <c r="A73" s="532" t="s">
        <v>607</v>
      </c>
      <c r="B73" s="533">
        <v>587204</v>
      </c>
      <c r="C73" s="533">
        <v>74389</v>
      </c>
      <c r="D73" s="533">
        <v>71901</v>
      </c>
      <c r="E73" s="533">
        <v>0</v>
      </c>
      <c r="F73" s="533">
        <v>0</v>
      </c>
      <c r="G73" s="533">
        <v>0</v>
      </c>
      <c r="H73" s="533">
        <v>71901</v>
      </c>
      <c r="I73" s="533">
        <v>0</v>
      </c>
      <c r="J73" s="533">
        <v>0</v>
      </c>
      <c r="K73" s="533">
        <v>0</v>
      </c>
      <c r="L73" s="533">
        <v>0</v>
      </c>
      <c r="M73" s="533">
        <v>2488</v>
      </c>
      <c r="N73" s="533">
        <v>512815</v>
      </c>
      <c r="O73" s="533">
        <v>512815</v>
      </c>
      <c r="P73" s="533">
        <v>0</v>
      </c>
      <c r="Q73" s="533">
        <v>0</v>
      </c>
      <c r="S73" s="530">
        <f>D78/1000</f>
        <v>0</v>
      </c>
    </row>
    <row r="74" spans="1:19">
      <c r="A74" s="532" t="s">
        <v>583</v>
      </c>
      <c r="B74" s="533">
        <v>541464</v>
      </c>
      <c r="C74" s="533">
        <v>74163</v>
      </c>
      <c r="D74" s="533">
        <v>71901</v>
      </c>
      <c r="E74" s="533">
        <v>0</v>
      </c>
      <c r="F74" s="533">
        <v>0</v>
      </c>
      <c r="G74" s="533">
        <v>0</v>
      </c>
      <c r="H74" s="533">
        <v>71901</v>
      </c>
      <c r="I74" s="533">
        <v>0</v>
      </c>
      <c r="J74" s="533">
        <v>0</v>
      </c>
      <c r="K74" s="533">
        <v>0</v>
      </c>
      <c r="L74" s="533">
        <v>0</v>
      </c>
      <c r="M74" s="533">
        <v>2262</v>
      </c>
      <c r="N74" s="533">
        <v>467301</v>
      </c>
      <c r="O74" s="533">
        <v>467301</v>
      </c>
      <c r="P74" s="533">
        <v>0</v>
      </c>
      <c r="Q74" s="533">
        <v>0</v>
      </c>
    </row>
    <row r="75" spans="1:19">
      <c r="A75" s="532" t="s">
        <v>584</v>
      </c>
      <c r="B75" s="533">
        <v>354450</v>
      </c>
      <c r="C75" s="533">
        <v>24393</v>
      </c>
      <c r="D75" s="533">
        <v>24393</v>
      </c>
      <c r="E75" s="533">
        <v>0</v>
      </c>
      <c r="F75" s="533">
        <v>0</v>
      </c>
      <c r="G75" s="533">
        <v>0</v>
      </c>
      <c r="H75" s="533">
        <v>24393</v>
      </c>
      <c r="I75" s="533">
        <v>0</v>
      </c>
      <c r="J75" s="533">
        <v>0</v>
      </c>
      <c r="K75" s="533">
        <v>0</v>
      </c>
      <c r="L75" s="533">
        <v>0</v>
      </c>
      <c r="M75" s="533">
        <v>0</v>
      </c>
      <c r="N75" s="533">
        <v>330058</v>
      </c>
      <c r="O75" s="533">
        <v>330058</v>
      </c>
      <c r="P75" s="533">
        <v>0</v>
      </c>
      <c r="Q75" s="533">
        <v>0</v>
      </c>
    </row>
    <row r="76" spans="1:19">
      <c r="A76" s="532" t="s">
        <v>585</v>
      </c>
      <c r="B76" s="533">
        <v>187013</v>
      </c>
      <c r="C76" s="533">
        <v>49770</v>
      </c>
      <c r="D76" s="533">
        <v>47508</v>
      </c>
      <c r="E76" s="533">
        <v>0</v>
      </c>
      <c r="F76" s="533">
        <v>0</v>
      </c>
      <c r="G76" s="533">
        <v>0</v>
      </c>
      <c r="H76" s="533">
        <v>47508</v>
      </c>
      <c r="I76" s="533">
        <v>0</v>
      </c>
      <c r="J76" s="533">
        <v>0</v>
      </c>
      <c r="K76" s="533">
        <v>0</v>
      </c>
      <c r="L76" s="533">
        <v>0</v>
      </c>
      <c r="M76" s="533">
        <v>2262</v>
      </c>
      <c r="N76" s="533">
        <v>137243</v>
      </c>
      <c r="O76" s="533">
        <v>137243</v>
      </c>
      <c r="P76" s="533">
        <v>0</v>
      </c>
      <c r="Q76" s="533">
        <v>0</v>
      </c>
    </row>
    <row r="77" spans="1:19">
      <c r="A77" s="532" t="s">
        <v>586</v>
      </c>
      <c r="B77" s="533">
        <v>45740</v>
      </c>
      <c r="C77" s="533">
        <v>226</v>
      </c>
      <c r="D77" s="533">
        <v>0</v>
      </c>
      <c r="E77" s="533">
        <v>0</v>
      </c>
      <c r="F77" s="533">
        <v>0</v>
      </c>
      <c r="G77" s="533">
        <v>0</v>
      </c>
      <c r="H77" s="533">
        <v>0</v>
      </c>
      <c r="I77" s="533">
        <v>0</v>
      </c>
      <c r="J77" s="533">
        <v>0</v>
      </c>
      <c r="K77" s="533">
        <v>0</v>
      </c>
      <c r="L77" s="533">
        <v>0</v>
      </c>
      <c r="M77" s="533">
        <v>226</v>
      </c>
      <c r="N77" s="533">
        <v>45514</v>
      </c>
      <c r="O77" s="533">
        <v>45514</v>
      </c>
      <c r="P77" s="533">
        <v>0</v>
      </c>
      <c r="Q77" s="533">
        <v>0</v>
      </c>
    </row>
    <row r="78" spans="1:19">
      <c r="A78" s="532" t="s">
        <v>587</v>
      </c>
      <c r="B78" s="533">
        <v>6723</v>
      </c>
      <c r="C78" s="533">
        <v>0</v>
      </c>
      <c r="D78" s="533">
        <v>0</v>
      </c>
      <c r="E78" s="533">
        <v>0</v>
      </c>
      <c r="F78" s="533">
        <v>0</v>
      </c>
      <c r="G78" s="533">
        <v>0</v>
      </c>
      <c r="H78" s="533">
        <v>0</v>
      </c>
      <c r="I78" s="533">
        <v>0</v>
      </c>
      <c r="J78" s="533">
        <v>0</v>
      </c>
      <c r="K78" s="533">
        <v>0</v>
      </c>
      <c r="L78" s="533">
        <v>0</v>
      </c>
      <c r="M78" s="533">
        <v>0</v>
      </c>
      <c r="N78" s="533">
        <v>6723</v>
      </c>
      <c r="O78" s="533">
        <v>6723</v>
      </c>
      <c r="P78" s="533">
        <v>0</v>
      </c>
      <c r="Q78" s="533">
        <v>0</v>
      </c>
    </row>
    <row r="79" spans="1:19">
      <c r="A79" s="532" t="s">
        <v>588</v>
      </c>
      <c r="B79" s="533">
        <v>39018</v>
      </c>
      <c r="C79" s="533">
        <v>226</v>
      </c>
      <c r="D79" s="533">
        <v>0</v>
      </c>
      <c r="E79" s="533">
        <v>0</v>
      </c>
      <c r="F79" s="533">
        <v>0</v>
      </c>
      <c r="G79" s="533">
        <v>0</v>
      </c>
      <c r="H79" s="533">
        <v>0</v>
      </c>
      <c r="I79" s="533">
        <v>0</v>
      </c>
      <c r="J79" s="533">
        <v>0</v>
      </c>
      <c r="K79" s="533">
        <v>0</v>
      </c>
      <c r="L79" s="533">
        <v>0</v>
      </c>
      <c r="M79" s="533">
        <v>226</v>
      </c>
      <c r="N79" s="533">
        <v>38791</v>
      </c>
      <c r="O79" s="533">
        <v>38791</v>
      </c>
      <c r="P79" s="533">
        <v>0</v>
      </c>
      <c r="Q79" s="533">
        <v>0</v>
      </c>
    </row>
    <row r="80" spans="1:19">
      <c r="A80" s="532" t="s">
        <v>608</v>
      </c>
      <c r="B80" s="533">
        <v>6172</v>
      </c>
      <c r="C80" s="533">
        <v>1463</v>
      </c>
      <c r="D80" s="533">
        <v>1406</v>
      </c>
      <c r="E80" s="533">
        <v>0</v>
      </c>
      <c r="F80" s="533">
        <v>0</v>
      </c>
      <c r="G80" s="533">
        <v>0</v>
      </c>
      <c r="H80" s="533">
        <v>1406</v>
      </c>
      <c r="I80" s="533">
        <v>0</v>
      </c>
      <c r="J80" s="533">
        <v>57</v>
      </c>
      <c r="K80" s="533">
        <v>57</v>
      </c>
      <c r="L80" s="533">
        <v>0</v>
      </c>
      <c r="M80" s="533">
        <v>0</v>
      </c>
      <c r="N80" s="533">
        <v>4709</v>
      </c>
      <c r="O80" s="533">
        <v>4709</v>
      </c>
      <c r="P80" s="533">
        <v>0</v>
      </c>
      <c r="Q80" s="533">
        <v>0</v>
      </c>
    </row>
    <row r="82" spans="1:19">
      <c r="A82" s="529" t="s">
        <v>589</v>
      </c>
    </row>
    <row r="83" spans="1:19">
      <c r="A83" s="529" t="s">
        <v>36</v>
      </c>
      <c r="B83" s="529" t="s">
        <v>590</v>
      </c>
    </row>
    <row r="85" spans="1:19">
      <c r="A85" s="529" t="s">
        <v>340</v>
      </c>
      <c r="B85" s="529" t="s">
        <v>576</v>
      </c>
    </row>
    <row r="86" spans="1:19">
      <c r="A86" s="529" t="s">
        <v>343</v>
      </c>
      <c r="B86" s="529" t="s">
        <v>182</v>
      </c>
    </row>
    <row r="87" spans="1:19">
      <c r="A87" s="529" t="s">
        <v>578</v>
      </c>
      <c r="B87" s="529" t="s">
        <v>298</v>
      </c>
    </row>
    <row r="88" spans="1:19">
      <c r="S88" s="530" t="str">
        <f>B86</f>
        <v>Denmark</v>
      </c>
    </row>
    <row r="89" spans="1:19">
      <c r="A89" s="532" t="s">
        <v>592</v>
      </c>
      <c r="B89" s="532" t="s">
        <v>593</v>
      </c>
      <c r="C89" s="532" t="s">
        <v>594</v>
      </c>
      <c r="D89" s="532" t="s">
        <v>595</v>
      </c>
      <c r="E89" s="532" t="s">
        <v>596</v>
      </c>
      <c r="F89" s="532" t="s">
        <v>597</v>
      </c>
      <c r="G89" s="532" t="s">
        <v>598</v>
      </c>
      <c r="H89" s="532" t="s">
        <v>599</v>
      </c>
      <c r="I89" s="532" t="s">
        <v>600</v>
      </c>
      <c r="J89" s="532" t="s">
        <v>232</v>
      </c>
      <c r="K89" s="532" t="s">
        <v>601</v>
      </c>
      <c r="L89" s="532" t="s">
        <v>602</v>
      </c>
      <c r="M89" s="532" t="s">
        <v>603</v>
      </c>
      <c r="N89" s="532" t="s">
        <v>604</v>
      </c>
      <c r="O89" s="532" t="s">
        <v>605</v>
      </c>
      <c r="P89" s="532" t="s">
        <v>606</v>
      </c>
      <c r="Q89" s="532" t="s">
        <v>234</v>
      </c>
      <c r="S89" s="530">
        <f>D96/1000</f>
        <v>0.13300000000000001</v>
      </c>
    </row>
    <row r="90" spans="1:19">
      <c r="A90" s="532" t="s">
        <v>607</v>
      </c>
      <c r="B90" s="533">
        <v>144200</v>
      </c>
      <c r="C90" s="533">
        <v>144200</v>
      </c>
      <c r="D90" s="533">
        <v>144200</v>
      </c>
      <c r="E90" s="533">
        <v>0</v>
      </c>
      <c r="F90" s="533">
        <v>0</v>
      </c>
      <c r="G90" s="533">
        <v>0</v>
      </c>
      <c r="H90" s="533">
        <v>144200</v>
      </c>
      <c r="I90" s="533">
        <v>0</v>
      </c>
      <c r="J90" s="533">
        <v>0</v>
      </c>
      <c r="K90" s="533">
        <v>0</v>
      </c>
      <c r="L90" s="533">
        <v>0</v>
      </c>
      <c r="M90" s="533">
        <v>0</v>
      </c>
      <c r="N90" s="533">
        <v>0</v>
      </c>
      <c r="O90" s="533">
        <v>0</v>
      </c>
      <c r="P90" s="533">
        <v>0</v>
      </c>
      <c r="Q90" s="533">
        <v>0</v>
      </c>
      <c r="S90" s="530">
        <f>D95/1000</f>
        <v>0</v>
      </c>
    </row>
    <row r="91" spans="1:19">
      <c r="A91" s="532" t="s">
        <v>583</v>
      </c>
      <c r="B91" s="533">
        <v>144067</v>
      </c>
      <c r="C91" s="533">
        <v>144067</v>
      </c>
      <c r="D91" s="533">
        <v>144067</v>
      </c>
      <c r="E91" s="533">
        <v>0</v>
      </c>
      <c r="F91" s="533">
        <v>0</v>
      </c>
      <c r="G91" s="533">
        <v>0</v>
      </c>
      <c r="H91" s="533">
        <v>144067</v>
      </c>
      <c r="I91" s="533">
        <v>0</v>
      </c>
      <c r="J91" s="533">
        <v>0</v>
      </c>
      <c r="K91" s="533">
        <v>0</v>
      </c>
      <c r="L91" s="533">
        <v>0</v>
      </c>
      <c r="M91" s="533">
        <v>0</v>
      </c>
      <c r="N91" s="533">
        <v>0</v>
      </c>
      <c r="O91" s="533">
        <v>0</v>
      </c>
      <c r="P91" s="533">
        <v>0</v>
      </c>
      <c r="Q91" s="533">
        <v>0</v>
      </c>
    </row>
    <row r="92" spans="1:19">
      <c r="A92" s="532" t="s">
        <v>584</v>
      </c>
      <c r="B92" s="533">
        <v>0</v>
      </c>
      <c r="C92" s="533">
        <v>0</v>
      </c>
      <c r="D92" s="533">
        <v>0</v>
      </c>
      <c r="E92" s="533">
        <v>0</v>
      </c>
      <c r="F92" s="533">
        <v>0</v>
      </c>
      <c r="G92" s="533">
        <v>0</v>
      </c>
      <c r="H92" s="533">
        <v>0</v>
      </c>
      <c r="I92" s="533">
        <v>0</v>
      </c>
      <c r="J92" s="533">
        <v>0</v>
      </c>
      <c r="K92" s="533">
        <v>0</v>
      </c>
      <c r="L92" s="533">
        <v>0</v>
      </c>
      <c r="M92" s="533">
        <v>0</v>
      </c>
      <c r="N92" s="533">
        <v>0</v>
      </c>
      <c r="O92" s="533">
        <v>0</v>
      </c>
      <c r="P92" s="533">
        <v>0</v>
      </c>
      <c r="Q92" s="533">
        <v>0</v>
      </c>
    </row>
    <row r="93" spans="1:19">
      <c r="A93" s="532" t="s">
        <v>585</v>
      </c>
      <c r="B93" s="533">
        <v>144067</v>
      </c>
      <c r="C93" s="533">
        <v>144067</v>
      </c>
      <c r="D93" s="533">
        <v>144067</v>
      </c>
      <c r="E93" s="533">
        <v>0</v>
      </c>
      <c r="F93" s="533">
        <v>0</v>
      </c>
      <c r="G93" s="533">
        <v>0</v>
      </c>
      <c r="H93" s="533">
        <v>144067</v>
      </c>
      <c r="I93" s="533">
        <v>0</v>
      </c>
      <c r="J93" s="533">
        <v>0</v>
      </c>
      <c r="K93" s="533">
        <v>0</v>
      </c>
      <c r="L93" s="533">
        <v>0</v>
      </c>
      <c r="M93" s="533">
        <v>0</v>
      </c>
      <c r="N93" s="533">
        <v>0</v>
      </c>
      <c r="O93" s="533">
        <v>0</v>
      </c>
      <c r="P93" s="533">
        <v>0</v>
      </c>
      <c r="Q93" s="533">
        <v>0</v>
      </c>
    </row>
    <row r="94" spans="1:19">
      <c r="A94" s="532" t="s">
        <v>586</v>
      </c>
      <c r="B94" s="533">
        <v>133</v>
      </c>
      <c r="C94" s="533">
        <v>133</v>
      </c>
      <c r="D94" s="533">
        <v>133</v>
      </c>
      <c r="E94" s="533">
        <v>0</v>
      </c>
      <c r="F94" s="533">
        <v>0</v>
      </c>
      <c r="G94" s="533">
        <v>0</v>
      </c>
      <c r="H94" s="533">
        <v>133</v>
      </c>
      <c r="I94" s="533">
        <v>0</v>
      </c>
      <c r="J94" s="533">
        <v>0</v>
      </c>
      <c r="K94" s="533">
        <v>0</v>
      </c>
      <c r="L94" s="533">
        <v>0</v>
      </c>
      <c r="M94" s="533">
        <v>0</v>
      </c>
      <c r="N94" s="533">
        <v>0</v>
      </c>
      <c r="O94" s="533">
        <v>0</v>
      </c>
      <c r="P94" s="533">
        <v>0</v>
      </c>
      <c r="Q94" s="533">
        <v>0</v>
      </c>
    </row>
    <row r="95" spans="1:19">
      <c r="A95" s="532" t="s">
        <v>587</v>
      </c>
      <c r="B95" s="533">
        <v>0</v>
      </c>
      <c r="C95" s="533">
        <v>0</v>
      </c>
      <c r="D95" s="533">
        <v>0</v>
      </c>
      <c r="E95" s="533">
        <v>0</v>
      </c>
      <c r="F95" s="533">
        <v>0</v>
      </c>
      <c r="G95" s="533">
        <v>0</v>
      </c>
      <c r="H95" s="533">
        <v>0</v>
      </c>
      <c r="I95" s="533">
        <v>0</v>
      </c>
      <c r="J95" s="533">
        <v>0</v>
      </c>
      <c r="K95" s="533">
        <v>0</v>
      </c>
      <c r="L95" s="533">
        <v>0</v>
      </c>
      <c r="M95" s="533">
        <v>0</v>
      </c>
      <c r="N95" s="533">
        <v>0</v>
      </c>
      <c r="O95" s="533">
        <v>0</v>
      </c>
      <c r="P95" s="533">
        <v>0</v>
      </c>
      <c r="Q95" s="533">
        <v>0</v>
      </c>
    </row>
    <row r="96" spans="1:19">
      <c r="A96" s="532" t="s">
        <v>588</v>
      </c>
      <c r="B96" s="533">
        <v>133</v>
      </c>
      <c r="C96" s="533">
        <v>133</v>
      </c>
      <c r="D96" s="533">
        <v>133</v>
      </c>
      <c r="E96" s="533">
        <v>0</v>
      </c>
      <c r="F96" s="533">
        <v>0</v>
      </c>
      <c r="G96" s="533">
        <v>0</v>
      </c>
      <c r="H96" s="533">
        <v>133</v>
      </c>
      <c r="I96" s="533">
        <v>0</v>
      </c>
      <c r="J96" s="533">
        <v>0</v>
      </c>
      <c r="K96" s="533">
        <v>0</v>
      </c>
      <c r="L96" s="533">
        <v>0</v>
      </c>
      <c r="M96" s="533">
        <v>0</v>
      </c>
      <c r="N96" s="533">
        <v>0</v>
      </c>
      <c r="O96" s="533">
        <v>0</v>
      </c>
      <c r="P96" s="533">
        <v>0</v>
      </c>
      <c r="Q96" s="533">
        <v>0</v>
      </c>
    </row>
    <row r="97" spans="1:19">
      <c r="A97" s="532" t="s">
        <v>608</v>
      </c>
      <c r="B97" s="533">
        <v>49</v>
      </c>
      <c r="C97" s="533">
        <v>49</v>
      </c>
      <c r="D97" s="533">
        <v>49</v>
      </c>
      <c r="E97" s="533">
        <v>0</v>
      </c>
      <c r="F97" s="533">
        <v>0</v>
      </c>
      <c r="G97" s="533">
        <v>0</v>
      </c>
      <c r="H97" s="533">
        <v>49</v>
      </c>
      <c r="I97" s="533">
        <v>0</v>
      </c>
      <c r="J97" s="533">
        <v>0</v>
      </c>
      <c r="K97" s="533">
        <v>0</v>
      </c>
      <c r="L97" s="533">
        <v>0</v>
      </c>
      <c r="M97" s="533">
        <v>0</v>
      </c>
      <c r="N97" s="533">
        <v>0</v>
      </c>
      <c r="O97" s="533">
        <v>0</v>
      </c>
      <c r="P97" s="533">
        <v>0</v>
      </c>
      <c r="Q97" s="533">
        <v>0</v>
      </c>
    </row>
    <row r="99" spans="1:19">
      <c r="A99" s="529" t="s">
        <v>589</v>
      </c>
    </row>
    <row r="100" spans="1:19">
      <c r="A100" s="529" t="s">
        <v>36</v>
      </c>
      <c r="B100" s="529" t="s">
        <v>590</v>
      </c>
    </row>
    <row r="102" spans="1:19">
      <c r="A102" s="529" t="s">
        <v>340</v>
      </c>
      <c r="B102" s="529" t="s">
        <v>576</v>
      </c>
    </row>
    <row r="103" spans="1:19">
      <c r="A103" s="529" t="s">
        <v>343</v>
      </c>
      <c r="B103" s="529" t="s">
        <v>581</v>
      </c>
    </row>
    <row r="104" spans="1:19">
      <c r="A104" s="529" t="s">
        <v>578</v>
      </c>
      <c r="B104" s="529" t="s">
        <v>298</v>
      </c>
    </row>
    <row r="105" spans="1:19">
      <c r="S105" s="530" t="str">
        <f>B103</f>
        <v>Germany (until 1990 former territory of the FRG)</v>
      </c>
    </row>
    <row r="106" spans="1:19">
      <c r="A106" s="532" t="s">
        <v>592</v>
      </c>
      <c r="B106" s="532" t="s">
        <v>593</v>
      </c>
      <c r="C106" s="532" t="s">
        <v>594</v>
      </c>
      <c r="D106" s="532" t="s">
        <v>595</v>
      </c>
      <c r="E106" s="532" t="s">
        <v>596</v>
      </c>
      <c r="F106" s="532" t="s">
        <v>597</v>
      </c>
      <c r="G106" s="532" t="s">
        <v>598</v>
      </c>
      <c r="H106" s="532" t="s">
        <v>599</v>
      </c>
      <c r="I106" s="532" t="s">
        <v>600</v>
      </c>
      <c r="J106" s="532" t="s">
        <v>232</v>
      </c>
      <c r="K106" s="532" t="s">
        <v>601</v>
      </c>
      <c r="L106" s="532" t="s">
        <v>602</v>
      </c>
      <c r="M106" s="532" t="s">
        <v>603</v>
      </c>
      <c r="N106" s="532" t="s">
        <v>604</v>
      </c>
      <c r="O106" s="532" t="s">
        <v>605</v>
      </c>
      <c r="P106" s="532" t="s">
        <v>606</v>
      </c>
      <c r="Q106" s="532" t="s">
        <v>234</v>
      </c>
      <c r="S106" s="530">
        <f>D113/1000</f>
        <v>15.505000000000001</v>
      </c>
    </row>
    <row r="107" spans="1:19">
      <c r="A107" s="532" t="s">
        <v>607</v>
      </c>
      <c r="B107" s="533">
        <v>2751904</v>
      </c>
      <c r="C107" s="533">
        <v>1254349</v>
      </c>
      <c r="D107" s="533">
        <v>1254349</v>
      </c>
      <c r="E107" s="533">
        <v>0</v>
      </c>
      <c r="F107" s="533">
        <v>63787</v>
      </c>
      <c r="G107" s="533">
        <v>349666</v>
      </c>
      <c r="H107" s="533">
        <v>840896</v>
      </c>
      <c r="I107" s="533">
        <v>0</v>
      </c>
      <c r="J107" s="533">
        <v>0</v>
      </c>
      <c r="K107" s="533">
        <v>0</v>
      </c>
      <c r="L107" s="533">
        <v>0</v>
      </c>
      <c r="M107" s="533">
        <v>0</v>
      </c>
      <c r="N107" s="533">
        <v>1497555</v>
      </c>
      <c r="O107" s="533">
        <v>1481775</v>
      </c>
      <c r="P107" s="533">
        <v>15780</v>
      </c>
      <c r="Q107" s="533">
        <v>0</v>
      </c>
      <c r="S107" s="530">
        <f>D112/1000</f>
        <v>89.477999999999994</v>
      </c>
    </row>
    <row r="108" spans="1:19">
      <c r="A108" s="532" t="s">
        <v>583</v>
      </c>
      <c r="B108" s="533">
        <v>2623509</v>
      </c>
      <c r="C108" s="533">
        <v>1149366</v>
      </c>
      <c r="D108" s="533">
        <v>1149366</v>
      </c>
      <c r="E108" s="533">
        <v>0</v>
      </c>
      <c r="F108" s="533">
        <v>59242</v>
      </c>
      <c r="G108" s="533">
        <v>312301</v>
      </c>
      <c r="H108" s="533">
        <v>777823</v>
      </c>
      <c r="I108" s="533">
        <v>0</v>
      </c>
      <c r="J108" s="533">
        <v>0</v>
      </c>
      <c r="K108" s="533">
        <v>0</v>
      </c>
      <c r="L108" s="533">
        <v>0</v>
      </c>
      <c r="M108" s="533">
        <v>0</v>
      </c>
      <c r="N108" s="533">
        <v>1474143</v>
      </c>
      <c r="O108" s="533">
        <v>1461723</v>
      </c>
      <c r="P108" s="533">
        <v>12420</v>
      </c>
      <c r="Q108" s="533">
        <v>0</v>
      </c>
    </row>
    <row r="109" spans="1:19">
      <c r="A109" s="532" t="s">
        <v>584</v>
      </c>
      <c r="B109" s="533">
        <v>2341223</v>
      </c>
      <c r="C109" s="533">
        <v>931348</v>
      </c>
      <c r="D109" s="533">
        <v>931348</v>
      </c>
      <c r="E109" s="533">
        <v>0</v>
      </c>
      <c r="F109" s="533">
        <v>59242</v>
      </c>
      <c r="G109" s="533">
        <v>249853</v>
      </c>
      <c r="H109" s="533">
        <v>622254</v>
      </c>
      <c r="I109" s="533">
        <v>0</v>
      </c>
      <c r="J109" s="533">
        <v>0</v>
      </c>
      <c r="K109" s="533">
        <v>0</v>
      </c>
      <c r="L109" s="533">
        <v>0</v>
      </c>
      <c r="M109" s="533">
        <v>0</v>
      </c>
      <c r="N109" s="533">
        <v>1409875</v>
      </c>
      <c r="O109" s="533">
        <v>1405535</v>
      </c>
      <c r="P109" s="533">
        <v>4340</v>
      </c>
      <c r="Q109" s="533">
        <v>0</v>
      </c>
    </row>
    <row r="110" spans="1:19">
      <c r="A110" s="532" t="s">
        <v>585</v>
      </c>
      <c r="B110" s="533">
        <v>282286</v>
      </c>
      <c r="C110" s="533">
        <v>218018</v>
      </c>
      <c r="D110" s="533">
        <v>218018</v>
      </c>
      <c r="E110" s="533">
        <v>0</v>
      </c>
      <c r="F110" s="533">
        <v>0</v>
      </c>
      <c r="G110" s="533">
        <v>62449</v>
      </c>
      <c r="H110" s="533">
        <v>155570</v>
      </c>
      <c r="I110" s="533">
        <v>0</v>
      </c>
      <c r="J110" s="533">
        <v>0</v>
      </c>
      <c r="K110" s="533">
        <v>0</v>
      </c>
      <c r="L110" s="533">
        <v>0</v>
      </c>
      <c r="M110" s="533">
        <v>0</v>
      </c>
      <c r="N110" s="533">
        <v>64268</v>
      </c>
      <c r="O110" s="533">
        <v>56188</v>
      </c>
      <c r="P110" s="533">
        <v>8080</v>
      </c>
      <c r="Q110" s="533">
        <v>0</v>
      </c>
    </row>
    <row r="111" spans="1:19">
      <c r="A111" s="532" t="s">
        <v>586</v>
      </c>
      <c r="B111" s="533">
        <v>128395</v>
      </c>
      <c r="C111" s="533">
        <v>104983</v>
      </c>
      <c r="D111" s="533">
        <v>104983</v>
      </c>
      <c r="E111" s="533">
        <v>0</v>
      </c>
      <c r="F111" s="533">
        <v>4546</v>
      </c>
      <c r="G111" s="533">
        <v>37364</v>
      </c>
      <c r="H111" s="533">
        <v>63073</v>
      </c>
      <c r="I111" s="533">
        <v>0</v>
      </c>
      <c r="J111" s="533">
        <v>0</v>
      </c>
      <c r="K111" s="533">
        <v>0</v>
      </c>
      <c r="L111" s="533">
        <v>0</v>
      </c>
      <c r="M111" s="533">
        <v>0</v>
      </c>
      <c r="N111" s="533">
        <v>23412</v>
      </c>
      <c r="O111" s="533">
        <v>20052</v>
      </c>
      <c r="P111" s="533">
        <v>3360</v>
      </c>
      <c r="Q111" s="533">
        <v>0</v>
      </c>
    </row>
    <row r="112" spans="1:19">
      <c r="A112" s="532" t="s">
        <v>587</v>
      </c>
      <c r="B112" s="533">
        <v>110990</v>
      </c>
      <c r="C112" s="533">
        <v>89478</v>
      </c>
      <c r="D112" s="533">
        <v>89478</v>
      </c>
      <c r="E112" s="533">
        <v>0</v>
      </c>
      <c r="F112" s="533">
        <v>4546</v>
      </c>
      <c r="G112" s="533">
        <v>26161</v>
      </c>
      <c r="H112" s="533">
        <v>58772</v>
      </c>
      <c r="I112" s="533">
        <v>0</v>
      </c>
      <c r="J112" s="533">
        <v>0</v>
      </c>
      <c r="K112" s="533">
        <v>0</v>
      </c>
      <c r="L112" s="533">
        <v>0</v>
      </c>
      <c r="M112" s="533">
        <v>0</v>
      </c>
      <c r="N112" s="533">
        <v>21512</v>
      </c>
      <c r="O112" s="533">
        <v>20052</v>
      </c>
      <c r="P112" s="533">
        <v>1460</v>
      </c>
      <c r="Q112" s="533">
        <v>0</v>
      </c>
    </row>
    <row r="113" spans="1:19">
      <c r="A113" s="532" t="s">
        <v>588</v>
      </c>
      <c r="B113" s="533">
        <v>17405</v>
      </c>
      <c r="C113" s="533">
        <v>15505</v>
      </c>
      <c r="D113" s="533">
        <v>15505</v>
      </c>
      <c r="E113" s="533">
        <v>0</v>
      </c>
      <c r="F113" s="533">
        <v>0</v>
      </c>
      <c r="G113" s="533">
        <v>11204</v>
      </c>
      <c r="H113" s="533">
        <v>4301</v>
      </c>
      <c r="I113" s="533">
        <v>0</v>
      </c>
      <c r="J113" s="533">
        <v>0</v>
      </c>
      <c r="K113" s="533">
        <v>0</v>
      </c>
      <c r="L113" s="533">
        <v>0</v>
      </c>
      <c r="M113" s="533">
        <v>0</v>
      </c>
      <c r="N113" s="533">
        <v>1900</v>
      </c>
      <c r="O113" s="533">
        <v>0</v>
      </c>
      <c r="P113" s="533">
        <v>1900</v>
      </c>
      <c r="Q113" s="533">
        <v>0</v>
      </c>
    </row>
    <row r="114" spans="1:19">
      <c r="A114" s="532" t="s">
        <v>608</v>
      </c>
      <c r="B114" s="533">
        <v>800</v>
      </c>
      <c r="C114" s="533">
        <v>0</v>
      </c>
      <c r="D114" s="533">
        <v>0</v>
      </c>
      <c r="E114" s="533">
        <v>0</v>
      </c>
      <c r="F114" s="533">
        <v>0</v>
      </c>
      <c r="G114" s="533">
        <v>0</v>
      </c>
      <c r="H114" s="533">
        <v>0</v>
      </c>
      <c r="I114" s="533">
        <v>0</v>
      </c>
      <c r="J114" s="533">
        <v>0</v>
      </c>
      <c r="K114" s="533">
        <v>0</v>
      </c>
      <c r="L114" s="533">
        <v>0</v>
      </c>
      <c r="M114" s="533">
        <v>0</v>
      </c>
      <c r="N114" s="533">
        <v>800</v>
      </c>
      <c r="O114" s="533">
        <v>0</v>
      </c>
      <c r="P114" s="533">
        <v>800</v>
      </c>
      <c r="Q114" s="533">
        <v>0</v>
      </c>
    </row>
    <row r="116" spans="1:19">
      <c r="A116" s="529" t="s">
        <v>589</v>
      </c>
    </row>
    <row r="117" spans="1:19">
      <c r="A117" s="529" t="s">
        <v>36</v>
      </c>
      <c r="B117" s="529" t="s">
        <v>590</v>
      </c>
    </row>
    <row r="119" spans="1:19">
      <c r="A119" s="529" t="s">
        <v>340</v>
      </c>
      <c r="B119" s="529" t="s">
        <v>576</v>
      </c>
    </row>
    <row r="120" spans="1:19">
      <c r="A120" s="529" t="s">
        <v>343</v>
      </c>
      <c r="B120" s="529" t="s">
        <v>217</v>
      </c>
    </row>
    <row r="121" spans="1:19">
      <c r="A121" s="529" t="s">
        <v>578</v>
      </c>
      <c r="B121" s="529" t="s">
        <v>298</v>
      </c>
    </row>
    <row r="122" spans="1:19">
      <c r="S122" s="530" t="str">
        <f>B120</f>
        <v>Estonia</v>
      </c>
    </row>
    <row r="123" spans="1:19">
      <c r="A123" s="532" t="s">
        <v>592</v>
      </c>
      <c r="B123" s="532" t="s">
        <v>593</v>
      </c>
      <c r="C123" s="532" t="s">
        <v>594</v>
      </c>
      <c r="D123" s="532" t="s">
        <v>595</v>
      </c>
      <c r="E123" s="532" t="s">
        <v>596</v>
      </c>
      <c r="F123" s="532" t="s">
        <v>597</v>
      </c>
      <c r="G123" s="532" t="s">
        <v>598</v>
      </c>
      <c r="H123" s="532" t="s">
        <v>599</v>
      </c>
      <c r="I123" s="532" t="s">
        <v>600</v>
      </c>
      <c r="J123" s="532" t="s">
        <v>232</v>
      </c>
      <c r="K123" s="532" t="s">
        <v>601</v>
      </c>
      <c r="L123" s="532" t="s">
        <v>602</v>
      </c>
      <c r="M123" s="532" t="s">
        <v>603</v>
      </c>
      <c r="N123" s="532" t="s">
        <v>604</v>
      </c>
      <c r="O123" s="532" t="s">
        <v>605</v>
      </c>
      <c r="P123" s="532" t="s">
        <v>606</v>
      </c>
      <c r="Q123" s="532" t="s">
        <v>234</v>
      </c>
      <c r="S123" s="530">
        <f>D130/1000</f>
        <v>0</v>
      </c>
    </row>
    <row r="124" spans="1:19">
      <c r="A124" s="532" t="s">
        <v>607</v>
      </c>
      <c r="B124" s="533">
        <v>98514</v>
      </c>
      <c r="C124" s="533">
        <v>0</v>
      </c>
      <c r="D124" s="533">
        <v>0</v>
      </c>
      <c r="E124" s="533">
        <v>0</v>
      </c>
      <c r="F124" s="533">
        <v>0</v>
      </c>
      <c r="G124" s="533">
        <v>0</v>
      </c>
      <c r="H124" s="533">
        <v>0</v>
      </c>
      <c r="I124" s="533">
        <v>0</v>
      </c>
      <c r="J124" s="533">
        <v>0</v>
      </c>
      <c r="K124" s="533">
        <v>0</v>
      </c>
      <c r="L124" s="533">
        <v>0</v>
      </c>
      <c r="M124" s="533">
        <v>0</v>
      </c>
      <c r="N124" s="533">
        <v>98514</v>
      </c>
      <c r="O124" s="533">
        <v>98384</v>
      </c>
      <c r="P124" s="533">
        <v>0</v>
      </c>
      <c r="Q124" s="533">
        <v>130</v>
      </c>
      <c r="S124" s="530">
        <f>D129/1000</f>
        <v>0</v>
      </c>
    </row>
    <row r="125" spans="1:19">
      <c r="A125" s="532" t="s">
        <v>583</v>
      </c>
      <c r="B125" s="533">
        <v>98303</v>
      </c>
      <c r="C125" s="533">
        <v>0</v>
      </c>
      <c r="D125" s="533">
        <v>0</v>
      </c>
      <c r="E125" s="533">
        <v>0</v>
      </c>
      <c r="F125" s="533">
        <v>0</v>
      </c>
      <c r="G125" s="533">
        <v>0</v>
      </c>
      <c r="H125" s="533">
        <v>0</v>
      </c>
      <c r="I125" s="533">
        <v>0</v>
      </c>
      <c r="J125" s="533">
        <v>0</v>
      </c>
      <c r="K125" s="533">
        <v>0</v>
      </c>
      <c r="L125" s="533">
        <v>0</v>
      </c>
      <c r="M125" s="533">
        <v>0</v>
      </c>
      <c r="N125" s="533">
        <v>98303</v>
      </c>
      <c r="O125" s="533">
        <v>98303</v>
      </c>
      <c r="P125" s="533">
        <v>0</v>
      </c>
      <c r="Q125" s="533">
        <v>0</v>
      </c>
    </row>
    <row r="126" spans="1:19">
      <c r="A126" s="532" t="s">
        <v>584</v>
      </c>
      <c r="B126" s="533">
        <v>88334</v>
      </c>
      <c r="C126" s="533">
        <v>0</v>
      </c>
      <c r="D126" s="533">
        <v>0</v>
      </c>
      <c r="E126" s="533">
        <v>0</v>
      </c>
      <c r="F126" s="533">
        <v>0</v>
      </c>
      <c r="G126" s="533">
        <v>0</v>
      </c>
      <c r="H126" s="533">
        <v>0</v>
      </c>
      <c r="I126" s="533">
        <v>0</v>
      </c>
      <c r="J126" s="533">
        <v>0</v>
      </c>
      <c r="K126" s="533">
        <v>0</v>
      </c>
      <c r="L126" s="533">
        <v>0</v>
      </c>
      <c r="M126" s="533">
        <v>0</v>
      </c>
      <c r="N126" s="533">
        <v>88334</v>
      </c>
      <c r="O126" s="533">
        <v>88334</v>
      </c>
      <c r="P126" s="533">
        <v>0</v>
      </c>
      <c r="Q126" s="533">
        <v>0</v>
      </c>
    </row>
    <row r="127" spans="1:19">
      <c r="A127" s="532" t="s">
        <v>585</v>
      </c>
      <c r="B127" s="533">
        <v>9969</v>
      </c>
      <c r="C127" s="533">
        <v>0</v>
      </c>
      <c r="D127" s="533">
        <v>0</v>
      </c>
      <c r="E127" s="533">
        <v>0</v>
      </c>
      <c r="F127" s="533">
        <v>0</v>
      </c>
      <c r="G127" s="533">
        <v>0</v>
      </c>
      <c r="H127" s="533">
        <v>0</v>
      </c>
      <c r="I127" s="533">
        <v>0</v>
      </c>
      <c r="J127" s="533">
        <v>0</v>
      </c>
      <c r="K127" s="533">
        <v>0</v>
      </c>
      <c r="L127" s="533">
        <v>0</v>
      </c>
      <c r="M127" s="533">
        <v>0</v>
      </c>
      <c r="N127" s="533">
        <v>9969</v>
      </c>
      <c r="O127" s="533">
        <v>9969</v>
      </c>
      <c r="P127" s="533">
        <v>0</v>
      </c>
      <c r="Q127" s="533">
        <v>0</v>
      </c>
    </row>
    <row r="128" spans="1:19">
      <c r="A128" s="532" t="s">
        <v>586</v>
      </c>
      <c r="B128" s="533">
        <v>211</v>
      </c>
      <c r="C128" s="533">
        <v>0</v>
      </c>
      <c r="D128" s="533">
        <v>0</v>
      </c>
      <c r="E128" s="533">
        <v>0</v>
      </c>
      <c r="F128" s="533">
        <v>0</v>
      </c>
      <c r="G128" s="533">
        <v>0</v>
      </c>
      <c r="H128" s="533">
        <v>0</v>
      </c>
      <c r="I128" s="533">
        <v>0</v>
      </c>
      <c r="J128" s="533">
        <v>0</v>
      </c>
      <c r="K128" s="533">
        <v>0</v>
      </c>
      <c r="L128" s="533">
        <v>0</v>
      </c>
      <c r="M128" s="533">
        <v>0</v>
      </c>
      <c r="N128" s="533">
        <v>211</v>
      </c>
      <c r="O128" s="533">
        <v>81</v>
      </c>
      <c r="P128" s="533">
        <v>0</v>
      </c>
      <c r="Q128" s="533">
        <v>130</v>
      </c>
    </row>
    <row r="129" spans="1:19">
      <c r="A129" s="532" t="s">
        <v>587</v>
      </c>
      <c r="B129" s="533">
        <v>0</v>
      </c>
      <c r="C129" s="533">
        <v>0</v>
      </c>
      <c r="D129" s="533">
        <v>0</v>
      </c>
      <c r="E129" s="533">
        <v>0</v>
      </c>
      <c r="F129" s="533">
        <v>0</v>
      </c>
      <c r="G129" s="533">
        <v>0</v>
      </c>
      <c r="H129" s="533">
        <v>0</v>
      </c>
      <c r="I129" s="533">
        <v>0</v>
      </c>
      <c r="J129" s="533">
        <v>0</v>
      </c>
      <c r="K129" s="533">
        <v>0</v>
      </c>
      <c r="L129" s="533">
        <v>0</v>
      </c>
      <c r="M129" s="533">
        <v>0</v>
      </c>
      <c r="N129" s="533">
        <v>0</v>
      </c>
      <c r="O129" s="533">
        <v>0</v>
      </c>
      <c r="P129" s="533">
        <v>0</v>
      </c>
      <c r="Q129" s="533">
        <v>0</v>
      </c>
    </row>
    <row r="130" spans="1:19">
      <c r="A130" s="532" t="s">
        <v>588</v>
      </c>
      <c r="B130" s="533">
        <v>211</v>
      </c>
      <c r="C130" s="533">
        <v>0</v>
      </c>
      <c r="D130" s="533">
        <v>0</v>
      </c>
      <c r="E130" s="533">
        <v>0</v>
      </c>
      <c r="F130" s="533">
        <v>0</v>
      </c>
      <c r="G130" s="533">
        <v>0</v>
      </c>
      <c r="H130" s="533">
        <v>0</v>
      </c>
      <c r="I130" s="533">
        <v>0</v>
      </c>
      <c r="J130" s="533">
        <v>0</v>
      </c>
      <c r="K130" s="533">
        <v>0</v>
      </c>
      <c r="L130" s="533">
        <v>0</v>
      </c>
      <c r="M130" s="533">
        <v>0</v>
      </c>
      <c r="N130" s="533">
        <v>211</v>
      </c>
      <c r="O130" s="533">
        <v>81</v>
      </c>
      <c r="P130" s="533">
        <v>0</v>
      </c>
      <c r="Q130" s="533">
        <v>130</v>
      </c>
    </row>
    <row r="131" spans="1:19">
      <c r="A131" s="532" t="s">
        <v>608</v>
      </c>
      <c r="B131" s="533">
        <v>1155</v>
      </c>
      <c r="C131" s="533">
        <v>109</v>
      </c>
      <c r="D131" s="533">
        <v>109</v>
      </c>
      <c r="E131" s="533">
        <v>0</v>
      </c>
      <c r="F131" s="533">
        <v>0</v>
      </c>
      <c r="G131" s="533">
        <v>0</v>
      </c>
      <c r="H131" s="533">
        <v>109</v>
      </c>
      <c r="I131" s="533">
        <v>0</v>
      </c>
      <c r="J131" s="533">
        <v>0</v>
      </c>
      <c r="K131" s="533">
        <v>0</v>
      </c>
      <c r="L131" s="533">
        <v>0</v>
      </c>
      <c r="M131" s="533">
        <v>0</v>
      </c>
      <c r="N131" s="533">
        <v>1046</v>
      </c>
      <c r="O131" s="533">
        <v>102</v>
      </c>
      <c r="P131" s="533">
        <v>0</v>
      </c>
      <c r="Q131" s="533">
        <v>945</v>
      </c>
    </row>
    <row r="133" spans="1:19">
      <c r="A133" s="529" t="s">
        <v>589</v>
      </c>
    </row>
    <row r="134" spans="1:19">
      <c r="A134" s="529" t="s">
        <v>36</v>
      </c>
      <c r="B134" s="529" t="s">
        <v>590</v>
      </c>
    </row>
    <row r="136" spans="1:19">
      <c r="A136" s="529" t="s">
        <v>340</v>
      </c>
      <c r="B136" s="529" t="s">
        <v>576</v>
      </c>
    </row>
    <row r="137" spans="1:19">
      <c r="A137" s="529" t="s">
        <v>343</v>
      </c>
      <c r="B137" s="529" t="s">
        <v>218</v>
      </c>
    </row>
    <row r="138" spans="1:19">
      <c r="A138" s="529" t="s">
        <v>578</v>
      </c>
      <c r="B138" s="529" t="s">
        <v>298</v>
      </c>
    </row>
    <row r="139" spans="1:19">
      <c r="S139" s="530" t="str">
        <f>B137</f>
        <v>Ireland</v>
      </c>
    </row>
    <row r="140" spans="1:19">
      <c r="A140" s="532" t="s">
        <v>592</v>
      </c>
      <c r="B140" s="532" t="s">
        <v>593</v>
      </c>
      <c r="C140" s="532" t="s">
        <v>594</v>
      </c>
      <c r="D140" s="532" t="s">
        <v>595</v>
      </c>
      <c r="E140" s="532" t="s">
        <v>596</v>
      </c>
      <c r="F140" s="532" t="s">
        <v>597</v>
      </c>
      <c r="G140" s="532" t="s">
        <v>598</v>
      </c>
      <c r="H140" s="532" t="s">
        <v>599</v>
      </c>
      <c r="I140" s="532" t="s">
        <v>600</v>
      </c>
      <c r="J140" s="532" t="s">
        <v>232</v>
      </c>
      <c r="K140" s="532" t="s">
        <v>601</v>
      </c>
      <c r="L140" s="532" t="s">
        <v>602</v>
      </c>
      <c r="M140" s="532" t="s">
        <v>603</v>
      </c>
      <c r="N140" s="532" t="s">
        <v>604</v>
      </c>
      <c r="O140" s="532" t="s">
        <v>605</v>
      </c>
      <c r="P140" s="532" t="s">
        <v>606</v>
      </c>
      <c r="Q140" s="532" t="s">
        <v>234</v>
      </c>
      <c r="S140" s="530">
        <f>D147/1000</f>
        <v>0.27800000000000002</v>
      </c>
    </row>
    <row r="141" spans="1:19">
      <c r="A141" s="532" t="s">
        <v>607</v>
      </c>
      <c r="B141" s="533">
        <v>80565</v>
      </c>
      <c r="C141" s="533">
        <v>59580</v>
      </c>
      <c r="D141" s="533">
        <v>59580</v>
      </c>
      <c r="E141" s="533">
        <v>0</v>
      </c>
      <c r="F141" s="533">
        <v>0</v>
      </c>
      <c r="G141" s="533">
        <v>0</v>
      </c>
      <c r="H141" s="533">
        <v>59580</v>
      </c>
      <c r="I141" s="533">
        <v>0</v>
      </c>
      <c r="J141" s="533">
        <v>0</v>
      </c>
      <c r="K141" s="533">
        <v>0</v>
      </c>
      <c r="L141" s="533">
        <v>0</v>
      </c>
      <c r="M141" s="533">
        <v>0</v>
      </c>
      <c r="N141" s="533">
        <v>20985</v>
      </c>
      <c r="O141" s="533">
        <v>0</v>
      </c>
      <c r="P141" s="533">
        <v>0</v>
      </c>
      <c r="Q141" s="533">
        <v>20985</v>
      </c>
      <c r="S141" s="530">
        <f>D146/1000</f>
        <v>0</v>
      </c>
    </row>
    <row r="142" spans="1:19">
      <c r="A142" s="532" t="s">
        <v>583</v>
      </c>
      <c r="B142" s="533">
        <v>79788</v>
      </c>
      <c r="C142" s="533">
        <v>59301</v>
      </c>
      <c r="D142" s="533">
        <v>59301</v>
      </c>
      <c r="E142" s="533">
        <v>0</v>
      </c>
      <c r="F142" s="533">
        <v>0</v>
      </c>
      <c r="G142" s="533">
        <v>0</v>
      </c>
      <c r="H142" s="533">
        <v>59301</v>
      </c>
      <c r="I142" s="533">
        <v>0</v>
      </c>
      <c r="J142" s="533">
        <v>0</v>
      </c>
      <c r="K142" s="533">
        <v>0</v>
      </c>
      <c r="L142" s="533">
        <v>0</v>
      </c>
      <c r="M142" s="533">
        <v>0</v>
      </c>
      <c r="N142" s="533">
        <v>20487</v>
      </c>
      <c r="O142" s="533">
        <v>0</v>
      </c>
      <c r="P142" s="533">
        <v>0</v>
      </c>
      <c r="Q142" s="533">
        <v>20487</v>
      </c>
    </row>
    <row r="143" spans="1:19">
      <c r="A143" s="532" t="s">
        <v>584</v>
      </c>
      <c r="B143" s="533">
        <v>79788</v>
      </c>
      <c r="C143" s="533">
        <v>59301</v>
      </c>
      <c r="D143" s="533">
        <v>59301</v>
      </c>
      <c r="E143" s="533">
        <v>0</v>
      </c>
      <c r="F143" s="533">
        <v>0</v>
      </c>
      <c r="G143" s="533">
        <v>0</v>
      </c>
      <c r="H143" s="533">
        <v>59301</v>
      </c>
      <c r="I143" s="533">
        <v>0</v>
      </c>
      <c r="J143" s="533">
        <v>0</v>
      </c>
      <c r="K143" s="533">
        <v>0</v>
      </c>
      <c r="L143" s="533">
        <v>0</v>
      </c>
      <c r="M143" s="533">
        <v>0</v>
      </c>
      <c r="N143" s="533">
        <v>20487</v>
      </c>
      <c r="O143" s="533">
        <v>0</v>
      </c>
      <c r="P143" s="533">
        <v>0</v>
      </c>
      <c r="Q143" s="533">
        <v>20487</v>
      </c>
    </row>
    <row r="144" spans="1:19">
      <c r="A144" s="532" t="s">
        <v>585</v>
      </c>
      <c r="B144" s="533">
        <v>0</v>
      </c>
      <c r="C144" s="533">
        <v>0</v>
      </c>
      <c r="D144" s="533">
        <v>0</v>
      </c>
      <c r="E144" s="533">
        <v>0</v>
      </c>
      <c r="F144" s="533">
        <v>0</v>
      </c>
      <c r="G144" s="533">
        <v>0</v>
      </c>
      <c r="H144" s="533">
        <v>0</v>
      </c>
      <c r="I144" s="533">
        <v>0</v>
      </c>
      <c r="J144" s="533">
        <v>0</v>
      </c>
      <c r="K144" s="533">
        <v>0</v>
      </c>
      <c r="L144" s="533">
        <v>0</v>
      </c>
      <c r="M144" s="533">
        <v>0</v>
      </c>
      <c r="N144" s="533">
        <v>0</v>
      </c>
      <c r="O144" s="533">
        <v>0</v>
      </c>
      <c r="P144" s="533">
        <v>0</v>
      </c>
      <c r="Q144" s="533">
        <v>0</v>
      </c>
    </row>
    <row r="145" spans="1:19">
      <c r="A145" s="532" t="s">
        <v>586</v>
      </c>
      <c r="B145" s="533">
        <v>776</v>
      </c>
      <c r="C145" s="533">
        <v>278</v>
      </c>
      <c r="D145" s="533">
        <v>278</v>
      </c>
      <c r="E145" s="533">
        <v>0</v>
      </c>
      <c r="F145" s="533">
        <v>0</v>
      </c>
      <c r="G145" s="533">
        <v>0</v>
      </c>
      <c r="H145" s="533">
        <v>278</v>
      </c>
      <c r="I145" s="533">
        <v>0</v>
      </c>
      <c r="J145" s="533">
        <v>0</v>
      </c>
      <c r="K145" s="533">
        <v>0</v>
      </c>
      <c r="L145" s="533">
        <v>0</v>
      </c>
      <c r="M145" s="533">
        <v>0</v>
      </c>
      <c r="N145" s="533">
        <v>498</v>
      </c>
      <c r="O145" s="533">
        <v>0</v>
      </c>
      <c r="P145" s="533">
        <v>0</v>
      </c>
      <c r="Q145" s="533">
        <v>498</v>
      </c>
    </row>
    <row r="146" spans="1:19">
      <c r="A146" s="532" t="s">
        <v>587</v>
      </c>
      <c r="B146" s="533">
        <v>0</v>
      </c>
      <c r="C146" s="533">
        <v>0</v>
      </c>
      <c r="D146" s="533">
        <v>0</v>
      </c>
      <c r="E146" s="533">
        <v>0</v>
      </c>
      <c r="F146" s="533">
        <v>0</v>
      </c>
      <c r="G146" s="533">
        <v>0</v>
      </c>
      <c r="H146" s="533">
        <v>0</v>
      </c>
      <c r="I146" s="533">
        <v>0</v>
      </c>
      <c r="J146" s="533">
        <v>0</v>
      </c>
      <c r="K146" s="533">
        <v>0</v>
      </c>
      <c r="L146" s="533">
        <v>0</v>
      </c>
      <c r="M146" s="533">
        <v>0</v>
      </c>
      <c r="N146" s="533">
        <v>0</v>
      </c>
      <c r="O146" s="533">
        <v>0</v>
      </c>
      <c r="P146" s="533">
        <v>0</v>
      </c>
      <c r="Q146" s="533">
        <v>0</v>
      </c>
    </row>
    <row r="147" spans="1:19">
      <c r="A147" s="532" t="s">
        <v>588</v>
      </c>
      <c r="B147" s="533">
        <v>776</v>
      </c>
      <c r="C147" s="533">
        <v>278</v>
      </c>
      <c r="D147" s="533">
        <v>278</v>
      </c>
      <c r="E147" s="533">
        <v>0</v>
      </c>
      <c r="F147" s="533">
        <v>0</v>
      </c>
      <c r="G147" s="533">
        <v>0</v>
      </c>
      <c r="H147" s="533">
        <v>278</v>
      </c>
      <c r="I147" s="533">
        <v>0</v>
      </c>
      <c r="J147" s="533">
        <v>0</v>
      </c>
      <c r="K147" s="533">
        <v>0</v>
      </c>
      <c r="L147" s="533">
        <v>0</v>
      </c>
      <c r="M147" s="533">
        <v>0</v>
      </c>
      <c r="N147" s="533">
        <v>498</v>
      </c>
      <c r="O147" s="533">
        <v>0</v>
      </c>
      <c r="P147" s="533">
        <v>0</v>
      </c>
      <c r="Q147" s="533">
        <v>498</v>
      </c>
    </row>
    <row r="148" spans="1:19">
      <c r="A148" s="532" t="s">
        <v>608</v>
      </c>
      <c r="B148" s="533">
        <v>0</v>
      </c>
      <c r="C148" s="533">
        <v>0</v>
      </c>
      <c r="D148" s="533">
        <v>0</v>
      </c>
      <c r="E148" s="533">
        <v>0</v>
      </c>
      <c r="F148" s="533">
        <v>0</v>
      </c>
      <c r="G148" s="533">
        <v>0</v>
      </c>
      <c r="H148" s="533">
        <v>0</v>
      </c>
      <c r="I148" s="533">
        <v>0</v>
      </c>
      <c r="J148" s="533">
        <v>0</v>
      </c>
      <c r="K148" s="533">
        <v>0</v>
      </c>
      <c r="L148" s="533">
        <v>0</v>
      </c>
      <c r="M148" s="533">
        <v>0</v>
      </c>
      <c r="N148" s="533">
        <v>0</v>
      </c>
      <c r="O148" s="533">
        <v>0</v>
      </c>
      <c r="P148" s="533">
        <v>0</v>
      </c>
      <c r="Q148" s="533">
        <v>0</v>
      </c>
    </row>
    <row r="150" spans="1:19">
      <c r="A150" s="529" t="s">
        <v>589</v>
      </c>
    </row>
    <row r="151" spans="1:19">
      <c r="A151" s="529" t="s">
        <v>36</v>
      </c>
      <c r="B151" s="529" t="s">
        <v>590</v>
      </c>
    </row>
    <row r="153" spans="1:19">
      <c r="A153" s="529" t="s">
        <v>340</v>
      </c>
      <c r="B153" s="529" t="s">
        <v>576</v>
      </c>
    </row>
    <row r="154" spans="1:19">
      <c r="A154" s="529" t="s">
        <v>343</v>
      </c>
      <c r="B154" s="529" t="s">
        <v>183</v>
      </c>
    </row>
    <row r="155" spans="1:19">
      <c r="A155" s="529" t="s">
        <v>578</v>
      </c>
      <c r="B155" s="529" t="s">
        <v>298</v>
      </c>
    </row>
    <row r="156" spans="1:19">
      <c r="S156" s="530" t="str">
        <f>B154</f>
        <v>Greece</v>
      </c>
    </row>
    <row r="157" spans="1:19">
      <c r="A157" s="532" t="s">
        <v>592</v>
      </c>
      <c r="B157" s="532" t="s">
        <v>593</v>
      </c>
      <c r="C157" s="532" t="s">
        <v>594</v>
      </c>
      <c r="D157" s="532" t="s">
        <v>595</v>
      </c>
      <c r="E157" s="532" t="s">
        <v>596</v>
      </c>
      <c r="F157" s="532" t="s">
        <v>597</v>
      </c>
      <c r="G157" s="532" t="s">
        <v>598</v>
      </c>
      <c r="H157" s="532" t="s">
        <v>599</v>
      </c>
      <c r="I157" s="532" t="s">
        <v>600</v>
      </c>
      <c r="J157" s="532" t="s">
        <v>232</v>
      </c>
      <c r="K157" s="532" t="s">
        <v>601</v>
      </c>
      <c r="L157" s="532" t="s">
        <v>602</v>
      </c>
      <c r="M157" s="532" t="s">
        <v>603</v>
      </c>
      <c r="N157" s="532" t="s">
        <v>604</v>
      </c>
      <c r="O157" s="532" t="s">
        <v>605</v>
      </c>
      <c r="P157" s="532" t="s">
        <v>606</v>
      </c>
      <c r="Q157" s="532" t="s">
        <v>234</v>
      </c>
      <c r="S157" s="530">
        <f>D164/1000</f>
        <v>0</v>
      </c>
    </row>
    <row r="158" spans="1:19">
      <c r="A158" s="532" t="s">
        <v>607</v>
      </c>
      <c r="B158" s="533">
        <v>364008</v>
      </c>
      <c r="C158" s="533">
        <v>0</v>
      </c>
      <c r="D158" s="533">
        <v>0</v>
      </c>
      <c r="E158" s="533">
        <v>0</v>
      </c>
      <c r="F158" s="533">
        <v>0</v>
      </c>
      <c r="G158" s="533">
        <v>0</v>
      </c>
      <c r="H158" s="533">
        <v>0</v>
      </c>
      <c r="I158" s="533">
        <v>0</v>
      </c>
      <c r="J158" s="533">
        <v>0</v>
      </c>
      <c r="K158" s="533">
        <v>0</v>
      </c>
      <c r="L158" s="533">
        <v>0</v>
      </c>
      <c r="M158" s="533">
        <v>0</v>
      </c>
      <c r="N158" s="533">
        <v>364008</v>
      </c>
      <c r="O158" s="533">
        <v>363808</v>
      </c>
      <c r="P158" s="533">
        <v>200</v>
      </c>
      <c r="Q158" s="533">
        <v>0</v>
      </c>
      <c r="S158" s="530">
        <f>D163/1000</f>
        <v>0</v>
      </c>
    </row>
    <row r="159" spans="1:19">
      <c r="A159" s="532" t="s">
        <v>583</v>
      </c>
      <c r="B159" s="533">
        <v>364008</v>
      </c>
      <c r="C159" s="533">
        <v>0</v>
      </c>
      <c r="D159" s="533">
        <v>0</v>
      </c>
      <c r="E159" s="533">
        <v>0</v>
      </c>
      <c r="F159" s="533">
        <v>0</v>
      </c>
      <c r="G159" s="533">
        <v>0</v>
      </c>
      <c r="H159" s="533">
        <v>0</v>
      </c>
      <c r="I159" s="533">
        <v>0</v>
      </c>
      <c r="J159" s="533">
        <v>0</v>
      </c>
      <c r="K159" s="533">
        <v>0</v>
      </c>
      <c r="L159" s="533">
        <v>0</v>
      </c>
      <c r="M159" s="533">
        <v>0</v>
      </c>
      <c r="N159" s="533">
        <v>364008</v>
      </c>
      <c r="O159" s="533">
        <v>363808</v>
      </c>
      <c r="P159" s="533">
        <v>200</v>
      </c>
      <c r="Q159" s="533">
        <v>0</v>
      </c>
    </row>
    <row r="160" spans="1:19">
      <c r="A160" s="532" t="s">
        <v>584</v>
      </c>
      <c r="B160" s="533">
        <v>293374</v>
      </c>
      <c r="C160" s="533">
        <v>0</v>
      </c>
      <c r="D160" s="533">
        <v>0</v>
      </c>
      <c r="E160" s="533">
        <v>0</v>
      </c>
      <c r="F160" s="533">
        <v>0</v>
      </c>
      <c r="G160" s="533">
        <v>0</v>
      </c>
      <c r="H160" s="533">
        <v>0</v>
      </c>
      <c r="I160" s="533">
        <v>0</v>
      </c>
      <c r="J160" s="533">
        <v>0</v>
      </c>
      <c r="K160" s="533">
        <v>0</v>
      </c>
      <c r="L160" s="533">
        <v>0</v>
      </c>
      <c r="M160" s="533">
        <v>0</v>
      </c>
      <c r="N160" s="533">
        <v>293374</v>
      </c>
      <c r="O160" s="533">
        <v>293194</v>
      </c>
      <c r="P160" s="533">
        <v>180</v>
      </c>
      <c r="Q160" s="533">
        <v>0</v>
      </c>
    </row>
    <row r="161" spans="1:19">
      <c r="A161" s="532" t="s">
        <v>585</v>
      </c>
      <c r="B161" s="533">
        <v>70634</v>
      </c>
      <c r="C161" s="533">
        <v>0</v>
      </c>
      <c r="D161" s="533">
        <v>0</v>
      </c>
      <c r="E161" s="533">
        <v>0</v>
      </c>
      <c r="F161" s="533">
        <v>0</v>
      </c>
      <c r="G161" s="533">
        <v>0</v>
      </c>
      <c r="H161" s="533">
        <v>0</v>
      </c>
      <c r="I161" s="533">
        <v>0</v>
      </c>
      <c r="J161" s="533">
        <v>0</v>
      </c>
      <c r="K161" s="533">
        <v>0</v>
      </c>
      <c r="L161" s="533">
        <v>0</v>
      </c>
      <c r="M161" s="533">
        <v>0</v>
      </c>
      <c r="N161" s="533">
        <v>70634</v>
      </c>
      <c r="O161" s="533">
        <v>70614</v>
      </c>
      <c r="P161" s="533">
        <v>20</v>
      </c>
      <c r="Q161" s="533">
        <v>0</v>
      </c>
    </row>
    <row r="162" spans="1:19">
      <c r="A162" s="532" t="s">
        <v>586</v>
      </c>
      <c r="B162" s="533">
        <v>0</v>
      </c>
      <c r="C162" s="533">
        <v>0</v>
      </c>
      <c r="D162" s="533">
        <v>0</v>
      </c>
      <c r="E162" s="533">
        <v>0</v>
      </c>
      <c r="F162" s="533">
        <v>0</v>
      </c>
      <c r="G162" s="533">
        <v>0</v>
      </c>
      <c r="H162" s="533">
        <v>0</v>
      </c>
      <c r="I162" s="533">
        <v>0</v>
      </c>
      <c r="J162" s="533">
        <v>0</v>
      </c>
      <c r="K162" s="533">
        <v>0</v>
      </c>
      <c r="L162" s="533">
        <v>0</v>
      </c>
      <c r="M162" s="533">
        <v>0</v>
      </c>
      <c r="N162" s="533">
        <v>0</v>
      </c>
      <c r="O162" s="533">
        <v>0</v>
      </c>
      <c r="P162" s="533">
        <v>0</v>
      </c>
      <c r="Q162" s="533">
        <v>0</v>
      </c>
    </row>
    <row r="163" spans="1:19">
      <c r="A163" s="532" t="s">
        <v>587</v>
      </c>
      <c r="B163" s="533">
        <v>0</v>
      </c>
      <c r="C163" s="533">
        <v>0</v>
      </c>
      <c r="D163" s="533">
        <v>0</v>
      </c>
      <c r="E163" s="533">
        <v>0</v>
      </c>
      <c r="F163" s="533">
        <v>0</v>
      </c>
      <c r="G163" s="533">
        <v>0</v>
      </c>
      <c r="H163" s="533">
        <v>0</v>
      </c>
      <c r="I163" s="533">
        <v>0</v>
      </c>
      <c r="J163" s="533">
        <v>0</v>
      </c>
      <c r="K163" s="533">
        <v>0</v>
      </c>
      <c r="L163" s="533">
        <v>0</v>
      </c>
      <c r="M163" s="533">
        <v>0</v>
      </c>
      <c r="N163" s="533">
        <v>0</v>
      </c>
      <c r="O163" s="533">
        <v>0</v>
      </c>
      <c r="P163" s="533">
        <v>0</v>
      </c>
      <c r="Q163" s="533">
        <v>0</v>
      </c>
    </row>
    <row r="164" spans="1:19">
      <c r="A164" s="532" t="s">
        <v>588</v>
      </c>
      <c r="B164" s="533">
        <v>0</v>
      </c>
      <c r="C164" s="533">
        <v>0</v>
      </c>
      <c r="D164" s="533">
        <v>0</v>
      </c>
      <c r="E164" s="533">
        <v>0</v>
      </c>
      <c r="F164" s="533">
        <v>0</v>
      </c>
      <c r="G164" s="533">
        <v>0</v>
      </c>
      <c r="H164" s="533">
        <v>0</v>
      </c>
      <c r="I164" s="533">
        <v>0</v>
      </c>
      <c r="J164" s="533">
        <v>0</v>
      </c>
      <c r="K164" s="533">
        <v>0</v>
      </c>
      <c r="L164" s="533">
        <v>0</v>
      </c>
      <c r="M164" s="533">
        <v>0</v>
      </c>
      <c r="N164" s="533">
        <v>0</v>
      </c>
      <c r="O164" s="533">
        <v>0</v>
      </c>
      <c r="P164" s="533">
        <v>0</v>
      </c>
      <c r="Q164" s="533">
        <v>0</v>
      </c>
    </row>
    <row r="165" spans="1:19">
      <c r="A165" s="532" t="s">
        <v>608</v>
      </c>
      <c r="B165" s="533">
        <v>0</v>
      </c>
      <c r="C165" s="533">
        <v>0</v>
      </c>
      <c r="D165" s="533">
        <v>0</v>
      </c>
      <c r="E165" s="533">
        <v>0</v>
      </c>
      <c r="F165" s="533">
        <v>0</v>
      </c>
      <c r="G165" s="533">
        <v>0</v>
      </c>
      <c r="H165" s="533">
        <v>0</v>
      </c>
      <c r="I165" s="533">
        <v>0</v>
      </c>
      <c r="J165" s="533">
        <v>0</v>
      </c>
      <c r="K165" s="533">
        <v>0</v>
      </c>
      <c r="L165" s="533">
        <v>0</v>
      </c>
      <c r="M165" s="533">
        <v>0</v>
      </c>
      <c r="N165" s="533">
        <v>0</v>
      </c>
      <c r="O165" s="533">
        <v>0</v>
      </c>
      <c r="P165" s="533">
        <v>0</v>
      </c>
      <c r="Q165" s="533">
        <v>0</v>
      </c>
    </row>
    <row r="167" spans="1:19">
      <c r="A167" s="529" t="s">
        <v>589</v>
      </c>
    </row>
    <row r="168" spans="1:19">
      <c r="A168" s="529" t="s">
        <v>36</v>
      </c>
      <c r="B168" s="529" t="s">
        <v>590</v>
      </c>
    </row>
    <row r="170" spans="1:19">
      <c r="A170" s="529" t="s">
        <v>340</v>
      </c>
      <c r="B170" s="529" t="s">
        <v>576</v>
      </c>
    </row>
    <row r="171" spans="1:19">
      <c r="A171" s="529" t="s">
        <v>343</v>
      </c>
      <c r="B171" s="529" t="s">
        <v>184</v>
      </c>
    </row>
    <row r="172" spans="1:19">
      <c r="A172" s="529" t="s">
        <v>578</v>
      </c>
      <c r="B172" s="529" t="s">
        <v>298</v>
      </c>
    </row>
    <row r="173" spans="1:19">
      <c r="S173" s="530" t="str">
        <f>B171</f>
        <v>Spain</v>
      </c>
    </row>
    <row r="174" spans="1:19">
      <c r="A174" s="532" t="s">
        <v>592</v>
      </c>
      <c r="B174" s="532" t="s">
        <v>593</v>
      </c>
      <c r="C174" s="532" t="s">
        <v>594</v>
      </c>
      <c r="D174" s="532" t="s">
        <v>595</v>
      </c>
      <c r="E174" s="532" t="s">
        <v>596</v>
      </c>
      <c r="F174" s="532" t="s">
        <v>597</v>
      </c>
      <c r="G174" s="532" t="s">
        <v>598</v>
      </c>
      <c r="H174" s="532" t="s">
        <v>599</v>
      </c>
      <c r="I174" s="532" t="s">
        <v>600</v>
      </c>
      <c r="J174" s="532" t="s">
        <v>232</v>
      </c>
      <c r="K174" s="532" t="s">
        <v>601</v>
      </c>
      <c r="L174" s="532" t="s">
        <v>602</v>
      </c>
      <c r="M174" s="532" t="s">
        <v>603</v>
      </c>
      <c r="N174" s="532" t="s">
        <v>604</v>
      </c>
      <c r="O174" s="532" t="s">
        <v>605</v>
      </c>
      <c r="P174" s="532" t="s">
        <v>606</v>
      </c>
      <c r="Q174" s="532" t="s">
        <v>234</v>
      </c>
      <c r="S174" s="530">
        <f>D181/1000</f>
        <v>1.9370000000000001</v>
      </c>
    </row>
    <row r="175" spans="1:19">
      <c r="A175" s="532" t="s">
        <v>607</v>
      </c>
      <c r="B175" s="533">
        <v>737833</v>
      </c>
      <c r="C175" s="533">
        <v>688521</v>
      </c>
      <c r="D175" s="533">
        <v>688521</v>
      </c>
      <c r="E175" s="533">
        <v>0</v>
      </c>
      <c r="F175" s="533">
        <v>74116</v>
      </c>
      <c r="G175" s="533">
        <v>0</v>
      </c>
      <c r="H175" s="533">
        <v>568139</v>
      </c>
      <c r="I175" s="533">
        <v>46265</v>
      </c>
      <c r="J175" s="533">
        <v>0</v>
      </c>
      <c r="K175" s="533">
        <v>0</v>
      </c>
      <c r="L175" s="533">
        <v>0</v>
      </c>
      <c r="M175" s="533">
        <v>0</v>
      </c>
      <c r="N175" s="533">
        <v>49312</v>
      </c>
      <c r="O175" s="533">
        <v>49312</v>
      </c>
      <c r="P175" s="533">
        <v>0</v>
      </c>
      <c r="Q175" s="533">
        <v>0</v>
      </c>
      <c r="S175" s="530">
        <f>D180/1000</f>
        <v>0</v>
      </c>
    </row>
    <row r="176" spans="1:19">
      <c r="A176" s="532" t="s">
        <v>583</v>
      </c>
      <c r="B176" s="533">
        <v>735896</v>
      </c>
      <c r="C176" s="533">
        <v>686584</v>
      </c>
      <c r="D176" s="533">
        <v>686584</v>
      </c>
      <c r="E176" s="533">
        <v>0</v>
      </c>
      <c r="F176" s="533">
        <v>74116</v>
      </c>
      <c r="G176" s="533">
        <v>0</v>
      </c>
      <c r="H176" s="533">
        <v>566203</v>
      </c>
      <c r="I176" s="533">
        <v>46265</v>
      </c>
      <c r="J176" s="533">
        <v>0</v>
      </c>
      <c r="K176" s="533">
        <v>0</v>
      </c>
      <c r="L176" s="533">
        <v>0</v>
      </c>
      <c r="M176" s="533">
        <v>0</v>
      </c>
      <c r="N176" s="533">
        <v>49312</v>
      </c>
      <c r="O176" s="533">
        <v>49312</v>
      </c>
      <c r="P176" s="533">
        <v>0</v>
      </c>
      <c r="Q176" s="533">
        <v>0</v>
      </c>
    </row>
    <row r="177" spans="1:19">
      <c r="A177" s="532" t="s">
        <v>584</v>
      </c>
      <c r="B177" s="533">
        <v>735896</v>
      </c>
      <c r="C177" s="533">
        <v>686584</v>
      </c>
      <c r="D177" s="533">
        <v>686584</v>
      </c>
      <c r="E177" s="533">
        <v>0</v>
      </c>
      <c r="F177" s="533">
        <v>74116</v>
      </c>
      <c r="G177" s="533">
        <v>0</v>
      </c>
      <c r="H177" s="533">
        <v>566203</v>
      </c>
      <c r="I177" s="533">
        <v>46265</v>
      </c>
      <c r="J177" s="533">
        <v>0</v>
      </c>
      <c r="K177" s="533">
        <v>0</v>
      </c>
      <c r="L177" s="533">
        <v>0</v>
      </c>
      <c r="M177" s="533">
        <v>0</v>
      </c>
      <c r="N177" s="533">
        <v>49312</v>
      </c>
      <c r="O177" s="533">
        <v>49312</v>
      </c>
      <c r="P177" s="533">
        <v>0</v>
      </c>
      <c r="Q177" s="533">
        <v>0</v>
      </c>
    </row>
    <row r="178" spans="1:19">
      <c r="A178" s="532" t="s">
        <v>585</v>
      </c>
      <c r="B178" s="533">
        <v>0</v>
      </c>
      <c r="C178" s="533">
        <v>0</v>
      </c>
      <c r="D178" s="533">
        <v>0</v>
      </c>
      <c r="E178" s="533">
        <v>0</v>
      </c>
      <c r="F178" s="533">
        <v>0</v>
      </c>
      <c r="G178" s="533">
        <v>0</v>
      </c>
      <c r="H178" s="533">
        <v>0</v>
      </c>
      <c r="I178" s="533">
        <v>0</v>
      </c>
      <c r="J178" s="533">
        <v>0</v>
      </c>
      <c r="K178" s="533">
        <v>0</v>
      </c>
      <c r="L178" s="533">
        <v>0</v>
      </c>
      <c r="M178" s="533">
        <v>0</v>
      </c>
      <c r="N178" s="533">
        <v>0</v>
      </c>
      <c r="O178" s="533">
        <v>0</v>
      </c>
      <c r="P178" s="533">
        <v>0</v>
      </c>
      <c r="Q178" s="533">
        <v>0</v>
      </c>
    </row>
    <row r="179" spans="1:19">
      <c r="A179" s="532" t="s">
        <v>586</v>
      </c>
      <c r="B179" s="533">
        <v>1937</v>
      </c>
      <c r="C179" s="533">
        <v>1937</v>
      </c>
      <c r="D179" s="533">
        <v>1937</v>
      </c>
      <c r="E179" s="533">
        <v>0</v>
      </c>
      <c r="F179" s="533">
        <v>0</v>
      </c>
      <c r="G179" s="533">
        <v>0</v>
      </c>
      <c r="H179" s="533">
        <v>1937</v>
      </c>
      <c r="I179" s="533">
        <v>0</v>
      </c>
      <c r="J179" s="533">
        <v>0</v>
      </c>
      <c r="K179" s="533">
        <v>0</v>
      </c>
      <c r="L179" s="533">
        <v>0</v>
      </c>
      <c r="M179" s="533">
        <v>0</v>
      </c>
      <c r="N179" s="533">
        <v>0</v>
      </c>
      <c r="O179" s="533">
        <v>0</v>
      </c>
      <c r="P179" s="533">
        <v>0</v>
      </c>
      <c r="Q179" s="533">
        <v>0</v>
      </c>
    </row>
    <row r="180" spans="1:19">
      <c r="A180" s="532" t="s">
        <v>587</v>
      </c>
      <c r="B180" s="533">
        <v>0</v>
      </c>
      <c r="C180" s="533">
        <v>0</v>
      </c>
      <c r="D180" s="533">
        <v>0</v>
      </c>
      <c r="E180" s="533">
        <v>0</v>
      </c>
      <c r="F180" s="533">
        <v>0</v>
      </c>
      <c r="G180" s="533">
        <v>0</v>
      </c>
      <c r="H180" s="533">
        <v>0</v>
      </c>
      <c r="I180" s="533">
        <v>0</v>
      </c>
      <c r="J180" s="533">
        <v>0</v>
      </c>
      <c r="K180" s="533">
        <v>0</v>
      </c>
      <c r="L180" s="533">
        <v>0</v>
      </c>
      <c r="M180" s="533">
        <v>0</v>
      </c>
      <c r="N180" s="533">
        <v>0</v>
      </c>
      <c r="O180" s="533">
        <v>0</v>
      </c>
      <c r="P180" s="533">
        <v>0</v>
      </c>
      <c r="Q180" s="533">
        <v>0</v>
      </c>
    </row>
    <row r="181" spans="1:19">
      <c r="A181" s="532" t="s">
        <v>588</v>
      </c>
      <c r="B181" s="533">
        <v>1937</v>
      </c>
      <c r="C181" s="533">
        <v>1937</v>
      </c>
      <c r="D181" s="533">
        <v>1937</v>
      </c>
      <c r="E181" s="533">
        <v>0</v>
      </c>
      <c r="F181" s="533">
        <v>0</v>
      </c>
      <c r="G181" s="533">
        <v>0</v>
      </c>
      <c r="H181" s="533">
        <v>1937</v>
      </c>
      <c r="I181" s="533">
        <v>0</v>
      </c>
      <c r="J181" s="533">
        <v>0</v>
      </c>
      <c r="K181" s="533">
        <v>0</v>
      </c>
      <c r="L181" s="533">
        <v>0</v>
      </c>
      <c r="M181" s="533">
        <v>0</v>
      </c>
      <c r="N181" s="533">
        <v>0</v>
      </c>
      <c r="O181" s="533">
        <v>0</v>
      </c>
      <c r="P181" s="533">
        <v>0</v>
      </c>
      <c r="Q181" s="533">
        <v>0</v>
      </c>
    </row>
    <row r="182" spans="1:19">
      <c r="A182" s="532" t="s">
        <v>608</v>
      </c>
      <c r="B182" s="533">
        <v>0</v>
      </c>
      <c r="C182" s="533">
        <v>0</v>
      </c>
      <c r="D182" s="533">
        <v>0</v>
      </c>
      <c r="E182" s="533">
        <v>0</v>
      </c>
      <c r="F182" s="533">
        <v>0</v>
      </c>
      <c r="G182" s="533">
        <v>0</v>
      </c>
      <c r="H182" s="533">
        <v>0</v>
      </c>
      <c r="I182" s="533">
        <v>0</v>
      </c>
      <c r="J182" s="533">
        <v>0</v>
      </c>
      <c r="K182" s="533">
        <v>0</v>
      </c>
      <c r="L182" s="533">
        <v>0</v>
      </c>
      <c r="M182" s="533">
        <v>0</v>
      </c>
      <c r="N182" s="533">
        <v>0</v>
      </c>
      <c r="O182" s="533">
        <v>0</v>
      </c>
      <c r="P182" s="533">
        <v>0</v>
      </c>
      <c r="Q182" s="533">
        <v>0</v>
      </c>
    </row>
    <row r="184" spans="1:19">
      <c r="A184" s="529" t="s">
        <v>589</v>
      </c>
    </row>
    <row r="185" spans="1:19">
      <c r="A185" s="529" t="s">
        <v>36</v>
      </c>
      <c r="B185" s="529" t="s">
        <v>590</v>
      </c>
    </row>
    <row r="187" spans="1:19">
      <c r="A187" s="529" t="s">
        <v>340</v>
      </c>
      <c r="B187" s="529" t="s">
        <v>576</v>
      </c>
    </row>
    <row r="188" spans="1:19">
      <c r="A188" s="529" t="s">
        <v>343</v>
      </c>
      <c r="B188" s="529" t="s">
        <v>185</v>
      </c>
    </row>
    <row r="189" spans="1:19">
      <c r="A189" s="529" t="s">
        <v>578</v>
      </c>
      <c r="B189" s="529" t="s">
        <v>298</v>
      </c>
    </row>
    <row r="190" spans="1:19">
      <c r="S190" s="530" t="str">
        <f>B188</f>
        <v>France</v>
      </c>
    </row>
    <row r="191" spans="1:19">
      <c r="A191" s="532" t="s">
        <v>592</v>
      </c>
      <c r="B191" s="532" t="s">
        <v>593</v>
      </c>
      <c r="C191" s="532" t="s">
        <v>594</v>
      </c>
      <c r="D191" s="532" t="s">
        <v>595</v>
      </c>
      <c r="E191" s="532" t="s">
        <v>596</v>
      </c>
      <c r="F191" s="532" t="s">
        <v>597</v>
      </c>
      <c r="G191" s="532" t="s">
        <v>598</v>
      </c>
      <c r="H191" s="532" t="s">
        <v>599</v>
      </c>
      <c r="I191" s="532" t="s">
        <v>600</v>
      </c>
      <c r="J191" s="532" t="s">
        <v>232</v>
      </c>
      <c r="K191" s="532" t="s">
        <v>601</v>
      </c>
      <c r="L191" s="532" t="s">
        <v>602</v>
      </c>
      <c r="M191" s="532" t="s">
        <v>603</v>
      </c>
      <c r="N191" s="532" t="s">
        <v>604</v>
      </c>
      <c r="O191" s="532" t="s">
        <v>605</v>
      </c>
      <c r="P191" s="532" t="s">
        <v>606</v>
      </c>
      <c r="Q191" s="532" t="s">
        <v>234</v>
      </c>
      <c r="S191" s="530">
        <f>D198/1000</f>
        <v>18.356000000000002</v>
      </c>
    </row>
    <row r="192" spans="1:19">
      <c r="A192" s="532" t="s">
        <v>607</v>
      </c>
      <c r="B192" s="533">
        <v>268138</v>
      </c>
      <c r="C192" s="533">
        <v>268138</v>
      </c>
      <c r="D192" s="533">
        <v>268138</v>
      </c>
      <c r="E192" s="533">
        <v>0</v>
      </c>
      <c r="F192" s="533">
        <v>0</v>
      </c>
      <c r="G192" s="533">
        <v>0</v>
      </c>
      <c r="H192" s="533">
        <v>268138</v>
      </c>
      <c r="I192" s="533">
        <v>0</v>
      </c>
      <c r="J192" s="533">
        <v>0</v>
      </c>
      <c r="K192" s="533">
        <v>0</v>
      </c>
      <c r="L192" s="533">
        <v>0</v>
      </c>
      <c r="M192" s="533">
        <v>0</v>
      </c>
      <c r="N192" s="533">
        <v>0</v>
      </c>
      <c r="O192" s="533">
        <v>0</v>
      </c>
      <c r="P192" s="533">
        <v>0</v>
      </c>
      <c r="Q192" s="533">
        <v>0</v>
      </c>
      <c r="S192" s="530">
        <f>D197/1000</f>
        <v>6.8120000000000003</v>
      </c>
    </row>
    <row r="193" spans="1:19">
      <c r="A193" s="532" t="s">
        <v>583</v>
      </c>
      <c r="B193" s="533">
        <v>242970</v>
      </c>
      <c r="C193" s="533">
        <v>242970</v>
      </c>
      <c r="D193" s="533">
        <v>242970</v>
      </c>
      <c r="E193" s="533">
        <v>0</v>
      </c>
      <c r="F193" s="533">
        <v>0</v>
      </c>
      <c r="G193" s="533">
        <v>0</v>
      </c>
      <c r="H193" s="533">
        <v>242970</v>
      </c>
      <c r="I193" s="533">
        <v>0</v>
      </c>
      <c r="J193" s="533">
        <v>0</v>
      </c>
      <c r="K193" s="533">
        <v>0</v>
      </c>
      <c r="L193" s="533">
        <v>0</v>
      </c>
      <c r="M193" s="533">
        <v>0</v>
      </c>
      <c r="N193" s="533">
        <v>0</v>
      </c>
      <c r="O193" s="533">
        <v>0</v>
      </c>
      <c r="P193" s="533">
        <v>0</v>
      </c>
      <c r="Q193" s="533">
        <v>0</v>
      </c>
    </row>
    <row r="194" spans="1:19">
      <c r="A194" s="532" t="s">
        <v>584</v>
      </c>
      <c r="B194" s="533">
        <v>240838</v>
      </c>
      <c r="C194" s="533">
        <v>240838</v>
      </c>
      <c r="D194" s="533">
        <v>240838</v>
      </c>
      <c r="E194" s="533">
        <v>0</v>
      </c>
      <c r="F194" s="533">
        <v>0</v>
      </c>
      <c r="G194" s="533">
        <v>0</v>
      </c>
      <c r="H194" s="533">
        <v>240838</v>
      </c>
      <c r="I194" s="533">
        <v>0</v>
      </c>
      <c r="J194" s="533">
        <v>0</v>
      </c>
      <c r="K194" s="533">
        <v>0</v>
      </c>
      <c r="L194" s="533">
        <v>0</v>
      </c>
      <c r="M194" s="533">
        <v>0</v>
      </c>
      <c r="N194" s="533">
        <v>0</v>
      </c>
      <c r="O194" s="533">
        <v>0</v>
      </c>
      <c r="P194" s="533">
        <v>0</v>
      </c>
      <c r="Q194" s="533">
        <v>0</v>
      </c>
    </row>
    <row r="195" spans="1:19">
      <c r="A195" s="532" t="s">
        <v>585</v>
      </c>
      <c r="B195" s="533">
        <v>2132</v>
      </c>
      <c r="C195" s="533">
        <v>2132</v>
      </c>
      <c r="D195" s="533">
        <v>2132</v>
      </c>
      <c r="E195" s="533">
        <v>0</v>
      </c>
      <c r="F195" s="533">
        <v>0</v>
      </c>
      <c r="G195" s="533">
        <v>0</v>
      </c>
      <c r="H195" s="533">
        <v>2132</v>
      </c>
      <c r="I195" s="533">
        <v>0</v>
      </c>
      <c r="J195" s="533">
        <v>0</v>
      </c>
      <c r="K195" s="533">
        <v>0</v>
      </c>
      <c r="L195" s="533">
        <v>0</v>
      </c>
      <c r="M195" s="533">
        <v>0</v>
      </c>
      <c r="N195" s="533">
        <v>0</v>
      </c>
      <c r="O195" s="533">
        <v>0</v>
      </c>
      <c r="P195" s="533">
        <v>0</v>
      </c>
      <c r="Q195" s="533">
        <v>0</v>
      </c>
    </row>
    <row r="196" spans="1:19">
      <c r="A196" s="532" t="s">
        <v>586</v>
      </c>
      <c r="B196" s="533">
        <v>25168</v>
      </c>
      <c r="C196" s="533">
        <v>25168</v>
      </c>
      <c r="D196" s="533">
        <v>25168</v>
      </c>
      <c r="E196" s="533">
        <v>0</v>
      </c>
      <c r="F196" s="533">
        <v>0</v>
      </c>
      <c r="G196" s="533">
        <v>0</v>
      </c>
      <c r="H196" s="533">
        <v>25168</v>
      </c>
      <c r="I196" s="533">
        <v>0</v>
      </c>
      <c r="J196" s="533">
        <v>0</v>
      </c>
      <c r="K196" s="533">
        <v>0</v>
      </c>
      <c r="L196" s="533">
        <v>0</v>
      </c>
      <c r="M196" s="533">
        <v>0</v>
      </c>
      <c r="N196" s="533">
        <v>0</v>
      </c>
      <c r="O196" s="533">
        <v>0</v>
      </c>
      <c r="P196" s="533">
        <v>0</v>
      </c>
      <c r="Q196" s="533">
        <v>0</v>
      </c>
    </row>
    <row r="197" spans="1:19">
      <c r="A197" s="532" t="s">
        <v>587</v>
      </c>
      <c r="B197" s="533">
        <v>6812</v>
      </c>
      <c r="C197" s="533">
        <v>6812</v>
      </c>
      <c r="D197" s="533">
        <v>6812</v>
      </c>
      <c r="E197" s="533">
        <v>0</v>
      </c>
      <c r="F197" s="533">
        <v>0</v>
      </c>
      <c r="G197" s="533">
        <v>0</v>
      </c>
      <c r="H197" s="533">
        <v>6812</v>
      </c>
      <c r="I197" s="533">
        <v>0</v>
      </c>
      <c r="J197" s="533">
        <v>0</v>
      </c>
      <c r="K197" s="533">
        <v>0</v>
      </c>
      <c r="L197" s="533">
        <v>0</v>
      </c>
      <c r="M197" s="533">
        <v>0</v>
      </c>
      <c r="N197" s="533">
        <v>0</v>
      </c>
      <c r="O197" s="533">
        <v>0</v>
      </c>
      <c r="P197" s="533">
        <v>0</v>
      </c>
      <c r="Q197" s="533">
        <v>0</v>
      </c>
    </row>
    <row r="198" spans="1:19">
      <c r="A198" s="532" t="s">
        <v>588</v>
      </c>
      <c r="B198" s="533">
        <v>18356</v>
      </c>
      <c r="C198" s="533">
        <v>18356</v>
      </c>
      <c r="D198" s="533">
        <v>18356</v>
      </c>
      <c r="E198" s="533">
        <v>0</v>
      </c>
      <c r="F198" s="533">
        <v>0</v>
      </c>
      <c r="G198" s="533">
        <v>0</v>
      </c>
      <c r="H198" s="533">
        <v>18356</v>
      </c>
      <c r="I198" s="533">
        <v>0</v>
      </c>
      <c r="J198" s="533">
        <v>0</v>
      </c>
      <c r="K198" s="533">
        <v>0</v>
      </c>
      <c r="L198" s="533">
        <v>0</v>
      </c>
      <c r="M198" s="533">
        <v>0</v>
      </c>
      <c r="N198" s="533">
        <v>0</v>
      </c>
      <c r="O198" s="533">
        <v>0</v>
      </c>
      <c r="P198" s="533">
        <v>0</v>
      </c>
      <c r="Q198" s="533">
        <v>0</v>
      </c>
    </row>
    <row r="199" spans="1:19">
      <c r="A199" s="532" t="s">
        <v>608</v>
      </c>
      <c r="B199" s="533">
        <v>0</v>
      </c>
      <c r="C199" s="533">
        <v>0</v>
      </c>
      <c r="D199" s="533">
        <v>0</v>
      </c>
      <c r="E199" s="533">
        <v>0</v>
      </c>
      <c r="F199" s="533">
        <v>0</v>
      </c>
      <c r="G199" s="533">
        <v>0</v>
      </c>
      <c r="H199" s="533">
        <v>0</v>
      </c>
      <c r="I199" s="533">
        <v>0</v>
      </c>
      <c r="J199" s="533">
        <v>0</v>
      </c>
      <c r="K199" s="533">
        <v>0</v>
      </c>
      <c r="L199" s="533">
        <v>0</v>
      </c>
      <c r="M199" s="533">
        <v>0</v>
      </c>
      <c r="N199" s="533">
        <v>0</v>
      </c>
      <c r="O199" s="533">
        <v>0</v>
      </c>
      <c r="P199" s="533">
        <v>0</v>
      </c>
      <c r="Q199" s="533">
        <v>0</v>
      </c>
    </row>
    <row r="201" spans="1:19">
      <c r="A201" s="529" t="s">
        <v>589</v>
      </c>
    </row>
    <row r="202" spans="1:19">
      <c r="A202" s="529" t="s">
        <v>36</v>
      </c>
      <c r="B202" s="529" t="s">
        <v>590</v>
      </c>
    </row>
    <row r="204" spans="1:19">
      <c r="A204" s="529" t="s">
        <v>340</v>
      </c>
      <c r="B204" s="529" t="s">
        <v>576</v>
      </c>
    </row>
    <row r="205" spans="1:19">
      <c r="A205" s="529" t="s">
        <v>343</v>
      </c>
      <c r="B205" s="529" t="s">
        <v>186</v>
      </c>
    </row>
    <row r="206" spans="1:19">
      <c r="A206" s="529" t="s">
        <v>578</v>
      </c>
      <c r="B206" s="529" t="s">
        <v>298</v>
      </c>
    </row>
    <row r="207" spans="1:19">
      <c r="S207" s="530" t="str">
        <f>B205</f>
        <v>Italy</v>
      </c>
    </row>
    <row r="208" spans="1:19">
      <c r="A208" s="532" t="s">
        <v>592</v>
      </c>
      <c r="B208" s="532" t="s">
        <v>593</v>
      </c>
      <c r="C208" s="532" t="s">
        <v>594</v>
      </c>
      <c r="D208" s="532" t="s">
        <v>595</v>
      </c>
      <c r="E208" s="532" t="s">
        <v>596</v>
      </c>
      <c r="F208" s="532" t="s">
        <v>597</v>
      </c>
      <c r="G208" s="532" t="s">
        <v>598</v>
      </c>
      <c r="H208" s="532" t="s">
        <v>599</v>
      </c>
      <c r="I208" s="532" t="s">
        <v>600</v>
      </c>
      <c r="J208" s="532" t="s">
        <v>232</v>
      </c>
      <c r="K208" s="532" t="s">
        <v>601</v>
      </c>
      <c r="L208" s="532" t="s">
        <v>602</v>
      </c>
      <c r="M208" s="532" t="s">
        <v>603</v>
      </c>
      <c r="N208" s="532" t="s">
        <v>604</v>
      </c>
      <c r="O208" s="532" t="s">
        <v>605</v>
      </c>
      <c r="P208" s="532" t="s">
        <v>606</v>
      </c>
      <c r="Q208" s="532" t="s">
        <v>234</v>
      </c>
      <c r="S208" s="530">
        <f>D215/1000</f>
        <v>2.7650000000000001</v>
      </c>
    </row>
    <row r="209" spans="1:19">
      <c r="A209" s="532" t="s">
        <v>607</v>
      </c>
      <c r="B209" s="533">
        <v>435389</v>
      </c>
      <c r="C209" s="533">
        <v>435389</v>
      </c>
      <c r="D209" s="533">
        <v>435389</v>
      </c>
      <c r="E209" s="533">
        <v>0</v>
      </c>
      <c r="F209" s="533">
        <v>0</v>
      </c>
      <c r="G209" s="533">
        <v>0</v>
      </c>
      <c r="H209" s="533">
        <v>435389</v>
      </c>
      <c r="I209" s="533">
        <v>0</v>
      </c>
      <c r="J209" s="533">
        <v>0</v>
      </c>
      <c r="K209" s="533">
        <v>0</v>
      </c>
      <c r="L209" s="533">
        <v>0</v>
      </c>
      <c r="M209" s="533">
        <v>0</v>
      </c>
      <c r="N209" s="533">
        <v>0</v>
      </c>
      <c r="O209" s="533">
        <v>0</v>
      </c>
      <c r="P209" s="533">
        <v>0</v>
      </c>
      <c r="Q209" s="533">
        <v>0</v>
      </c>
      <c r="S209" s="530">
        <f>D214/1000</f>
        <v>1.4890000000000001</v>
      </c>
    </row>
    <row r="210" spans="1:19">
      <c r="A210" s="532" t="s">
        <v>583</v>
      </c>
      <c r="B210" s="533">
        <v>431135</v>
      </c>
      <c r="C210" s="533">
        <v>431135</v>
      </c>
      <c r="D210" s="533">
        <v>431135</v>
      </c>
      <c r="E210" s="533">
        <v>0</v>
      </c>
      <c r="F210" s="533">
        <v>0</v>
      </c>
      <c r="G210" s="533">
        <v>0</v>
      </c>
      <c r="H210" s="533">
        <v>431135</v>
      </c>
      <c r="I210" s="533">
        <v>0</v>
      </c>
      <c r="J210" s="533">
        <v>0</v>
      </c>
      <c r="K210" s="533">
        <v>0</v>
      </c>
      <c r="L210" s="533">
        <v>0</v>
      </c>
      <c r="M210" s="533">
        <v>0</v>
      </c>
      <c r="N210" s="533">
        <v>0</v>
      </c>
      <c r="O210" s="533">
        <v>0</v>
      </c>
      <c r="P210" s="533">
        <v>0</v>
      </c>
      <c r="Q210" s="533">
        <v>0</v>
      </c>
    </row>
    <row r="211" spans="1:19">
      <c r="A211" s="532" t="s">
        <v>584</v>
      </c>
      <c r="B211" s="533">
        <v>426961</v>
      </c>
      <c r="C211" s="533">
        <v>426961</v>
      </c>
      <c r="D211" s="533">
        <v>426961</v>
      </c>
      <c r="E211" s="533">
        <v>0</v>
      </c>
      <c r="F211" s="533">
        <v>0</v>
      </c>
      <c r="G211" s="533">
        <v>0</v>
      </c>
      <c r="H211" s="533">
        <v>426961</v>
      </c>
      <c r="I211" s="533">
        <v>0</v>
      </c>
      <c r="J211" s="533">
        <v>0</v>
      </c>
      <c r="K211" s="533">
        <v>0</v>
      </c>
      <c r="L211" s="533">
        <v>0</v>
      </c>
      <c r="M211" s="533">
        <v>0</v>
      </c>
      <c r="N211" s="533">
        <v>0</v>
      </c>
      <c r="O211" s="533">
        <v>0</v>
      </c>
      <c r="P211" s="533">
        <v>0</v>
      </c>
      <c r="Q211" s="533">
        <v>0</v>
      </c>
    </row>
    <row r="212" spans="1:19">
      <c r="A212" s="532" t="s">
        <v>585</v>
      </c>
      <c r="B212" s="533">
        <v>4174</v>
      </c>
      <c r="C212" s="533">
        <v>4174</v>
      </c>
      <c r="D212" s="533">
        <v>4174</v>
      </c>
      <c r="E212" s="533">
        <v>0</v>
      </c>
      <c r="F212" s="533">
        <v>0</v>
      </c>
      <c r="G212" s="533">
        <v>0</v>
      </c>
      <c r="H212" s="533">
        <v>4174</v>
      </c>
      <c r="I212" s="533">
        <v>0</v>
      </c>
      <c r="J212" s="533">
        <v>0</v>
      </c>
      <c r="K212" s="533">
        <v>0</v>
      </c>
      <c r="L212" s="533">
        <v>0</v>
      </c>
      <c r="M212" s="533">
        <v>0</v>
      </c>
      <c r="N212" s="533">
        <v>0</v>
      </c>
      <c r="O212" s="533">
        <v>0</v>
      </c>
      <c r="P212" s="533">
        <v>0</v>
      </c>
      <c r="Q212" s="533">
        <v>0</v>
      </c>
    </row>
    <row r="213" spans="1:19">
      <c r="A213" s="532" t="s">
        <v>586</v>
      </c>
      <c r="B213" s="533">
        <v>4254</v>
      </c>
      <c r="C213" s="533">
        <v>4254</v>
      </c>
      <c r="D213" s="533">
        <v>4254</v>
      </c>
      <c r="E213" s="533">
        <v>0</v>
      </c>
      <c r="F213" s="533">
        <v>0</v>
      </c>
      <c r="G213" s="533">
        <v>0</v>
      </c>
      <c r="H213" s="533">
        <v>4254</v>
      </c>
      <c r="I213" s="533">
        <v>0</v>
      </c>
      <c r="J213" s="533">
        <v>0</v>
      </c>
      <c r="K213" s="533">
        <v>0</v>
      </c>
      <c r="L213" s="533">
        <v>0</v>
      </c>
      <c r="M213" s="533">
        <v>0</v>
      </c>
      <c r="N213" s="533">
        <v>0</v>
      </c>
      <c r="O213" s="533">
        <v>0</v>
      </c>
      <c r="P213" s="533">
        <v>0</v>
      </c>
      <c r="Q213" s="533">
        <v>0</v>
      </c>
    </row>
    <row r="214" spans="1:19">
      <c r="A214" s="532" t="s">
        <v>587</v>
      </c>
      <c r="B214" s="533">
        <v>1489</v>
      </c>
      <c r="C214" s="533">
        <v>1489</v>
      </c>
      <c r="D214" s="533">
        <v>1489</v>
      </c>
      <c r="E214" s="533">
        <v>0</v>
      </c>
      <c r="F214" s="533">
        <v>0</v>
      </c>
      <c r="G214" s="533">
        <v>0</v>
      </c>
      <c r="H214" s="533">
        <v>1489</v>
      </c>
      <c r="I214" s="533">
        <v>0</v>
      </c>
      <c r="J214" s="533">
        <v>0</v>
      </c>
      <c r="K214" s="533">
        <v>0</v>
      </c>
      <c r="L214" s="533">
        <v>0</v>
      </c>
      <c r="M214" s="533">
        <v>0</v>
      </c>
      <c r="N214" s="533">
        <v>0</v>
      </c>
      <c r="O214" s="533">
        <v>0</v>
      </c>
      <c r="P214" s="533">
        <v>0</v>
      </c>
      <c r="Q214" s="533">
        <v>0</v>
      </c>
    </row>
    <row r="215" spans="1:19">
      <c r="A215" s="532" t="s">
        <v>588</v>
      </c>
      <c r="B215" s="533">
        <v>2765</v>
      </c>
      <c r="C215" s="533">
        <v>2765</v>
      </c>
      <c r="D215" s="533">
        <v>2765</v>
      </c>
      <c r="E215" s="533">
        <v>0</v>
      </c>
      <c r="F215" s="533">
        <v>0</v>
      </c>
      <c r="G215" s="533">
        <v>0</v>
      </c>
      <c r="H215" s="533">
        <v>2765</v>
      </c>
      <c r="I215" s="533">
        <v>0</v>
      </c>
      <c r="J215" s="533">
        <v>0</v>
      </c>
      <c r="K215" s="533">
        <v>0</v>
      </c>
      <c r="L215" s="533">
        <v>0</v>
      </c>
      <c r="M215" s="533">
        <v>0</v>
      </c>
      <c r="N215" s="533">
        <v>0</v>
      </c>
      <c r="O215" s="533">
        <v>0</v>
      </c>
      <c r="P215" s="533">
        <v>0</v>
      </c>
      <c r="Q215" s="533">
        <v>0</v>
      </c>
    </row>
    <row r="216" spans="1:19">
      <c r="A216" s="532" t="s">
        <v>608</v>
      </c>
      <c r="B216" s="533">
        <v>0</v>
      </c>
      <c r="C216" s="533">
        <v>0</v>
      </c>
      <c r="D216" s="533">
        <v>0</v>
      </c>
      <c r="E216" s="533">
        <v>0</v>
      </c>
      <c r="F216" s="533">
        <v>0</v>
      </c>
      <c r="G216" s="533">
        <v>0</v>
      </c>
      <c r="H216" s="533">
        <v>0</v>
      </c>
      <c r="I216" s="533">
        <v>0</v>
      </c>
      <c r="J216" s="533">
        <v>0</v>
      </c>
      <c r="K216" s="533">
        <v>0</v>
      </c>
      <c r="L216" s="533">
        <v>0</v>
      </c>
      <c r="M216" s="533">
        <v>0</v>
      </c>
      <c r="N216" s="533">
        <v>0</v>
      </c>
      <c r="O216" s="533">
        <v>0</v>
      </c>
      <c r="P216" s="533">
        <v>0</v>
      </c>
      <c r="Q216" s="533">
        <v>0</v>
      </c>
    </row>
    <row r="218" spans="1:19">
      <c r="A218" s="529" t="s">
        <v>589</v>
      </c>
    </row>
    <row r="219" spans="1:19">
      <c r="A219" s="529" t="s">
        <v>36</v>
      </c>
      <c r="B219" s="529" t="s">
        <v>590</v>
      </c>
    </row>
    <row r="221" spans="1:19">
      <c r="A221" s="529" t="s">
        <v>340</v>
      </c>
      <c r="B221" s="529" t="s">
        <v>576</v>
      </c>
    </row>
    <row r="222" spans="1:19">
      <c r="A222" s="529" t="s">
        <v>343</v>
      </c>
      <c r="B222" s="529" t="s">
        <v>187</v>
      </c>
    </row>
    <row r="223" spans="1:19">
      <c r="A223" s="529" t="s">
        <v>578</v>
      </c>
      <c r="B223" s="529" t="s">
        <v>298</v>
      </c>
    </row>
    <row r="224" spans="1:19">
      <c r="S224" s="530" t="str">
        <f>B222</f>
        <v>Cyprus</v>
      </c>
    </row>
    <row r="225" spans="1:19">
      <c r="A225" s="532" t="s">
        <v>592</v>
      </c>
      <c r="B225" s="532" t="s">
        <v>593</v>
      </c>
      <c r="C225" s="532" t="s">
        <v>594</v>
      </c>
      <c r="D225" s="532" t="s">
        <v>595</v>
      </c>
      <c r="E225" s="532" t="s">
        <v>596</v>
      </c>
      <c r="F225" s="532" t="s">
        <v>597</v>
      </c>
      <c r="G225" s="532" t="s">
        <v>598</v>
      </c>
      <c r="H225" s="532" t="s">
        <v>599</v>
      </c>
      <c r="I225" s="532" t="s">
        <v>600</v>
      </c>
      <c r="J225" s="532" t="s">
        <v>232</v>
      </c>
      <c r="K225" s="532" t="s">
        <v>601</v>
      </c>
      <c r="L225" s="532" t="s">
        <v>602</v>
      </c>
      <c r="M225" s="532" t="s">
        <v>603</v>
      </c>
      <c r="N225" s="532" t="s">
        <v>604</v>
      </c>
      <c r="O225" s="532" t="s">
        <v>605</v>
      </c>
      <c r="P225" s="532" t="s">
        <v>606</v>
      </c>
      <c r="Q225" s="532" t="s">
        <v>234</v>
      </c>
      <c r="S225" s="530">
        <f>D232/1000</f>
        <v>0</v>
      </c>
    </row>
    <row r="226" spans="1:19">
      <c r="A226" s="532" t="s">
        <v>607</v>
      </c>
      <c r="B226" s="533">
        <v>0</v>
      </c>
      <c r="C226" s="533">
        <v>0</v>
      </c>
      <c r="D226" s="533">
        <v>0</v>
      </c>
      <c r="E226" s="533">
        <v>0</v>
      </c>
      <c r="F226" s="533">
        <v>0</v>
      </c>
      <c r="G226" s="533">
        <v>0</v>
      </c>
      <c r="H226" s="533">
        <v>0</v>
      </c>
      <c r="I226" s="533">
        <v>0</v>
      </c>
      <c r="J226" s="533">
        <v>0</v>
      </c>
      <c r="K226" s="533">
        <v>0</v>
      </c>
      <c r="L226" s="533">
        <v>0</v>
      </c>
      <c r="M226" s="533">
        <v>0</v>
      </c>
      <c r="N226" s="533">
        <v>0</v>
      </c>
      <c r="O226" s="533">
        <v>0</v>
      </c>
      <c r="P226" s="533">
        <v>0</v>
      </c>
      <c r="Q226" s="533">
        <v>0</v>
      </c>
      <c r="S226" s="530">
        <f>D231/1000</f>
        <v>0</v>
      </c>
    </row>
    <row r="227" spans="1:19">
      <c r="A227" s="532" t="s">
        <v>583</v>
      </c>
      <c r="B227" s="533">
        <v>0</v>
      </c>
      <c r="C227" s="533">
        <v>0</v>
      </c>
      <c r="D227" s="533">
        <v>0</v>
      </c>
      <c r="E227" s="533">
        <v>0</v>
      </c>
      <c r="F227" s="533">
        <v>0</v>
      </c>
      <c r="G227" s="533">
        <v>0</v>
      </c>
      <c r="H227" s="533">
        <v>0</v>
      </c>
      <c r="I227" s="533">
        <v>0</v>
      </c>
      <c r="J227" s="533">
        <v>0</v>
      </c>
      <c r="K227" s="533">
        <v>0</v>
      </c>
      <c r="L227" s="533">
        <v>0</v>
      </c>
      <c r="M227" s="533">
        <v>0</v>
      </c>
      <c r="N227" s="533">
        <v>0</v>
      </c>
      <c r="O227" s="533">
        <v>0</v>
      </c>
      <c r="P227" s="533">
        <v>0</v>
      </c>
      <c r="Q227" s="533">
        <v>0</v>
      </c>
    </row>
    <row r="228" spans="1:19">
      <c r="A228" s="532" t="s">
        <v>584</v>
      </c>
      <c r="B228" s="533">
        <v>0</v>
      </c>
      <c r="C228" s="533">
        <v>0</v>
      </c>
      <c r="D228" s="533">
        <v>0</v>
      </c>
      <c r="E228" s="533">
        <v>0</v>
      </c>
      <c r="F228" s="533">
        <v>0</v>
      </c>
      <c r="G228" s="533">
        <v>0</v>
      </c>
      <c r="H228" s="533">
        <v>0</v>
      </c>
      <c r="I228" s="533">
        <v>0</v>
      </c>
      <c r="J228" s="533">
        <v>0</v>
      </c>
      <c r="K228" s="533">
        <v>0</v>
      </c>
      <c r="L228" s="533">
        <v>0</v>
      </c>
      <c r="M228" s="533">
        <v>0</v>
      </c>
      <c r="N228" s="533">
        <v>0</v>
      </c>
      <c r="O228" s="533">
        <v>0</v>
      </c>
      <c r="P228" s="533">
        <v>0</v>
      </c>
      <c r="Q228" s="533">
        <v>0</v>
      </c>
    </row>
    <row r="229" spans="1:19">
      <c r="A229" s="532" t="s">
        <v>585</v>
      </c>
      <c r="B229" s="533">
        <v>0</v>
      </c>
      <c r="C229" s="533">
        <v>0</v>
      </c>
      <c r="D229" s="533">
        <v>0</v>
      </c>
      <c r="E229" s="533">
        <v>0</v>
      </c>
      <c r="F229" s="533">
        <v>0</v>
      </c>
      <c r="G229" s="533">
        <v>0</v>
      </c>
      <c r="H229" s="533">
        <v>0</v>
      </c>
      <c r="I229" s="533">
        <v>0</v>
      </c>
      <c r="J229" s="533">
        <v>0</v>
      </c>
      <c r="K229" s="533">
        <v>0</v>
      </c>
      <c r="L229" s="533">
        <v>0</v>
      </c>
      <c r="M229" s="533">
        <v>0</v>
      </c>
      <c r="N229" s="533">
        <v>0</v>
      </c>
      <c r="O229" s="533">
        <v>0</v>
      </c>
      <c r="P229" s="533">
        <v>0</v>
      </c>
      <c r="Q229" s="533">
        <v>0</v>
      </c>
    </row>
    <row r="230" spans="1:19">
      <c r="A230" s="532" t="s">
        <v>586</v>
      </c>
      <c r="B230" s="533">
        <v>0</v>
      </c>
      <c r="C230" s="533">
        <v>0</v>
      </c>
      <c r="D230" s="533">
        <v>0</v>
      </c>
      <c r="E230" s="533">
        <v>0</v>
      </c>
      <c r="F230" s="533">
        <v>0</v>
      </c>
      <c r="G230" s="533">
        <v>0</v>
      </c>
      <c r="H230" s="533">
        <v>0</v>
      </c>
      <c r="I230" s="533">
        <v>0</v>
      </c>
      <c r="J230" s="533">
        <v>0</v>
      </c>
      <c r="K230" s="533">
        <v>0</v>
      </c>
      <c r="L230" s="533">
        <v>0</v>
      </c>
      <c r="M230" s="533">
        <v>0</v>
      </c>
      <c r="N230" s="533">
        <v>0</v>
      </c>
      <c r="O230" s="533">
        <v>0</v>
      </c>
      <c r="P230" s="533">
        <v>0</v>
      </c>
      <c r="Q230" s="533">
        <v>0</v>
      </c>
    </row>
    <row r="231" spans="1:19">
      <c r="A231" s="532" t="s">
        <v>587</v>
      </c>
      <c r="B231" s="533">
        <v>0</v>
      </c>
      <c r="C231" s="533">
        <v>0</v>
      </c>
      <c r="D231" s="533">
        <v>0</v>
      </c>
      <c r="E231" s="533">
        <v>0</v>
      </c>
      <c r="F231" s="533">
        <v>0</v>
      </c>
      <c r="G231" s="533">
        <v>0</v>
      </c>
      <c r="H231" s="533">
        <v>0</v>
      </c>
      <c r="I231" s="533">
        <v>0</v>
      </c>
      <c r="J231" s="533">
        <v>0</v>
      </c>
      <c r="K231" s="533">
        <v>0</v>
      </c>
      <c r="L231" s="533">
        <v>0</v>
      </c>
      <c r="M231" s="533">
        <v>0</v>
      </c>
      <c r="N231" s="533">
        <v>0</v>
      </c>
      <c r="O231" s="533">
        <v>0</v>
      </c>
      <c r="P231" s="533">
        <v>0</v>
      </c>
      <c r="Q231" s="533">
        <v>0</v>
      </c>
    </row>
    <row r="232" spans="1:19">
      <c r="A232" s="532" t="s">
        <v>588</v>
      </c>
      <c r="B232" s="533">
        <v>0</v>
      </c>
      <c r="C232" s="533">
        <v>0</v>
      </c>
      <c r="D232" s="533">
        <v>0</v>
      </c>
      <c r="E232" s="533">
        <v>0</v>
      </c>
      <c r="F232" s="533">
        <v>0</v>
      </c>
      <c r="G232" s="533">
        <v>0</v>
      </c>
      <c r="H232" s="533">
        <v>0</v>
      </c>
      <c r="I232" s="533">
        <v>0</v>
      </c>
      <c r="J232" s="533">
        <v>0</v>
      </c>
      <c r="K232" s="533">
        <v>0</v>
      </c>
      <c r="L232" s="533">
        <v>0</v>
      </c>
      <c r="M232" s="533">
        <v>0</v>
      </c>
      <c r="N232" s="533">
        <v>0</v>
      </c>
      <c r="O232" s="533">
        <v>0</v>
      </c>
      <c r="P232" s="533">
        <v>0</v>
      </c>
      <c r="Q232" s="533">
        <v>0</v>
      </c>
    </row>
    <row r="233" spans="1:19">
      <c r="A233" s="532" t="s">
        <v>608</v>
      </c>
      <c r="B233" s="533">
        <v>0</v>
      </c>
      <c r="C233" s="533">
        <v>0</v>
      </c>
      <c r="D233" s="533">
        <v>0</v>
      </c>
      <c r="E233" s="533">
        <v>0</v>
      </c>
      <c r="F233" s="533">
        <v>0</v>
      </c>
      <c r="G233" s="533">
        <v>0</v>
      </c>
      <c r="H233" s="533">
        <v>0</v>
      </c>
      <c r="I233" s="533">
        <v>0</v>
      </c>
      <c r="J233" s="533">
        <v>0</v>
      </c>
      <c r="K233" s="533">
        <v>0</v>
      </c>
      <c r="L233" s="533">
        <v>0</v>
      </c>
      <c r="M233" s="533">
        <v>0</v>
      </c>
      <c r="N233" s="533">
        <v>0</v>
      </c>
      <c r="O233" s="533">
        <v>0</v>
      </c>
      <c r="P233" s="533">
        <v>0</v>
      </c>
      <c r="Q233" s="533">
        <v>0</v>
      </c>
    </row>
    <row r="235" spans="1:19">
      <c r="A235" s="529" t="s">
        <v>589</v>
      </c>
    </row>
    <row r="236" spans="1:19">
      <c r="A236" s="529" t="s">
        <v>36</v>
      </c>
      <c r="B236" s="529" t="s">
        <v>590</v>
      </c>
    </row>
    <row r="238" spans="1:19">
      <c r="A238" s="529" t="s">
        <v>340</v>
      </c>
      <c r="B238" s="529" t="s">
        <v>576</v>
      </c>
    </row>
    <row r="239" spans="1:19">
      <c r="A239" s="529" t="s">
        <v>343</v>
      </c>
      <c r="B239" s="529" t="s">
        <v>219</v>
      </c>
    </row>
    <row r="240" spans="1:19">
      <c r="A240" s="529" t="s">
        <v>578</v>
      </c>
      <c r="B240" s="529" t="s">
        <v>298</v>
      </c>
    </row>
    <row r="241" spans="1:19">
      <c r="S241" s="530" t="str">
        <f>B239</f>
        <v>Latvia</v>
      </c>
    </row>
    <row r="242" spans="1:19">
      <c r="A242" s="532" t="s">
        <v>592</v>
      </c>
      <c r="B242" s="532" t="s">
        <v>593</v>
      </c>
      <c r="C242" s="532" t="s">
        <v>594</v>
      </c>
      <c r="D242" s="532" t="s">
        <v>595</v>
      </c>
      <c r="E242" s="532" t="s">
        <v>596</v>
      </c>
      <c r="F242" s="532" t="s">
        <v>597</v>
      </c>
      <c r="G242" s="532" t="s">
        <v>598</v>
      </c>
      <c r="H242" s="532" t="s">
        <v>599</v>
      </c>
      <c r="I242" s="532" t="s">
        <v>600</v>
      </c>
      <c r="J242" s="532" t="s">
        <v>232</v>
      </c>
      <c r="K242" s="532" t="s">
        <v>601</v>
      </c>
      <c r="L242" s="532" t="s">
        <v>602</v>
      </c>
      <c r="M242" s="532" t="s">
        <v>603</v>
      </c>
      <c r="N242" s="532" t="s">
        <v>604</v>
      </c>
      <c r="O242" s="532" t="s">
        <v>605</v>
      </c>
      <c r="P242" s="532" t="s">
        <v>606</v>
      </c>
      <c r="Q242" s="532" t="s">
        <v>234</v>
      </c>
      <c r="S242" s="530">
        <f>D249/1000</f>
        <v>0</v>
      </c>
    </row>
    <row r="243" spans="1:19">
      <c r="A243" s="532" t="s">
        <v>607</v>
      </c>
      <c r="B243" s="533">
        <v>0</v>
      </c>
      <c r="C243" s="533">
        <v>0</v>
      </c>
      <c r="D243" s="533">
        <v>0</v>
      </c>
      <c r="E243" s="533">
        <v>0</v>
      </c>
      <c r="F243" s="533">
        <v>0</v>
      </c>
      <c r="G243" s="533">
        <v>0</v>
      </c>
      <c r="H243" s="533">
        <v>0</v>
      </c>
      <c r="I243" s="533">
        <v>0</v>
      </c>
      <c r="J243" s="533">
        <v>0</v>
      </c>
      <c r="K243" s="533">
        <v>0</v>
      </c>
      <c r="L243" s="533">
        <v>0</v>
      </c>
      <c r="M243" s="533">
        <v>0</v>
      </c>
      <c r="N243" s="533">
        <v>0</v>
      </c>
      <c r="O243" s="533">
        <v>0</v>
      </c>
      <c r="P243" s="533">
        <v>0</v>
      </c>
      <c r="Q243" s="533">
        <v>0</v>
      </c>
      <c r="S243" s="530">
        <f>D248/1000</f>
        <v>0</v>
      </c>
    </row>
    <row r="244" spans="1:19">
      <c r="A244" s="532" t="s">
        <v>583</v>
      </c>
      <c r="B244" s="533">
        <v>0</v>
      </c>
      <c r="C244" s="533">
        <v>0</v>
      </c>
      <c r="D244" s="533">
        <v>0</v>
      </c>
      <c r="E244" s="533">
        <v>0</v>
      </c>
      <c r="F244" s="533">
        <v>0</v>
      </c>
      <c r="G244" s="533">
        <v>0</v>
      </c>
      <c r="H244" s="533">
        <v>0</v>
      </c>
      <c r="I244" s="533">
        <v>0</v>
      </c>
      <c r="J244" s="533">
        <v>0</v>
      </c>
      <c r="K244" s="533">
        <v>0</v>
      </c>
      <c r="L244" s="533">
        <v>0</v>
      </c>
      <c r="M244" s="533">
        <v>0</v>
      </c>
      <c r="N244" s="533">
        <v>0</v>
      </c>
      <c r="O244" s="533">
        <v>0</v>
      </c>
      <c r="P244" s="533">
        <v>0</v>
      </c>
      <c r="Q244" s="533">
        <v>0</v>
      </c>
    </row>
    <row r="245" spans="1:19">
      <c r="A245" s="532" t="s">
        <v>584</v>
      </c>
      <c r="B245" s="533">
        <v>0</v>
      </c>
      <c r="C245" s="533">
        <v>0</v>
      </c>
      <c r="D245" s="533">
        <v>0</v>
      </c>
      <c r="E245" s="533">
        <v>0</v>
      </c>
      <c r="F245" s="533">
        <v>0</v>
      </c>
      <c r="G245" s="533">
        <v>0</v>
      </c>
      <c r="H245" s="533">
        <v>0</v>
      </c>
      <c r="I245" s="533">
        <v>0</v>
      </c>
      <c r="J245" s="533">
        <v>0</v>
      </c>
      <c r="K245" s="533">
        <v>0</v>
      </c>
      <c r="L245" s="533">
        <v>0</v>
      </c>
      <c r="M245" s="533">
        <v>0</v>
      </c>
      <c r="N245" s="533">
        <v>0</v>
      </c>
      <c r="O245" s="533">
        <v>0</v>
      </c>
      <c r="P245" s="533">
        <v>0</v>
      </c>
      <c r="Q245" s="533">
        <v>0</v>
      </c>
    </row>
    <row r="246" spans="1:19">
      <c r="A246" s="532" t="s">
        <v>585</v>
      </c>
      <c r="B246" s="533">
        <v>0</v>
      </c>
      <c r="C246" s="533">
        <v>0</v>
      </c>
      <c r="D246" s="533">
        <v>0</v>
      </c>
      <c r="E246" s="533">
        <v>0</v>
      </c>
      <c r="F246" s="533">
        <v>0</v>
      </c>
      <c r="G246" s="533">
        <v>0</v>
      </c>
      <c r="H246" s="533">
        <v>0</v>
      </c>
      <c r="I246" s="533">
        <v>0</v>
      </c>
      <c r="J246" s="533">
        <v>0</v>
      </c>
      <c r="K246" s="533">
        <v>0</v>
      </c>
      <c r="L246" s="533">
        <v>0</v>
      </c>
      <c r="M246" s="533">
        <v>0</v>
      </c>
      <c r="N246" s="533">
        <v>0</v>
      </c>
      <c r="O246" s="533">
        <v>0</v>
      </c>
      <c r="P246" s="533">
        <v>0</v>
      </c>
      <c r="Q246" s="533">
        <v>0</v>
      </c>
    </row>
    <row r="247" spans="1:19">
      <c r="A247" s="532" t="s">
        <v>586</v>
      </c>
      <c r="B247" s="533">
        <v>0</v>
      </c>
      <c r="C247" s="533">
        <v>0</v>
      </c>
      <c r="D247" s="533">
        <v>0</v>
      </c>
      <c r="E247" s="533">
        <v>0</v>
      </c>
      <c r="F247" s="533">
        <v>0</v>
      </c>
      <c r="G247" s="533">
        <v>0</v>
      </c>
      <c r="H247" s="533">
        <v>0</v>
      </c>
      <c r="I247" s="533">
        <v>0</v>
      </c>
      <c r="J247" s="533">
        <v>0</v>
      </c>
      <c r="K247" s="533">
        <v>0</v>
      </c>
      <c r="L247" s="533">
        <v>0</v>
      </c>
      <c r="M247" s="533">
        <v>0</v>
      </c>
      <c r="N247" s="533">
        <v>0</v>
      </c>
      <c r="O247" s="533">
        <v>0</v>
      </c>
      <c r="P247" s="533">
        <v>0</v>
      </c>
      <c r="Q247" s="533">
        <v>0</v>
      </c>
    </row>
    <row r="248" spans="1:19">
      <c r="A248" s="532" t="s">
        <v>587</v>
      </c>
      <c r="B248" s="533">
        <v>0</v>
      </c>
      <c r="C248" s="533">
        <v>0</v>
      </c>
      <c r="D248" s="533">
        <v>0</v>
      </c>
      <c r="E248" s="533">
        <v>0</v>
      </c>
      <c r="F248" s="533">
        <v>0</v>
      </c>
      <c r="G248" s="533">
        <v>0</v>
      </c>
      <c r="H248" s="533">
        <v>0</v>
      </c>
      <c r="I248" s="533">
        <v>0</v>
      </c>
      <c r="J248" s="533">
        <v>0</v>
      </c>
      <c r="K248" s="533">
        <v>0</v>
      </c>
      <c r="L248" s="533">
        <v>0</v>
      </c>
      <c r="M248" s="533">
        <v>0</v>
      </c>
      <c r="N248" s="533">
        <v>0</v>
      </c>
      <c r="O248" s="533">
        <v>0</v>
      </c>
      <c r="P248" s="533">
        <v>0</v>
      </c>
      <c r="Q248" s="533">
        <v>0</v>
      </c>
    </row>
    <row r="249" spans="1:19">
      <c r="A249" s="532" t="s">
        <v>588</v>
      </c>
      <c r="B249" s="533">
        <v>0</v>
      </c>
      <c r="C249" s="533">
        <v>0</v>
      </c>
      <c r="D249" s="533">
        <v>0</v>
      </c>
      <c r="E249" s="533">
        <v>0</v>
      </c>
      <c r="F249" s="533">
        <v>0</v>
      </c>
      <c r="G249" s="533">
        <v>0</v>
      </c>
      <c r="H249" s="533">
        <v>0</v>
      </c>
      <c r="I249" s="533">
        <v>0</v>
      </c>
      <c r="J249" s="533">
        <v>0</v>
      </c>
      <c r="K249" s="533">
        <v>0</v>
      </c>
      <c r="L249" s="533">
        <v>0</v>
      </c>
      <c r="M249" s="533">
        <v>0</v>
      </c>
      <c r="N249" s="533">
        <v>0</v>
      </c>
      <c r="O249" s="533">
        <v>0</v>
      </c>
      <c r="P249" s="533">
        <v>0</v>
      </c>
      <c r="Q249" s="533">
        <v>0</v>
      </c>
    </row>
    <row r="250" spans="1:19">
      <c r="A250" s="532" t="s">
        <v>608</v>
      </c>
      <c r="B250" s="533">
        <v>323</v>
      </c>
      <c r="C250" s="533">
        <v>262</v>
      </c>
      <c r="D250" s="533">
        <v>262</v>
      </c>
      <c r="E250" s="533">
        <v>0</v>
      </c>
      <c r="F250" s="533">
        <v>0</v>
      </c>
      <c r="G250" s="533">
        <v>0</v>
      </c>
      <c r="H250" s="533">
        <v>262</v>
      </c>
      <c r="I250" s="533">
        <v>0</v>
      </c>
      <c r="J250" s="533">
        <v>0</v>
      </c>
      <c r="K250" s="533">
        <v>0</v>
      </c>
      <c r="L250" s="533">
        <v>0</v>
      </c>
      <c r="M250" s="533">
        <v>0</v>
      </c>
      <c r="N250" s="533">
        <v>60</v>
      </c>
      <c r="O250" s="533">
        <v>0</v>
      </c>
      <c r="P250" s="533">
        <v>0</v>
      </c>
      <c r="Q250" s="533">
        <v>60</v>
      </c>
    </row>
    <row r="252" spans="1:19">
      <c r="A252" s="529" t="s">
        <v>589</v>
      </c>
    </row>
    <row r="253" spans="1:19">
      <c r="A253" s="529" t="s">
        <v>36</v>
      </c>
      <c r="B253" s="529" t="s">
        <v>590</v>
      </c>
    </row>
    <row r="255" spans="1:19">
      <c r="A255" s="529" t="s">
        <v>340</v>
      </c>
      <c r="B255" s="529" t="s">
        <v>576</v>
      </c>
    </row>
    <row r="256" spans="1:19">
      <c r="A256" s="529" t="s">
        <v>343</v>
      </c>
      <c r="B256" s="529" t="s">
        <v>188</v>
      </c>
    </row>
    <row r="257" spans="1:19">
      <c r="A257" s="529" t="s">
        <v>578</v>
      </c>
      <c r="B257" s="529" t="s">
        <v>298</v>
      </c>
    </row>
    <row r="258" spans="1:19">
      <c r="S258" s="530" t="str">
        <f>B256</f>
        <v>Lithuania</v>
      </c>
    </row>
    <row r="259" spans="1:19">
      <c r="A259" s="532" t="s">
        <v>592</v>
      </c>
      <c r="B259" s="532" t="s">
        <v>593</v>
      </c>
      <c r="C259" s="532" t="s">
        <v>594</v>
      </c>
      <c r="D259" s="532" t="s">
        <v>595</v>
      </c>
      <c r="E259" s="532" t="s">
        <v>596</v>
      </c>
      <c r="F259" s="532" t="s">
        <v>597</v>
      </c>
      <c r="G259" s="532" t="s">
        <v>598</v>
      </c>
      <c r="H259" s="532" t="s">
        <v>599</v>
      </c>
      <c r="I259" s="532" t="s">
        <v>600</v>
      </c>
      <c r="J259" s="532" t="s">
        <v>232</v>
      </c>
      <c r="K259" s="532" t="s">
        <v>601</v>
      </c>
      <c r="L259" s="532" t="s">
        <v>602</v>
      </c>
      <c r="M259" s="532" t="s">
        <v>603</v>
      </c>
      <c r="N259" s="532" t="s">
        <v>604</v>
      </c>
      <c r="O259" s="532" t="s">
        <v>605</v>
      </c>
      <c r="P259" s="532" t="s">
        <v>606</v>
      </c>
      <c r="Q259" s="532" t="s">
        <v>234</v>
      </c>
      <c r="S259" s="530">
        <f>D266/1000</f>
        <v>0</v>
      </c>
    </row>
    <row r="260" spans="1:19">
      <c r="A260" s="532" t="s">
        <v>607</v>
      </c>
      <c r="B260" s="533">
        <v>0</v>
      </c>
      <c r="C260" s="533">
        <v>0</v>
      </c>
      <c r="D260" s="533">
        <v>0</v>
      </c>
      <c r="E260" s="533">
        <v>0</v>
      </c>
      <c r="F260" s="533">
        <v>0</v>
      </c>
      <c r="G260" s="533">
        <v>0</v>
      </c>
      <c r="H260" s="533">
        <v>0</v>
      </c>
      <c r="I260" s="533">
        <v>0</v>
      </c>
      <c r="J260" s="533">
        <v>0</v>
      </c>
      <c r="K260" s="533">
        <v>0</v>
      </c>
      <c r="L260" s="533">
        <v>0</v>
      </c>
      <c r="M260" s="533">
        <v>0</v>
      </c>
      <c r="N260" s="533">
        <v>0</v>
      </c>
      <c r="O260" s="533">
        <v>0</v>
      </c>
      <c r="P260" s="533">
        <v>0</v>
      </c>
      <c r="Q260" s="533">
        <v>0</v>
      </c>
      <c r="S260" s="530">
        <f>D265/1000</f>
        <v>0</v>
      </c>
    </row>
    <row r="261" spans="1:19">
      <c r="A261" s="532" t="s">
        <v>583</v>
      </c>
      <c r="B261" s="533">
        <v>0</v>
      </c>
      <c r="C261" s="533">
        <v>0</v>
      </c>
      <c r="D261" s="533">
        <v>0</v>
      </c>
      <c r="E261" s="533">
        <v>0</v>
      </c>
      <c r="F261" s="533">
        <v>0</v>
      </c>
      <c r="G261" s="533">
        <v>0</v>
      </c>
      <c r="H261" s="533">
        <v>0</v>
      </c>
      <c r="I261" s="533">
        <v>0</v>
      </c>
      <c r="J261" s="533">
        <v>0</v>
      </c>
      <c r="K261" s="533">
        <v>0</v>
      </c>
      <c r="L261" s="533">
        <v>0</v>
      </c>
      <c r="M261" s="533">
        <v>0</v>
      </c>
      <c r="N261" s="533">
        <v>0</v>
      </c>
      <c r="O261" s="533">
        <v>0</v>
      </c>
      <c r="P261" s="533">
        <v>0</v>
      </c>
      <c r="Q261" s="533">
        <v>0</v>
      </c>
    </row>
    <row r="262" spans="1:19">
      <c r="A262" s="532" t="s">
        <v>584</v>
      </c>
      <c r="B262" s="533">
        <v>0</v>
      </c>
      <c r="C262" s="533">
        <v>0</v>
      </c>
      <c r="D262" s="533">
        <v>0</v>
      </c>
      <c r="E262" s="533">
        <v>0</v>
      </c>
      <c r="F262" s="533">
        <v>0</v>
      </c>
      <c r="G262" s="533">
        <v>0</v>
      </c>
      <c r="H262" s="533">
        <v>0</v>
      </c>
      <c r="I262" s="533">
        <v>0</v>
      </c>
      <c r="J262" s="533">
        <v>0</v>
      </c>
      <c r="K262" s="533">
        <v>0</v>
      </c>
      <c r="L262" s="533">
        <v>0</v>
      </c>
      <c r="M262" s="533">
        <v>0</v>
      </c>
      <c r="N262" s="533">
        <v>0</v>
      </c>
      <c r="O262" s="533">
        <v>0</v>
      </c>
      <c r="P262" s="533">
        <v>0</v>
      </c>
      <c r="Q262" s="533">
        <v>0</v>
      </c>
    </row>
    <row r="263" spans="1:19">
      <c r="A263" s="532" t="s">
        <v>585</v>
      </c>
      <c r="B263" s="533">
        <v>0</v>
      </c>
      <c r="C263" s="533">
        <v>0</v>
      </c>
      <c r="D263" s="533">
        <v>0</v>
      </c>
      <c r="E263" s="533">
        <v>0</v>
      </c>
      <c r="F263" s="533">
        <v>0</v>
      </c>
      <c r="G263" s="533">
        <v>0</v>
      </c>
      <c r="H263" s="533">
        <v>0</v>
      </c>
      <c r="I263" s="533">
        <v>0</v>
      </c>
      <c r="J263" s="533">
        <v>0</v>
      </c>
      <c r="K263" s="533">
        <v>0</v>
      </c>
      <c r="L263" s="533">
        <v>0</v>
      </c>
      <c r="M263" s="533">
        <v>0</v>
      </c>
      <c r="N263" s="533">
        <v>0</v>
      </c>
      <c r="O263" s="533">
        <v>0</v>
      </c>
      <c r="P263" s="533">
        <v>0</v>
      </c>
      <c r="Q263" s="533">
        <v>0</v>
      </c>
    </row>
    <row r="264" spans="1:19">
      <c r="A264" s="532" t="s">
        <v>586</v>
      </c>
      <c r="B264" s="533">
        <v>0</v>
      </c>
      <c r="C264" s="533">
        <v>0</v>
      </c>
      <c r="D264" s="533">
        <v>0</v>
      </c>
      <c r="E264" s="533">
        <v>0</v>
      </c>
      <c r="F264" s="533">
        <v>0</v>
      </c>
      <c r="G264" s="533">
        <v>0</v>
      </c>
      <c r="H264" s="533">
        <v>0</v>
      </c>
      <c r="I264" s="533">
        <v>0</v>
      </c>
      <c r="J264" s="533">
        <v>0</v>
      </c>
      <c r="K264" s="533">
        <v>0</v>
      </c>
      <c r="L264" s="533">
        <v>0</v>
      </c>
      <c r="M264" s="533">
        <v>0</v>
      </c>
      <c r="N264" s="533">
        <v>0</v>
      </c>
      <c r="O264" s="533">
        <v>0</v>
      </c>
      <c r="P264" s="533">
        <v>0</v>
      </c>
      <c r="Q264" s="533">
        <v>0</v>
      </c>
    </row>
    <row r="265" spans="1:19">
      <c r="A265" s="532" t="s">
        <v>587</v>
      </c>
      <c r="B265" s="533">
        <v>0</v>
      </c>
      <c r="C265" s="533">
        <v>0</v>
      </c>
      <c r="D265" s="533">
        <v>0</v>
      </c>
      <c r="E265" s="533">
        <v>0</v>
      </c>
      <c r="F265" s="533">
        <v>0</v>
      </c>
      <c r="G265" s="533">
        <v>0</v>
      </c>
      <c r="H265" s="533">
        <v>0</v>
      </c>
      <c r="I265" s="533">
        <v>0</v>
      </c>
      <c r="J265" s="533">
        <v>0</v>
      </c>
      <c r="K265" s="533">
        <v>0</v>
      </c>
      <c r="L265" s="533">
        <v>0</v>
      </c>
      <c r="M265" s="533">
        <v>0</v>
      </c>
      <c r="N265" s="533">
        <v>0</v>
      </c>
      <c r="O265" s="533">
        <v>0</v>
      </c>
      <c r="P265" s="533">
        <v>0</v>
      </c>
      <c r="Q265" s="533">
        <v>0</v>
      </c>
    </row>
    <row r="266" spans="1:19">
      <c r="A266" s="532" t="s">
        <v>588</v>
      </c>
      <c r="B266" s="533">
        <v>0</v>
      </c>
      <c r="C266" s="533">
        <v>0</v>
      </c>
      <c r="D266" s="533">
        <v>0</v>
      </c>
      <c r="E266" s="533">
        <v>0</v>
      </c>
      <c r="F266" s="533">
        <v>0</v>
      </c>
      <c r="G266" s="533">
        <v>0</v>
      </c>
      <c r="H266" s="533">
        <v>0</v>
      </c>
      <c r="I266" s="533">
        <v>0</v>
      </c>
      <c r="J266" s="533">
        <v>0</v>
      </c>
      <c r="K266" s="533">
        <v>0</v>
      </c>
      <c r="L266" s="533">
        <v>0</v>
      </c>
      <c r="M266" s="533">
        <v>0</v>
      </c>
      <c r="N266" s="533">
        <v>0</v>
      </c>
      <c r="O266" s="533">
        <v>0</v>
      </c>
      <c r="P266" s="533">
        <v>0</v>
      </c>
      <c r="Q266" s="533">
        <v>0</v>
      </c>
    </row>
    <row r="267" spans="1:19">
      <c r="A267" s="532" t="s">
        <v>608</v>
      </c>
      <c r="B267" s="533">
        <v>404</v>
      </c>
      <c r="C267" s="533">
        <v>255</v>
      </c>
      <c r="D267" s="533">
        <v>255</v>
      </c>
      <c r="E267" s="533">
        <v>0</v>
      </c>
      <c r="F267" s="533">
        <v>0</v>
      </c>
      <c r="G267" s="533">
        <v>0</v>
      </c>
      <c r="H267" s="533">
        <v>50</v>
      </c>
      <c r="I267" s="533">
        <v>204</v>
      </c>
      <c r="J267" s="533">
        <v>0</v>
      </c>
      <c r="K267" s="533">
        <v>0</v>
      </c>
      <c r="L267" s="533">
        <v>0</v>
      </c>
      <c r="M267" s="533">
        <v>0</v>
      </c>
      <c r="N267" s="533">
        <v>149</v>
      </c>
      <c r="O267" s="533">
        <v>0</v>
      </c>
      <c r="P267" s="533">
        <v>20</v>
      </c>
      <c r="Q267" s="533">
        <v>129</v>
      </c>
    </row>
    <row r="269" spans="1:19">
      <c r="A269" s="529" t="s">
        <v>589</v>
      </c>
    </row>
    <row r="270" spans="1:19">
      <c r="A270" s="529" t="s">
        <v>36</v>
      </c>
      <c r="B270" s="529" t="s">
        <v>590</v>
      </c>
    </row>
    <row r="272" spans="1:19">
      <c r="A272" s="529" t="s">
        <v>340</v>
      </c>
      <c r="B272" s="529" t="s">
        <v>576</v>
      </c>
    </row>
    <row r="273" spans="1:19">
      <c r="A273" s="529" t="s">
        <v>343</v>
      </c>
      <c r="B273" s="529" t="s">
        <v>474</v>
      </c>
    </row>
    <row r="274" spans="1:19">
      <c r="A274" s="529" t="s">
        <v>578</v>
      </c>
      <c r="B274" s="529" t="s">
        <v>298</v>
      </c>
    </row>
    <row r="275" spans="1:19">
      <c r="S275" s="530" t="str">
        <f>B273</f>
        <v>Luxembourg</v>
      </c>
    </row>
    <row r="276" spans="1:19">
      <c r="A276" s="532" t="s">
        <v>592</v>
      </c>
      <c r="B276" s="532" t="s">
        <v>593</v>
      </c>
      <c r="C276" s="532" t="s">
        <v>594</v>
      </c>
      <c r="D276" s="532" t="s">
        <v>595</v>
      </c>
      <c r="E276" s="532" t="s">
        <v>596</v>
      </c>
      <c r="F276" s="532" t="s">
        <v>597</v>
      </c>
      <c r="G276" s="532" t="s">
        <v>598</v>
      </c>
      <c r="H276" s="532" t="s">
        <v>599</v>
      </c>
      <c r="I276" s="532" t="s">
        <v>600</v>
      </c>
      <c r="J276" s="532" t="s">
        <v>232</v>
      </c>
      <c r="K276" s="532" t="s">
        <v>601</v>
      </c>
      <c r="L276" s="532" t="s">
        <v>602</v>
      </c>
      <c r="M276" s="532" t="s">
        <v>603</v>
      </c>
      <c r="N276" s="532" t="s">
        <v>604</v>
      </c>
      <c r="O276" s="532" t="s">
        <v>605</v>
      </c>
      <c r="P276" s="532" t="s">
        <v>606</v>
      </c>
      <c r="Q276" s="532" t="s">
        <v>234</v>
      </c>
      <c r="S276" s="530">
        <f>D283/1000</f>
        <v>0</v>
      </c>
    </row>
    <row r="277" spans="1:19">
      <c r="A277" s="532" t="s">
        <v>607</v>
      </c>
      <c r="B277" s="533">
        <v>0</v>
      </c>
      <c r="C277" s="533">
        <v>0</v>
      </c>
      <c r="D277" s="533">
        <v>0</v>
      </c>
      <c r="E277" s="533">
        <v>0</v>
      </c>
      <c r="F277" s="533">
        <v>0</v>
      </c>
      <c r="G277" s="533">
        <v>0</v>
      </c>
      <c r="H277" s="533">
        <v>0</v>
      </c>
      <c r="I277" s="533">
        <v>0</v>
      </c>
      <c r="J277" s="533">
        <v>0</v>
      </c>
      <c r="K277" s="533">
        <v>0</v>
      </c>
      <c r="L277" s="533">
        <v>0</v>
      </c>
      <c r="M277" s="533">
        <v>0</v>
      </c>
      <c r="N277" s="533">
        <v>0</v>
      </c>
      <c r="O277" s="533">
        <v>0</v>
      </c>
      <c r="P277" s="533">
        <v>0</v>
      </c>
      <c r="Q277" s="533">
        <v>0</v>
      </c>
      <c r="S277" s="530">
        <f>D282/1000</f>
        <v>0</v>
      </c>
    </row>
    <row r="278" spans="1:19">
      <c r="A278" s="532" t="s">
        <v>583</v>
      </c>
      <c r="B278" s="533">
        <v>0</v>
      </c>
      <c r="C278" s="533">
        <v>0</v>
      </c>
      <c r="D278" s="533">
        <v>0</v>
      </c>
      <c r="E278" s="533">
        <v>0</v>
      </c>
      <c r="F278" s="533">
        <v>0</v>
      </c>
      <c r="G278" s="533">
        <v>0</v>
      </c>
      <c r="H278" s="533">
        <v>0</v>
      </c>
      <c r="I278" s="533">
        <v>0</v>
      </c>
      <c r="J278" s="533">
        <v>0</v>
      </c>
      <c r="K278" s="533">
        <v>0</v>
      </c>
      <c r="L278" s="533">
        <v>0</v>
      </c>
      <c r="M278" s="533">
        <v>0</v>
      </c>
      <c r="N278" s="533">
        <v>0</v>
      </c>
      <c r="O278" s="533">
        <v>0</v>
      </c>
      <c r="P278" s="533">
        <v>0</v>
      </c>
      <c r="Q278" s="533">
        <v>0</v>
      </c>
    </row>
    <row r="279" spans="1:19">
      <c r="A279" s="532" t="s">
        <v>584</v>
      </c>
      <c r="B279" s="533">
        <v>0</v>
      </c>
      <c r="C279" s="533">
        <v>0</v>
      </c>
      <c r="D279" s="533">
        <v>0</v>
      </c>
      <c r="E279" s="533">
        <v>0</v>
      </c>
      <c r="F279" s="533">
        <v>0</v>
      </c>
      <c r="G279" s="533">
        <v>0</v>
      </c>
      <c r="H279" s="533">
        <v>0</v>
      </c>
      <c r="I279" s="533">
        <v>0</v>
      </c>
      <c r="J279" s="533">
        <v>0</v>
      </c>
      <c r="K279" s="533">
        <v>0</v>
      </c>
      <c r="L279" s="533">
        <v>0</v>
      </c>
      <c r="M279" s="533">
        <v>0</v>
      </c>
      <c r="N279" s="533">
        <v>0</v>
      </c>
      <c r="O279" s="533">
        <v>0</v>
      </c>
      <c r="P279" s="533">
        <v>0</v>
      </c>
      <c r="Q279" s="533">
        <v>0</v>
      </c>
    </row>
    <row r="280" spans="1:19">
      <c r="A280" s="532" t="s">
        <v>585</v>
      </c>
      <c r="B280" s="533">
        <v>0</v>
      </c>
      <c r="C280" s="533">
        <v>0</v>
      </c>
      <c r="D280" s="533">
        <v>0</v>
      </c>
      <c r="E280" s="533">
        <v>0</v>
      </c>
      <c r="F280" s="533">
        <v>0</v>
      </c>
      <c r="G280" s="533">
        <v>0</v>
      </c>
      <c r="H280" s="533">
        <v>0</v>
      </c>
      <c r="I280" s="533">
        <v>0</v>
      </c>
      <c r="J280" s="533">
        <v>0</v>
      </c>
      <c r="K280" s="533">
        <v>0</v>
      </c>
      <c r="L280" s="533">
        <v>0</v>
      </c>
      <c r="M280" s="533">
        <v>0</v>
      </c>
      <c r="N280" s="533">
        <v>0</v>
      </c>
      <c r="O280" s="533">
        <v>0</v>
      </c>
      <c r="P280" s="533">
        <v>0</v>
      </c>
      <c r="Q280" s="533">
        <v>0</v>
      </c>
    </row>
    <row r="281" spans="1:19">
      <c r="A281" s="532" t="s">
        <v>586</v>
      </c>
      <c r="B281" s="533">
        <v>0</v>
      </c>
      <c r="C281" s="533">
        <v>0</v>
      </c>
      <c r="D281" s="533">
        <v>0</v>
      </c>
      <c r="E281" s="533">
        <v>0</v>
      </c>
      <c r="F281" s="533">
        <v>0</v>
      </c>
      <c r="G281" s="533">
        <v>0</v>
      </c>
      <c r="H281" s="533">
        <v>0</v>
      </c>
      <c r="I281" s="533">
        <v>0</v>
      </c>
      <c r="J281" s="533">
        <v>0</v>
      </c>
      <c r="K281" s="533">
        <v>0</v>
      </c>
      <c r="L281" s="533">
        <v>0</v>
      </c>
      <c r="M281" s="533">
        <v>0</v>
      </c>
      <c r="N281" s="533">
        <v>0</v>
      </c>
      <c r="O281" s="533">
        <v>0</v>
      </c>
      <c r="P281" s="533">
        <v>0</v>
      </c>
      <c r="Q281" s="533">
        <v>0</v>
      </c>
    </row>
    <row r="282" spans="1:19">
      <c r="A282" s="532" t="s">
        <v>587</v>
      </c>
      <c r="B282" s="533">
        <v>0</v>
      </c>
      <c r="C282" s="533">
        <v>0</v>
      </c>
      <c r="D282" s="533">
        <v>0</v>
      </c>
      <c r="E282" s="533">
        <v>0</v>
      </c>
      <c r="F282" s="533">
        <v>0</v>
      </c>
      <c r="G282" s="533">
        <v>0</v>
      </c>
      <c r="H282" s="533">
        <v>0</v>
      </c>
      <c r="I282" s="533">
        <v>0</v>
      </c>
      <c r="J282" s="533">
        <v>0</v>
      </c>
      <c r="K282" s="533">
        <v>0</v>
      </c>
      <c r="L282" s="533">
        <v>0</v>
      </c>
      <c r="M282" s="533">
        <v>0</v>
      </c>
      <c r="N282" s="533">
        <v>0</v>
      </c>
      <c r="O282" s="533">
        <v>0</v>
      </c>
      <c r="P282" s="533">
        <v>0</v>
      </c>
      <c r="Q282" s="533">
        <v>0</v>
      </c>
    </row>
    <row r="283" spans="1:19">
      <c r="A283" s="532" t="s">
        <v>588</v>
      </c>
      <c r="B283" s="533">
        <v>0</v>
      </c>
      <c r="C283" s="533">
        <v>0</v>
      </c>
      <c r="D283" s="533">
        <v>0</v>
      </c>
      <c r="E283" s="533">
        <v>0</v>
      </c>
      <c r="F283" s="533">
        <v>0</v>
      </c>
      <c r="G283" s="533">
        <v>0</v>
      </c>
      <c r="H283" s="533">
        <v>0</v>
      </c>
      <c r="I283" s="533">
        <v>0</v>
      </c>
      <c r="J283" s="533">
        <v>0</v>
      </c>
      <c r="K283" s="533">
        <v>0</v>
      </c>
      <c r="L283" s="533">
        <v>0</v>
      </c>
      <c r="M283" s="533">
        <v>0</v>
      </c>
      <c r="N283" s="533">
        <v>0</v>
      </c>
      <c r="O283" s="533">
        <v>0</v>
      </c>
      <c r="P283" s="533">
        <v>0</v>
      </c>
      <c r="Q283" s="533">
        <v>0</v>
      </c>
    </row>
    <row r="284" spans="1:19">
      <c r="A284" s="532" t="s">
        <v>608</v>
      </c>
      <c r="B284" s="533">
        <v>0</v>
      </c>
      <c r="C284" s="533">
        <v>0</v>
      </c>
      <c r="D284" s="533">
        <v>0</v>
      </c>
      <c r="E284" s="533">
        <v>0</v>
      </c>
      <c r="F284" s="533">
        <v>0</v>
      </c>
      <c r="G284" s="533">
        <v>0</v>
      </c>
      <c r="H284" s="533">
        <v>0</v>
      </c>
      <c r="I284" s="533">
        <v>0</v>
      </c>
      <c r="J284" s="533">
        <v>0</v>
      </c>
      <c r="K284" s="533">
        <v>0</v>
      </c>
      <c r="L284" s="533">
        <v>0</v>
      </c>
      <c r="M284" s="533">
        <v>0</v>
      </c>
      <c r="N284" s="533">
        <v>0</v>
      </c>
      <c r="O284" s="533">
        <v>0</v>
      </c>
      <c r="P284" s="533">
        <v>0</v>
      </c>
      <c r="Q284" s="533">
        <v>0</v>
      </c>
    </row>
    <row r="286" spans="1:19">
      <c r="A286" s="529" t="s">
        <v>589</v>
      </c>
    </row>
    <row r="287" spans="1:19">
      <c r="A287" s="529" t="s">
        <v>36</v>
      </c>
      <c r="B287" s="529" t="s">
        <v>590</v>
      </c>
    </row>
    <row r="289" spans="1:19">
      <c r="A289" s="529" t="s">
        <v>340</v>
      </c>
      <c r="B289" s="529" t="s">
        <v>576</v>
      </c>
    </row>
    <row r="290" spans="1:19">
      <c r="A290" s="529" t="s">
        <v>343</v>
      </c>
      <c r="B290" s="529" t="s">
        <v>189</v>
      </c>
    </row>
    <row r="291" spans="1:19">
      <c r="A291" s="529" t="s">
        <v>578</v>
      </c>
      <c r="B291" s="529" t="s">
        <v>298</v>
      </c>
    </row>
    <row r="292" spans="1:19">
      <c r="S292" s="530" t="str">
        <f>B290</f>
        <v>Hungary</v>
      </c>
    </row>
    <row r="293" spans="1:19">
      <c r="A293" s="532" t="s">
        <v>592</v>
      </c>
      <c r="B293" s="532" t="s">
        <v>593</v>
      </c>
      <c r="C293" s="532" t="s">
        <v>594</v>
      </c>
      <c r="D293" s="532" t="s">
        <v>595</v>
      </c>
      <c r="E293" s="532" t="s">
        <v>596</v>
      </c>
      <c r="F293" s="532" t="s">
        <v>597</v>
      </c>
      <c r="G293" s="532" t="s">
        <v>598</v>
      </c>
      <c r="H293" s="532" t="s">
        <v>599</v>
      </c>
      <c r="I293" s="532" t="s">
        <v>600</v>
      </c>
      <c r="J293" s="532" t="s">
        <v>232</v>
      </c>
      <c r="K293" s="532" t="s">
        <v>601</v>
      </c>
      <c r="L293" s="532" t="s">
        <v>602</v>
      </c>
      <c r="M293" s="532" t="s">
        <v>603</v>
      </c>
      <c r="N293" s="532" t="s">
        <v>604</v>
      </c>
      <c r="O293" s="532" t="s">
        <v>605</v>
      </c>
      <c r="P293" s="532" t="s">
        <v>606</v>
      </c>
      <c r="Q293" s="532" t="s">
        <v>234</v>
      </c>
      <c r="S293" s="530">
        <f>D300/1000</f>
        <v>0</v>
      </c>
    </row>
    <row r="294" spans="1:19">
      <c r="A294" s="532" t="s">
        <v>607</v>
      </c>
      <c r="B294" s="533">
        <v>80565</v>
      </c>
      <c r="C294" s="533">
        <v>9205</v>
      </c>
      <c r="D294" s="533">
        <v>9205</v>
      </c>
      <c r="E294" s="533">
        <v>0</v>
      </c>
      <c r="F294" s="533">
        <v>0</v>
      </c>
      <c r="G294" s="533">
        <v>0</v>
      </c>
      <c r="H294" s="533">
        <v>3589</v>
      </c>
      <c r="I294" s="533">
        <v>5616</v>
      </c>
      <c r="J294" s="533">
        <v>0</v>
      </c>
      <c r="K294" s="533">
        <v>0</v>
      </c>
      <c r="L294" s="533">
        <v>0</v>
      </c>
      <c r="M294" s="533">
        <v>0</v>
      </c>
      <c r="N294" s="533">
        <v>71361</v>
      </c>
      <c r="O294" s="533">
        <v>71361</v>
      </c>
      <c r="P294" s="533">
        <v>0</v>
      </c>
      <c r="Q294" s="533">
        <v>0</v>
      </c>
      <c r="S294" s="530">
        <f>D299/1000</f>
        <v>0</v>
      </c>
    </row>
    <row r="295" spans="1:19">
      <c r="A295" s="532" t="s">
        <v>583</v>
      </c>
      <c r="B295" s="533">
        <v>80565</v>
      </c>
      <c r="C295" s="533">
        <v>9205</v>
      </c>
      <c r="D295" s="533">
        <v>9205</v>
      </c>
      <c r="E295" s="533">
        <v>0</v>
      </c>
      <c r="F295" s="533">
        <v>0</v>
      </c>
      <c r="G295" s="533">
        <v>0</v>
      </c>
      <c r="H295" s="533">
        <v>3589</v>
      </c>
      <c r="I295" s="533">
        <v>5616</v>
      </c>
      <c r="J295" s="533">
        <v>0</v>
      </c>
      <c r="K295" s="533">
        <v>0</v>
      </c>
      <c r="L295" s="533">
        <v>0</v>
      </c>
      <c r="M295" s="533">
        <v>0</v>
      </c>
      <c r="N295" s="533">
        <v>71361</v>
      </c>
      <c r="O295" s="533">
        <v>71361</v>
      </c>
      <c r="P295" s="533">
        <v>0</v>
      </c>
      <c r="Q295" s="533">
        <v>0</v>
      </c>
    </row>
    <row r="296" spans="1:19">
      <c r="A296" s="532" t="s">
        <v>584</v>
      </c>
      <c r="B296" s="533">
        <v>74311</v>
      </c>
      <c r="C296" s="533">
        <v>4199</v>
      </c>
      <c r="D296" s="533">
        <v>4199</v>
      </c>
      <c r="E296" s="533">
        <v>0</v>
      </c>
      <c r="F296" s="533">
        <v>0</v>
      </c>
      <c r="G296" s="533">
        <v>0</v>
      </c>
      <c r="H296" s="533">
        <v>1719</v>
      </c>
      <c r="I296" s="533">
        <v>2480</v>
      </c>
      <c r="J296" s="533">
        <v>0</v>
      </c>
      <c r="K296" s="533">
        <v>0</v>
      </c>
      <c r="L296" s="533">
        <v>0</v>
      </c>
      <c r="M296" s="533">
        <v>0</v>
      </c>
      <c r="N296" s="533">
        <v>70112</v>
      </c>
      <c r="O296" s="533">
        <v>70112</v>
      </c>
      <c r="P296" s="533">
        <v>0</v>
      </c>
      <c r="Q296" s="533">
        <v>0</v>
      </c>
    </row>
    <row r="297" spans="1:19">
      <c r="A297" s="532" t="s">
        <v>585</v>
      </c>
      <c r="B297" s="533">
        <v>6255</v>
      </c>
      <c r="C297" s="533">
        <v>5006</v>
      </c>
      <c r="D297" s="533">
        <v>5006</v>
      </c>
      <c r="E297" s="533">
        <v>0</v>
      </c>
      <c r="F297" s="533">
        <v>0</v>
      </c>
      <c r="G297" s="533">
        <v>0</v>
      </c>
      <c r="H297" s="533">
        <v>1870</v>
      </c>
      <c r="I297" s="533">
        <v>3136</v>
      </c>
      <c r="J297" s="533">
        <v>0</v>
      </c>
      <c r="K297" s="533">
        <v>0</v>
      </c>
      <c r="L297" s="533">
        <v>0</v>
      </c>
      <c r="M297" s="533">
        <v>0</v>
      </c>
      <c r="N297" s="533">
        <v>1249</v>
      </c>
      <c r="O297" s="533">
        <v>1249</v>
      </c>
      <c r="P297" s="533">
        <v>0</v>
      </c>
      <c r="Q297" s="533">
        <v>0</v>
      </c>
    </row>
    <row r="298" spans="1:19">
      <c r="A298" s="532" t="s">
        <v>586</v>
      </c>
      <c r="B298" s="533">
        <v>0</v>
      </c>
      <c r="C298" s="533">
        <v>0</v>
      </c>
      <c r="D298" s="533">
        <v>0</v>
      </c>
      <c r="E298" s="533">
        <v>0</v>
      </c>
      <c r="F298" s="533">
        <v>0</v>
      </c>
      <c r="G298" s="533">
        <v>0</v>
      </c>
      <c r="H298" s="533">
        <v>0</v>
      </c>
      <c r="I298" s="533">
        <v>0</v>
      </c>
      <c r="J298" s="533">
        <v>0</v>
      </c>
      <c r="K298" s="533">
        <v>0</v>
      </c>
      <c r="L298" s="533">
        <v>0</v>
      </c>
      <c r="M298" s="533">
        <v>0</v>
      </c>
      <c r="N298" s="533">
        <v>0</v>
      </c>
      <c r="O298" s="533">
        <v>0</v>
      </c>
      <c r="P298" s="533">
        <v>0</v>
      </c>
      <c r="Q298" s="533">
        <v>0</v>
      </c>
    </row>
    <row r="299" spans="1:19">
      <c r="A299" s="532" t="s">
        <v>587</v>
      </c>
      <c r="B299" s="533">
        <v>0</v>
      </c>
      <c r="C299" s="533">
        <v>0</v>
      </c>
      <c r="D299" s="533">
        <v>0</v>
      </c>
      <c r="E299" s="533">
        <v>0</v>
      </c>
      <c r="F299" s="533">
        <v>0</v>
      </c>
      <c r="G299" s="533">
        <v>0</v>
      </c>
      <c r="H299" s="533">
        <v>0</v>
      </c>
      <c r="I299" s="533">
        <v>0</v>
      </c>
      <c r="J299" s="533">
        <v>0</v>
      </c>
      <c r="K299" s="533">
        <v>0</v>
      </c>
      <c r="L299" s="533">
        <v>0</v>
      </c>
      <c r="M299" s="533">
        <v>0</v>
      </c>
      <c r="N299" s="533">
        <v>0</v>
      </c>
      <c r="O299" s="533">
        <v>0</v>
      </c>
      <c r="P299" s="533">
        <v>0</v>
      </c>
      <c r="Q299" s="533">
        <v>0</v>
      </c>
    </row>
    <row r="300" spans="1:19">
      <c r="A300" s="532" t="s">
        <v>588</v>
      </c>
      <c r="B300" s="533">
        <v>0</v>
      </c>
      <c r="C300" s="533">
        <v>0</v>
      </c>
      <c r="D300" s="533">
        <v>0</v>
      </c>
      <c r="E300" s="533">
        <v>0</v>
      </c>
      <c r="F300" s="533">
        <v>0</v>
      </c>
      <c r="G300" s="533">
        <v>0</v>
      </c>
      <c r="H300" s="533">
        <v>0</v>
      </c>
      <c r="I300" s="533">
        <v>0</v>
      </c>
      <c r="J300" s="533">
        <v>0</v>
      </c>
      <c r="K300" s="533">
        <v>0</v>
      </c>
      <c r="L300" s="533">
        <v>0</v>
      </c>
      <c r="M300" s="533">
        <v>0</v>
      </c>
      <c r="N300" s="533">
        <v>0</v>
      </c>
      <c r="O300" s="533">
        <v>0</v>
      </c>
      <c r="P300" s="533">
        <v>0</v>
      </c>
      <c r="Q300" s="533">
        <v>0</v>
      </c>
    </row>
    <row r="301" spans="1:19">
      <c r="A301" s="532" t="s">
        <v>608</v>
      </c>
      <c r="B301" s="533">
        <v>3714</v>
      </c>
      <c r="C301" s="533">
        <v>3308</v>
      </c>
      <c r="D301" s="533">
        <v>3308</v>
      </c>
      <c r="E301" s="533">
        <v>0</v>
      </c>
      <c r="F301" s="533">
        <v>0</v>
      </c>
      <c r="G301" s="533">
        <v>0</v>
      </c>
      <c r="H301" s="533">
        <v>1820</v>
      </c>
      <c r="I301" s="533">
        <v>1488</v>
      </c>
      <c r="J301" s="533">
        <v>0</v>
      </c>
      <c r="K301" s="533">
        <v>0</v>
      </c>
      <c r="L301" s="533">
        <v>0</v>
      </c>
      <c r="M301" s="533">
        <v>0</v>
      </c>
      <c r="N301" s="533">
        <v>406</v>
      </c>
      <c r="O301" s="533">
        <v>406</v>
      </c>
      <c r="P301" s="533">
        <v>0</v>
      </c>
      <c r="Q301" s="533">
        <v>0</v>
      </c>
    </row>
    <row r="303" spans="1:19">
      <c r="A303" s="529" t="s">
        <v>589</v>
      </c>
    </row>
    <row r="304" spans="1:19">
      <c r="A304" s="529" t="s">
        <v>36</v>
      </c>
      <c r="B304" s="529" t="s">
        <v>590</v>
      </c>
    </row>
    <row r="306" spans="1:19">
      <c r="A306" s="529" t="s">
        <v>340</v>
      </c>
      <c r="B306" s="529" t="s">
        <v>576</v>
      </c>
    </row>
    <row r="307" spans="1:19">
      <c r="A307" s="529" t="s">
        <v>343</v>
      </c>
      <c r="B307" s="529" t="s">
        <v>191</v>
      </c>
    </row>
    <row r="308" spans="1:19">
      <c r="A308" s="529" t="s">
        <v>578</v>
      </c>
      <c r="B308" s="529" t="s">
        <v>298</v>
      </c>
    </row>
    <row r="309" spans="1:19">
      <c r="S309" s="530" t="str">
        <f>B307</f>
        <v>Netherlands</v>
      </c>
    </row>
    <row r="310" spans="1:19">
      <c r="A310" s="532" t="s">
        <v>592</v>
      </c>
      <c r="B310" s="532" t="s">
        <v>593</v>
      </c>
      <c r="C310" s="532" t="s">
        <v>594</v>
      </c>
      <c r="D310" s="532" t="s">
        <v>595</v>
      </c>
      <c r="E310" s="532" t="s">
        <v>596</v>
      </c>
      <c r="F310" s="532" t="s">
        <v>597</v>
      </c>
      <c r="G310" s="532" t="s">
        <v>598</v>
      </c>
      <c r="H310" s="532" t="s">
        <v>599</v>
      </c>
      <c r="I310" s="532" t="s">
        <v>600</v>
      </c>
      <c r="J310" s="532" t="s">
        <v>232</v>
      </c>
      <c r="K310" s="532" t="s">
        <v>601</v>
      </c>
      <c r="L310" s="532" t="s">
        <v>602</v>
      </c>
      <c r="M310" s="532" t="s">
        <v>603</v>
      </c>
      <c r="N310" s="532" t="s">
        <v>604</v>
      </c>
      <c r="O310" s="532" t="s">
        <v>605</v>
      </c>
      <c r="P310" s="532" t="s">
        <v>606</v>
      </c>
      <c r="Q310" s="532" t="s">
        <v>234</v>
      </c>
      <c r="S310" s="530">
        <f>D317/1000</f>
        <v>0</v>
      </c>
    </row>
    <row r="311" spans="1:19">
      <c r="A311" s="532" t="s">
        <v>607</v>
      </c>
      <c r="B311" s="533">
        <v>207593</v>
      </c>
      <c r="C311" s="533">
        <v>207593</v>
      </c>
      <c r="D311" s="533">
        <v>207593</v>
      </c>
      <c r="E311" s="533">
        <v>0</v>
      </c>
      <c r="F311" s="533">
        <v>0</v>
      </c>
      <c r="G311" s="533">
        <v>0</v>
      </c>
      <c r="H311" s="533">
        <v>207593</v>
      </c>
      <c r="I311" s="533">
        <v>0</v>
      </c>
      <c r="J311" s="533">
        <v>0</v>
      </c>
      <c r="K311" s="533">
        <v>0</v>
      </c>
      <c r="L311" s="533">
        <v>0</v>
      </c>
      <c r="M311" s="533">
        <v>0</v>
      </c>
      <c r="N311" s="533">
        <v>0</v>
      </c>
      <c r="O311" s="533">
        <v>0</v>
      </c>
      <c r="P311" s="533">
        <v>0</v>
      </c>
      <c r="Q311" s="533">
        <v>0</v>
      </c>
      <c r="S311" s="530">
        <f>D316/1000</f>
        <v>0</v>
      </c>
    </row>
    <row r="312" spans="1:19">
      <c r="A312" s="532" t="s">
        <v>583</v>
      </c>
      <c r="B312" s="533">
        <v>207593</v>
      </c>
      <c r="C312" s="533">
        <v>207593</v>
      </c>
      <c r="D312" s="533">
        <v>207593</v>
      </c>
      <c r="E312" s="533">
        <v>0</v>
      </c>
      <c r="F312" s="533">
        <v>0</v>
      </c>
      <c r="G312" s="533">
        <v>0</v>
      </c>
      <c r="H312" s="533">
        <v>207593</v>
      </c>
      <c r="I312" s="533">
        <v>0</v>
      </c>
      <c r="J312" s="533">
        <v>0</v>
      </c>
      <c r="K312" s="533">
        <v>0</v>
      </c>
      <c r="L312" s="533">
        <v>0</v>
      </c>
      <c r="M312" s="533">
        <v>0</v>
      </c>
      <c r="N312" s="533">
        <v>0</v>
      </c>
      <c r="O312" s="533">
        <v>0</v>
      </c>
      <c r="P312" s="533">
        <v>0</v>
      </c>
      <c r="Q312" s="533">
        <v>0</v>
      </c>
    </row>
    <row r="313" spans="1:19">
      <c r="A313" s="532" t="s">
        <v>584</v>
      </c>
      <c r="B313" s="533">
        <v>123320</v>
      </c>
      <c r="C313" s="533">
        <v>123320</v>
      </c>
      <c r="D313" s="533">
        <v>123320</v>
      </c>
      <c r="E313" s="533">
        <v>0</v>
      </c>
      <c r="F313" s="533">
        <v>0</v>
      </c>
      <c r="G313" s="533">
        <v>0</v>
      </c>
      <c r="H313" s="533">
        <v>123320</v>
      </c>
      <c r="I313" s="533">
        <v>0</v>
      </c>
      <c r="J313" s="533">
        <v>0</v>
      </c>
      <c r="K313" s="533">
        <v>0</v>
      </c>
      <c r="L313" s="533">
        <v>0</v>
      </c>
      <c r="M313" s="533">
        <v>0</v>
      </c>
      <c r="N313" s="533">
        <v>0</v>
      </c>
      <c r="O313" s="533">
        <v>0</v>
      </c>
      <c r="P313" s="533">
        <v>0</v>
      </c>
      <c r="Q313" s="533">
        <v>0</v>
      </c>
    </row>
    <row r="314" spans="1:19">
      <c r="A314" s="532" t="s">
        <v>585</v>
      </c>
      <c r="B314" s="533">
        <v>84273</v>
      </c>
      <c r="C314" s="533">
        <v>84273</v>
      </c>
      <c r="D314" s="533">
        <v>84273</v>
      </c>
      <c r="E314" s="533">
        <v>0</v>
      </c>
      <c r="F314" s="533">
        <v>0</v>
      </c>
      <c r="G314" s="533">
        <v>0</v>
      </c>
      <c r="H314" s="533">
        <v>84273</v>
      </c>
      <c r="I314" s="533">
        <v>0</v>
      </c>
      <c r="J314" s="533">
        <v>0</v>
      </c>
      <c r="K314" s="533">
        <v>0</v>
      </c>
      <c r="L314" s="533">
        <v>0</v>
      </c>
      <c r="M314" s="533">
        <v>0</v>
      </c>
      <c r="N314" s="533">
        <v>0</v>
      </c>
      <c r="O314" s="533">
        <v>0</v>
      </c>
      <c r="P314" s="533">
        <v>0</v>
      </c>
      <c r="Q314" s="533">
        <v>0</v>
      </c>
    </row>
    <row r="315" spans="1:19">
      <c r="A315" s="532" t="s">
        <v>586</v>
      </c>
      <c r="B315" s="533">
        <v>0</v>
      </c>
      <c r="C315" s="533">
        <v>0</v>
      </c>
      <c r="D315" s="533">
        <v>0</v>
      </c>
      <c r="E315" s="533">
        <v>0</v>
      </c>
      <c r="F315" s="533">
        <v>0</v>
      </c>
      <c r="G315" s="533">
        <v>0</v>
      </c>
      <c r="H315" s="533">
        <v>0</v>
      </c>
      <c r="I315" s="533">
        <v>0</v>
      </c>
      <c r="J315" s="533">
        <v>0</v>
      </c>
      <c r="K315" s="533">
        <v>0</v>
      </c>
      <c r="L315" s="533">
        <v>0</v>
      </c>
      <c r="M315" s="533">
        <v>0</v>
      </c>
      <c r="N315" s="533">
        <v>0</v>
      </c>
      <c r="O315" s="533">
        <v>0</v>
      </c>
      <c r="P315" s="533">
        <v>0</v>
      </c>
      <c r="Q315" s="533">
        <v>0</v>
      </c>
    </row>
    <row r="316" spans="1:19">
      <c r="A316" s="532" t="s">
        <v>587</v>
      </c>
      <c r="B316" s="533">
        <v>0</v>
      </c>
      <c r="C316" s="533">
        <v>0</v>
      </c>
      <c r="D316" s="533">
        <v>0</v>
      </c>
      <c r="E316" s="533">
        <v>0</v>
      </c>
      <c r="F316" s="533">
        <v>0</v>
      </c>
      <c r="G316" s="533">
        <v>0</v>
      </c>
      <c r="H316" s="533">
        <v>0</v>
      </c>
      <c r="I316" s="533">
        <v>0</v>
      </c>
      <c r="J316" s="533">
        <v>0</v>
      </c>
      <c r="K316" s="533">
        <v>0</v>
      </c>
      <c r="L316" s="533">
        <v>0</v>
      </c>
      <c r="M316" s="533">
        <v>0</v>
      </c>
      <c r="N316" s="533">
        <v>0</v>
      </c>
      <c r="O316" s="533">
        <v>0</v>
      </c>
      <c r="P316" s="533">
        <v>0</v>
      </c>
      <c r="Q316" s="533">
        <v>0</v>
      </c>
    </row>
    <row r="317" spans="1:19">
      <c r="A317" s="532" t="s">
        <v>588</v>
      </c>
      <c r="B317" s="533">
        <v>0</v>
      </c>
      <c r="C317" s="533">
        <v>0</v>
      </c>
      <c r="D317" s="533">
        <v>0</v>
      </c>
      <c r="E317" s="533">
        <v>0</v>
      </c>
      <c r="F317" s="533">
        <v>0</v>
      </c>
      <c r="G317" s="533">
        <v>0</v>
      </c>
      <c r="H317" s="533">
        <v>0</v>
      </c>
      <c r="I317" s="533">
        <v>0</v>
      </c>
      <c r="J317" s="533">
        <v>0</v>
      </c>
      <c r="K317" s="533">
        <v>0</v>
      </c>
      <c r="L317" s="533">
        <v>0</v>
      </c>
      <c r="M317" s="533">
        <v>0</v>
      </c>
      <c r="N317" s="533">
        <v>0</v>
      </c>
      <c r="O317" s="533">
        <v>0</v>
      </c>
      <c r="P317" s="533">
        <v>0</v>
      </c>
      <c r="Q317" s="533">
        <v>0</v>
      </c>
    </row>
    <row r="318" spans="1:19">
      <c r="A318" s="532" t="s">
        <v>608</v>
      </c>
      <c r="B318" s="533">
        <v>0</v>
      </c>
      <c r="C318" s="533">
        <v>0</v>
      </c>
      <c r="D318" s="533">
        <v>0</v>
      </c>
      <c r="E318" s="533">
        <v>0</v>
      </c>
      <c r="F318" s="533">
        <v>0</v>
      </c>
      <c r="G318" s="533">
        <v>0</v>
      </c>
      <c r="H318" s="533">
        <v>0</v>
      </c>
      <c r="I318" s="533">
        <v>0</v>
      </c>
      <c r="J318" s="533">
        <v>0</v>
      </c>
      <c r="K318" s="533">
        <v>0</v>
      </c>
      <c r="L318" s="533">
        <v>0</v>
      </c>
      <c r="M318" s="533">
        <v>0</v>
      </c>
      <c r="N318" s="533">
        <v>0</v>
      </c>
      <c r="O318" s="533">
        <v>0</v>
      </c>
      <c r="P318" s="533">
        <v>0</v>
      </c>
      <c r="Q318" s="533">
        <v>0</v>
      </c>
    </row>
    <row r="320" spans="1:19">
      <c r="A320" s="529" t="s">
        <v>589</v>
      </c>
    </row>
    <row r="321" spans="1:19">
      <c r="A321" s="529" t="s">
        <v>36</v>
      </c>
      <c r="B321" s="529" t="s">
        <v>590</v>
      </c>
    </row>
    <row r="323" spans="1:19">
      <c r="A323" s="529" t="s">
        <v>340</v>
      </c>
      <c r="B323" s="529" t="s">
        <v>576</v>
      </c>
    </row>
    <row r="324" spans="1:19">
      <c r="A324" s="529" t="s">
        <v>343</v>
      </c>
      <c r="B324" s="529" t="s">
        <v>192</v>
      </c>
    </row>
    <row r="325" spans="1:19">
      <c r="A325" s="529" t="s">
        <v>578</v>
      </c>
      <c r="B325" s="529" t="s">
        <v>298</v>
      </c>
    </row>
    <row r="326" spans="1:19">
      <c r="S326" s="530" t="str">
        <f>B324</f>
        <v>Austria</v>
      </c>
    </row>
    <row r="327" spans="1:19">
      <c r="A327" s="532" t="s">
        <v>592</v>
      </c>
      <c r="B327" s="532" t="s">
        <v>593</v>
      </c>
      <c r="C327" s="532" t="s">
        <v>594</v>
      </c>
      <c r="D327" s="532" t="s">
        <v>595</v>
      </c>
      <c r="E327" s="532" t="s">
        <v>596</v>
      </c>
      <c r="F327" s="532" t="s">
        <v>597</v>
      </c>
      <c r="G327" s="532" t="s">
        <v>598</v>
      </c>
      <c r="H327" s="532" t="s">
        <v>599</v>
      </c>
      <c r="I327" s="532" t="s">
        <v>600</v>
      </c>
      <c r="J327" s="532" t="s">
        <v>232</v>
      </c>
      <c r="K327" s="532" t="s">
        <v>601</v>
      </c>
      <c r="L327" s="532" t="s">
        <v>602</v>
      </c>
      <c r="M327" s="532" t="s">
        <v>603</v>
      </c>
      <c r="N327" s="532" t="s">
        <v>604</v>
      </c>
      <c r="O327" s="532" t="s">
        <v>605</v>
      </c>
      <c r="P327" s="532" t="s">
        <v>606</v>
      </c>
      <c r="Q327" s="532" t="s">
        <v>234</v>
      </c>
      <c r="S327" s="530">
        <f>D334/1000</f>
        <v>1.0649999999999999</v>
      </c>
    </row>
    <row r="328" spans="1:19">
      <c r="A328" s="532" t="s">
        <v>607</v>
      </c>
      <c r="B328" s="533">
        <v>63096</v>
      </c>
      <c r="C328" s="533">
        <v>52747</v>
      </c>
      <c r="D328" s="533">
        <v>52747</v>
      </c>
      <c r="E328" s="533">
        <v>0</v>
      </c>
      <c r="F328" s="533">
        <v>0</v>
      </c>
      <c r="G328" s="533">
        <v>0</v>
      </c>
      <c r="H328" s="533">
        <v>52747</v>
      </c>
      <c r="I328" s="533">
        <v>0</v>
      </c>
      <c r="J328" s="533">
        <v>0</v>
      </c>
      <c r="K328" s="533">
        <v>0</v>
      </c>
      <c r="L328" s="533">
        <v>0</v>
      </c>
      <c r="M328" s="533">
        <v>0</v>
      </c>
      <c r="N328" s="533">
        <v>10349</v>
      </c>
      <c r="O328" s="533">
        <v>10349</v>
      </c>
      <c r="P328" s="533">
        <v>0</v>
      </c>
      <c r="Q328" s="533">
        <v>0</v>
      </c>
      <c r="S328" s="530">
        <f>D333/1000</f>
        <v>0.20699999999999999</v>
      </c>
    </row>
    <row r="329" spans="1:19">
      <c r="A329" s="532" t="s">
        <v>583</v>
      </c>
      <c r="B329" s="533">
        <v>61619</v>
      </c>
      <c r="C329" s="533">
        <v>51475</v>
      </c>
      <c r="D329" s="533">
        <v>51475</v>
      </c>
      <c r="E329" s="533">
        <v>0</v>
      </c>
      <c r="F329" s="533">
        <v>0</v>
      </c>
      <c r="G329" s="533">
        <v>0</v>
      </c>
      <c r="H329" s="533">
        <v>51475</v>
      </c>
      <c r="I329" s="533">
        <v>0</v>
      </c>
      <c r="J329" s="533">
        <v>0</v>
      </c>
      <c r="K329" s="533">
        <v>0</v>
      </c>
      <c r="L329" s="533">
        <v>0</v>
      </c>
      <c r="M329" s="533">
        <v>0</v>
      </c>
      <c r="N329" s="533">
        <v>10144</v>
      </c>
      <c r="O329" s="533">
        <v>10144</v>
      </c>
      <c r="P329" s="533">
        <v>0</v>
      </c>
      <c r="Q329" s="533">
        <v>0</v>
      </c>
    </row>
    <row r="330" spans="1:19">
      <c r="A330" s="532" t="s">
        <v>584</v>
      </c>
      <c r="B330" s="533">
        <v>57047</v>
      </c>
      <c r="C330" s="533">
        <v>47339</v>
      </c>
      <c r="D330" s="533">
        <v>47339</v>
      </c>
      <c r="E330" s="533">
        <v>0</v>
      </c>
      <c r="F330" s="533">
        <v>0</v>
      </c>
      <c r="G330" s="533">
        <v>0</v>
      </c>
      <c r="H330" s="533">
        <v>47339</v>
      </c>
      <c r="I330" s="533">
        <v>0</v>
      </c>
      <c r="J330" s="533">
        <v>0</v>
      </c>
      <c r="K330" s="533">
        <v>0</v>
      </c>
      <c r="L330" s="533">
        <v>0</v>
      </c>
      <c r="M330" s="533">
        <v>0</v>
      </c>
      <c r="N330" s="533">
        <v>9708</v>
      </c>
      <c r="O330" s="533">
        <v>9708</v>
      </c>
      <c r="P330" s="533">
        <v>0</v>
      </c>
      <c r="Q330" s="533">
        <v>0</v>
      </c>
    </row>
    <row r="331" spans="1:19">
      <c r="A331" s="532" t="s">
        <v>585</v>
      </c>
      <c r="B331" s="533">
        <v>4572</v>
      </c>
      <c r="C331" s="533">
        <v>4136</v>
      </c>
      <c r="D331" s="533">
        <v>4136</v>
      </c>
      <c r="E331" s="533">
        <v>0</v>
      </c>
      <c r="F331" s="533">
        <v>0</v>
      </c>
      <c r="G331" s="533">
        <v>0</v>
      </c>
      <c r="H331" s="533">
        <v>4136</v>
      </c>
      <c r="I331" s="533">
        <v>0</v>
      </c>
      <c r="J331" s="533">
        <v>0</v>
      </c>
      <c r="K331" s="533">
        <v>0</v>
      </c>
      <c r="L331" s="533">
        <v>0</v>
      </c>
      <c r="M331" s="533">
        <v>0</v>
      </c>
      <c r="N331" s="533">
        <v>436</v>
      </c>
      <c r="O331" s="533">
        <v>436</v>
      </c>
      <c r="P331" s="533">
        <v>0</v>
      </c>
      <c r="Q331" s="533">
        <v>0</v>
      </c>
    </row>
    <row r="332" spans="1:19">
      <c r="A332" s="532" t="s">
        <v>586</v>
      </c>
      <c r="B332" s="533">
        <v>1477</v>
      </c>
      <c r="C332" s="533">
        <v>1273</v>
      </c>
      <c r="D332" s="533">
        <v>1273</v>
      </c>
      <c r="E332" s="533">
        <v>0</v>
      </c>
      <c r="F332" s="533">
        <v>0</v>
      </c>
      <c r="G332" s="533">
        <v>0</v>
      </c>
      <c r="H332" s="533">
        <v>1273</v>
      </c>
      <c r="I332" s="533">
        <v>0</v>
      </c>
      <c r="J332" s="533">
        <v>0</v>
      </c>
      <c r="K332" s="533">
        <v>0</v>
      </c>
      <c r="L332" s="533">
        <v>0</v>
      </c>
      <c r="M332" s="533">
        <v>0</v>
      </c>
      <c r="N332" s="533">
        <v>204</v>
      </c>
      <c r="O332" s="533">
        <v>204</v>
      </c>
      <c r="P332" s="533">
        <v>0</v>
      </c>
      <c r="Q332" s="533">
        <v>0</v>
      </c>
    </row>
    <row r="333" spans="1:19">
      <c r="A333" s="532" t="s">
        <v>587</v>
      </c>
      <c r="B333" s="533">
        <v>207</v>
      </c>
      <c r="C333" s="533">
        <v>207</v>
      </c>
      <c r="D333" s="533">
        <v>207</v>
      </c>
      <c r="E333" s="533">
        <v>0</v>
      </c>
      <c r="F333" s="533">
        <v>0</v>
      </c>
      <c r="G333" s="533">
        <v>0</v>
      </c>
      <c r="H333" s="533">
        <v>207</v>
      </c>
      <c r="I333" s="533">
        <v>0</v>
      </c>
      <c r="J333" s="533">
        <v>0</v>
      </c>
      <c r="K333" s="533">
        <v>0</v>
      </c>
      <c r="L333" s="533">
        <v>0</v>
      </c>
      <c r="M333" s="533">
        <v>0</v>
      </c>
      <c r="N333" s="533">
        <v>0</v>
      </c>
      <c r="O333" s="533">
        <v>0</v>
      </c>
      <c r="P333" s="533">
        <v>0</v>
      </c>
      <c r="Q333" s="533">
        <v>0</v>
      </c>
    </row>
    <row r="334" spans="1:19">
      <c r="A334" s="532" t="s">
        <v>588</v>
      </c>
      <c r="B334" s="533">
        <v>1270</v>
      </c>
      <c r="C334" s="533">
        <v>1065</v>
      </c>
      <c r="D334" s="533">
        <v>1065</v>
      </c>
      <c r="E334" s="533">
        <v>0</v>
      </c>
      <c r="F334" s="533">
        <v>0</v>
      </c>
      <c r="G334" s="533">
        <v>0</v>
      </c>
      <c r="H334" s="533">
        <v>1065</v>
      </c>
      <c r="I334" s="533">
        <v>0</v>
      </c>
      <c r="J334" s="533">
        <v>0</v>
      </c>
      <c r="K334" s="533">
        <v>0</v>
      </c>
      <c r="L334" s="533">
        <v>0</v>
      </c>
      <c r="M334" s="533">
        <v>0</v>
      </c>
      <c r="N334" s="533">
        <v>204</v>
      </c>
      <c r="O334" s="533">
        <v>204</v>
      </c>
      <c r="P334" s="533">
        <v>0</v>
      </c>
      <c r="Q334" s="533">
        <v>0</v>
      </c>
    </row>
    <row r="335" spans="1:19">
      <c r="A335" s="532" t="s">
        <v>608</v>
      </c>
      <c r="B335" s="533">
        <v>0</v>
      </c>
      <c r="C335" s="533">
        <v>0</v>
      </c>
      <c r="D335" s="533">
        <v>0</v>
      </c>
      <c r="E335" s="533">
        <v>0</v>
      </c>
      <c r="F335" s="533">
        <v>0</v>
      </c>
      <c r="G335" s="533">
        <v>0</v>
      </c>
      <c r="H335" s="533">
        <v>0</v>
      </c>
      <c r="I335" s="533">
        <v>0</v>
      </c>
      <c r="J335" s="533">
        <v>0</v>
      </c>
      <c r="K335" s="533">
        <v>0</v>
      </c>
      <c r="L335" s="533">
        <v>0</v>
      </c>
      <c r="M335" s="533">
        <v>0</v>
      </c>
      <c r="N335" s="533">
        <v>0</v>
      </c>
      <c r="O335" s="533">
        <v>0</v>
      </c>
      <c r="P335" s="533">
        <v>0</v>
      </c>
      <c r="Q335" s="533">
        <v>0</v>
      </c>
    </row>
    <row r="337" spans="1:19">
      <c r="A337" s="529" t="s">
        <v>589</v>
      </c>
    </row>
    <row r="338" spans="1:19">
      <c r="A338" s="529" t="s">
        <v>36</v>
      </c>
      <c r="B338" s="529" t="s">
        <v>590</v>
      </c>
    </row>
    <row r="340" spans="1:19">
      <c r="A340" s="529" t="s">
        <v>340</v>
      </c>
      <c r="B340" s="529" t="s">
        <v>576</v>
      </c>
    </row>
    <row r="341" spans="1:19">
      <c r="A341" s="529" t="s">
        <v>343</v>
      </c>
      <c r="B341" s="529" t="s">
        <v>193</v>
      </c>
    </row>
    <row r="342" spans="1:19">
      <c r="A342" s="529" t="s">
        <v>578</v>
      </c>
      <c r="B342" s="529" t="s">
        <v>298</v>
      </c>
    </row>
    <row r="343" spans="1:19">
      <c r="S343" s="530" t="str">
        <f>B341</f>
        <v>Poland</v>
      </c>
    </row>
    <row r="344" spans="1:19">
      <c r="A344" s="532" t="s">
        <v>592</v>
      </c>
      <c r="B344" s="532" t="s">
        <v>593</v>
      </c>
      <c r="C344" s="532" t="s">
        <v>594</v>
      </c>
      <c r="D344" s="532" t="s">
        <v>595</v>
      </c>
      <c r="E344" s="532" t="s">
        <v>596</v>
      </c>
      <c r="F344" s="532" t="s">
        <v>597</v>
      </c>
      <c r="G344" s="532" t="s">
        <v>598</v>
      </c>
      <c r="H344" s="532" t="s">
        <v>599</v>
      </c>
      <c r="I344" s="532" t="s">
        <v>600</v>
      </c>
      <c r="J344" s="532" t="s">
        <v>232</v>
      </c>
      <c r="K344" s="532" t="s">
        <v>601</v>
      </c>
      <c r="L344" s="532" t="s">
        <v>602</v>
      </c>
      <c r="M344" s="532" t="s">
        <v>603</v>
      </c>
      <c r="N344" s="532" t="s">
        <v>604</v>
      </c>
      <c r="O344" s="532" t="s">
        <v>605</v>
      </c>
      <c r="P344" s="532" t="s">
        <v>606</v>
      </c>
      <c r="Q344" s="532" t="s">
        <v>234</v>
      </c>
      <c r="S344" s="530">
        <f>D351/1000</f>
        <v>65.293999999999997</v>
      </c>
    </row>
    <row r="345" spans="1:19">
      <c r="A345" s="532" t="s">
        <v>607</v>
      </c>
      <c r="B345" s="533">
        <v>1512464</v>
      </c>
      <c r="C345" s="533">
        <v>978774</v>
      </c>
      <c r="D345" s="533">
        <v>978774</v>
      </c>
      <c r="E345" s="533">
        <v>0</v>
      </c>
      <c r="F345" s="533">
        <v>0</v>
      </c>
      <c r="G345" s="533">
        <v>0</v>
      </c>
      <c r="H345" s="533">
        <v>978774</v>
      </c>
      <c r="I345" s="533">
        <v>0</v>
      </c>
      <c r="J345" s="533">
        <v>0</v>
      </c>
      <c r="K345" s="533">
        <v>0</v>
      </c>
      <c r="L345" s="533">
        <v>0</v>
      </c>
      <c r="M345" s="533">
        <v>0</v>
      </c>
      <c r="N345" s="533">
        <v>533690</v>
      </c>
      <c r="O345" s="533">
        <v>533690</v>
      </c>
      <c r="P345" s="533">
        <v>0</v>
      </c>
      <c r="Q345" s="533">
        <v>0</v>
      </c>
      <c r="S345" s="530">
        <f>D350/1000</f>
        <v>0</v>
      </c>
    </row>
    <row r="346" spans="1:19">
      <c r="A346" s="532" t="s">
        <v>583</v>
      </c>
      <c r="B346" s="533">
        <v>1447170</v>
      </c>
      <c r="C346" s="533">
        <v>913480</v>
      </c>
      <c r="D346" s="533">
        <v>913480</v>
      </c>
      <c r="E346" s="533">
        <v>0</v>
      </c>
      <c r="F346" s="533">
        <v>0</v>
      </c>
      <c r="G346" s="533">
        <v>0</v>
      </c>
      <c r="H346" s="533">
        <v>913480</v>
      </c>
      <c r="I346" s="533">
        <v>0</v>
      </c>
      <c r="J346" s="533">
        <v>0</v>
      </c>
      <c r="K346" s="533">
        <v>0</v>
      </c>
      <c r="L346" s="533">
        <v>0</v>
      </c>
      <c r="M346" s="533">
        <v>0</v>
      </c>
      <c r="N346" s="533">
        <v>533690</v>
      </c>
      <c r="O346" s="533">
        <v>533690</v>
      </c>
      <c r="P346" s="533">
        <v>0</v>
      </c>
      <c r="Q346" s="533">
        <v>0</v>
      </c>
    </row>
    <row r="347" spans="1:19">
      <c r="A347" s="532" t="s">
        <v>584</v>
      </c>
      <c r="B347" s="533">
        <v>0</v>
      </c>
      <c r="C347" s="533">
        <v>0</v>
      </c>
      <c r="D347" s="533">
        <v>0</v>
      </c>
      <c r="E347" s="533">
        <v>0</v>
      </c>
      <c r="F347" s="533">
        <v>0</v>
      </c>
      <c r="G347" s="533">
        <v>0</v>
      </c>
      <c r="H347" s="533">
        <v>0</v>
      </c>
      <c r="I347" s="533">
        <v>0</v>
      </c>
      <c r="J347" s="533">
        <v>0</v>
      </c>
      <c r="K347" s="533">
        <v>0</v>
      </c>
      <c r="L347" s="533">
        <v>0</v>
      </c>
      <c r="M347" s="533">
        <v>0</v>
      </c>
      <c r="N347" s="533">
        <v>0</v>
      </c>
      <c r="O347" s="533">
        <v>0</v>
      </c>
      <c r="P347" s="533">
        <v>0</v>
      </c>
      <c r="Q347" s="533">
        <v>0</v>
      </c>
    </row>
    <row r="348" spans="1:19">
      <c r="A348" s="532" t="s">
        <v>585</v>
      </c>
      <c r="B348" s="533">
        <v>1447170</v>
      </c>
      <c r="C348" s="533">
        <v>913480</v>
      </c>
      <c r="D348" s="533">
        <v>913480</v>
      </c>
      <c r="E348" s="533">
        <v>0</v>
      </c>
      <c r="F348" s="533">
        <v>0</v>
      </c>
      <c r="G348" s="533">
        <v>0</v>
      </c>
      <c r="H348" s="533">
        <v>913480</v>
      </c>
      <c r="I348" s="533">
        <v>0</v>
      </c>
      <c r="J348" s="533">
        <v>0</v>
      </c>
      <c r="K348" s="533">
        <v>0</v>
      </c>
      <c r="L348" s="533">
        <v>0</v>
      </c>
      <c r="M348" s="533">
        <v>0</v>
      </c>
      <c r="N348" s="533">
        <v>533690</v>
      </c>
      <c r="O348" s="533">
        <v>533690</v>
      </c>
      <c r="P348" s="533">
        <v>0</v>
      </c>
      <c r="Q348" s="533">
        <v>0</v>
      </c>
    </row>
    <row r="349" spans="1:19">
      <c r="A349" s="532" t="s">
        <v>586</v>
      </c>
      <c r="B349" s="533">
        <v>65294</v>
      </c>
      <c r="C349" s="533">
        <v>65294</v>
      </c>
      <c r="D349" s="533">
        <v>65294</v>
      </c>
      <c r="E349" s="533">
        <v>0</v>
      </c>
      <c r="F349" s="533">
        <v>0</v>
      </c>
      <c r="G349" s="533">
        <v>0</v>
      </c>
      <c r="H349" s="533">
        <v>65294</v>
      </c>
      <c r="I349" s="533">
        <v>0</v>
      </c>
      <c r="J349" s="533">
        <v>0</v>
      </c>
      <c r="K349" s="533">
        <v>0</v>
      </c>
      <c r="L349" s="533">
        <v>0</v>
      </c>
      <c r="M349" s="533">
        <v>0</v>
      </c>
      <c r="N349" s="533">
        <v>0</v>
      </c>
      <c r="O349" s="533">
        <v>0</v>
      </c>
      <c r="P349" s="533">
        <v>0</v>
      </c>
      <c r="Q349" s="533">
        <v>0</v>
      </c>
    </row>
    <row r="350" spans="1:19">
      <c r="A350" s="532" t="s">
        <v>587</v>
      </c>
      <c r="B350" s="533">
        <v>0</v>
      </c>
      <c r="C350" s="533">
        <v>0</v>
      </c>
      <c r="D350" s="533">
        <v>0</v>
      </c>
      <c r="E350" s="533">
        <v>0</v>
      </c>
      <c r="F350" s="533">
        <v>0</v>
      </c>
      <c r="G350" s="533">
        <v>0</v>
      </c>
      <c r="H350" s="533">
        <v>0</v>
      </c>
      <c r="I350" s="533">
        <v>0</v>
      </c>
      <c r="J350" s="533">
        <v>0</v>
      </c>
      <c r="K350" s="533">
        <v>0</v>
      </c>
      <c r="L350" s="533">
        <v>0</v>
      </c>
      <c r="M350" s="533">
        <v>0</v>
      </c>
      <c r="N350" s="533">
        <v>0</v>
      </c>
      <c r="O350" s="533">
        <v>0</v>
      </c>
      <c r="P350" s="533">
        <v>0</v>
      </c>
      <c r="Q350" s="533">
        <v>0</v>
      </c>
    </row>
    <row r="351" spans="1:19">
      <c r="A351" s="532" t="s">
        <v>588</v>
      </c>
      <c r="B351" s="533">
        <v>65294</v>
      </c>
      <c r="C351" s="533">
        <v>65294</v>
      </c>
      <c r="D351" s="533">
        <v>65294</v>
      </c>
      <c r="E351" s="533">
        <v>0</v>
      </c>
      <c r="F351" s="533">
        <v>0</v>
      </c>
      <c r="G351" s="533">
        <v>0</v>
      </c>
      <c r="H351" s="533">
        <v>65294</v>
      </c>
      <c r="I351" s="533">
        <v>0</v>
      </c>
      <c r="J351" s="533">
        <v>0</v>
      </c>
      <c r="K351" s="533">
        <v>0</v>
      </c>
      <c r="L351" s="533">
        <v>0</v>
      </c>
      <c r="M351" s="533">
        <v>0</v>
      </c>
      <c r="N351" s="533">
        <v>0</v>
      </c>
      <c r="O351" s="533">
        <v>0</v>
      </c>
      <c r="P351" s="533">
        <v>0</v>
      </c>
      <c r="Q351" s="533">
        <v>0</v>
      </c>
    </row>
    <row r="352" spans="1:19">
      <c r="A352" s="532" t="s">
        <v>608</v>
      </c>
      <c r="B352" s="533">
        <v>127776</v>
      </c>
      <c r="C352" s="533">
        <v>127487</v>
      </c>
      <c r="D352" s="533">
        <v>127145</v>
      </c>
      <c r="E352" s="533">
        <v>0</v>
      </c>
      <c r="F352" s="533">
        <v>0</v>
      </c>
      <c r="G352" s="533">
        <v>2389</v>
      </c>
      <c r="H352" s="533">
        <v>124756</v>
      </c>
      <c r="I352" s="533">
        <v>0</v>
      </c>
      <c r="J352" s="533">
        <v>342</v>
      </c>
      <c r="K352" s="533">
        <v>342</v>
      </c>
      <c r="L352" s="533">
        <v>0</v>
      </c>
      <c r="M352" s="533">
        <v>0</v>
      </c>
      <c r="N352" s="533">
        <v>289</v>
      </c>
      <c r="O352" s="533">
        <v>289</v>
      </c>
      <c r="P352" s="533">
        <v>0</v>
      </c>
      <c r="Q352" s="533">
        <v>0</v>
      </c>
    </row>
    <row r="354" spans="1:19">
      <c r="A354" s="529" t="s">
        <v>589</v>
      </c>
    </row>
    <row r="355" spans="1:19">
      <c r="A355" s="529" t="s">
        <v>36</v>
      </c>
      <c r="B355" s="529" t="s">
        <v>590</v>
      </c>
    </row>
    <row r="357" spans="1:19">
      <c r="A357" s="529" t="s">
        <v>340</v>
      </c>
      <c r="B357" s="529" t="s">
        <v>576</v>
      </c>
    </row>
    <row r="358" spans="1:19">
      <c r="A358" s="529" t="s">
        <v>343</v>
      </c>
      <c r="B358" s="529" t="s">
        <v>194</v>
      </c>
    </row>
    <row r="359" spans="1:19">
      <c r="A359" s="529" t="s">
        <v>578</v>
      </c>
      <c r="B359" s="529" t="s">
        <v>298</v>
      </c>
    </row>
    <row r="360" spans="1:19">
      <c r="S360" s="530" t="str">
        <f>B358</f>
        <v>Portugal</v>
      </c>
    </row>
    <row r="361" spans="1:19">
      <c r="A361" s="532" t="s">
        <v>592</v>
      </c>
      <c r="B361" s="532" t="s">
        <v>593</v>
      </c>
      <c r="C361" s="532" t="s">
        <v>594</v>
      </c>
      <c r="D361" s="532" t="s">
        <v>595</v>
      </c>
      <c r="E361" s="532" t="s">
        <v>596</v>
      </c>
      <c r="F361" s="532" t="s">
        <v>597</v>
      </c>
      <c r="G361" s="532" t="s">
        <v>598</v>
      </c>
      <c r="H361" s="532" t="s">
        <v>599</v>
      </c>
      <c r="I361" s="532" t="s">
        <v>600</v>
      </c>
      <c r="J361" s="532" t="s">
        <v>232</v>
      </c>
      <c r="K361" s="532" t="s">
        <v>601</v>
      </c>
      <c r="L361" s="532" t="s">
        <v>602</v>
      </c>
      <c r="M361" s="532" t="s">
        <v>603</v>
      </c>
      <c r="N361" s="532" t="s">
        <v>604</v>
      </c>
      <c r="O361" s="532" t="s">
        <v>605</v>
      </c>
      <c r="P361" s="532" t="s">
        <v>606</v>
      </c>
      <c r="Q361" s="532" t="s">
        <v>234</v>
      </c>
      <c r="S361" s="530">
        <f>D368/1000</f>
        <v>0</v>
      </c>
    </row>
    <row r="362" spans="1:19">
      <c r="A362" s="532" t="s">
        <v>607</v>
      </c>
      <c r="B362" s="533">
        <v>138955</v>
      </c>
      <c r="C362" s="533">
        <v>138955</v>
      </c>
      <c r="D362" s="533">
        <v>138955</v>
      </c>
      <c r="E362" s="533">
        <v>0</v>
      </c>
      <c r="F362" s="533">
        <v>0</v>
      </c>
      <c r="G362" s="533">
        <v>0</v>
      </c>
      <c r="H362" s="533">
        <v>138955</v>
      </c>
      <c r="I362" s="533">
        <v>0</v>
      </c>
      <c r="J362" s="533">
        <v>0</v>
      </c>
      <c r="K362" s="533">
        <v>0</v>
      </c>
      <c r="L362" s="533">
        <v>0</v>
      </c>
      <c r="M362" s="533">
        <v>0</v>
      </c>
      <c r="N362" s="533">
        <v>0</v>
      </c>
      <c r="O362" s="533">
        <v>0</v>
      </c>
      <c r="P362" s="533">
        <v>0</v>
      </c>
      <c r="Q362" s="533">
        <v>0</v>
      </c>
      <c r="S362" s="530">
        <f>D367/1000</f>
        <v>0</v>
      </c>
    </row>
    <row r="363" spans="1:19">
      <c r="A363" s="532" t="s">
        <v>583</v>
      </c>
      <c r="B363" s="533">
        <v>138955</v>
      </c>
      <c r="C363" s="533">
        <v>138955</v>
      </c>
      <c r="D363" s="533">
        <v>138955</v>
      </c>
      <c r="E363" s="533">
        <v>0</v>
      </c>
      <c r="F363" s="533">
        <v>0</v>
      </c>
      <c r="G363" s="533">
        <v>0</v>
      </c>
      <c r="H363" s="533">
        <v>138955</v>
      </c>
      <c r="I363" s="533">
        <v>0</v>
      </c>
      <c r="J363" s="533">
        <v>0</v>
      </c>
      <c r="K363" s="533">
        <v>0</v>
      </c>
      <c r="L363" s="533">
        <v>0</v>
      </c>
      <c r="M363" s="533">
        <v>0</v>
      </c>
      <c r="N363" s="533">
        <v>0</v>
      </c>
      <c r="O363" s="533">
        <v>0</v>
      </c>
      <c r="P363" s="533">
        <v>0</v>
      </c>
      <c r="Q363" s="533">
        <v>0</v>
      </c>
    </row>
    <row r="364" spans="1:19">
      <c r="A364" s="532" t="s">
        <v>584</v>
      </c>
      <c r="B364" s="533">
        <v>138955</v>
      </c>
      <c r="C364" s="533">
        <v>138955</v>
      </c>
      <c r="D364" s="533">
        <v>138955</v>
      </c>
      <c r="E364" s="533">
        <v>0</v>
      </c>
      <c r="F364" s="533">
        <v>0</v>
      </c>
      <c r="G364" s="533">
        <v>0</v>
      </c>
      <c r="H364" s="533">
        <v>138955</v>
      </c>
      <c r="I364" s="533">
        <v>0</v>
      </c>
      <c r="J364" s="533">
        <v>0</v>
      </c>
      <c r="K364" s="533">
        <v>0</v>
      </c>
      <c r="L364" s="533">
        <v>0</v>
      </c>
      <c r="M364" s="533">
        <v>0</v>
      </c>
      <c r="N364" s="533">
        <v>0</v>
      </c>
      <c r="O364" s="533">
        <v>0</v>
      </c>
      <c r="P364" s="533">
        <v>0</v>
      </c>
      <c r="Q364" s="533">
        <v>0</v>
      </c>
    </row>
    <row r="365" spans="1:19">
      <c r="A365" s="532" t="s">
        <v>585</v>
      </c>
      <c r="B365" s="533">
        <v>0</v>
      </c>
      <c r="C365" s="533">
        <v>0</v>
      </c>
      <c r="D365" s="533">
        <v>0</v>
      </c>
      <c r="E365" s="533">
        <v>0</v>
      </c>
      <c r="F365" s="533">
        <v>0</v>
      </c>
      <c r="G365" s="533">
        <v>0</v>
      </c>
      <c r="H365" s="533">
        <v>0</v>
      </c>
      <c r="I365" s="533">
        <v>0</v>
      </c>
      <c r="J365" s="533">
        <v>0</v>
      </c>
      <c r="K365" s="533">
        <v>0</v>
      </c>
      <c r="L365" s="533">
        <v>0</v>
      </c>
      <c r="M365" s="533">
        <v>0</v>
      </c>
      <c r="N365" s="533">
        <v>0</v>
      </c>
      <c r="O365" s="533">
        <v>0</v>
      </c>
      <c r="P365" s="533">
        <v>0</v>
      </c>
      <c r="Q365" s="533">
        <v>0</v>
      </c>
    </row>
    <row r="366" spans="1:19">
      <c r="A366" s="532" t="s">
        <v>586</v>
      </c>
      <c r="B366" s="533">
        <v>0</v>
      </c>
      <c r="C366" s="533">
        <v>0</v>
      </c>
      <c r="D366" s="533">
        <v>0</v>
      </c>
      <c r="E366" s="533">
        <v>0</v>
      </c>
      <c r="F366" s="533">
        <v>0</v>
      </c>
      <c r="G366" s="533">
        <v>0</v>
      </c>
      <c r="H366" s="533">
        <v>0</v>
      </c>
      <c r="I366" s="533">
        <v>0</v>
      </c>
      <c r="J366" s="533">
        <v>0</v>
      </c>
      <c r="K366" s="533">
        <v>0</v>
      </c>
      <c r="L366" s="533">
        <v>0</v>
      </c>
      <c r="M366" s="533">
        <v>0</v>
      </c>
      <c r="N366" s="533">
        <v>0</v>
      </c>
      <c r="O366" s="533">
        <v>0</v>
      </c>
      <c r="P366" s="533">
        <v>0</v>
      </c>
      <c r="Q366" s="533">
        <v>0</v>
      </c>
    </row>
    <row r="367" spans="1:19">
      <c r="A367" s="532" t="s">
        <v>587</v>
      </c>
      <c r="B367" s="533">
        <v>0</v>
      </c>
      <c r="C367" s="533">
        <v>0</v>
      </c>
      <c r="D367" s="533">
        <v>0</v>
      </c>
      <c r="E367" s="533">
        <v>0</v>
      </c>
      <c r="F367" s="533">
        <v>0</v>
      </c>
      <c r="G367" s="533">
        <v>0</v>
      </c>
      <c r="H367" s="533">
        <v>0</v>
      </c>
      <c r="I367" s="533">
        <v>0</v>
      </c>
      <c r="J367" s="533">
        <v>0</v>
      </c>
      <c r="K367" s="533">
        <v>0</v>
      </c>
      <c r="L367" s="533">
        <v>0</v>
      </c>
      <c r="M367" s="533">
        <v>0</v>
      </c>
      <c r="N367" s="533">
        <v>0</v>
      </c>
      <c r="O367" s="533">
        <v>0</v>
      </c>
      <c r="P367" s="533">
        <v>0</v>
      </c>
      <c r="Q367" s="533">
        <v>0</v>
      </c>
    </row>
    <row r="368" spans="1:19">
      <c r="A368" s="532" t="s">
        <v>588</v>
      </c>
      <c r="B368" s="533">
        <v>0</v>
      </c>
      <c r="C368" s="533">
        <v>0</v>
      </c>
      <c r="D368" s="533">
        <v>0</v>
      </c>
      <c r="E368" s="533">
        <v>0</v>
      </c>
      <c r="F368" s="533">
        <v>0</v>
      </c>
      <c r="G368" s="533">
        <v>0</v>
      </c>
      <c r="H368" s="533">
        <v>0</v>
      </c>
      <c r="I368" s="533">
        <v>0</v>
      </c>
      <c r="J368" s="533">
        <v>0</v>
      </c>
      <c r="K368" s="533">
        <v>0</v>
      </c>
      <c r="L368" s="533">
        <v>0</v>
      </c>
      <c r="M368" s="533">
        <v>0</v>
      </c>
      <c r="N368" s="533">
        <v>0</v>
      </c>
      <c r="O368" s="533">
        <v>0</v>
      </c>
      <c r="P368" s="533">
        <v>0</v>
      </c>
      <c r="Q368" s="533">
        <v>0</v>
      </c>
    </row>
    <row r="369" spans="1:19">
      <c r="A369" s="532" t="s">
        <v>608</v>
      </c>
      <c r="B369" s="533">
        <v>0</v>
      </c>
      <c r="C369" s="533">
        <v>0</v>
      </c>
      <c r="D369" s="533">
        <v>0</v>
      </c>
      <c r="E369" s="533">
        <v>0</v>
      </c>
      <c r="F369" s="533">
        <v>0</v>
      </c>
      <c r="G369" s="533">
        <v>0</v>
      </c>
      <c r="H369" s="533">
        <v>0</v>
      </c>
      <c r="I369" s="533">
        <v>0</v>
      </c>
      <c r="J369" s="533">
        <v>0</v>
      </c>
      <c r="K369" s="533">
        <v>0</v>
      </c>
      <c r="L369" s="533">
        <v>0</v>
      </c>
      <c r="M369" s="533">
        <v>0</v>
      </c>
      <c r="N369" s="533">
        <v>0</v>
      </c>
      <c r="O369" s="533">
        <v>0</v>
      </c>
      <c r="P369" s="533">
        <v>0</v>
      </c>
      <c r="Q369" s="533">
        <v>0</v>
      </c>
    </row>
    <row r="371" spans="1:19">
      <c r="A371" s="529" t="s">
        <v>589</v>
      </c>
    </row>
    <row r="372" spans="1:19">
      <c r="A372" s="529" t="s">
        <v>36</v>
      </c>
      <c r="B372" s="529" t="s">
        <v>590</v>
      </c>
    </row>
    <row r="374" spans="1:19">
      <c r="A374" s="529" t="s">
        <v>340</v>
      </c>
      <c r="B374" s="529" t="s">
        <v>576</v>
      </c>
    </row>
    <row r="375" spans="1:19">
      <c r="A375" s="529" t="s">
        <v>343</v>
      </c>
      <c r="B375" s="529" t="s">
        <v>195</v>
      </c>
    </row>
    <row r="376" spans="1:19">
      <c r="A376" s="529" t="s">
        <v>578</v>
      </c>
      <c r="B376" s="529" t="s">
        <v>298</v>
      </c>
    </row>
    <row r="377" spans="1:19">
      <c r="S377" s="530" t="str">
        <f>B375</f>
        <v>Romania</v>
      </c>
    </row>
    <row r="378" spans="1:19">
      <c r="A378" s="532" t="s">
        <v>592</v>
      </c>
      <c r="B378" s="532" t="s">
        <v>593</v>
      </c>
      <c r="C378" s="532" t="s">
        <v>594</v>
      </c>
      <c r="D378" s="532" t="s">
        <v>595</v>
      </c>
      <c r="E378" s="532" t="s">
        <v>596</v>
      </c>
      <c r="F378" s="532" t="s">
        <v>597</v>
      </c>
      <c r="G378" s="532" t="s">
        <v>598</v>
      </c>
      <c r="H378" s="532" t="s">
        <v>599</v>
      </c>
      <c r="I378" s="532" t="s">
        <v>600</v>
      </c>
      <c r="J378" s="532" t="s">
        <v>232</v>
      </c>
      <c r="K378" s="532" t="s">
        <v>601</v>
      </c>
      <c r="L378" s="532" t="s">
        <v>602</v>
      </c>
      <c r="M378" s="532" t="s">
        <v>603</v>
      </c>
      <c r="N378" s="532" t="s">
        <v>604</v>
      </c>
      <c r="O378" s="532" t="s">
        <v>605</v>
      </c>
      <c r="P378" s="532" t="s">
        <v>606</v>
      </c>
      <c r="Q378" s="532" t="s">
        <v>234</v>
      </c>
      <c r="S378" s="530">
        <f>D385/1000</f>
        <v>0</v>
      </c>
    </row>
    <row r="379" spans="1:19">
      <c r="A379" s="532" t="s">
        <v>607</v>
      </c>
      <c r="B379" s="533">
        <v>250446</v>
      </c>
      <c r="C379" s="533">
        <v>8235</v>
      </c>
      <c r="D379" s="533">
        <v>8235</v>
      </c>
      <c r="E379" s="533">
        <v>0</v>
      </c>
      <c r="F379" s="533">
        <v>0</v>
      </c>
      <c r="G379" s="533">
        <v>0</v>
      </c>
      <c r="H379" s="533">
        <v>0</v>
      </c>
      <c r="I379" s="533">
        <v>8235</v>
      </c>
      <c r="J379" s="533">
        <v>0</v>
      </c>
      <c r="K379" s="533">
        <v>0</v>
      </c>
      <c r="L379" s="533">
        <v>0</v>
      </c>
      <c r="M379" s="533">
        <v>0</v>
      </c>
      <c r="N379" s="533">
        <v>242212</v>
      </c>
      <c r="O379" s="533">
        <v>242212</v>
      </c>
      <c r="P379" s="533">
        <v>0</v>
      </c>
      <c r="Q379" s="533">
        <v>0</v>
      </c>
      <c r="S379" s="530">
        <f>D384/1000</f>
        <v>0</v>
      </c>
    </row>
    <row r="380" spans="1:19">
      <c r="A380" s="532" t="s">
        <v>583</v>
      </c>
      <c r="B380" s="533">
        <v>232380</v>
      </c>
      <c r="C380" s="533">
        <v>8235</v>
      </c>
      <c r="D380" s="533">
        <v>8235</v>
      </c>
      <c r="E380" s="533">
        <v>0</v>
      </c>
      <c r="F380" s="533">
        <v>0</v>
      </c>
      <c r="G380" s="533">
        <v>0</v>
      </c>
      <c r="H380" s="533">
        <v>0</v>
      </c>
      <c r="I380" s="533">
        <v>8235</v>
      </c>
      <c r="J380" s="533">
        <v>0</v>
      </c>
      <c r="K380" s="533">
        <v>0</v>
      </c>
      <c r="L380" s="533">
        <v>0</v>
      </c>
      <c r="M380" s="533">
        <v>0</v>
      </c>
      <c r="N380" s="533">
        <v>224145</v>
      </c>
      <c r="O380" s="533">
        <v>224145</v>
      </c>
      <c r="P380" s="533">
        <v>0</v>
      </c>
      <c r="Q380" s="533">
        <v>0</v>
      </c>
    </row>
    <row r="381" spans="1:19">
      <c r="A381" s="532" t="s">
        <v>584</v>
      </c>
      <c r="B381" s="533">
        <v>144092</v>
      </c>
      <c r="C381" s="533">
        <v>220</v>
      </c>
      <c r="D381" s="533">
        <v>220</v>
      </c>
      <c r="E381" s="533">
        <v>0</v>
      </c>
      <c r="F381" s="533">
        <v>0</v>
      </c>
      <c r="G381" s="533">
        <v>0</v>
      </c>
      <c r="H381" s="533">
        <v>0</v>
      </c>
      <c r="I381" s="533">
        <v>220</v>
      </c>
      <c r="J381" s="533">
        <v>0</v>
      </c>
      <c r="K381" s="533">
        <v>0</v>
      </c>
      <c r="L381" s="533">
        <v>0</v>
      </c>
      <c r="M381" s="533">
        <v>0</v>
      </c>
      <c r="N381" s="533">
        <v>143872</v>
      </c>
      <c r="O381" s="533">
        <v>143872</v>
      </c>
      <c r="P381" s="533">
        <v>0</v>
      </c>
      <c r="Q381" s="533">
        <v>0</v>
      </c>
    </row>
    <row r="382" spans="1:19">
      <c r="A382" s="532" t="s">
        <v>585</v>
      </c>
      <c r="B382" s="533">
        <v>88288</v>
      </c>
      <c r="C382" s="533">
        <v>8015</v>
      </c>
      <c r="D382" s="533">
        <v>8015</v>
      </c>
      <c r="E382" s="533">
        <v>0</v>
      </c>
      <c r="F382" s="533">
        <v>0</v>
      </c>
      <c r="G382" s="533">
        <v>0</v>
      </c>
      <c r="H382" s="533">
        <v>0</v>
      </c>
      <c r="I382" s="533">
        <v>8015</v>
      </c>
      <c r="J382" s="533">
        <v>0</v>
      </c>
      <c r="K382" s="533">
        <v>0</v>
      </c>
      <c r="L382" s="533">
        <v>0</v>
      </c>
      <c r="M382" s="533">
        <v>0</v>
      </c>
      <c r="N382" s="533">
        <v>80273</v>
      </c>
      <c r="O382" s="533">
        <v>80273</v>
      </c>
      <c r="P382" s="533">
        <v>0</v>
      </c>
      <c r="Q382" s="533">
        <v>0</v>
      </c>
    </row>
    <row r="383" spans="1:19">
      <c r="A383" s="532" t="s">
        <v>586</v>
      </c>
      <c r="B383" s="533">
        <v>18067</v>
      </c>
      <c r="C383" s="533">
        <v>0</v>
      </c>
      <c r="D383" s="533">
        <v>0</v>
      </c>
      <c r="E383" s="533">
        <v>0</v>
      </c>
      <c r="F383" s="533">
        <v>0</v>
      </c>
      <c r="G383" s="533">
        <v>0</v>
      </c>
      <c r="H383" s="533">
        <v>0</v>
      </c>
      <c r="I383" s="533">
        <v>0</v>
      </c>
      <c r="J383" s="533">
        <v>0</v>
      </c>
      <c r="K383" s="533">
        <v>0</v>
      </c>
      <c r="L383" s="533">
        <v>0</v>
      </c>
      <c r="M383" s="533">
        <v>0</v>
      </c>
      <c r="N383" s="533">
        <v>18067</v>
      </c>
      <c r="O383" s="533">
        <v>18067</v>
      </c>
      <c r="P383" s="533">
        <v>0</v>
      </c>
      <c r="Q383" s="533">
        <v>0</v>
      </c>
    </row>
    <row r="384" spans="1:19">
      <c r="A384" s="532" t="s">
        <v>587</v>
      </c>
      <c r="B384" s="533">
        <v>0</v>
      </c>
      <c r="C384" s="533">
        <v>0</v>
      </c>
      <c r="D384" s="533">
        <v>0</v>
      </c>
      <c r="E384" s="533">
        <v>0</v>
      </c>
      <c r="F384" s="533">
        <v>0</v>
      </c>
      <c r="G384" s="533">
        <v>0</v>
      </c>
      <c r="H384" s="533">
        <v>0</v>
      </c>
      <c r="I384" s="533">
        <v>0</v>
      </c>
      <c r="J384" s="533">
        <v>0</v>
      </c>
      <c r="K384" s="533">
        <v>0</v>
      </c>
      <c r="L384" s="533">
        <v>0</v>
      </c>
      <c r="M384" s="533">
        <v>0</v>
      </c>
      <c r="N384" s="533">
        <v>0</v>
      </c>
      <c r="O384" s="533">
        <v>0</v>
      </c>
      <c r="P384" s="533">
        <v>0</v>
      </c>
      <c r="Q384" s="533">
        <v>0</v>
      </c>
    </row>
    <row r="385" spans="1:19">
      <c r="A385" s="532" t="s">
        <v>588</v>
      </c>
      <c r="B385" s="533">
        <v>18067</v>
      </c>
      <c r="C385" s="533">
        <v>0</v>
      </c>
      <c r="D385" s="533">
        <v>0</v>
      </c>
      <c r="E385" s="533">
        <v>0</v>
      </c>
      <c r="F385" s="533">
        <v>0</v>
      </c>
      <c r="G385" s="533">
        <v>0</v>
      </c>
      <c r="H385" s="533">
        <v>0</v>
      </c>
      <c r="I385" s="533">
        <v>0</v>
      </c>
      <c r="J385" s="533">
        <v>0</v>
      </c>
      <c r="K385" s="533">
        <v>0</v>
      </c>
      <c r="L385" s="533">
        <v>0</v>
      </c>
      <c r="M385" s="533">
        <v>0</v>
      </c>
      <c r="N385" s="533">
        <v>18067</v>
      </c>
      <c r="O385" s="533">
        <v>18067</v>
      </c>
      <c r="P385" s="533">
        <v>0</v>
      </c>
      <c r="Q385" s="533">
        <v>0</v>
      </c>
    </row>
    <row r="386" spans="1:19">
      <c r="A386" s="532" t="s">
        <v>608</v>
      </c>
      <c r="B386" s="533">
        <v>543</v>
      </c>
      <c r="C386" s="533">
        <v>122</v>
      </c>
      <c r="D386" s="533">
        <v>122</v>
      </c>
      <c r="E386" s="533">
        <v>0</v>
      </c>
      <c r="F386" s="533">
        <v>0</v>
      </c>
      <c r="G386" s="533">
        <v>0</v>
      </c>
      <c r="H386" s="533">
        <v>0</v>
      </c>
      <c r="I386" s="533">
        <v>122</v>
      </c>
      <c r="J386" s="533">
        <v>0</v>
      </c>
      <c r="K386" s="533">
        <v>0</v>
      </c>
      <c r="L386" s="533">
        <v>0</v>
      </c>
      <c r="M386" s="533">
        <v>0</v>
      </c>
      <c r="N386" s="533">
        <v>421</v>
      </c>
      <c r="O386" s="533">
        <v>421</v>
      </c>
      <c r="P386" s="533">
        <v>0</v>
      </c>
      <c r="Q386" s="533">
        <v>0</v>
      </c>
    </row>
    <row r="388" spans="1:19">
      <c r="A388" s="529" t="s">
        <v>589</v>
      </c>
    </row>
    <row r="389" spans="1:19">
      <c r="A389" s="529" t="s">
        <v>36</v>
      </c>
      <c r="B389" s="529" t="s">
        <v>590</v>
      </c>
    </row>
    <row r="391" spans="1:19">
      <c r="A391" s="529" t="s">
        <v>340</v>
      </c>
      <c r="B391" s="529" t="s">
        <v>576</v>
      </c>
    </row>
    <row r="392" spans="1:19">
      <c r="A392" s="529" t="s">
        <v>343</v>
      </c>
      <c r="B392" s="529" t="s">
        <v>196</v>
      </c>
    </row>
    <row r="393" spans="1:19">
      <c r="A393" s="529" t="s">
        <v>578</v>
      </c>
      <c r="B393" s="529" t="s">
        <v>298</v>
      </c>
    </row>
    <row r="394" spans="1:19">
      <c r="S394" s="530" t="str">
        <f>B392</f>
        <v>Slovenia</v>
      </c>
    </row>
    <row r="395" spans="1:19">
      <c r="A395" s="532" t="s">
        <v>592</v>
      </c>
      <c r="B395" s="532" t="s">
        <v>593</v>
      </c>
      <c r="C395" s="532" t="s">
        <v>594</v>
      </c>
      <c r="D395" s="532" t="s">
        <v>595</v>
      </c>
      <c r="E395" s="532" t="s">
        <v>596</v>
      </c>
      <c r="F395" s="532" t="s">
        <v>597</v>
      </c>
      <c r="G395" s="532" t="s">
        <v>598</v>
      </c>
      <c r="H395" s="532" t="s">
        <v>599</v>
      </c>
      <c r="I395" s="532" t="s">
        <v>600</v>
      </c>
      <c r="J395" s="532" t="s">
        <v>232</v>
      </c>
      <c r="K395" s="532" t="s">
        <v>601</v>
      </c>
      <c r="L395" s="532" t="s">
        <v>602</v>
      </c>
      <c r="M395" s="532" t="s">
        <v>603</v>
      </c>
      <c r="N395" s="532" t="s">
        <v>604</v>
      </c>
      <c r="O395" s="532" t="s">
        <v>605</v>
      </c>
      <c r="P395" s="532" t="s">
        <v>606</v>
      </c>
      <c r="Q395" s="532" t="s">
        <v>234</v>
      </c>
      <c r="S395" s="530">
        <f>D402/1000</f>
        <v>0.32600000000000001</v>
      </c>
    </row>
    <row r="396" spans="1:19">
      <c r="A396" s="532" t="s">
        <v>607</v>
      </c>
      <c r="B396" s="533">
        <v>59100</v>
      </c>
      <c r="C396" s="533">
        <v>8944</v>
      </c>
      <c r="D396" s="533">
        <v>8944</v>
      </c>
      <c r="E396" s="533">
        <v>0</v>
      </c>
      <c r="F396" s="533">
        <v>0</v>
      </c>
      <c r="G396" s="533">
        <v>0</v>
      </c>
      <c r="H396" s="533">
        <v>0</v>
      </c>
      <c r="I396" s="533">
        <v>8944</v>
      </c>
      <c r="J396" s="533">
        <v>0</v>
      </c>
      <c r="K396" s="533">
        <v>0</v>
      </c>
      <c r="L396" s="533">
        <v>0</v>
      </c>
      <c r="M396" s="533">
        <v>0</v>
      </c>
      <c r="N396" s="533">
        <v>50156</v>
      </c>
      <c r="O396" s="533">
        <v>50156</v>
      </c>
      <c r="P396" s="533">
        <v>0</v>
      </c>
      <c r="Q396" s="533">
        <v>0</v>
      </c>
      <c r="S396" s="530">
        <f>D401/1000</f>
        <v>0</v>
      </c>
    </row>
    <row r="397" spans="1:19">
      <c r="A397" s="532" t="s">
        <v>583</v>
      </c>
      <c r="B397" s="533">
        <v>58774</v>
      </c>
      <c r="C397" s="533">
        <v>8618</v>
      </c>
      <c r="D397" s="533">
        <v>8618</v>
      </c>
      <c r="E397" s="533">
        <v>0</v>
      </c>
      <c r="F397" s="533">
        <v>0</v>
      </c>
      <c r="G397" s="533">
        <v>0</v>
      </c>
      <c r="H397" s="533">
        <v>0</v>
      </c>
      <c r="I397" s="533">
        <v>8618</v>
      </c>
      <c r="J397" s="533">
        <v>0</v>
      </c>
      <c r="K397" s="533">
        <v>0</v>
      </c>
      <c r="L397" s="533">
        <v>0</v>
      </c>
      <c r="M397" s="533">
        <v>0</v>
      </c>
      <c r="N397" s="533">
        <v>50156</v>
      </c>
      <c r="O397" s="533">
        <v>50156</v>
      </c>
      <c r="P397" s="533">
        <v>0</v>
      </c>
      <c r="Q397" s="533">
        <v>0</v>
      </c>
    </row>
    <row r="398" spans="1:19">
      <c r="A398" s="532" t="s">
        <v>584</v>
      </c>
      <c r="B398" s="533">
        <v>6198</v>
      </c>
      <c r="C398" s="533">
        <v>0</v>
      </c>
      <c r="D398" s="533">
        <v>0</v>
      </c>
      <c r="E398" s="533">
        <v>0</v>
      </c>
      <c r="F398" s="533">
        <v>0</v>
      </c>
      <c r="G398" s="533">
        <v>0</v>
      </c>
      <c r="H398" s="533">
        <v>0</v>
      </c>
      <c r="I398" s="533">
        <v>0</v>
      </c>
      <c r="J398" s="533">
        <v>0</v>
      </c>
      <c r="K398" s="533">
        <v>0</v>
      </c>
      <c r="L398" s="533">
        <v>0</v>
      </c>
      <c r="M398" s="533">
        <v>0</v>
      </c>
      <c r="N398" s="533">
        <v>6198</v>
      </c>
      <c r="O398" s="533">
        <v>6198</v>
      </c>
      <c r="P398" s="533">
        <v>0</v>
      </c>
      <c r="Q398" s="533">
        <v>0</v>
      </c>
    </row>
    <row r="399" spans="1:19">
      <c r="A399" s="532" t="s">
        <v>585</v>
      </c>
      <c r="B399" s="533">
        <v>52576</v>
      </c>
      <c r="C399" s="533">
        <v>8618</v>
      </c>
      <c r="D399" s="533">
        <v>8618</v>
      </c>
      <c r="E399" s="533">
        <v>0</v>
      </c>
      <c r="F399" s="533">
        <v>0</v>
      </c>
      <c r="G399" s="533">
        <v>0</v>
      </c>
      <c r="H399" s="533">
        <v>0</v>
      </c>
      <c r="I399" s="533">
        <v>8618</v>
      </c>
      <c r="J399" s="533">
        <v>0</v>
      </c>
      <c r="K399" s="533">
        <v>0</v>
      </c>
      <c r="L399" s="533">
        <v>0</v>
      </c>
      <c r="M399" s="533">
        <v>0</v>
      </c>
      <c r="N399" s="533">
        <v>43957</v>
      </c>
      <c r="O399" s="533">
        <v>43957</v>
      </c>
      <c r="P399" s="533">
        <v>0</v>
      </c>
      <c r="Q399" s="533">
        <v>0</v>
      </c>
    </row>
    <row r="400" spans="1:19">
      <c r="A400" s="532" t="s">
        <v>586</v>
      </c>
      <c r="B400" s="533">
        <v>326</v>
      </c>
      <c r="C400" s="533">
        <v>326</v>
      </c>
      <c r="D400" s="533">
        <v>326</v>
      </c>
      <c r="E400" s="533">
        <v>0</v>
      </c>
      <c r="F400" s="533">
        <v>0</v>
      </c>
      <c r="G400" s="533">
        <v>0</v>
      </c>
      <c r="H400" s="533">
        <v>0</v>
      </c>
      <c r="I400" s="533">
        <v>326</v>
      </c>
      <c r="J400" s="533">
        <v>0</v>
      </c>
      <c r="K400" s="533">
        <v>0</v>
      </c>
      <c r="L400" s="533">
        <v>0</v>
      </c>
      <c r="M400" s="533">
        <v>0</v>
      </c>
      <c r="N400" s="533">
        <v>0</v>
      </c>
      <c r="O400" s="533">
        <v>0</v>
      </c>
      <c r="P400" s="533">
        <v>0</v>
      </c>
      <c r="Q400" s="533">
        <v>0</v>
      </c>
    </row>
    <row r="401" spans="1:19">
      <c r="A401" s="532" t="s">
        <v>587</v>
      </c>
      <c r="B401" s="533">
        <v>0</v>
      </c>
      <c r="C401" s="533">
        <v>0</v>
      </c>
      <c r="D401" s="533">
        <v>0</v>
      </c>
      <c r="E401" s="533">
        <v>0</v>
      </c>
      <c r="F401" s="533">
        <v>0</v>
      </c>
      <c r="G401" s="533">
        <v>0</v>
      </c>
      <c r="H401" s="533">
        <v>0</v>
      </c>
      <c r="I401" s="533">
        <v>0</v>
      </c>
      <c r="J401" s="533">
        <v>0</v>
      </c>
      <c r="K401" s="533">
        <v>0</v>
      </c>
      <c r="L401" s="533">
        <v>0</v>
      </c>
      <c r="M401" s="533">
        <v>0</v>
      </c>
      <c r="N401" s="533">
        <v>0</v>
      </c>
      <c r="O401" s="533">
        <v>0</v>
      </c>
      <c r="P401" s="533">
        <v>0</v>
      </c>
      <c r="Q401" s="533">
        <v>0</v>
      </c>
    </row>
    <row r="402" spans="1:19">
      <c r="A402" s="532" t="s">
        <v>588</v>
      </c>
      <c r="B402" s="533">
        <v>326</v>
      </c>
      <c r="C402" s="533">
        <v>326</v>
      </c>
      <c r="D402" s="533">
        <v>326</v>
      </c>
      <c r="E402" s="533">
        <v>0</v>
      </c>
      <c r="F402" s="533">
        <v>0</v>
      </c>
      <c r="G402" s="533">
        <v>0</v>
      </c>
      <c r="H402" s="533">
        <v>0</v>
      </c>
      <c r="I402" s="533">
        <v>326</v>
      </c>
      <c r="J402" s="533">
        <v>0</v>
      </c>
      <c r="K402" s="533">
        <v>0</v>
      </c>
      <c r="L402" s="533">
        <v>0</v>
      </c>
      <c r="M402" s="533">
        <v>0</v>
      </c>
      <c r="N402" s="533">
        <v>0</v>
      </c>
      <c r="O402" s="533">
        <v>0</v>
      </c>
      <c r="P402" s="533">
        <v>0</v>
      </c>
      <c r="Q402" s="533">
        <v>0</v>
      </c>
    </row>
    <row r="403" spans="1:19">
      <c r="A403" s="532" t="s">
        <v>608</v>
      </c>
      <c r="B403" s="533">
        <v>20</v>
      </c>
      <c r="C403" s="533">
        <v>20</v>
      </c>
      <c r="D403" s="533">
        <v>20</v>
      </c>
      <c r="E403" s="533">
        <v>0</v>
      </c>
      <c r="F403" s="533">
        <v>0</v>
      </c>
      <c r="G403" s="533">
        <v>0</v>
      </c>
      <c r="H403" s="533">
        <v>0</v>
      </c>
      <c r="I403" s="533">
        <v>20</v>
      </c>
      <c r="J403" s="533">
        <v>0</v>
      </c>
      <c r="K403" s="533">
        <v>0</v>
      </c>
      <c r="L403" s="533">
        <v>0</v>
      </c>
      <c r="M403" s="533">
        <v>0</v>
      </c>
      <c r="N403" s="533">
        <v>0</v>
      </c>
      <c r="O403" s="533">
        <v>0</v>
      </c>
      <c r="P403" s="533">
        <v>0</v>
      </c>
      <c r="Q403" s="533">
        <v>0</v>
      </c>
    </row>
    <row r="405" spans="1:19">
      <c r="A405" s="529" t="s">
        <v>589</v>
      </c>
    </row>
    <row r="406" spans="1:19">
      <c r="A406" s="529" t="s">
        <v>36</v>
      </c>
      <c r="B406" s="529" t="s">
        <v>590</v>
      </c>
    </row>
    <row r="408" spans="1:19">
      <c r="A408" s="529" t="s">
        <v>340</v>
      </c>
      <c r="B408" s="529" t="s">
        <v>576</v>
      </c>
    </row>
    <row r="409" spans="1:19">
      <c r="A409" s="529" t="s">
        <v>343</v>
      </c>
      <c r="B409" s="529" t="s">
        <v>197</v>
      </c>
    </row>
    <row r="410" spans="1:19">
      <c r="A410" s="529" t="s">
        <v>578</v>
      </c>
      <c r="B410" s="529" t="s">
        <v>298</v>
      </c>
    </row>
    <row r="411" spans="1:19">
      <c r="S411" s="530" t="str">
        <f>B409</f>
        <v>Slovakia</v>
      </c>
    </row>
    <row r="412" spans="1:19">
      <c r="A412" s="532" t="s">
        <v>592</v>
      </c>
      <c r="B412" s="532" t="s">
        <v>593</v>
      </c>
      <c r="C412" s="532" t="s">
        <v>594</v>
      </c>
      <c r="D412" s="532" t="s">
        <v>595</v>
      </c>
      <c r="E412" s="532" t="s">
        <v>596</v>
      </c>
      <c r="F412" s="532" t="s">
        <v>597</v>
      </c>
      <c r="G412" s="532" t="s">
        <v>598</v>
      </c>
      <c r="H412" s="532" t="s">
        <v>599</v>
      </c>
      <c r="I412" s="532" t="s">
        <v>600</v>
      </c>
      <c r="J412" s="532" t="s">
        <v>232</v>
      </c>
      <c r="K412" s="532" t="s">
        <v>601</v>
      </c>
      <c r="L412" s="532" t="s">
        <v>602</v>
      </c>
      <c r="M412" s="532" t="s">
        <v>603</v>
      </c>
      <c r="N412" s="532" t="s">
        <v>604</v>
      </c>
      <c r="O412" s="532" t="s">
        <v>605</v>
      </c>
      <c r="P412" s="532" t="s">
        <v>606</v>
      </c>
      <c r="Q412" s="532" t="s">
        <v>234</v>
      </c>
      <c r="S412" s="530">
        <f>D419/1000</f>
        <v>5.4489999999999998</v>
      </c>
    </row>
    <row r="413" spans="1:19">
      <c r="A413" s="532" t="s">
        <v>607</v>
      </c>
      <c r="B413" s="533">
        <v>70223</v>
      </c>
      <c r="C413" s="533">
        <v>39816</v>
      </c>
      <c r="D413" s="533">
        <v>39816</v>
      </c>
      <c r="E413" s="533">
        <v>0</v>
      </c>
      <c r="F413" s="533">
        <v>3875</v>
      </c>
      <c r="G413" s="533">
        <v>0</v>
      </c>
      <c r="H413" s="533">
        <v>35941</v>
      </c>
      <c r="I413" s="533">
        <v>0</v>
      </c>
      <c r="J413" s="533">
        <v>0</v>
      </c>
      <c r="K413" s="533">
        <v>0</v>
      </c>
      <c r="L413" s="533">
        <v>0</v>
      </c>
      <c r="M413" s="533">
        <v>0</v>
      </c>
      <c r="N413" s="533">
        <v>30407</v>
      </c>
      <c r="O413" s="533">
        <v>30407</v>
      </c>
      <c r="P413" s="533">
        <v>0</v>
      </c>
      <c r="Q413" s="533">
        <v>0</v>
      </c>
      <c r="S413" s="530">
        <f>D418/1000</f>
        <v>0</v>
      </c>
    </row>
    <row r="414" spans="1:19">
      <c r="A414" s="532" t="s">
        <v>583</v>
      </c>
      <c r="B414" s="533">
        <v>64491</v>
      </c>
      <c r="C414" s="533">
        <v>34367</v>
      </c>
      <c r="D414" s="533">
        <v>34367</v>
      </c>
      <c r="E414" s="533">
        <v>0</v>
      </c>
      <c r="F414" s="533">
        <v>3875</v>
      </c>
      <c r="G414" s="533">
        <v>0</v>
      </c>
      <c r="H414" s="533">
        <v>30493</v>
      </c>
      <c r="I414" s="533">
        <v>0</v>
      </c>
      <c r="J414" s="533">
        <v>0</v>
      </c>
      <c r="K414" s="533">
        <v>0</v>
      </c>
      <c r="L414" s="533">
        <v>0</v>
      </c>
      <c r="M414" s="533">
        <v>0</v>
      </c>
      <c r="N414" s="533">
        <v>30124</v>
      </c>
      <c r="O414" s="533">
        <v>30124</v>
      </c>
      <c r="P414" s="533">
        <v>0</v>
      </c>
      <c r="Q414" s="533">
        <v>0</v>
      </c>
    </row>
    <row r="415" spans="1:19">
      <c r="A415" s="532" t="s">
        <v>584</v>
      </c>
      <c r="B415" s="533">
        <v>9801</v>
      </c>
      <c r="C415" s="533">
        <v>0</v>
      </c>
      <c r="D415" s="533">
        <v>0</v>
      </c>
      <c r="E415" s="533">
        <v>0</v>
      </c>
      <c r="F415" s="533">
        <v>0</v>
      </c>
      <c r="G415" s="533">
        <v>0</v>
      </c>
      <c r="H415" s="533">
        <v>0</v>
      </c>
      <c r="I415" s="533">
        <v>0</v>
      </c>
      <c r="J415" s="533">
        <v>0</v>
      </c>
      <c r="K415" s="533">
        <v>0</v>
      </c>
      <c r="L415" s="533">
        <v>0</v>
      </c>
      <c r="M415" s="533">
        <v>0</v>
      </c>
      <c r="N415" s="533">
        <v>9801</v>
      </c>
      <c r="O415" s="533">
        <v>9801</v>
      </c>
      <c r="P415" s="533">
        <v>0</v>
      </c>
      <c r="Q415" s="533">
        <v>0</v>
      </c>
    </row>
    <row r="416" spans="1:19">
      <c r="A416" s="532" t="s">
        <v>585</v>
      </c>
      <c r="B416" s="533">
        <v>54690</v>
      </c>
      <c r="C416" s="533">
        <v>34367</v>
      </c>
      <c r="D416" s="533">
        <v>34367</v>
      </c>
      <c r="E416" s="533">
        <v>0</v>
      </c>
      <c r="F416" s="533">
        <v>3875</v>
      </c>
      <c r="G416" s="533">
        <v>0</v>
      </c>
      <c r="H416" s="533">
        <v>30493</v>
      </c>
      <c r="I416" s="533">
        <v>0</v>
      </c>
      <c r="J416" s="533">
        <v>0</v>
      </c>
      <c r="K416" s="533">
        <v>0</v>
      </c>
      <c r="L416" s="533">
        <v>0</v>
      </c>
      <c r="M416" s="533">
        <v>0</v>
      </c>
      <c r="N416" s="533">
        <v>20323</v>
      </c>
      <c r="O416" s="533">
        <v>20323</v>
      </c>
      <c r="P416" s="533">
        <v>0</v>
      </c>
      <c r="Q416" s="533">
        <v>0</v>
      </c>
    </row>
    <row r="417" spans="1:19">
      <c r="A417" s="532" t="s">
        <v>586</v>
      </c>
      <c r="B417" s="533">
        <v>5732</v>
      </c>
      <c r="C417" s="533">
        <v>5449</v>
      </c>
      <c r="D417" s="533">
        <v>5449</v>
      </c>
      <c r="E417" s="533">
        <v>0</v>
      </c>
      <c r="F417" s="533">
        <v>0</v>
      </c>
      <c r="G417" s="533">
        <v>0</v>
      </c>
      <c r="H417" s="533">
        <v>5449</v>
      </c>
      <c r="I417" s="533">
        <v>0</v>
      </c>
      <c r="J417" s="533">
        <v>0</v>
      </c>
      <c r="K417" s="533">
        <v>0</v>
      </c>
      <c r="L417" s="533">
        <v>0</v>
      </c>
      <c r="M417" s="533">
        <v>0</v>
      </c>
      <c r="N417" s="533">
        <v>283</v>
      </c>
      <c r="O417" s="533">
        <v>283</v>
      </c>
      <c r="P417" s="533">
        <v>0</v>
      </c>
      <c r="Q417" s="533">
        <v>0</v>
      </c>
    </row>
    <row r="418" spans="1:19">
      <c r="A418" s="532" t="s">
        <v>587</v>
      </c>
      <c r="B418" s="533">
        <v>0</v>
      </c>
      <c r="C418" s="533">
        <v>0</v>
      </c>
      <c r="D418" s="533">
        <v>0</v>
      </c>
      <c r="E418" s="533">
        <v>0</v>
      </c>
      <c r="F418" s="533">
        <v>0</v>
      </c>
      <c r="G418" s="533">
        <v>0</v>
      </c>
      <c r="H418" s="533">
        <v>0</v>
      </c>
      <c r="I418" s="533">
        <v>0</v>
      </c>
      <c r="J418" s="533">
        <v>0</v>
      </c>
      <c r="K418" s="533">
        <v>0</v>
      </c>
      <c r="L418" s="533">
        <v>0</v>
      </c>
      <c r="M418" s="533">
        <v>0</v>
      </c>
      <c r="N418" s="533">
        <v>0</v>
      </c>
      <c r="O418" s="533">
        <v>0</v>
      </c>
      <c r="P418" s="533">
        <v>0</v>
      </c>
      <c r="Q418" s="533">
        <v>0</v>
      </c>
    </row>
    <row r="419" spans="1:19">
      <c r="A419" s="532" t="s">
        <v>588</v>
      </c>
      <c r="B419" s="533">
        <v>5732</v>
      </c>
      <c r="C419" s="533">
        <v>5449</v>
      </c>
      <c r="D419" s="533">
        <v>5449</v>
      </c>
      <c r="E419" s="533">
        <v>0</v>
      </c>
      <c r="F419" s="533">
        <v>0</v>
      </c>
      <c r="G419" s="533">
        <v>0</v>
      </c>
      <c r="H419" s="533">
        <v>5449</v>
      </c>
      <c r="I419" s="533">
        <v>0</v>
      </c>
      <c r="J419" s="533">
        <v>0</v>
      </c>
      <c r="K419" s="533">
        <v>0</v>
      </c>
      <c r="L419" s="533">
        <v>0</v>
      </c>
      <c r="M419" s="533">
        <v>0</v>
      </c>
      <c r="N419" s="533">
        <v>283</v>
      </c>
      <c r="O419" s="533">
        <v>283</v>
      </c>
      <c r="P419" s="533">
        <v>0</v>
      </c>
      <c r="Q419" s="533">
        <v>0</v>
      </c>
    </row>
    <row r="420" spans="1:19">
      <c r="A420" s="532" t="s">
        <v>609</v>
      </c>
      <c r="B420" s="533">
        <v>0</v>
      </c>
      <c r="C420" s="533">
        <v>0</v>
      </c>
      <c r="D420" s="533">
        <v>0</v>
      </c>
      <c r="E420" s="533">
        <v>0</v>
      </c>
      <c r="F420" s="533">
        <v>0</v>
      </c>
      <c r="G420" s="533">
        <v>0</v>
      </c>
      <c r="H420" s="533">
        <v>0</v>
      </c>
      <c r="I420" s="533">
        <v>0</v>
      </c>
      <c r="J420" s="533">
        <v>0</v>
      </c>
      <c r="K420" s="533">
        <v>0</v>
      </c>
      <c r="L420" s="533">
        <v>0</v>
      </c>
      <c r="M420" s="533">
        <v>0</v>
      </c>
      <c r="N420" s="533">
        <v>0</v>
      </c>
      <c r="O420" s="533">
        <v>0</v>
      </c>
      <c r="P420" s="533">
        <v>0</v>
      </c>
      <c r="Q420" s="533">
        <v>0</v>
      </c>
    </row>
    <row r="422" spans="1:19">
      <c r="A422" s="529" t="s">
        <v>589</v>
      </c>
    </row>
    <row r="423" spans="1:19">
      <c r="A423" s="529" t="s">
        <v>36</v>
      </c>
      <c r="B423" s="529" t="s">
        <v>590</v>
      </c>
    </row>
    <row r="425" spans="1:19">
      <c r="A425" s="529" t="s">
        <v>340</v>
      </c>
      <c r="B425" s="529" t="s">
        <v>576</v>
      </c>
    </row>
    <row r="426" spans="1:19">
      <c r="A426" s="529" t="s">
        <v>343</v>
      </c>
      <c r="B426" s="529" t="s">
        <v>198</v>
      </c>
    </row>
    <row r="427" spans="1:19">
      <c r="A427" s="529" t="s">
        <v>578</v>
      </c>
      <c r="B427" s="529" t="s">
        <v>298</v>
      </c>
    </row>
    <row r="428" spans="1:19">
      <c r="S428" s="530" t="str">
        <f>B426</f>
        <v>Finland</v>
      </c>
    </row>
    <row r="429" spans="1:19">
      <c r="A429" s="532" t="s">
        <v>592</v>
      </c>
      <c r="B429" s="532" t="s">
        <v>593</v>
      </c>
      <c r="C429" s="532" t="s">
        <v>594</v>
      </c>
      <c r="D429" s="532" t="s">
        <v>595</v>
      </c>
      <c r="E429" s="532" t="s">
        <v>596</v>
      </c>
      <c r="F429" s="532" t="s">
        <v>597</v>
      </c>
      <c r="G429" s="532" t="s">
        <v>598</v>
      </c>
      <c r="H429" s="532" t="s">
        <v>599</v>
      </c>
      <c r="I429" s="532" t="s">
        <v>600</v>
      </c>
      <c r="J429" s="532" t="s">
        <v>232</v>
      </c>
      <c r="K429" s="532" t="s">
        <v>601</v>
      </c>
      <c r="L429" s="532" t="s">
        <v>602</v>
      </c>
      <c r="M429" s="532" t="s">
        <v>603</v>
      </c>
      <c r="N429" s="532" t="s">
        <v>604</v>
      </c>
      <c r="O429" s="532" t="s">
        <v>605</v>
      </c>
      <c r="P429" s="532" t="s">
        <v>606</v>
      </c>
      <c r="Q429" s="532" t="s">
        <v>234</v>
      </c>
      <c r="S429" s="530">
        <f>D436/1000</f>
        <v>0.45900000000000002</v>
      </c>
    </row>
    <row r="430" spans="1:19">
      <c r="A430" s="532" t="s">
        <v>607</v>
      </c>
      <c r="B430" s="533">
        <v>125409</v>
      </c>
      <c r="C430" s="533">
        <v>71769</v>
      </c>
      <c r="D430" s="533">
        <v>71732</v>
      </c>
      <c r="E430" s="533">
        <v>0</v>
      </c>
      <c r="F430" s="533">
        <v>0</v>
      </c>
      <c r="G430" s="533">
        <v>0</v>
      </c>
      <c r="H430" s="533">
        <v>71732</v>
      </c>
      <c r="I430" s="533">
        <v>0</v>
      </c>
      <c r="J430" s="533">
        <v>0</v>
      </c>
      <c r="K430" s="533">
        <v>0</v>
      </c>
      <c r="L430" s="533">
        <v>0</v>
      </c>
      <c r="M430" s="533">
        <v>38</v>
      </c>
      <c r="N430" s="533">
        <v>53640</v>
      </c>
      <c r="O430" s="533">
        <v>0</v>
      </c>
      <c r="P430" s="533">
        <v>0</v>
      </c>
      <c r="Q430" s="533">
        <v>53640</v>
      </c>
      <c r="S430" s="530">
        <f>D435/1000</f>
        <v>0</v>
      </c>
    </row>
    <row r="431" spans="1:19">
      <c r="A431" s="532" t="s">
        <v>583</v>
      </c>
      <c r="B431" s="533">
        <v>122212</v>
      </c>
      <c r="C431" s="533">
        <v>71273</v>
      </c>
      <c r="D431" s="533">
        <v>71273</v>
      </c>
      <c r="E431" s="533">
        <v>0</v>
      </c>
      <c r="F431" s="533">
        <v>0</v>
      </c>
      <c r="G431" s="533">
        <v>0</v>
      </c>
      <c r="H431" s="533">
        <v>71273</v>
      </c>
      <c r="I431" s="533">
        <v>0</v>
      </c>
      <c r="J431" s="533">
        <v>0</v>
      </c>
      <c r="K431" s="533">
        <v>0</v>
      </c>
      <c r="L431" s="533">
        <v>0</v>
      </c>
      <c r="M431" s="533">
        <v>0</v>
      </c>
      <c r="N431" s="533">
        <v>50940</v>
      </c>
      <c r="O431" s="533">
        <v>0</v>
      </c>
      <c r="P431" s="533">
        <v>0</v>
      </c>
      <c r="Q431" s="533">
        <v>50940</v>
      </c>
    </row>
    <row r="432" spans="1:19">
      <c r="A432" s="532" t="s">
        <v>584</v>
      </c>
      <c r="B432" s="533">
        <v>32394</v>
      </c>
      <c r="C432" s="533">
        <v>20400</v>
      </c>
      <c r="D432" s="533">
        <v>20400</v>
      </c>
      <c r="E432" s="533">
        <v>0</v>
      </c>
      <c r="F432" s="533">
        <v>0</v>
      </c>
      <c r="G432" s="533">
        <v>0</v>
      </c>
      <c r="H432" s="533">
        <v>20400</v>
      </c>
      <c r="I432" s="533">
        <v>0</v>
      </c>
      <c r="J432" s="533">
        <v>0</v>
      </c>
      <c r="K432" s="533">
        <v>0</v>
      </c>
      <c r="L432" s="533">
        <v>0</v>
      </c>
      <c r="M432" s="533">
        <v>0</v>
      </c>
      <c r="N432" s="533">
        <v>11994</v>
      </c>
      <c r="O432" s="533">
        <v>0</v>
      </c>
      <c r="P432" s="533">
        <v>0</v>
      </c>
      <c r="Q432" s="533">
        <v>11994</v>
      </c>
    </row>
    <row r="433" spans="1:19">
      <c r="A433" s="532" t="s">
        <v>585</v>
      </c>
      <c r="B433" s="533">
        <v>89819</v>
      </c>
      <c r="C433" s="533">
        <v>50873</v>
      </c>
      <c r="D433" s="533">
        <v>50873</v>
      </c>
      <c r="E433" s="533">
        <v>0</v>
      </c>
      <c r="F433" s="533">
        <v>0</v>
      </c>
      <c r="G433" s="533">
        <v>0</v>
      </c>
      <c r="H433" s="533">
        <v>50873</v>
      </c>
      <c r="I433" s="533">
        <v>0</v>
      </c>
      <c r="J433" s="533">
        <v>0</v>
      </c>
      <c r="K433" s="533">
        <v>0</v>
      </c>
      <c r="L433" s="533">
        <v>0</v>
      </c>
      <c r="M433" s="533">
        <v>0</v>
      </c>
      <c r="N433" s="533">
        <v>38946</v>
      </c>
      <c r="O433" s="533">
        <v>0</v>
      </c>
      <c r="P433" s="533">
        <v>0</v>
      </c>
      <c r="Q433" s="533">
        <v>38946</v>
      </c>
    </row>
    <row r="434" spans="1:19">
      <c r="A434" s="532" t="s">
        <v>586</v>
      </c>
      <c r="B434" s="533">
        <v>3197</v>
      </c>
      <c r="C434" s="533">
        <v>497</v>
      </c>
      <c r="D434" s="533">
        <v>459</v>
      </c>
      <c r="E434" s="533">
        <v>0</v>
      </c>
      <c r="F434" s="533">
        <v>0</v>
      </c>
      <c r="G434" s="533">
        <v>0</v>
      </c>
      <c r="H434" s="533">
        <v>459</v>
      </c>
      <c r="I434" s="533">
        <v>0</v>
      </c>
      <c r="J434" s="533">
        <v>0</v>
      </c>
      <c r="K434" s="533">
        <v>0</v>
      </c>
      <c r="L434" s="533">
        <v>0</v>
      </c>
      <c r="M434" s="533">
        <v>38</v>
      </c>
      <c r="N434" s="533">
        <v>2700</v>
      </c>
      <c r="O434" s="533">
        <v>0</v>
      </c>
      <c r="P434" s="533">
        <v>0</v>
      </c>
      <c r="Q434" s="533">
        <v>2700</v>
      </c>
    </row>
    <row r="435" spans="1:19">
      <c r="A435" s="532" t="s">
        <v>587</v>
      </c>
      <c r="B435" s="533">
        <v>48</v>
      </c>
      <c r="C435" s="533">
        <v>38</v>
      </c>
      <c r="D435" s="533">
        <v>0</v>
      </c>
      <c r="E435" s="533">
        <v>0</v>
      </c>
      <c r="F435" s="533">
        <v>0</v>
      </c>
      <c r="G435" s="533">
        <v>0</v>
      </c>
      <c r="H435" s="533">
        <v>0</v>
      </c>
      <c r="I435" s="533">
        <v>0</v>
      </c>
      <c r="J435" s="533">
        <v>0</v>
      </c>
      <c r="K435" s="533">
        <v>0</v>
      </c>
      <c r="L435" s="533">
        <v>0</v>
      </c>
      <c r="M435" s="533">
        <v>38</v>
      </c>
      <c r="N435" s="533">
        <v>10</v>
      </c>
      <c r="O435" s="533">
        <v>0</v>
      </c>
      <c r="P435" s="533">
        <v>0</v>
      </c>
      <c r="Q435" s="533">
        <v>10</v>
      </c>
    </row>
    <row r="436" spans="1:19">
      <c r="A436" s="532" t="s">
        <v>588</v>
      </c>
      <c r="B436" s="533">
        <v>3149</v>
      </c>
      <c r="C436" s="533">
        <v>459</v>
      </c>
      <c r="D436" s="533">
        <v>459</v>
      </c>
      <c r="E436" s="533">
        <v>0</v>
      </c>
      <c r="F436" s="533">
        <v>0</v>
      </c>
      <c r="G436" s="533">
        <v>0</v>
      </c>
      <c r="H436" s="533">
        <v>459</v>
      </c>
      <c r="I436" s="533">
        <v>0</v>
      </c>
      <c r="J436" s="533">
        <v>0</v>
      </c>
      <c r="K436" s="533">
        <v>0</v>
      </c>
      <c r="L436" s="533">
        <v>0</v>
      </c>
      <c r="M436" s="533">
        <v>0</v>
      </c>
      <c r="N436" s="533">
        <v>2690</v>
      </c>
      <c r="O436" s="533">
        <v>0</v>
      </c>
      <c r="P436" s="533">
        <v>0</v>
      </c>
      <c r="Q436" s="533">
        <v>2690</v>
      </c>
    </row>
    <row r="437" spans="1:19">
      <c r="A437" s="532" t="s">
        <v>608</v>
      </c>
      <c r="B437" s="533">
        <v>8195</v>
      </c>
      <c r="C437" s="533">
        <v>2754</v>
      </c>
      <c r="D437" s="533">
        <v>2754</v>
      </c>
      <c r="E437" s="533">
        <v>0</v>
      </c>
      <c r="F437" s="533">
        <v>0</v>
      </c>
      <c r="G437" s="533">
        <v>0</v>
      </c>
      <c r="H437" s="533">
        <v>2754</v>
      </c>
      <c r="I437" s="533">
        <v>0</v>
      </c>
      <c r="J437" s="533">
        <v>0</v>
      </c>
      <c r="K437" s="533">
        <v>0</v>
      </c>
      <c r="L437" s="533">
        <v>0</v>
      </c>
      <c r="M437" s="533">
        <v>0</v>
      </c>
      <c r="N437" s="533">
        <v>5441</v>
      </c>
      <c r="O437" s="533">
        <v>0</v>
      </c>
      <c r="P437" s="533">
        <v>0</v>
      </c>
      <c r="Q437" s="533">
        <v>5441</v>
      </c>
    </row>
    <row r="439" spans="1:19">
      <c r="A439" s="529" t="s">
        <v>589</v>
      </c>
    </row>
    <row r="440" spans="1:19">
      <c r="A440" s="529" t="s">
        <v>36</v>
      </c>
      <c r="B440" s="529" t="s">
        <v>590</v>
      </c>
    </row>
    <row r="442" spans="1:19">
      <c r="A442" s="529" t="s">
        <v>340</v>
      </c>
      <c r="B442" s="529" t="s">
        <v>576</v>
      </c>
    </row>
    <row r="443" spans="1:19">
      <c r="A443" s="529" t="s">
        <v>343</v>
      </c>
      <c r="B443" s="529" t="s">
        <v>199</v>
      </c>
    </row>
    <row r="444" spans="1:19">
      <c r="A444" s="529" t="s">
        <v>578</v>
      </c>
      <c r="B444" s="529" t="s">
        <v>298</v>
      </c>
    </row>
    <row r="445" spans="1:19">
      <c r="S445" s="530" t="str">
        <f>B443</f>
        <v>Sweden</v>
      </c>
    </row>
    <row r="446" spans="1:19">
      <c r="A446" s="532" t="s">
        <v>592</v>
      </c>
      <c r="B446" s="532" t="s">
        <v>593</v>
      </c>
      <c r="C446" s="532" t="s">
        <v>594</v>
      </c>
      <c r="D446" s="532" t="s">
        <v>595</v>
      </c>
      <c r="E446" s="532" t="s">
        <v>596</v>
      </c>
      <c r="F446" s="532" t="s">
        <v>597</v>
      </c>
      <c r="G446" s="532" t="s">
        <v>598</v>
      </c>
      <c r="H446" s="532" t="s">
        <v>599</v>
      </c>
      <c r="I446" s="532" t="s">
        <v>600</v>
      </c>
      <c r="J446" s="532" t="s">
        <v>232</v>
      </c>
      <c r="K446" s="532" t="s">
        <v>601</v>
      </c>
      <c r="L446" s="532" t="s">
        <v>602</v>
      </c>
      <c r="M446" s="532" t="s">
        <v>603</v>
      </c>
      <c r="N446" s="532" t="s">
        <v>604</v>
      </c>
      <c r="O446" s="532" t="s">
        <v>605</v>
      </c>
      <c r="P446" s="532" t="s">
        <v>606</v>
      </c>
      <c r="Q446" s="532" t="s">
        <v>234</v>
      </c>
      <c r="S446" s="530">
        <f>D453/1000</f>
        <v>0.107</v>
      </c>
    </row>
    <row r="447" spans="1:19">
      <c r="A447" s="532" t="s">
        <v>607</v>
      </c>
      <c r="B447" s="533">
        <v>21274</v>
      </c>
      <c r="C447" s="533">
        <v>11825</v>
      </c>
      <c r="D447" s="533">
        <v>11825</v>
      </c>
      <c r="E447" s="533">
        <v>0</v>
      </c>
      <c r="F447" s="533">
        <v>0</v>
      </c>
      <c r="G447" s="533">
        <v>0</v>
      </c>
      <c r="H447" s="533">
        <v>11825</v>
      </c>
      <c r="I447" s="533">
        <v>0</v>
      </c>
      <c r="J447" s="533">
        <v>0</v>
      </c>
      <c r="K447" s="533">
        <v>0</v>
      </c>
      <c r="L447" s="533">
        <v>0</v>
      </c>
      <c r="M447" s="533">
        <v>0</v>
      </c>
      <c r="N447" s="533">
        <v>9448</v>
      </c>
      <c r="O447" s="533">
        <v>0</v>
      </c>
      <c r="P447" s="533">
        <v>0</v>
      </c>
      <c r="Q447" s="533">
        <v>9448</v>
      </c>
      <c r="S447" s="530">
        <f>D452/1000</f>
        <v>0</v>
      </c>
    </row>
    <row r="448" spans="1:19">
      <c r="A448" s="532" t="s">
        <v>583</v>
      </c>
      <c r="B448" s="533">
        <v>21112</v>
      </c>
      <c r="C448" s="533">
        <v>11718</v>
      </c>
      <c r="D448" s="533">
        <v>11718</v>
      </c>
      <c r="E448" s="533">
        <v>0</v>
      </c>
      <c r="F448" s="533">
        <v>0</v>
      </c>
      <c r="G448" s="533">
        <v>0</v>
      </c>
      <c r="H448" s="533">
        <v>11718</v>
      </c>
      <c r="I448" s="533">
        <v>0</v>
      </c>
      <c r="J448" s="533">
        <v>0</v>
      </c>
      <c r="K448" s="533">
        <v>0</v>
      </c>
      <c r="L448" s="533">
        <v>0</v>
      </c>
      <c r="M448" s="533">
        <v>0</v>
      </c>
      <c r="N448" s="533">
        <v>9394</v>
      </c>
      <c r="O448" s="533">
        <v>0</v>
      </c>
      <c r="P448" s="533">
        <v>0</v>
      </c>
      <c r="Q448" s="533">
        <v>9394</v>
      </c>
    </row>
    <row r="449" spans="1:19">
      <c r="A449" s="532" t="s">
        <v>584</v>
      </c>
      <c r="B449" s="533">
        <v>0</v>
      </c>
      <c r="C449" s="533">
        <v>0</v>
      </c>
      <c r="D449" s="533">
        <v>0</v>
      </c>
      <c r="E449" s="533">
        <v>0</v>
      </c>
      <c r="F449" s="533">
        <v>0</v>
      </c>
      <c r="G449" s="533">
        <v>0</v>
      </c>
      <c r="H449" s="533">
        <v>0</v>
      </c>
      <c r="I449" s="533">
        <v>0</v>
      </c>
      <c r="J449" s="533">
        <v>0</v>
      </c>
      <c r="K449" s="533">
        <v>0</v>
      </c>
      <c r="L449" s="533">
        <v>0</v>
      </c>
      <c r="M449" s="533">
        <v>0</v>
      </c>
      <c r="N449" s="533">
        <v>0</v>
      </c>
      <c r="O449" s="533">
        <v>0</v>
      </c>
      <c r="P449" s="533">
        <v>0</v>
      </c>
      <c r="Q449" s="533">
        <v>0</v>
      </c>
    </row>
    <row r="450" spans="1:19">
      <c r="A450" s="532" t="s">
        <v>585</v>
      </c>
      <c r="B450" s="533">
        <v>21112</v>
      </c>
      <c r="C450" s="533">
        <v>11718</v>
      </c>
      <c r="D450" s="533">
        <v>11718</v>
      </c>
      <c r="E450" s="533">
        <v>0</v>
      </c>
      <c r="F450" s="533">
        <v>0</v>
      </c>
      <c r="G450" s="533">
        <v>0</v>
      </c>
      <c r="H450" s="533">
        <v>11718</v>
      </c>
      <c r="I450" s="533">
        <v>0</v>
      </c>
      <c r="J450" s="533">
        <v>0</v>
      </c>
      <c r="K450" s="533">
        <v>0</v>
      </c>
      <c r="L450" s="533">
        <v>0</v>
      </c>
      <c r="M450" s="533">
        <v>0</v>
      </c>
      <c r="N450" s="533">
        <v>9394</v>
      </c>
      <c r="O450" s="533">
        <v>0</v>
      </c>
      <c r="P450" s="533">
        <v>0</v>
      </c>
      <c r="Q450" s="533">
        <v>9394</v>
      </c>
    </row>
    <row r="451" spans="1:19">
      <c r="A451" s="532" t="s">
        <v>586</v>
      </c>
      <c r="B451" s="533">
        <v>161</v>
      </c>
      <c r="C451" s="533">
        <v>107</v>
      </c>
      <c r="D451" s="533">
        <v>107</v>
      </c>
      <c r="E451" s="533">
        <v>0</v>
      </c>
      <c r="F451" s="533">
        <v>0</v>
      </c>
      <c r="G451" s="533">
        <v>0</v>
      </c>
      <c r="H451" s="533">
        <v>107</v>
      </c>
      <c r="I451" s="533">
        <v>0</v>
      </c>
      <c r="J451" s="533">
        <v>0</v>
      </c>
      <c r="K451" s="533">
        <v>0</v>
      </c>
      <c r="L451" s="533">
        <v>0</v>
      </c>
      <c r="M451" s="533">
        <v>0</v>
      </c>
      <c r="N451" s="533">
        <v>54</v>
      </c>
      <c r="O451" s="533">
        <v>0</v>
      </c>
      <c r="P451" s="533">
        <v>0</v>
      </c>
      <c r="Q451" s="533">
        <v>54</v>
      </c>
    </row>
    <row r="452" spans="1:19">
      <c r="A452" s="532" t="s">
        <v>587</v>
      </c>
      <c r="B452" s="533">
        <v>0</v>
      </c>
      <c r="C452" s="533">
        <v>0</v>
      </c>
      <c r="D452" s="533">
        <v>0</v>
      </c>
      <c r="E452" s="533">
        <v>0</v>
      </c>
      <c r="F452" s="533">
        <v>0</v>
      </c>
      <c r="G452" s="533">
        <v>0</v>
      </c>
      <c r="H452" s="533">
        <v>0</v>
      </c>
      <c r="I452" s="533">
        <v>0</v>
      </c>
      <c r="J452" s="533">
        <v>0</v>
      </c>
      <c r="K452" s="533">
        <v>0</v>
      </c>
      <c r="L452" s="533">
        <v>0</v>
      </c>
      <c r="M452" s="533">
        <v>0</v>
      </c>
      <c r="N452" s="533">
        <v>0</v>
      </c>
      <c r="O452" s="533">
        <v>0</v>
      </c>
      <c r="P452" s="533">
        <v>0</v>
      </c>
      <c r="Q452" s="533">
        <v>0</v>
      </c>
    </row>
    <row r="453" spans="1:19">
      <c r="A453" s="532" t="s">
        <v>588</v>
      </c>
      <c r="B453" s="533">
        <v>161</v>
      </c>
      <c r="C453" s="533">
        <v>107</v>
      </c>
      <c r="D453" s="533">
        <v>107</v>
      </c>
      <c r="E453" s="533">
        <v>0</v>
      </c>
      <c r="F453" s="533">
        <v>0</v>
      </c>
      <c r="G453" s="533">
        <v>0</v>
      </c>
      <c r="H453" s="533">
        <v>107</v>
      </c>
      <c r="I453" s="533">
        <v>0</v>
      </c>
      <c r="J453" s="533">
        <v>0</v>
      </c>
      <c r="K453" s="533">
        <v>0</v>
      </c>
      <c r="L453" s="533">
        <v>0</v>
      </c>
      <c r="M453" s="533">
        <v>0</v>
      </c>
      <c r="N453" s="533">
        <v>54</v>
      </c>
      <c r="O453" s="533">
        <v>0</v>
      </c>
      <c r="P453" s="533">
        <v>0</v>
      </c>
      <c r="Q453" s="533">
        <v>54</v>
      </c>
    </row>
    <row r="454" spans="1:19">
      <c r="A454" s="532" t="s">
        <v>608</v>
      </c>
      <c r="B454" s="533">
        <v>3339</v>
      </c>
      <c r="C454" s="533">
        <v>0</v>
      </c>
      <c r="D454" s="533">
        <v>0</v>
      </c>
      <c r="E454" s="533">
        <v>0</v>
      </c>
      <c r="F454" s="533">
        <v>0</v>
      </c>
      <c r="G454" s="533">
        <v>0</v>
      </c>
      <c r="H454" s="533">
        <v>0</v>
      </c>
      <c r="I454" s="533">
        <v>0</v>
      </c>
      <c r="J454" s="533">
        <v>0</v>
      </c>
      <c r="K454" s="533">
        <v>0</v>
      </c>
      <c r="L454" s="533">
        <v>0</v>
      </c>
      <c r="M454" s="533">
        <v>0</v>
      </c>
      <c r="N454" s="533">
        <v>3339</v>
      </c>
      <c r="O454" s="533">
        <v>0</v>
      </c>
      <c r="P454" s="533">
        <v>0</v>
      </c>
      <c r="Q454" s="533">
        <v>3339</v>
      </c>
    </row>
    <row r="456" spans="1:19">
      <c r="A456" s="529" t="s">
        <v>589</v>
      </c>
    </row>
    <row r="457" spans="1:19">
      <c r="A457" s="529" t="s">
        <v>36</v>
      </c>
      <c r="B457" s="529" t="s">
        <v>590</v>
      </c>
    </row>
    <row r="459" spans="1:19">
      <c r="A459" s="529" t="s">
        <v>340</v>
      </c>
      <c r="B459" s="529" t="s">
        <v>576</v>
      </c>
    </row>
    <row r="460" spans="1:19">
      <c r="A460" s="529" t="s">
        <v>343</v>
      </c>
      <c r="B460" s="529" t="s">
        <v>221</v>
      </c>
    </row>
    <row r="461" spans="1:19">
      <c r="A461" s="529" t="s">
        <v>578</v>
      </c>
      <c r="B461" s="529" t="s">
        <v>298</v>
      </c>
    </row>
    <row r="462" spans="1:19">
      <c r="S462" s="530" t="str">
        <f>B460</f>
        <v>United Kingdom</v>
      </c>
    </row>
    <row r="463" spans="1:19">
      <c r="A463" s="532" t="s">
        <v>592</v>
      </c>
      <c r="B463" s="532" t="s">
        <v>593</v>
      </c>
      <c r="C463" s="532" t="s">
        <v>594</v>
      </c>
      <c r="D463" s="532" t="s">
        <v>595</v>
      </c>
      <c r="E463" s="532" t="s">
        <v>596</v>
      </c>
      <c r="F463" s="532" t="s">
        <v>597</v>
      </c>
      <c r="G463" s="532" t="s">
        <v>598</v>
      </c>
      <c r="H463" s="532" t="s">
        <v>599</v>
      </c>
      <c r="I463" s="532" t="s">
        <v>600</v>
      </c>
      <c r="J463" s="532" t="s">
        <v>232</v>
      </c>
      <c r="K463" s="532" t="s">
        <v>601</v>
      </c>
      <c r="L463" s="532" t="s">
        <v>602</v>
      </c>
      <c r="M463" s="532" t="s">
        <v>603</v>
      </c>
      <c r="N463" s="532" t="s">
        <v>604</v>
      </c>
      <c r="O463" s="532" t="s">
        <v>605</v>
      </c>
      <c r="P463" s="532" t="s">
        <v>606</v>
      </c>
      <c r="Q463" s="532" t="s">
        <v>234</v>
      </c>
      <c r="S463" s="530">
        <f>D470/1000</f>
        <v>5.431</v>
      </c>
    </row>
    <row r="464" spans="1:19">
      <c r="A464" s="532" t="s">
        <v>607</v>
      </c>
      <c r="B464" s="533">
        <v>1236583</v>
      </c>
      <c r="C464" s="533">
        <v>1236583</v>
      </c>
      <c r="D464" s="533">
        <v>1236583</v>
      </c>
      <c r="E464" s="533">
        <v>0</v>
      </c>
      <c r="F464" s="533">
        <v>0</v>
      </c>
      <c r="G464" s="533">
        <v>0</v>
      </c>
      <c r="H464" s="533">
        <v>1236583</v>
      </c>
      <c r="I464" s="533">
        <v>0</v>
      </c>
      <c r="J464" s="533">
        <v>0</v>
      </c>
      <c r="K464" s="533">
        <v>0</v>
      </c>
      <c r="L464" s="533">
        <v>0</v>
      </c>
      <c r="M464" s="533">
        <v>0</v>
      </c>
      <c r="N464" s="533">
        <v>0</v>
      </c>
      <c r="O464" s="533">
        <v>0</v>
      </c>
      <c r="P464" s="533">
        <v>0</v>
      </c>
      <c r="Q464" s="533">
        <v>0</v>
      </c>
      <c r="S464" s="530">
        <f>D469/1000</f>
        <v>31.853000000000002</v>
      </c>
    </row>
    <row r="465" spans="1:19">
      <c r="A465" s="532" t="s">
        <v>583</v>
      </c>
      <c r="B465" s="533">
        <v>1199299</v>
      </c>
      <c r="C465" s="533">
        <v>1199299</v>
      </c>
      <c r="D465" s="533">
        <v>1199299</v>
      </c>
      <c r="E465" s="533">
        <v>0</v>
      </c>
      <c r="F465" s="533">
        <v>0</v>
      </c>
      <c r="G465" s="533">
        <v>0</v>
      </c>
      <c r="H465" s="533">
        <v>1199299</v>
      </c>
      <c r="I465" s="533">
        <v>0</v>
      </c>
      <c r="J465" s="533">
        <v>0</v>
      </c>
      <c r="K465" s="533">
        <v>0</v>
      </c>
      <c r="L465" s="533">
        <v>0</v>
      </c>
      <c r="M465" s="533">
        <v>0</v>
      </c>
      <c r="N465" s="533">
        <v>0</v>
      </c>
      <c r="O465" s="533">
        <v>0</v>
      </c>
      <c r="P465" s="533">
        <v>0</v>
      </c>
      <c r="Q465" s="533">
        <v>0</v>
      </c>
    </row>
    <row r="466" spans="1:19">
      <c r="A466" s="532" t="s">
        <v>584</v>
      </c>
      <c r="B466" s="533">
        <v>1199299</v>
      </c>
      <c r="C466" s="533">
        <v>1199299</v>
      </c>
      <c r="D466" s="533">
        <v>1199299</v>
      </c>
      <c r="E466" s="533">
        <v>0</v>
      </c>
      <c r="F466" s="533">
        <v>0</v>
      </c>
      <c r="G466" s="533">
        <v>0</v>
      </c>
      <c r="H466" s="533">
        <v>1199299</v>
      </c>
      <c r="I466" s="533">
        <v>0</v>
      </c>
      <c r="J466" s="533">
        <v>0</v>
      </c>
      <c r="K466" s="533">
        <v>0</v>
      </c>
      <c r="L466" s="533">
        <v>0</v>
      </c>
      <c r="M466" s="533">
        <v>0</v>
      </c>
      <c r="N466" s="533">
        <v>0</v>
      </c>
      <c r="O466" s="533">
        <v>0</v>
      </c>
      <c r="P466" s="533">
        <v>0</v>
      </c>
      <c r="Q466" s="533">
        <v>0</v>
      </c>
    </row>
    <row r="467" spans="1:19">
      <c r="A467" s="532" t="s">
        <v>585</v>
      </c>
      <c r="B467" s="533">
        <v>0</v>
      </c>
      <c r="C467" s="533">
        <v>0</v>
      </c>
      <c r="D467" s="533">
        <v>0</v>
      </c>
      <c r="E467" s="533">
        <v>0</v>
      </c>
      <c r="F467" s="533">
        <v>0</v>
      </c>
      <c r="G467" s="533">
        <v>0</v>
      </c>
      <c r="H467" s="533">
        <v>0</v>
      </c>
      <c r="I467" s="533">
        <v>0</v>
      </c>
      <c r="J467" s="533">
        <v>0</v>
      </c>
      <c r="K467" s="533">
        <v>0</v>
      </c>
      <c r="L467" s="533">
        <v>0</v>
      </c>
      <c r="M467" s="533">
        <v>0</v>
      </c>
      <c r="N467" s="533">
        <v>0</v>
      </c>
      <c r="O467" s="533">
        <v>0</v>
      </c>
      <c r="P467" s="533">
        <v>0</v>
      </c>
      <c r="Q467" s="533">
        <v>0</v>
      </c>
    </row>
    <row r="468" spans="1:19">
      <c r="A468" s="532" t="s">
        <v>586</v>
      </c>
      <c r="B468" s="533">
        <v>37284</v>
      </c>
      <c r="C468" s="533">
        <v>37284</v>
      </c>
      <c r="D468" s="533">
        <v>37284</v>
      </c>
      <c r="E468" s="533">
        <v>0</v>
      </c>
      <c r="F468" s="533">
        <v>0</v>
      </c>
      <c r="G468" s="533">
        <v>0</v>
      </c>
      <c r="H468" s="533">
        <v>37284</v>
      </c>
      <c r="I468" s="533">
        <v>0</v>
      </c>
      <c r="J468" s="533">
        <v>0</v>
      </c>
      <c r="K468" s="533">
        <v>0</v>
      </c>
      <c r="L468" s="533">
        <v>0</v>
      </c>
      <c r="M468" s="533">
        <v>0</v>
      </c>
      <c r="N468" s="533">
        <v>0</v>
      </c>
      <c r="O468" s="533">
        <v>0</v>
      </c>
      <c r="P468" s="533">
        <v>0</v>
      </c>
      <c r="Q468" s="533">
        <v>0</v>
      </c>
    </row>
    <row r="469" spans="1:19">
      <c r="A469" s="532" t="s">
        <v>587</v>
      </c>
      <c r="B469" s="533">
        <v>31853</v>
      </c>
      <c r="C469" s="533">
        <v>31853</v>
      </c>
      <c r="D469" s="533">
        <v>31853</v>
      </c>
      <c r="E469" s="533">
        <v>0</v>
      </c>
      <c r="F469" s="533">
        <v>0</v>
      </c>
      <c r="G469" s="533">
        <v>0</v>
      </c>
      <c r="H469" s="533">
        <v>31853</v>
      </c>
      <c r="I469" s="533">
        <v>0</v>
      </c>
      <c r="J469" s="533">
        <v>0</v>
      </c>
      <c r="K469" s="533">
        <v>0</v>
      </c>
      <c r="L469" s="533">
        <v>0</v>
      </c>
      <c r="M469" s="533">
        <v>0</v>
      </c>
      <c r="N469" s="533">
        <v>0</v>
      </c>
      <c r="O469" s="533">
        <v>0</v>
      </c>
      <c r="P469" s="533">
        <v>0</v>
      </c>
      <c r="Q469" s="533">
        <v>0</v>
      </c>
    </row>
    <row r="470" spans="1:19">
      <c r="A470" s="532" t="s">
        <v>588</v>
      </c>
      <c r="B470" s="533">
        <v>5431</v>
      </c>
      <c r="C470" s="533">
        <v>5431</v>
      </c>
      <c r="D470" s="533">
        <v>5431</v>
      </c>
      <c r="E470" s="533">
        <v>0</v>
      </c>
      <c r="F470" s="533">
        <v>0</v>
      </c>
      <c r="G470" s="533">
        <v>0</v>
      </c>
      <c r="H470" s="533">
        <v>5431</v>
      </c>
      <c r="I470" s="533">
        <v>0</v>
      </c>
      <c r="J470" s="533">
        <v>0</v>
      </c>
      <c r="K470" s="533">
        <v>0</v>
      </c>
      <c r="L470" s="533">
        <v>0</v>
      </c>
      <c r="M470" s="533">
        <v>0</v>
      </c>
      <c r="N470" s="533">
        <v>0</v>
      </c>
      <c r="O470" s="533">
        <v>0</v>
      </c>
      <c r="P470" s="533">
        <v>0</v>
      </c>
      <c r="Q470" s="533">
        <v>0</v>
      </c>
    </row>
    <row r="471" spans="1:19">
      <c r="A471" s="532" t="s">
        <v>608</v>
      </c>
      <c r="B471" s="533">
        <v>11594</v>
      </c>
      <c r="C471" s="533">
        <v>11594</v>
      </c>
      <c r="D471" s="533">
        <v>11594</v>
      </c>
      <c r="E471" s="533">
        <v>0</v>
      </c>
      <c r="F471" s="533">
        <v>0</v>
      </c>
      <c r="G471" s="533">
        <v>0</v>
      </c>
      <c r="H471" s="533">
        <v>11594</v>
      </c>
      <c r="I471" s="533">
        <v>0</v>
      </c>
      <c r="J471" s="533">
        <v>0</v>
      </c>
      <c r="K471" s="533">
        <v>0</v>
      </c>
      <c r="L471" s="533">
        <v>0</v>
      </c>
      <c r="M471" s="533">
        <v>0</v>
      </c>
      <c r="N471" s="533">
        <v>0</v>
      </c>
      <c r="O471" s="533">
        <v>0</v>
      </c>
      <c r="P471" s="533">
        <v>0</v>
      </c>
      <c r="Q471" s="533">
        <v>0</v>
      </c>
    </row>
    <row r="473" spans="1:19">
      <c r="A473" s="529" t="s">
        <v>589</v>
      </c>
    </row>
    <row r="474" spans="1:19">
      <c r="A474" s="529" t="s">
        <v>36</v>
      </c>
      <c r="B474" s="529" t="s">
        <v>590</v>
      </c>
    </row>
    <row r="476" spans="1:19">
      <c r="A476" s="529" t="s">
        <v>340</v>
      </c>
      <c r="B476" s="529" t="s">
        <v>576</v>
      </c>
    </row>
    <row r="477" spans="1:19">
      <c r="A477" s="529" t="s">
        <v>343</v>
      </c>
      <c r="B477" s="529" t="s">
        <v>179</v>
      </c>
    </row>
    <row r="478" spans="1:19">
      <c r="A478" s="529" t="s">
        <v>578</v>
      </c>
      <c r="B478" s="529" t="s">
        <v>298</v>
      </c>
    </row>
    <row r="479" spans="1:19">
      <c r="S479" s="530" t="str">
        <f>B477</f>
        <v>Iceland</v>
      </c>
    </row>
    <row r="480" spans="1:19">
      <c r="A480" s="532" t="s">
        <v>592</v>
      </c>
      <c r="B480" s="532" t="s">
        <v>593</v>
      </c>
      <c r="C480" s="532" t="s">
        <v>594</v>
      </c>
      <c r="D480" s="532" t="s">
        <v>595</v>
      </c>
      <c r="E480" s="532" t="s">
        <v>596</v>
      </c>
      <c r="F480" s="532" t="s">
        <v>597</v>
      </c>
      <c r="G480" s="532" t="s">
        <v>598</v>
      </c>
      <c r="H480" s="532" t="s">
        <v>599</v>
      </c>
      <c r="I480" s="532" t="s">
        <v>600</v>
      </c>
      <c r="J480" s="532" t="s">
        <v>232</v>
      </c>
      <c r="K480" s="532" t="s">
        <v>601</v>
      </c>
      <c r="L480" s="532" t="s">
        <v>602</v>
      </c>
      <c r="M480" s="532" t="s">
        <v>603</v>
      </c>
      <c r="N480" s="532" t="s">
        <v>604</v>
      </c>
      <c r="O480" s="532" t="s">
        <v>605</v>
      </c>
      <c r="P480" s="532" t="s">
        <v>606</v>
      </c>
      <c r="Q480" s="532" t="s">
        <v>234</v>
      </c>
      <c r="S480" s="530">
        <f>D487/1000</f>
        <v>0</v>
      </c>
    </row>
    <row r="481" spans="1:19">
      <c r="A481" s="532" t="s">
        <v>607</v>
      </c>
      <c r="B481" s="533">
        <v>0</v>
      </c>
      <c r="C481" s="533">
        <v>0</v>
      </c>
      <c r="D481" s="533">
        <v>0</v>
      </c>
      <c r="E481" s="533">
        <v>0</v>
      </c>
      <c r="F481" s="533">
        <v>0</v>
      </c>
      <c r="G481" s="533">
        <v>0</v>
      </c>
      <c r="H481" s="533">
        <v>0</v>
      </c>
      <c r="I481" s="533">
        <v>0</v>
      </c>
      <c r="J481" s="533">
        <v>0</v>
      </c>
      <c r="K481" s="533">
        <v>0</v>
      </c>
      <c r="L481" s="533">
        <v>0</v>
      </c>
      <c r="M481" s="533">
        <v>0</v>
      </c>
      <c r="N481" s="533">
        <v>0</v>
      </c>
      <c r="O481" s="533">
        <v>0</v>
      </c>
      <c r="P481" s="533">
        <v>0</v>
      </c>
      <c r="Q481" s="533">
        <v>0</v>
      </c>
      <c r="S481" s="530">
        <f>D486/1000</f>
        <v>0</v>
      </c>
    </row>
    <row r="482" spans="1:19">
      <c r="A482" s="532" t="s">
        <v>583</v>
      </c>
      <c r="B482" s="533">
        <v>0</v>
      </c>
      <c r="C482" s="533">
        <v>0</v>
      </c>
      <c r="D482" s="533">
        <v>0</v>
      </c>
      <c r="E482" s="533">
        <v>0</v>
      </c>
      <c r="F482" s="533">
        <v>0</v>
      </c>
      <c r="G482" s="533">
        <v>0</v>
      </c>
      <c r="H482" s="533">
        <v>0</v>
      </c>
      <c r="I482" s="533">
        <v>0</v>
      </c>
      <c r="J482" s="533">
        <v>0</v>
      </c>
      <c r="K482" s="533">
        <v>0</v>
      </c>
      <c r="L482" s="533">
        <v>0</v>
      </c>
      <c r="M482" s="533">
        <v>0</v>
      </c>
      <c r="N482" s="533">
        <v>0</v>
      </c>
      <c r="O482" s="533">
        <v>0</v>
      </c>
      <c r="P482" s="533">
        <v>0</v>
      </c>
      <c r="Q482" s="533">
        <v>0</v>
      </c>
    </row>
    <row r="483" spans="1:19">
      <c r="A483" s="532" t="s">
        <v>584</v>
      </c>
      <c r="B483" s="533">
        <v>0</v>
      </c>
      <c r="C483" s="533">
        <v>0</v>
      </c>
      <c r="D483" s="533">
        <v>0</v>
      </c>
      <c r="E483" s="533">
        <v>0</v>
      </c>
      <c r="F483" s="533">
        <v>0</v>
      </c>
      <c r="G483" s="533">
        <v>0</v>
      </c>
      <c r="H483" s="533">
        <v>0</v>
      </c>
      <c r="I483" s="533">
        <v>0</v>
      </c>
      <c r="J483" s="533">
        <v>0</v>
      </c>
      <c r="K483" s="533">
        <v>0</v>
      </c>
      <c r="L483" s="533">
        <v>0</v>
      </c>
      <c r="M483" s="533">
        <v>0</v>
      </c>
      <c r="N483" s="533">
        <v>0</v>
      </c>
      <c r="O483" s="533">
        <v>0</v>
      </c>
      <c r="P483" s="533">
        <v>0</v>
      </c>
      <c r="Q483" s="533">
        <v>0</v>
      </c>
    </row>
    <row r="484" spans="1:19">
      <c r="A484" s="532" t="s">
        <v>585</v>
      </c>
      <c r="B484" s="533">
        <v>0</v>
      </c>
      <c r="C484" s="533">
        <v>0</v>
      </c>
      <c r="D484" s="533">
        <v>0</v>
      </c>
      <c r="E484" s="533">
        <v>0</v>
      </c>
      <c r="F484" s="533">
        <v>0</v>
      </c>
      <c r="G484" s="533">
        <v>0</v>
      </c>
      <c r="H484" s="533">
        <v>0</v>
      </c>
      <c r="I484" s="533">
        <v>0</v>
      </c>
      <c r="J484" s="533">
        <v>0</v>
      </c>
      <c r="K484" s="533">
        <v>0</v>
      </c>
      <c r="L484" s="533">
        <v>0</v>
      </c>
      <c r="M484" s="533">
        <v>0</v>
      </c>
      <c r="N484" s="533">
        <v>0</v>
      </c>
      <c r="O484" s="533">
        <v>0</v>
      </c>
      <c r="P484" s="533">
        <v>0</v>
      </c>
      <c r="Q484" s="533">
        <v>0</v>
      </c>
    </row>
    <row r="485" spans="1:19">
      <c r="A485" s="532" t="s">
        <v>586</v>
      </c>
      <c r="B485" s="533">
        <v>0</v>
      </c>
      <c r="C485" s="533">
        <v>0</v>
      </c>
      <c r="D485" s="533">
        <v>0</v>
      </c>
      <c r="E485" s="533">
        <v>0</v>
      </c>
      <c r="F485" s="533">
        <v>0</v>
      </c>
      <c r="G485" s="533">
        <v>0</v>
      </c>
      <c r="H485" s="533">
        <v>0</v>
      </c>
      <c r="I485" s="533">
        <v>0</v>
      </c>
      <c r="J485" s="533">
        <v>0</v>
      </c>
      <c r="K485" s="533">
        <v>0</v>
      </c>
      <c r="L485" s="533">
        <v>0</v>
      </c>
      <c r="M485" s="533">
        <v>0</v>
      </c>
      <c r="N485" s="533">
        <v>0</v>
      </c>
      <c r="O485" s="533">
        <v>0</v>
      </c>
      <c r="P485" s="533">
        <v>0</v>
      </c>
      <c r="Q485" s="533">
        <v>0</v>
      </c>
    </row>
    <row r="486" spans="1:19">
      <c r="A486" s="532" t="s">
        <v>587</v>
      </c>
      <c r="B486" s="533">
        <v>0</v>
      </c>
      <c r="C486" s="533">
        <v>0</v>
      </c>
      <c r="D486" s="533">
        <v>0</v>
      </c>
      <c r="E486" s="533">
        <v>0</v>
      </c>
      <c r="F486" s="533">
        <v>0</v>
      </c>
      <c r="G486" s="533">
        <v>0</v>
      </c>
      <c r="H486" s="533">
        <v>0</v>
      </c>
      <c r="I486" s="533">
        <v>0</v>
      </c>
      <c r="J486" s="533">
        <v>0</v>
      </c>
      <c r="K486" s="533">
        <v>0</v>
      </c>
      <c r="L486" s="533">
        <v>0</v>
      </c>
      <c r="M486" s="533">
        <v>0</v>
      </c>
      <c r="N486" s="533">
        <v>0</v>
      </c>
      <c r="O486" s="533">
        <v>0</v>
      </c>
      <c r="P486" s="533">
        <v>0</v>
      </c>
      <c r="Q486" s="533">
        <v>0</v>
      </c>
    </row>
    <row r="487" spans="1:19">
      <c r="A487" s="532" t="s">
        <v>588</v>
      </c>
      <c r="B487" s="533">
        <v>0</v>
      </c>
      <c r="C487" s="533">
        <v>0</v>
      </c>
      <c r="D487" s="533">
        <v>0</v>
      </c>
      <c r="E487" s="533">
        <v>0</v>
      </c>
      <c r="F487" s="533">
        <v>0</v>
      </c>
      <c r="G487" s="533">
        <v>0</v>
      </c>
      <c r="H487" s="533">
        <v>0</v>
      </c>
      <c r="I487" s="533">
        <v>0</v>
      </c>
      <c r="J487" s="533">
        <v>0</v>
      </c>
      <c r="K487" s="533">
        <v>0</v>
      </c>
      <c r="L487" s="533">
        <v>0</v>
      </c>
      <c r="M487" s="533">
        <v>0</v>
      </c>
      <c r="N487" s="533">
        <v>0</v>
      </c>
      <c r="O487" s="533">
        <v>0</v>
      </c>
      <c r="P487" s="533">
        <v>0</v>
      </c>
      <c r="Q487" s="533">
        <v>0</v>
      </c>
    </row>
    <row r="488" spans="1:19">
      <c r="A488" s="532" t="s">
        <v>608</v>
      </c>
      <c r="B488" s="533">
        <v>0</v>
      </c>
      <c r="C488" s="533">
        <v>0</v>
      </c>
      <c r="D488" s="533">
        <v>0</v>
      </c>
      <c r="E488" s="533">
        <v>0</v>
      </c>
      <c r="F488" s="533">
        <v>0</v>
      </c>
      <c r="G488" s="533">
        <v>0</v>
      </c>
      <c r="H488" s="533">
        <v>0</v>
      </c>
      <c r="I488" s="533">
        <v>0</v>
      </c>
      <c r="J488" s="533">
        <v>0</v>
      </c>
      <c r="K488" s="533">
        <v>0</v>
      </c>
      <c r="L488" s="533">
        <v>0</v>
      </c>
      <c r="M488" s="533">
        <v>0</v>
      </c>
      <c r="N488" s="533">
        <v>0</v>
      </c>
      <c r="O488" s="533">
        <v>0</v>
      </c>
      <c r="P488" s="533">
        <v>0</v>
      </c>
      <c r="Q488" s="533">
        <v>0</v>
      </c>
    </row>
    <row r="490" spans="1:19">
      <c r="A490" s="529" t="s">
        <v>589</v>
      </c>
    </row>
    <row r="491" spans="1:19">
      <c r="A491" s="529" t="s">
        <v>36</v>
      </c>
      <c r="B491" s="529" t="s">
        <v>590</v>
      </c>
    </row>
    <row r="493" spans="1:19">
      <c r="A493" s="529" t="s">
        <v>340</v>
      </c>
      <c r="B493" s="529" t="s">
        <v>576</v>
      </c>
    </row>
    <row r="494" spans="1:19">
      <c r="A494" s="529" t="s">
        <v>343</v>
      </c>
      <c r="B494" s="529" t="s">
        <v>178</v>
      </c>
    </row>
    <row r="495" spans="1:19">
      <c r="A495" s="529" t="s">
        <v>578</v>
      </c>
      <c r="B495" s="529" t="s">
        <v>298</v>
      </c>
    </row>
    <row r="496" spans="1:19">
      <c r="S496" s="530" t="str">
        <f>B494</f>
        <v>Norway</v>
      </c>
    </row>
    <row r="497" spans="1:19">
      <c r="A497" s="532" t="s">
        <v>592</v>
      </c>
      <c r="B497" s="532" t="s">
        <v>593</v>
      </c>
      <c r="C497" s="532" t="s">
        <v>594</v>
      </c>
      <c r="D497" s="532" t="s">
        <v>595</v>
      </c>
      <c r="E497" s="532" t="s">
        <v>596</v>
      </c>
      <c r="F497" s="532" t="s">
        <v>597</v>
      </c>
      <c r="G497" s="532" t="s">
        <v>598</v>
      </c>
      <c r="H497" s="532" t="s">
        <v>599</v>
      </c>
      <c r="I497" s="532" t="s">
        <v>600</v>
      </c>
      <c r="J497" s="532" t="s">
        <v>232</v>
      </c>
      <c r="K497" s="532" t="s">
        <v>601</v>
      </c>
      <c r="L497" s="532" t="s">
        <v>602</v>
      </c>
      <c r="M497" s="532" t="s">
        <v>603</v>
      </c>
      <c r="N497" s="532" t="s">
        <v>604</v>
      </c>
      <c r="O497" s="532" t="s">
        <v>605</v>
      </c>
      <c r="P497" s="532" t="s">
        <v>606</v>
      </c>
      <c r="Q497" s="532" t="s">
        <v>234</v>
      </c>
      <c r="S497" s="530">
        <f>D504/1000</f>
        <v>0</v>
      </c>
    </row>
    <row r="498" spans="1:19">
      <c r="A498" s="532" t="s">
        <v>607</v>
      </c>
      <c r="B498" s="533">
        <v>703</v>
      </c>
      <c r="C498" s="533">
        <v>703</v>
      </c>
      <c r="D498" s="533">
        <v>703</v>
      </c>
      <c r="E498" s="533">
        <v>0</v>
      </c>
      <c r="F498" s="533">
        <v>0</v>
      </c>
      <c r="G498" s="533">
        <v>0</v>
      </c>
      <c r="H498" s="533">
        <v>703</v>
      </c>
      <c r="I498" s="533">
        <v>0</v>
      </c>
      <c r="J498" s="533">
        <v>0</v>
      </c>
      <c r="K498" s="533">
        <v>0</v>
      </c>
      <c r="L498" s="533">
        <v>0</v>
      </c>
      <c r="M498" s="533">
        <v>0</v>
      </c>
      <c r="N498" s="533">
        <v>0</v>
      </c>
      <c r="O498" s="533">
        <v>0</v>
      </c>
      <c r="P498" s="533">
        <v>0</v>
      </c>
      <c r="Q498" s="533">
        <v>0</v>
      </c>
      <c r="S498" s="530">
        <f>D503/1000</f>
        <v>0</v>
      </c>
    </row>
    <row r="499" spans="1:19">
      <c r="A499" s="532" t="s">
        <v>583</v>
      </c>
      <c r="B499" s="533">
        <v>703</v>
      </c>
      <c r="C499" s="533">
        <v>703</v>
      </c>
      <c r="D499" s="533">
        <v>703</v>
      </c>
      <c r="E499" s="533">
        <v>0</v>
      </c>
      <c r="F499" s="533">
        <v>0</v>
      </c>
      <c r="G499" s="533">
        <v>0</v>
      </c>
      <c r="H499" s="533">
        <v>703</v>
      </c>
      <c r="I499" s="533">
        <v>0</v>
      </c>
      <c r="J499" s="533">
        <v>0</v>
      </c>
      <c r="K499" s="533">
        <v>0</v>
      </c>
      <c r="L499" s="533">
        <v>0</v>
      </c>
      <c r="M499" s="533">
        <v>0</v>
      </c>
      <c r="N499" s="533">
        <v>0</v>
      </c>
      <c r="O499" s="533">
        <v>0</v>
      </c>
      <c r="P499" s="533">
        <v>0</v>
      </c>
      <c r="Q499" s="533">
        <v>0</v>
      </c>
    </row>
    <row r="500" spans="1:19">
      <c r="A500" s="532" t="s">
        <v>584</v>
      </c>
      <c r="B500" s="533">
        <v>0</v>
      </c>
      <c r="C500" s="533">
        <v>0</v>
      </c>
      <c r="D500" s="533">
        <v>0</v>
      </c>
      <c r="E500" s="533">
        <v>0</v>
      </c>
      <c r="F500" s="533">
        <v>0</v>
      </c>
      <c r="G500" s="533">
        <v>0</v>
      </c>
      <c r="H500" s="533">
        <v>0</v>
      </c>
      <c r="I500" s="533">
        <v>0</v>
      </c>
      <c r="J500" s="533">
        <v>0</v>
      </c>
      <c r="K500" s="533">
        <v>0</v>
      </c>
      <c r="L500" s="533">
        <v>0</v>
      </c>
      <c r="M500" s="533">
        <v>0</v>
      </c>
      <c r="N500" s="533">
        <v>0</v>
      </c>
      <c r="O500" s="533">
        <v>0</v>
      </c>
      <c r="P500" s="533">
        <v>0</v>
      </c>
      <c r="Q500" s="533">
        <v>0</v>
      </c>
    </row>
    <row r="501" spans="1:19">
      <c r="A501" s="532" t="s">
        <v>585</v>
      </c>
      <c r="B501" s="533">
        <v>703</v>
      </c>
      <c r="C501" s="533">
        <v>703</v>
      </c>
      <c r="D501" s="533">
        <v>703</v>
      </c>
      <c r="E501" s="533">
        <v>0</v>
      </c>
      <c r="F501" s="533">
        <v>0</v>
      </c>
      <c r="G501" s="533">
        <v>0</v>
      </c>
      <c r="H501" s="533">
        <v>703</v>
      </c>
      <c r="I501" s="533">
        <v>0</v>
      </c>
      <c r="J501" s="533">
        <v>0</v>
      </c>
      <c r="K501" s="533">
        <v>0</v>
      </c>
      <c r="L501" s="533">
        <v>0</v>
      </c>
      <c r="M501" s="533">
        <v>0</v>
      </c>
      <c r="N501" s="533">
        <v>0</v>
      </c>
      <c r="O501" s="533">
        <v>0</v>
      </c>
      <c r="P501" s="533">
        <v>0</v>
      </c>
      <c r="Q501" s="533">
        <v>0</v>
      </c>
    </row>
    <row r="502" spans="1:19">
      <c r="A502" s="532" t="s">
        <v>586</v>
      </c>
      <c r="B502" s="533">
        <v>0</v>
      </c>
      <c r="C502" s="533">
        <v>0</v>
      </c>
      <c r="D502" s="533">
        <v>0</v>
      </c>
      <c r="E502" s="533">
        <v>0</v>
      </c>
      <c r="F502" s="533">
        <v>0</v>
      </c>
      <c r="G502" s="533">
        <v>0</v>
      </c>
      <c r="H502" s="533">
        <v>0</v>
      </c>
      <c r="I502" s="533">
        <v>0</v>
      </c>
      <c r="J502" s="533">
        <v>0</v>
      </c>
      <c r="K502" s="533">
        <v>0</v>
      </c>
      <c r="L502" s="533">
        <v>0</v>
      </c>
      <c r="M502" s="533">
        <v>0</v>
      </c>
      <c r="N502" s="533">
        <v>0</v>
      </c>
      <c r="O502" s="533">
        <v>0</v>
      </c>
      <c r="P502" s="533">
        <v>0</v>
      </c>
      <c r="Q502" s="533">
        <v>0</v>
      </c>
    </row>
    <row r="503" spans="1:19">
      <c r="A503" s="532" t="s">
        <v>587</v>
      </c>
      <c r="B503" s="533">
        <v>0</v>
      </c>
      <c r="C503" s="533">
        <v>0</v>
      </c>
      <c r="D503" s="533">
        <v>0</v>
      </c>
      <c r="E503" s="533">
        <v>0</v>
      </c>
      <c r="F503" s="533">
        <v>0</v>
      </c>
      <c r="G503" s="533">
        <v>0</v>
      </c>
      <c r="H503" s="533">
        <v>0</v>
      </c>
      <c r="I503" s="533">
        <v>0</v>
      </c>
      <c r="J503" s="533">
        <v>0</v>
      </c>
      <c r="K503" s="533">
        <v>0</v>
      </c>
      <c r="L503" s="533">
        <v>0</v>
      </c>
      <c r="M503" s="533">
        <v>0</v>
      </c>
      <c r="N503" s="533">
        <v>0</v>
      </c>
      <c r="O503" s="533">
        <v>0</v>
      </c>
      <c r="P503" s="533">
        <v>0</v>
      </c>
      <c r="Q503" s="533">
        <v>0</v>
      </c>
    </row>
    <row r="504" spans="1:19">
      <c r="A504" s="532" t="s">
        <v>588</v>
      </c>
      <c r="B504" s="533">
        <v>0</v>
      </c>
      <c r="C504" s="533">
        <v>0</v>
      </c>
      <c r="D504" s="533">
        <v>0</v>
      </c>
      <c r="E504" s="533">
        <v>0</v>
      </c>
      <c r="F504" s="533">
        <v>0</v>
      </c>
      <c r="G504" s="533">
        <v>0</v>
      </c>
      <c r="H504" s="533">
        <v>0</v>
      </c>
      <c r="I504" s="533">
        <v>0</v>
      </c>
      <c r="J504" s="533">
        <v>0</v>
      </c>
      <c r="K504" s="533">
        <v>0</v>
      </c>
      <c r="L504" s="533">
        <v>0</v>
      </c>
      <c r="M504" s="533">
        <v>0</v>
      </c>
      <c r="N504" s="533">
        <v>0</v>
      </c>
      <c r="O504" s="533">
        <v>0</v>
      </c>
      <c r="P504" s="533">
        <v>0</v>
      </c>
      <c r="Q504" s="533">
        <v>0</v>
      </c>
    </row>
    <row r="505" spans="1:19">
      <c r="A505" s="532" t="s">
        <v>608</v>
      </c>
      <c r="B505" s="533">
        <v>0</v>
      </c>
      <c r="C505" s="533">
        <v>0</v>
      </c>
      <c r="D505" s="533">
        <v>0</v>
      </c>
      <c r="E505" s="533">
        <v>0</v>
      </c>
      <c r="F505" s="533">
        <v>0</v>
      </c>
      <c r="G505" s="533">
        <v>0</v>
      </c>
      <c r="H505" s="533">
        <v>0</v>
      </c>
      <c r="I505" s="533">
        <v>0</v>
      </c>
      <c r="J505" s="533">
        <v>0</v>
      </c>
      <c r="K505" s="533">
        <v>0</v>
      </c>
      <c r="L505" s="533">
        <v>0</v>
      </c>
      <c r="M505" s="533">
        <v>0</v>
      </c>
      <c r="N505" s="533">
        <v>0</v>
      </c>
      <c r="O505" s="533">
        <v>0</v>
      </c>
      <c r="P505" s="533">
        <v>0</v>
      </c>
      <c r="Q505" s="533">
        <v>0</v>
      </c>
    </row>
    <row r="507" spans="1:19">
      <c r="A507" s="529" t="s">
        <v>589</v>
      </c>
    </row>
    <row r="508" spans="1:19">
      <c r="A508" s="529" t="s">
        <v>36</v>
      </c>
      <c r="B508" s="529" t="s">
        <v>590</v>
      </c>
    </row>
    <row r="510" spans="1:19">
      <c r="A510" s="529" t="s">
        <v>340</v>
      </c>
      <c r="B510" s="529" t="s">
        <v>576</v>
      </c>
    </row>
    <row r="511" spans="1:19">
      <c r="A511" s="529" t="s">
        <v>343</v>
      </c>
      <c r="B511" s="529" t="s">
        <v>222</v>
      </c>
    </row>
    <row r="512" spans="1:19">
      <c r="A512" s="529" t="s">
        <v>578</v>
      </c>
      <c r="B512" s="529" t="s">
        <v>298</v>
      </c>
    </row>
    <row r="513" spans="1:19">
      <c r="S513" s="530" t="str">
        <f>B511</f>
        <v>Switzerland</v>
      </c>
    </row>
    <row r="514" spans="1:19">
      <c r="A514" s="532" t="s">
        <v>592</v>
      </c>
      <c r="B514" s="532" t="s">
        <v>593</v>
      </c>
      <c r="C514" s="532" t="s">
        <v>594</v>
      </c>
      <c r="D514" s="532" t="s">
        <v>595</v>
      </c>
      <c r="E514" s="532" t="s">
        <v>596</v>
      </c>
      <c r="F514" s="532" t="s">
        <v>597</v>
      </c>
      <c r="G514" s="532" t="s">
        <v>598</v>
      </c>
      <c r="H514" s="532" t="s">
        <v>599</v>
      </c>
      <c r="I514" s="532" t="s">
        <v>600</v>
      </c>
      <c r="J514" s="532" t="s">
        <v>232</v>
      </c>
      <c r="K514" s="532" t="s">
        <v>601</v>
      </c>
      <c r="L514" s="532" t="s">
        <v>602</v>
      </c>
      <c r="M514" s="532" t="s">
        <v>603</v>
      </c>
      <c r="N514" s="532" t="s">
        <v>604</v>
      </c>
      <c r="O514" s="532" t="s">
        <v>605</v>
      </c>
      <c r="P514" s="532" t="s">
        <v>606</v>
      </c>
      <c r="Q514" s="532" t="s">
        <v>234</v>
      </c>
      <c r="S514" s="530">
        <f>D521/1000</f>
        <v>0</v>
      </c>
    </row>
    <row r="515" spans="1:19">
      <c r="A515" s="532" t="s">
        <v>607</v>
      </c>
      <c r="B515" s="533">
        <v>0</v>
      </c>
      <c r="C515" s="533">
        <v>0</v>
      </c>
      <c r="D515" s="533">
        <v>0</v>
      </c>
      <c r="E515" s="533">
        <v>0</v>
      </c>
      <c r="F515" s="533">
        <v>0</v>
      </c>
      <c r="G515" s="533">
        <v>0</v>
      </c>
      <c r="H515" s="533">
        <v>0</v>
      </c>
      <c r="I515" s="533">
        <v>0</v>
      </c>
      <c r="J515" s="533">
        <v>0</v>
      </c>
      <c r="K515" s="533">
        <v>0</v>
      </c>
      <c r="L515" s="533">
        <v>0</v>
      </c>
      <c r="M515" s="533">
        <v>0</v>
      </c>
      <c r="N515" s="533">
        <v>0</v>
      </c>
      <c r="O515" s="533">
        <v>0</v>
      </c>
      <c r="P515" s="533">
        <v>0</v>
      </c>
      <c r="Q515" s="533">
        <v>0</v>
      </c>
      <c r="S515" s="530">
        <f>D520/1000</f>
        <v>0</v>
      </c>
    </row>
    <row r="516" spans="1:19">
      <c r="A516" s="532" t="s">
        <v>583</v>
      </c>
      <c r="B516" s="533">
        <v>0</v>
      </c>
      <c r="C516" s="533">
        <v>0</v>
      </c>
      <c r="D516" s="533">
        <v>0</v>
      </c>
      <c r="E516" s="533">
        <v>0</v>
      </c>
      <c r="F516" s="533">
        <v>0</v>
      </c>
      <c r="G516" s="533">
        <v>0</v>
      </c>
      <c r="H516" s="533">
        <v>0</v>
      </c>
      <c r="I516" s="533">
        <v>0</v>
      </c>
      <c r="J516" s="533">
        <v>0</v>
      </c>
      <c r="K516" s="533">
        <v>0</v>
      </c>
      <c r="L516" s="533">
        <v>0</v>
      </c>
      <c r="M516" s="533">
        <v>0</v>
      </c>
      <c r="N516" s="533">
        <v>0</v>
      </c>
      <c r="O516" s="533">
        <v>0</v>
      </c>
      <c r="P516" s="533">
        <v>0</v>
      </c>
      <c r="Q516" s="533">
        <v>0</v>
      </c>
    </row>
    <row r="517" spans="1:19">
      <c r="A517" s="532" t="s">
        <v>584</v>
      </c>
      <c r="B517" s="533">
        <v>0</v>
      </c>
      <c r="C517" s="533">
        <v>0</v>
      </c>
      <c r="D517" s="533">
        <v>0</v>
      </c>
      <c r="E517" s="533">
        <v>0</v>
      </c>
      <c r="F517" s="533">
        <v>0</v>
      </c>
      <c r="G517" s="533">
        <v>0</v>
      </c>
      <c r="H517" s="533">
        <v>0</v>
      </c>
      <c r="I517" s="533">
        <v>0</v>
      </c>
      <c r="J517" s="533">
        <v>0</v>
      </c>
      <c r="K517" s="533">
        <v>0</v>
      </c>
      <c r="L517" s="533">
        <v>0</v>
      </c>
      <c r="M517" s="533">
        <v>0</v>
      </c>
      <c r="N517" s="533">
        <v>0</v>
      </c>
      <c r="O517" s="533">
        <v>0</v>
      </c>
      <c r="P517" s="533">
        <v>0</v>
      </c>
      <c r="Q517" s="533">
        <v>0</v>
      </c>
    </row>
    <row r="518" spans="1:19">
      <c r="A518" s="532" t="s">
        <v>585</v>
      </c>
      <c r="B518" s="533">
        <v>0</v>
      </c>
      <c r="C518" s="533">
        <v>0</v>
      </c>
      <c r="D518" s="533">
        <v>0</v>
      </c>
      <c r="E518" s="533">
        <v>0</v>
      </c>
      <c r="F518" s="533">
        <v>0</v>
      </c>
      <c r="G518" s="533">
        <v>0</v>
      </c>
      <c r="H518" s="533">
        <v>0</v>
      </c>
      <c r="I518" s="533">
        <v>0</v>
      </c>
      <c r="J518" s="533">
        <v>0</v>
      </c>
      <c r="K518" s="533">
        <v>0</v>
      </c>
      <c r="L518" s="533">
        <v>0</v>
      </c>
      <c r="M518" s="533">
        <v>0</v>
      </c>
      <c r="N518" s="533">
        <v>0</v>
      </c>
      <c r="O518" s="533">
        <v>0</v>
      </c>
      <c r="P518" s="533">
        <v>0</v>
      </c>
      <c r="Q518" s="533">
        <v>0</v>
      </c>
    </row>
    <row r="519" spans="1:19">
      <c r="A519" s="532" t="s">
        <v>586</v>
      </c>
      <c r="B519" s="533">
        <v>0</v>
      </c>
      <c r="C519" s="533">
        <v>0</v>
      </c>
      <c r="D519" s="533">
        <v>0</v>
      </c>
      <c r="E519" s="533">
        <v>0</v>
      </c>
      <c r="F519" s="533">
        <v>0</v>
      </c>
      <c r="G519" s="533">
        <v>0</v>
      </c>
      <c r="H519" s="533">
        <v>0</v>
      </c>
      <c r="I519" s="533">
        <v>0</v>
      </c>
      <c r="J519" s="533">
        <v>0</v>
      </c>
      <c r="K519" s="533">
        <v>0</v>
      </c>
      <c r="L519" s="533">
        <v>0</v>
      </c>
      <c r="M519" s="533">
        <v>0</v>
      </c>
      <c r="N519" s="533">
        <v>0</v>
      </c>
      <c r="O519" s="533">
        <v>0</v>
      </c>
      <c r="P519" s="533">
        <v>0</v>
      </c>
      <c r="Q519" s="533">
        <v>0</v>
      </c>
    </row>
    <row r="520" spans="1:19">
      <c r="A520" s="532" t="s">
        <v>587</v>
      </c>
      <c r="B520" s="533">
        <v>0</v>
      </c>
      <c r="C520" s="533">
        <v>0</v>
      </c>
      <c r="D520" s="533">
        <v>0</v>
      </c>
      <c r="E520" s="533">
        <v>0</v>
      </c>
      <c r="F520" s="533">
        <v>0</v>
      </c>
      <c r="G520" s="533">
        <v>0</v>
      </c>
      <c r="H520" s="533">
        <v>0</v>
      </c>
      <c r="I520" s="533">
        <v>0</v>
      </c>
      <c r="J520" s="533">
        <v>0</v>
      </c>
      <c r="K520" s="533">
        <v>0</v>
      </c>
      <c r="L520" s="533">
        <v>0</v>
      </c>
      <c r="M520" s="533">
        <v>0</v>
      </c>
      <c r="N520" s="533">
        <v>0</v>
      </c>
      <c r="O520" s="533">
        <v>0</v>
      </c>
      <c r="P520" s="533">
        <v>0</v>
      </c>
      <c r="Q520" s="533">
        <v>0</v>
      </c>
    </row>
    <row r="521" spans="1:19">
      <c r="A521" s="532" t="s">
        <v>588</v>
      </c>
      <c r="B521" s="533">
        <v>0</v>
      </c>
      <c r="C521" s="533">
        <v>0</v>
      </c>
      <c r="D521" s="533">
        <v>0</v>
      </c>
      <c r="E521" s="533">
        <v>0</v>
      </c>
      <c r="F521" s="533">
        <v>0</v>
      </c>
      <c r="G521" s="533">
        <v>0</v>
      </c>
      <c r="H521" s="533">
        <v>0</v>
      </c>
      <c r="I521" s="533">
        <v>0</v>
      </c>
      <c r="J521" s="533">
        <v>0</v>
      </c>
      <c r="K521" s="533">
        <v>0</v>
      </c>
      <c r="L521" s="533">
        <v>0</v>
      </c>
      <c r="M521" s="533">
        <v>0</v>
      </c>
      <c r="N521" s="533">
        <v>0</v>
      </c>
      <c r="O521" s="533">
        <v>0</v>
      </c>
      <c r="P521" s="533">
        <v>0</v>
      </c>
      <c r="Q521" s="533">
        <v>0</v>
      </c>
    </row>
    <row r="522" spans="1:19">
      <c r="A522" s="532" t="s">
        <v>608</v>
      </c>
      <c r="B522" s="533">
        <v>0</v>
      </c>
      <c r="C522" s="533">
        <v>0</v>
      </c>
      <c r="D522" s="533">
        <v>0</v>
      </c>
      <c r="E522" s="533">
        <v>0</v>
      </c>
      <c r="F522" s="533">
        <v>0</v>
      </c>
      <c r="G522" s="533">
        <v>0</v>
      </c>
      <c r="H522" s="533">
        <v>0</v>
      </c>
      <c r="I522" s="533">
        <v>0</v>
      </c>
      <c r="J522" s="533">
        <v>0</v>
      </c>
      <c r="K522" s="533">
        <v>0</v>
      </c>
      <c r="L522" s="533">
        <v>0</v>
      </c>
      <c r="M522" s="533">
        <v>0</v>
      </c>
      <c r="N522" s="533">
        <v>0</v>
      </c>
      <c r="O522" s="533">
        <v>0</v>
      </c>
      <c r="P522" s="533">
        <v>0</v>
      </c>
      <c r="Q522" s="533">
        <v>0</v>
      </c>
    </row>
    <row r="524" spans="1:19">
      <c r="A524" s="529" t="s">
        <v>589</v>
      </c>
    </row>
    <row r="525" spans="1:19">
      <c r="A525" s="529" t="s">
        <v>36</v>
      </c>
      <c r="B525" s="529" t="s">
        <v>590</v>
      </c>
    </row>
    <row r="527" spans="1:19">
      <c r="A527" s="529" t="s">
        <v>340</v>
      </c>
      <c r="B527" s="529" t="s">
        <v>576</v>
      </c>
    </row>
    <row r="528" spans="1:19">
      <c r="A528" s="529" t="s">
        <v>343</v>
      </c>
      <c r="B528" s="529" t="s">
        <v>299</v>
      </c>
    </row>
    <row r="529" spans="1:19">
      <c r="A529" s="529" t="s">
        <v>578</v>
      </c>
      <c r="B529" s="529" t="s">
        <v>298</v>
      </c>
    </row>
    <row r="530" spans="1:19">
      <c r="S530" s="530" t="str">
        <f>B528</f>
        <v>Croatia</v>
      </c>
    </row>
    <row r="531" spans="1:19">
      <c r="A531" s="532" t="s">
        <v>592</v>
      </c>
      <c r="B531" s="532" t="s">
        <v>593</v>
      </c>
      <c r="C531" s="532" t="s">
        <v>594</v>
      </c>
      <c r="D531" s="532" t="s">
        <v>595</v>
      </c>
      <c r="E531" s="532" t="s">
        <v>596</v>
      </c>
      <c r="F531" s="532" t="s">
        <v>597</v>
      </c>
      <c r="G531" s="532" t="s">
        <v>598</v>
      </c>
      <c r="H531" s="532" t="s">
        <v>599</v>
      </c>
      <c r="I531" s="532" t="s">
        <v>600</v>
      </c>
      <c r="J531" s="532" t="s">
        <v>232</v>
      </c>
      <c r="K531" s="532" t="s">
        <v>601</v>
      </c>
      <c r="L531" s="532" t="s">
        <v>602</v>
      </c>
      <c r="M531" s="532" t="s">
        <v>603</v>
      </c>
      <c r="N531" s="532" t="s">
        <v>604</v>
      </c>
      <c r="O531" s="532" t="s">
        <v>605</v>
      </c>
      <c r="P531" s="532" t="s">
        <v>606</v>
      </c>
      <c r="Q531" s="532" t="s">
        <v>234</v>
      </c>
      <c r="S531" s="530">
        <f>D538/1000</f>
        <v>0</v>
      </c>
    </row>
    <row r="532" spans="1:19">
      <c r="A532" s="532" t="s">
        <v>607</v>
      </c>
      <c r="B532" s="533">
        <v>22494</v>
      </c>
      <c r="C532" s="533">
        <v>22289</v>
      </c>
      <c r="D532" s="533">
        <v>22289</v>
      </c>
      <c r="E532" s="533">
        <v>0</v>
      </c>
      <c r="F532" s="533">
        <v>0</v>
      </c>
      <c r="G532" s="533">
        <v>0</v>
      </c>
      <c r="H532" s="533">
        <v>22289</v>
      </c>
      <c r="I532" s="533">
        <v>0</v>
      </c>
      <c r="J532" s="533">
        <v>0</v>
      </c>
      <c r="K532" s="533">
        <v>0</v>
      </c>
      <c r="L532" s="533">
        <v>0</v>
      </c>
      <c r="M532" s="533">
        <v>0</v>
      </c>
      <c r="N532" s="533">
        <v>205</v>
      </c>
      <c r="O532" s="533">
        <v>205</v>
      </c>
      <c r="P532" s="533">
        <v>0</v>
      </c>
      <c r="Q532" s="533">
        <v>0</v>
      </c>
      <c r="S532" s="530">
        <f>D537/1000</f>
        <v>0</v>
      </c>
    </row>
    <row r="533" spans="1:19">
      <c r="A533" s="532" t="s">
        <v>583</v>
      </c>
      <c r="B533" s="533">
        <v>22289</v>
      </c>
      <c r="C533" s="533">
        <v>22289</v>
      </c>
      <c r="D533" s="533">
        <v>22289</v>
      </c>
      <c r="E533" s="533">
        <v>0</v>
      </c>
      <c r="F533" s="533">
        <v>0</v>
      </c>
      <c r="G533" s="533">
        <v>0</v>
      </c>
      <c r="H533" s="533">
        <v>22289</v>
      </c>
      <c r="I533" s="533">
        <v>0</v>
      </c>
      <c r="J533" s="533">
        <v>0</v>
      </c>
      <c r="K533" s="533">
        <v>0</v>
      </c>
      <c r="L533" s="533">
        <v>0</v>
      </c>
      <c r="M533" s="533">
        <v>0</v>
      </c>
      <c r="N533" s="533">
        <v>0</v>
      </c>
      <c r="O533" s="533">
        <v>0</v>
      </c>
      <c r="P533" s="533">
        <v>0</v>
      </c>
      <c r="Q533" s="533">
        <v>0</v>
      </c>
    </row>
    <row r="534" spans="1:19">
      <c r="A534" s="532" t="s">
        <v>584</v>
      </c>
      <c r="B534" s="533">
        <v>22289</v>
      </c>
      <c r="C534" s="533">
        <v>22289</v>
      </c>
      <c r="D534" s="533">
        <v>22289</v>
      </c>
      <c r="E534" s="533">
        <v>0</v>
      </c>
      <c r="F534" s="533">
        <v>0</v>
      </c>
      <c r="G534" s="533">
        <v>0</v>
      </c>
      <c r="H534" s="533">
        <v>22289</v>
      </c>
      <c r="I534" s="533">
        <v>0</v>
      </c>
      <c r="J534" s="533">
        <v>0</v>
      </c>
      <c r="K534" s="533">
        <v>0</v>
      </c>
      <c r="L534" s="533">
        <v>0</v>
      </c>
      <c r="M534" s="533">
        <v>0</v>
      </c>
      <c r="N534" s="533">
        <v>0</v>
      </c>
      <c r="O534" s="533">
        <v>0</v>
      </c>
      <c r="P534" s="533">
        <v>0</v>
      </c>
      <c r="Q534" s="533">
        <v>0</v>
      </c>
    </row>
    <row r="535" spans="1:19">
      <c r="A535" s="532" t="s">
        <v>585</v>
      </c>
      <c r="B535" s="533">
        <v>0</v>
      </c>
      <c r="C535" s="533">
        <v>0</v>
      </c>
      <c r="D535" s="533">
        <v>0</v>
      </c>
      <c r="E535" s="533">
        <v>0</v>
      </c>
      <c r="F535" s="533">
        <v>0</v>
      </c>
      <c r="G535" s="533">
        <v>0</v>
      </c>
      <c r="H535" s="533">
        <v>0</v>
      </c>
      <c r="I535" s="533">
        <v>0</v>
      </c>
      <c r="J535" s="533">
        <v>0</v>
      </c>
      <c r="K535" s="533">
        <v>0</v>
      </c>
      <c r="L535" s="533">
        <v>0</v>
      </c>
      <c r="M535" s="533">
        <v>0</v>
      </c>
      <c r="N535" s="533">
        <v>0</v>
      </c>
      <c r="O535" s="533">
        <v>0</v>
      </c>
      <c r="P535" s="533">
        <v>0</v>
      </c>
      <c r="Q535" s="533">
        <v>0</v>
      </c>
    </row>
    <row r="536" spans="1:19">
      <c r="A536" s="532" t="s">
        <v>586</v>
      </c>
      <c r="B536" s="533">
        <v>205</v>
      </c>
      <c r="C536" s="533">
        <v>0</v>
      </c>
      <c r="D536" s="533">
        <v>0</v>
      </c>
      <c r="E536" s="533">
        <v>0</v>
      </c>
      <c r="F536" s="533">
        <v>0</v>
      </c>
      <c r="G536" s="533">
        <v>0</v>
      </c>
      <c r="H536" s="533">
        <v>0</v>
      </c>
      <c r="I536" s="533">
        <v>0</v>
      </c>
      <c r="J536" s="533">
        <v>0</v>
      </c>
      <c r="K536" s="533">
        <v>0</v>
      </c>
      <c r="L536" s="533">
        <v>0</v>
      </c>
      <c r="M536" s="533">
        <v>0</v>
      </c>
      <c r="N536" s="533">
        <v>205</v>
      </c>
      <c r="O536" s="533">
        <v>205</v>
      </c>
      <c r="P536" s="533">
        <v>0</v>
      </c>
      <c r="Q536" s="533">
        <v>0</v>
      </c>
    </row>
    <row r="537" spans="1:19">
      <c r="A537" s="532" t="s">
        <v>587</v>
      </c>
      <c r="B537" s="533">
        <v>0</v>
      </c>
      <c r="C537" s="533">
        <v>0</v>
      </c>
      <c r="D537" s="533">
        <v>0</v>
      </c>
      <c r="E537" s="533">
        <v>0</v>
      </c>
      <c r="F537" s="533">
        <v>0</v>
      </c>
      <c r="G537" s="533">
        <v>0</v>
      </c>
      <c r="H537" s="533">
        <v>0</v>
      </c>
      <c r="I537" s="533">
        <v>0</v>
      </c>
      <c r="J537" s="533">
        <v>0</v>
      </c>
      <c r="K537" s="533">
        <v>0</v>
      </c>
      <c r="L537" s="533">
        <v>0</v>
      </c>
      <c r="M537" s="533">
        <v>0</v>
      </c>
      <c r="N537" s="533">
        <v>0</v>
      </c>
      <c r="O537" s="533">
        <v>0</v>
      </c>
      <c r="P537" s="533">
        <v>0</v>
      </c>
      <c r="Q537" s="533">
        <v>0</v>
      </c>
    </row>
    <row r="538" spans="1:19">
      <c r="A538" s="532" t="s">
        <v>588</v>
      </c>
      <c r="B538" s="533">
        <v>205</v>
      </c>
      <c r="C538" s="533">
        <v>0</v>
      </c>
      <c r="D538" s="533">
        <v>0</v>
      </c>
      <c r="E538" s="533">
        <v>0</v>
      </c>
      <c r="F538" s="533">
        <v>0</v>
      </c>
      <c r="G538" s="533">
        <v>0</v>
      </c>
      <c r="H538" s="533">
        <v>0</v>
      </c>
      <c r="I538" s="533">
        <v>0</v>
      </c>
      <c r="J538" s="533">
        <v>0</v>
      </c>
      <c r="K538" s="533">
        <v>0</v>
      </c>
      <c r="L538" s="533">
        <v>0</v>
      </c>
      <c r="M538" s="533">
        <v>0</v>
      </c>
      <c r="N538" s="533">
        <v>205</v>
      </c>
      <c r="O538" s="533">
        <v>205</v>
      </c>
      <c r="P538" s="533">
        <v>0</v>
      </c>
      <c r="Q538" s="533">
        <v>0</v>
      </c>
    </row>
    <row r="539" spans="1:19">
      <c r="A539" s="532" t="s">
        <v>608</v>
      </c>
      <c r="B539" s="533">
        <v>0</v>
      </c>
      <c r="C539" s="533">
        <v>0</v>
      </c>
      <c r="D539" s="533">
        <v>0</v>
      </c>
      <c r="E539" s="533">
        <v>0</v>
      </c>
      <c r="F539" s="533">
        <v>0</v>
      </c>
      <c r="G539" s="533">
        <v>0</v>
      </c>
      <c r="H539" s="533">
        <v>0</v>
      </c>
      <c r="I539" s="533">
        <v>0</v>
      </c>
      <c r="J539" s="533">
        <v>0</v>
      </c>
      <c r="K539" s="533">
        <v>0</v>
      </c>
      <c r="L539" s="533">
        <v>0</v>
      </c>
      <c r="M539" s="533">
        <v>0</v>
      </c>
      <c r="N539" s="533">
        <v>0</v>
      </c>
      <c r="O539" s="533">
        <v>0</v>
      </c>
      <c r="P539" s="533">
        <v>0</v>
      </c>
      <c r="Q539" s="533">
        <v>0</v>
      </c>
    </row>
    <row r="541" spans="1:19">
      <c r="A541" s="529" t="s">
        <v>589</v>
      </c>
    </row>
    <row r="542" spans="1:19">
      <c r="A542" s="529" t="s">
        <v>36</v>
      </c>
      <c r="B542" s="529" t="s">
        <v>590</v>
      </c>
    </row>
    <row r="544" spans="1:19">
      <c r="A544" s="529" t="s">
        <v>340</v>
      </c>
      <c r="B544" s="529" t="s">
        <v>576</v>
      </c>
    </row>
    <row r="545" spans="1:19">
      <c r="A545" s="529" t="s">
        <v>343</v>
      </c>
      <c r="B545" s="529" t="s">
        <v>582</v>
      </c>
    </row>
    <row r="546" spans="1:19">
      <c r="A546" s="529" t="s">
        <v>578</v>
      </c>
      <c r="B546" s="529" t="s">
        <v>298</v>
      </c>
    </row>
    <row r="547" spans="1:19">
      <c r="S547" s="530" t="str">
        <f>B545</f>
        <v>Former Yugoslav Republic of Macedonia, the</v>
      </c>
    </row>
    <row r="548" spans="1:19">
      <c r="A548" s="532" t="s">
        <v>592</v>
      </c>
      <c r="B548" s="532" t="s">
        <v>593</v>
      </c>
      <c r="C548" s="532" t="s">
        <v>594</v>
      </c>
      <c r="D548" s="532" t="s">
        <v>595</v>
      </c>
      <c r="E548" s="532" t="s">
        <v>596</v>
      </c>
      <c r="F548" s="532" t="s">
        <v>597</v>
      </c>
      <c r="G548" s="532" t="s">
        <v>598</v>
      </c>
      <c r="H548" s="532" t="s">
        <v>599</v>
      </c>
      <c r="I548" s="532" t="s">
        <v>600</v>
      </c>
      <c r="J548" s="532" t="s">
        <v>232</v>
      </c>
      <c r="K548" s="532" t="s">
        <v>601</v>
      </c>
      <c r="L548" s="532" t="s">
        <v>602</v>
      </c>
      <c r="M548" s="532" t="s">
        <v>603</v>
      </c>
      <c r="N548" s="532" t="s">
        <v>604</v>
      </c>
      <c r="O548" s="532" t="s">
        <v>605</v>
      </c>
      <c r="P548" s="532" t="s">
        <v>606</v>
      </c>
      <c r="Q548" s="532" t="s">
        <v>234</v>
      </c>
      <c r="S548" s="530">
        <f>D555/1000</f>
        <v>0</v>
      </c>
    </row>
    <row r="549" spans="1:19">
      <c r="A549" s="532" t="s">
        <v>607</v>
      </c>
      <c r="B549" s="533">
        <v>55590</v>
      </c>
      <c r="C549" s="533">
        <v>0</v>
      </c>
      <c r="D549" s="533">
        <v>0</v>
      </c>
      <c r="E549" s="533">
        <v>0</v>
      </c>
      <c r="F549" s="533">
        <v>0</v>
      </c>
      <c r="G549" s="533">
        <v>0</v>
      </c>
      <c r="H549" s="533">
        <v>0</v>
      </c>
      <c r="I549" s="533">
        <v>0</v>
      </c>
      <c r="J549" s="533">
        <v>0</v>
      </c>
      <c r="K549" s="533">
        <v>0</v>
      </c>
      <c r="L549" s="533">
        <v>0</v>
      </c>
      <c r="M549" s="533">
        <v>0</v>
      </c>
      <c r="N549" s="533">
        <v>55590</v>
      </c>
      <c r="O549" s="533">
        <v>55590</v>
      </c>
      <c r="P549" s="533">
        <v>0</v>
      </c>
      <c r="Q549" s="533">
        <v>0</v>
      </c>
      <c r="S549" s="530">
        <f>D554/1000</f>
        <v>0</v>
      </c>
    </row>
    <row r="550" spans="1:19">
      <c r="A550" s="532" t="s">
        <v>583</v>
      </c>
      <c r="B550" s="533">
        <v>55003</v>
      </c>
      <c r="C550" s="533">
        <v>0</v>
      </c>
      <c r="D550" s="533">
        <v>0</v>
      </c>
      <c r="E550" s="533">
        <v>0</v>
      </c>
      <c r="F550" s="533">
        <v>0</v>
      </c>
      <c r="G550" s="533">
        <v>0</v>
      </c>
      <c r="H550" s="533">
        <v>0</v>
      </c>
      <c r="I550" s="533">
        <v>0</v>
      </c>
      <c r="J550" s="533">
        <v>0</v>
      </c>
      <c r="K550" s="533">
        <v>0</v>
      </c>
      <c r="L550" s="533">
        <v>0</v>
      </c>
      <c r="M550" s="533">
        <v>0</v>
      </c>
      <c r="N550" s="533">
        <v>55003</v>
      </c>
      <c r="O550" s="533">
        <v>55003</v>
      </c>
      <c r="P550" s="533">
        <v>0</v>
      </c>
      <c r="Q550" s="533">
        <v>0</v>
      </c>
    </row>
    <row r="551" spans="1:19">
      <c r="A551" s="532" t="s">
        <v>584</v>
      </c>
      <c r="B551" s="533">
        <v>55003</v>
      </c>
      <c r="C551" s="533">
        <v>0</v>
      </c>
      <c r="D551" s="533">
        <v>0</v>
      </c>
      <c r="E551" s="533">
        <v>0</v>
      </c>
      <c r="F551" s="533">
        <v>0</v>
      </c>
      <c r="G551" s="533">
        <v>0</v>
      </c>
      <c r="H551" s="533">
        <v>0</v>
      </c>
      <c r="I551" s="533">
        <v>0</v>
      </c>
      <c r="J551" s="533">
        <v>0</v>
      </c>
      <c r="K551" s="533">
        <v>0</v>
      </c>
      <c r="L551" s="533">
        <v>0</v>
      </c>
      <c r="M551" s="533">
        <v>0</v>
      </c>
      <c r="N551" s="533">
        <v>55003</v>
      </c>
      <c r="O551" s="533">
        <v>55003</v>
      </c>
      <c r="P551" s="533">
        <v>0</v>
      </c>
      <c r="Q551" s="533">
        <v>0</v>
      </c>
    </row>
    <row r="552" spans="1:19">
      <c r="A552" s="532" t="s">
        <v>585</v>
      </c>
      <c r="B552" s="533">
        <v>0</v>
      </c>
      <c r="C552" s="533">
        <v>0</v>
      </c>
      <c r="D552" s="533">
        <v>0</v>
      </c>
      <c r="E552" s="533">
        <v>0</v>
      </c>
      <c r="F552" s="533">
        <v>0</v>
      </c>
      <c r="G552" s="533">
        <v>0</v>
      </c>
      <c r="H552" s="533">
        <v>0</v>
      </c>
      <c r="I552" s="533">
        <v>0</v>
      </c>
      <c r="J552" s="533">
        <v>0</v>
      </c>
      <c r="K552" s="533">
        <v>0</v>
      </c>
      <c r="L552" s="533">
        <v>0</v>
      </c>
      <c r="M552" s="533">
        <v>0</v>
      </c>
      <c r="N552" s="533">
        <v>0</v>
      </c>
      <c r="O552" s="533">
        <v>0</v>
      </c>
      <c r="P552" s="533">
        <v>0</v>
      </c>
      <c r="Q552" s="533">
        <v>0</v>
      </c>
    </row>
    <row r="553" spans="1:19">
      <c r="A553" s="532" t="s">
        <v>586</v>
      </c>
      <c r="B553" s="533">
        <v>587</v>
      </c>
      <c r="C553" s="533">
        <v>0</v>
      </c>
      <c r="D553" s="533">
        <v>0</v>
      </c>
      <c r="E553" s="533">
        <v>0</v>
      </c>
      <c r="F553" s="533">
        <v>0</v>
      </c>
      <c r="G553" s="533">
        <v>0</v>
      </c>
      <c r="H553" s="533">
        <v>0</v>
      </c>
      <c r="I553" s="533">
        <v>0</v>
      </c>
      <c r="J553" s="533">
        <v>0</v>
      </c>
      <c r="K553" s="533">
        <v>0</v>
      </c>
      <c r="L553" s="533">
        <v>0</v>
      </c>
      <c r="M553" s="533">
        <v>0</v>
      </c>
      <c r="N553" s="533">
        <v>587</v>
      </c>
      <c r="O553" s="533">
        <v>587</v>
      </c>
      <c r="P553" s="533">
        <v>0</v>
      </c>
      <c r="Q553" s="533">
        <v>0</v>
      </c>
    </row>
    <row r="554" spans="1:19">
      <c r="A554" s="532" t="s">
        <v>587</v>
      </c>
      <c r="B554" s="533">
        <v>0</v>
      </c>
      <c r="C554" s="533">
        <v>0</v>
      </c>
      <c r="D554" s="533">
        <v>0</v>
      </c>
      <c r="E554" s="533">
        <v>0</v>
      </c>
      <c r="F554" s="533">
        <v>0</v>
      </c>
      <c r="G554" s="533">
        <v>0</v>
      </c>
      <c r="H554" s="533">
        <v>0</v>
      </c>
      <c r="I554" s="533">
        <v>0</v>
      </c>
      <c r="J554" s="533">
        <v>0</v>
      </c>
      <c r="K554" s="533">
        <v>0</v>
      </c>
      <c r="L554" s="533">
        <v>0</v>
      </c>
      <c r="M554" s="533">
        <v>0</v>
      </c>
      <c r="N554" s="533">
        <v>0</v>
      </c>
      <c r="O554" s="533">
        <v>0</v>
      </c>
      <c r="P554" s="533">
        <v>0</v>
      </c>
      <c r="Q554" s="533">
        <v>0</v>
      </c>
    </row>
    <row r="555" spans="1:19">
      <c r="A555" s="532" t="s">
        <v>588</v>
      </c>
      <c r="B555" s="533">
        <v>587</v>
      </c>
      <c r="C555" s="533">
        <v>0</v>
      </c>
      <c r="D555" s="533">
        <v>0</v>
      </c>
      <c r="E555" s="533">
        <v>0</v>
      </c>
      <c r="F555" s="533">
        <v>0</v>
      </c>
      <c r="G555" s="533">
        <v>0</v>
      </c>
      <c r="H555" s="533">
        <v>0</v>
      </c>
      <c r="I555" s="533">
        <v>0</v>
      </c>
      <c r="J555" s="533">
        <v>0</v>
      </c>
      <c r="K555" s="533">
        <v>0</v>
      </c>
      <c r="L555" s="533">
        <v>0</v>
      </c>
      <c r="M555" s="533">
        <v>0</v>
      </c>
      <c r="N555" s="533">
        <v>587</v>
      </c>
      <c r="O555" s="533">
        <v>587</v>
      </c>
      <c r="P555" s="533">
        <v>0</v>
      </c>
      <c r="Q555" s="533">
        <v>0</v>
      </c>
    </row>
    <row r="556" spans="1:19">
      <c r="A556" s="532" t="s">
        <v>608</v>
      </c>
      <c r="B556" s="533">
        <v>534</v>
      </c>
      <c r="C556" s="533">
        <v>0</v>
      </c>
      <c r="D556" s="533">
        <v>0</v>
      </c>
      <c r="E556" s="533">
        <v>0</v>
      </c>
      <c r="F556" s="533">
        <v>0</v>
      </c>
      <c r="G556" s="533">
        <v>0</v>
      </c>
      <c r="H556" s="533">
        <v>0</v>
      </c>
      <c r="I556" s="533">
        <v>0</v>
      </c>
      <c r="J556" s="533">
        <v>0</v>
      </c>
      <c r="K556" s="533">
        <v>0</v>
      </c>
      <c r="L556" s="533">
        <v>0</v>
      </c>
      <c r="M556" s="533">
        <v>0</v>
      </c>
      <c r="N556" s="533">
        <v>534</v>
      </c>
      <c r="O556" s="533">
        <v>534</v>
      </c>
      <c r="P556" s="533">
        <v>0</v>
      </c>
      <c r="Q556" s="533">
        <v>0</v>
      </c>
    </row>
    <row r="558" spans="1:19">
      <c r="A558" s="529" t="s">
        <v>589</v>
      </c>
    </row>
    <row r="559" spans="1:19">
      <c r="A559" s="529" t="s">
        <v>36</v>
      </c>
      <c r="B559" s="529" t="s">
        <v>590</v>
      </c>
    </row>
    <row r="561" spans="1:19">
      <c r="A561" s="529" t="s">
        <v>340</v>
      </c>
      <c r="B561" s="529" t="s">
        <v>576</v>
      </c>
    </row>
    <row r="562" spans="1:19">
      <c r="A562" s="529" t="s">
        <v>343</v>
      </c>
      <c r="B562" s="529" t="s">
        <v>300</v>
      </c>
    </row>
    <row r="563" spans="1:19">
      <c r="A563" s="529" t="s">
        <v>578</v>
      </c>
      <c r="B563" s="529" t="s">
        <v>298</v>
      </c>
    </row>
    <row r="564" spans="1:19">
      <c r="S564" s="530" t="str">
        <f>B562</f>
        <v>Turkey</v>
      </c>
    </row>
    <row r="565" spans="1:19">
      <c r="A565" s="532" t="s">
        <v>592</v>
      </c>
      <c r="B565" s="532" t="s">
        <v>593</v>
      </c>
      <c r="C565" s="532" t="s">
        <v>594</v>
      </c>
      <c r="D565" s="532" t="s">
        <v>595</v>
      </c>
      <c r="E565" s="532" t="s">
        <v>596</v>
      </c>
      <c r="F565" s="532" t="s">
        <v>597</v>
      </c>
      <c r="G565" s="532" t="s">
        <v>598</v>
      </c>
      <c r="H565" s="532" t="s">
        <v>599</v>
      </c>
      <c r="I565" s="532" t="s">
        <v>600</v>
      </c>
      <c r="J565" s="532" t="s">
        <v>232</v>
      </c>
      <c r="K565" s="532" t="s">
        <v>601</v>
      </c>
      <c r="L565" s="532" t="s">
        <v>602</v>
      </c>
      <c r="M565" s="532" t="s">
        <v>603</v>
      </c>
      <c r="N565" s="532" t="s">
        <v>604</v>
      </c>
      <c r="O565" s="532" t="s">
        <v>605</v>
      </c>
      <c r="P565" s="532" t="s">
        <v>606</v>
      </c>
      <c r="Q565" s="532" t="s">
        <v>234</v>
      </c>
      <c r="S565" s="530">
        <f>D572/1000</f>
        <v>0.83</v>
      </c>
    </row>
    <row r="566" spans="1:19">
      <c r="A566" s="532" t="s">
        <v>607</v>
      </c>
      <c r="B566" s="533">
        <v>392294</v>
      </c>
      <c r="C566" s="533">
        <v>109547</v>
      </c>
      <c r="D566" s="533">
        <v>109547</v>
      </c>
      <c r="E566" s="533">
        <v>0</v>
      </c>
      <c r="F566" s="533">
        <v>0</v>
      </c>
      <c r="G566" s="533">
        <v>17750</v>
      </c>
      <c r="H566" s="533">
        <v>91797</v>
      </c>
      <c r="I566" s="533">
        <v>0</v>
      </c>
      <c r="J566" s="533">
        <v>0</v>
      </c>
      <c r="K566" s="533">
        <v>0</v>
      </c>
      <c r="L566" s="533">
        <v>0</v>
      </c>
      <c r="M566" s="533">
        <v>0</v>
      </c>
      <c r="N566" s="533">
        <v>282747</v>
      </c>
      <c r="O566" s="533">
        <v>282747</v>
      </c>
      <c r="P566" s="533">
        <v>0</v>
      </c>
      <c r="Q566" s="533">
        <v>0</v>
      </c>
      <c r="S566" s="530">
        <f>D571/1000</f>
        <v>16.920000000000002</v>
      </c>
    </row>
    <row r="567" spans="1:19">
      <c r="A567" s="532" t="s">
        <v>583</v>
      </c>
      <c r="B567" s="533">
        <v>371982</v>
      </c>
      <c r="C567" s="533">
        <v>91797</v>
      </c>
      <c r="D567" s="533">
        <v>91797</v>
      </c>
      <c r="E567" s="533">
        <v>0</v>
      </c>
      <c r="F567" s="533">
        <v>0</v>
      </c>
      <c r="G567" s="533">
        <v>0</v>
      </c>
      <c r="H567" s="533">
        <v>91797</v>
      </c>
      <c r="I567" s="533">
        <v>0</v>
      </c>
      <c r="J567" s="533">
        <v>0</v>
      </c>
      <c r="K567" s="533">
        <v>0</v>
      </c>
      <c r="L567" s="533">
        <v>0</v>
      </c>
      <c r="M567" s="533">
        <v>0</v>
      </c>
      <c r="N567" s="533">
        <v>280185</v>
      </c>
      <c r="O567" s="533">
        <v>280185</v>
      </c>
      <c r="P567" s="533">
        <v>0</v>
      </c>
      <c r="Q567" s="533">
        <v>0</v>
      </c>
    </row>
    <row r="568" spans="1:19">
      <c r="A568" s="532" t="s">
        <v>584</v>
      </c>
      <c r="B568" s="533">
        <v>371982</v>
      </c>
      <c r="C568" s="533">
        <v>91797</v>
      </c>
      <c r="D568" s="533">
        <v>91797</v>
      </c>
      <c r="E568" s="533">
        <v>0</v>
      </c>
      <c r="F568" s="533">
        <v>0</v>
      </c>
      <c r="G568" s="533">
        <v>0</v>
      </c>
      <c r="H568" s="533">
        <v>91797</v>
      </c>
      <c r="I568" s="533">
        <v>0</v>
      </c>
      <c r="J568" s="533">
        <v>0</v>
      </c>
      <c r="K568" s="533">
        <v>0</v>
      </c>
      <c r="L568" s="533">
        <v>0</v>
      </c>
      <c r="M568" s="533">
        <v>0</v>
      </c>
      <c r="N568" s="533">
        <v>280185</v>
      </c>
      <c r="O568" s="533">
        <v>280185</v>
      </c>
      <c r="P568" s="533">
        <v>0</v>
      </c>
      <c r="Q568" s="533">
        <v>0</v>
      </c>
    </row>
    <row r="569" spans="1:19">
      <c r="A569" s="532" t="s">
        <v>585</v>
      </c>
      <c r="B569" s="533">
        <v>0</v>
      </c>
      <c r="C569" s="533">
        <v>0</v>
      </c>
      <c r="D569" s="533">
        <v>0</v>
      </c>
      <c r="E569" s="533">
        <v>0</v>
      </c>
      <c r="F569" s="533">
        <v>0</v>
      </c>
      <c r="G569" s="533">
        <v>0</v>
      </c>
      <c r="H569" s="533">
        <v>0</v>
      </c>
      <c r="I569" s="533">
        <v>0</v>
      </c>
      <c r="J569" s="533">
        <v>0</v>
      </c>
      <c r="K569" s="533">
        <v>0</v>
      </c>
      <c r="L569" s="533">
        <v>0</v>
      </c>
      <c r="M569" s="533">
        <v>0</v>
      </c>
      <c r="N569" s="533">
        <v>0</v>
      </c>
      <c r="O569" s="533">
        <v>0</v>
      </c>
      <c r="P569" s="533">
        <v>0</v>
      </c>
      <c r="Q569" s="533">
        <v>0</v>
      </c>
    </row>
    <row r="570" spans="1:19">
      <c r="A570" s="532" t="s">
        <v>586</v>
      </c>
      <c r="B570" s="533">
        <v>20312</v>
      </c>
      <c r="C570" s="533">
        <v>17750</v>
      </c>
      <c r="D570" s="533">
        <v>17750</v>
      </c>
      <c r="E570" s="533">
        <v>0</v>
      </c>
      <c r="F570" s="533">
        <v>0</v>
      </c>
      <c r="G570" s="533">
        <v>17750</v>
      </c>
      <c r="H570" s="533">
        <v>0</v>
      </c>
      <c r="I570" s="533">
        <v>0</v>
      </c>
      <c r="J570" s="533">
        <v>0</v>
      </c>
      <c r="K570" s="533">
        <v>0</v>
      </c>
      <c r="L570" s="533">
        <v>0</v>
      </c>
      <c r="M570" s="533">
        <v>0</v>
      </c>
      <c r="N570" s="533">
        <v>2562</v>
      </c>
      <c r="O570" s="533">
        <v>2562</v>
      </c>
      <c r="P570" s="533">
        <v>0</v>
      </c>
      <c r="Q570" s="533">
        <v>0</v>
      </c>
    </row>
    <row r="571" spans="1:19">
      <c r="A571" s="532" t="s">
        <v>587</v>
      </c>
      <c r="B571" s="533">
        <v>17260</v>
      </c>
      <c r="C571" s="533">
        <v>16920</v>
      </c>
      <c r="D571" s="533">
        <v>16920</v>
      </c>
      <c r="E571" s="533">
        <v>0</v>
      </c>
      <c r="F571" s="533">
        <v>0</v>
      </c>
      <c r="G571" s="533">
        <v>16920</v>
      </c>
      <c r="H571" s="533">
        <v>0</v>
      </c>
      <c r="I571" s="533">
        <v>0</v>
      </c>
      <c r="J571" s="533">
        <v>0</v>
      </c>
      <c r="K571" s="533">
        <v>0</v>
      </c>
      <c r="L571" s="533">
        <v>0</v>
      </c>
      <c r="M571" s="533">
        <v>0</v>
      </c>
      <c r="N571" s="533">
        <v>339</v>
      </c>
      <c r="O571" s="533">
        <v>339</v>
      </c>
      <c r="P571" s="533">
        <v>0</v>
      </c>
      <c r="Q571" s="533">
        <v>0</v>
      </c>
    </row>
    <row r="572" spans="1:19">
      <c r="A572" s="532" t="s">
        <v>588</v>
      </c>
      <c r="B572" s="533">
        <v>3052</v>
      </c>
      <c r="C572" s="533">
        <v>830</v>
      </c>
      <c r="D572" s="533">
        <v>830</v>
      </c>
      <c r="E572" s="533">
        <v>0</v>
      </c>
      <c r="F572" s="533">
        <v>0</v>
      </c>
      <c r="G572" s="533">
        <v>830</v>
      </c>
      <c r="H572" s="533">
        <v>0</v>
      </c>
      <c r="I572" s="533">
        <v>0</v>
      </c>
      <c r="J572" s="533">
        <v>0</v>
      </c>
      <c r="K572" s="533">
        <v>0</v>
      </c>
      <c r="L572" s="533">
        <v>0</v>
      </c>
      <c r="M572" s="533">
        <v>0</v>
      </c>
      <c r="N572" s="533">
        <v>2223</v>
      </c>
      <c r="O572" s="533">
        <v>2223</v>
      </c>
      <c r="P572" s="533">
        <v>0</v>
      </c>
      <c r="Q572" s="533">
        <v>0</v>
      </c>
    </row>
    <row r="573" spans="1:19">
      <c r="A573" s="532" t="s">
        <v>608</v>
      </c>
      <c r="B573" s="533">
        <v>0</v>
      </c>
      <c r="C573" s="533">
        <v>0</v>
      </c>
      <c r="D573" s="533">
        <v>0</v>
      </c>
      <c r="E573" s="533">
        <v>0</v>
      </c>
      <c r="F573" s="533">
        <v>0</v>
      </c>
      <c r="G573" s="533">
        <v>0</v>
      </c>
      <c r="H573" s="533">
        <v>0</v>
      </c>
      <c r="I573" s="533">
        <v>0</v>
      </c>
      <c r="J573" s="533">
        <v>0</v>
      </c>
      <c r="K573" s="533">
        <v>0</v>
      </c>
      <c r="L573" s="533">
        <v>0</v>
      </c>
      <c r="M573" s="533">
        <v>0</v>
      </c>
      <c r="N573" s="533">
        <v>0</v>
      </c>
      <c r="O573" s="533">
        <v>0</v>
      </c>
      <c r="P573" s="533">
        <v>0</v>
      </c>
      <c r="Q573" s="533">
        <v>0</v>
      </c>
    </row>
    <row r="575" spans="1:19">
      <c r="A575" s="529" t="s">
        <v>589</v>
      </c>
    </row>
    <row r="576" spans="1:19">
      <c r="A576" s="529" t="s">
        <v>36</v>
      </c>
      <c r="B576" s="529" t="s">
        <v>590</v>
      </c>
    </row>
  </sheetData>
  <pageMargins left="0.75" right="0.75" top="1" bottom="1" header="0.5" footer="0.5"/>
  <pageSetup paperSize="9" scale="0" firstPageNumber="0" fitToWidth="0" fitToHeight="0" pageOrder="overThenDown"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AQ521"/>
  <sheetViews>
    <sheetView topLeftCell="A213" workbookViewId="0">
      <selection activeCell="L293" sqref="L293"/>
    </sheetView>
  </sheetViews>
  <sheetFormatPr defaultColWidth="9.140625" defaultRowHeight="14.25"/>
  <cols>
    <col min="1" max="1" width="64.5703125" style="530" bestFit="1" customWidth="1"/>
    <col min="2" max="2" width="23.5703125" style="530" customWidth="1"/>
    <col min="3" max="6" width="9.140625" style="530"/>
    <col min="7" max="7" width="35.140625" style="530" customWidth="1"/>
    <col min="8" max="8" width="27.85546875" style="530" customWidth="1"/>
    <col min="9" max="11" width="9.140625" style="530"/>
    <col min="12" max="12" width="21.140625" style="530" customWidth="1"/>
    <col min="13" max="13" width="25.5703125" style="530" customWidth="1"/>
    <col min="14" max="26" width="9.140625" style="530"/>
    <col min="27" max="27" width="23.140625" style="530" customWidth="1"/>
    <col min="28" max="28" width="14.85546875" style="530" customWidth="1"/>
    <col min="29" max="29" width="15.5703125" style="530" customWidth="1"/>
    <col min="30" max="30" width="12.85546875" style="530" customWidth="1"/>
    <col min="31" max="35" width="9.140625" style="530"/>
    <col min="36" max="36" width="18.28515625" style="530" customWidth="1"/>
    <col min="37" max="40" width="9.140625" style="530"/>
    <col min="41" max="41" width="52.7109375" style="530" bestFit="1" customWidth="1"/>
    <col min="42" max="16384" width="9.140625" style="530"/>
  </cols>
  <sheetData>
    <row r="2" spans="7:37">
      <c r="H2" s="530" t="str">
        <f>AP32</f>
        <v>Belgium</v>
      </c>
      <c r="I2" s="530" t="str">
        <f>AP47</f>
        <v>Bulgaria</v>
      </c>
      <c r="J2" s="530" t="str">
        <f>AP62</f>
        <v>Czech Republic</v>
      </c>
      <c r="K2" s="530" t="str">
        <f>AP77</f>
        <v>Denmark</v>
      </c>
      <c r="L2" s="530" t="str">
        <f>AP92</f>
        <v>Germany (until 1990 former territory of the FRG)</v>
      </c>
      <c r="M2" s="530" t="str">
        <f>AP107</f>
        <v>Estonia</v>
      </c>
      <c r="N2" s="530" t="str">
        <f>AP122</f>
        <v>Ireland</v>
      </c>
      <c r="O2" s="530" t="str">
        <f>AP137</f>
        <v>Greece</v>
      </c>
      <c r="P2" s="530" t="str">
        <f>AP152</f>
        <v>Spain</v>
      </c>
      <c r="Q2" s="530" t="str">
        <f>AP167</f>
        <v>France</v>
      </c>
      <c r="R2" s="530" t="str">
        <f>AP182</f>
        <v>Italy</v>
      </c>
      <c r="S2" s="530" t="str">
        <f>AP197</f>
        <v>Cyprus</v>
      </c>
      <c r="T2" s="530" t="str">
        <f>AP212</f>
        <v>Latvia</v>
      </c>
      <c r="U2" s="530" t="str">
        <f>AP227</f>
        <v>Lithuania</v>
      </c>
      <c r="V2" s="530" t="str">
        <f>AP242</f>
        <v>Luxembourg</v>
      </c>
      <c r="W2" s="530" t="str">
        <f>AP257</f>
        <v>Hungary</v>
      </c>
      <c r="X2" s="530" t="str">
        <f>AP272</f>
        <v>Malta</v>
      </c>
      <c r="Y2" s="530" t="str">
        <f>AP287</f>
        <v>Netherlands</v>
      </c>
      <c r="Z2" s="530" t="str">
        <f>AP302</f>
        <v>Austria</v>
      </c>
      <c r="AA2" s="530" t="str">
        <f>AP317</f>
        <v>Poland</v>
      </c>
      <c r="AB2" s="530" t="str">
        <f>AP332</f>
        <v>Portugal</v>
      </c>
      <c r="AC2" s="530" t="str">
        <f>AP347</f>
        <v>Romania</v>
      </c>
      <c r="AD2" s="530" t="str">
        <f>AP362</f>
        <v>Slovenia</v>
      </c>
      <c r="AE2" s="530" t="str">
        <f>AP377</f>
        <v>Slovakia</v>
      </c>
      <c r="AF2" s="530" t="str">
        <f>AP392</f>
        <v>Finland</v>
      </c>
      <c r="AG2" s="530" t="str">
        <f>AP407</f>
        <v>Sweden</v>
      </c>
      <c r="AH2" s="530" t="str">
        <f>AP422</f>
        <v>United Kingdom</v>
      </c>
    </row>
    <row r="3" spans="7:37" ht="15" customHeight="1">
      <c r="G3" s="537" t="s">
        <v>611</v>
      </c>
      <c r="H3" s="563">
        <f>AP33</f>
        <v>0</v>
      </c>
      <c r="I3" s="530">
        <f>AP48</f>
        <v>0.77800000000000002</v>
      </c>
      <c r="J3" s="530">
        <f>AP63</f>
        <v>1.292</v>
      </c>
      <c r="K3" s="530">
        <f>AP78</f>
        <v>0</v>
      </c>
      <c r="L3" s="530">
        <f>AP93</f>
        <v>19.78</v>
      </c>
      <c r="M3" s="530">
        <f>AP108</f>
        <v>0</v>
      </c>
      <c r="N3" s="530">
        <f>AP123</f>
        <v>0</v>
      </c>
      <c r="O3" s="530">
        <f>AP138</f>
        <v>0</v>
      </c>
      <c r="P3" s="530">
        <f>AP153</f>
        <v>0</v>
      </c>
      <c r="Q3" s="530">
        <f>AP168</f>
        <v>9.6449999999999996</v>
      </c>
      <c r="R3" s="530">
        <f>AP183</f>
        <v>19.855</v>
      </c>
      <c r="S3" s="530">
        <f>AP198</f>
        <v>0</v>
      </c>
      <c r="T3" s="530">
        <f>AP213</f>
        <v>0</v>
      </c>
      <c r="U3" s="530">
        <f>AP228</f>
        <v>0</v>
      </c>
      <c r="V3" s="530">
        <f>AP243</f>
        <v>0</v>
      </c>
      <c r="W3" s="530">
        <f>AP258</f>
        <v>0</v>
      </c>
      <c r="X3" s="530">
        <f>AP273</f>
        <v>0</v>
      </c>
      <c r="Y3" s="530">
        <f>AP288</f>
        <v>0</v>
      </c>
      <c r="Z3" s="530">
        <f>AP303</f>
        <v>0.12</v>
      </c>
      <c r="AA3" s="530">
        <f>AP318</f>
        <v>0</v>
      </c>
      <c r="AB3" s="530">
        <f>AP333</f>
        <v>0.16300000000000001</v>
      </c>
      <c r="AC3" s="530">
        <f>AP348</f>
        <v>0.68300000000000005</v>
      </c>
      <c r="AD3" s="530">
        <f>AP363</f>
        <v>0</v>
      </c>
      <c r="AE3" s="530">
        <f>AP378</f>
        <v>0</v>
      </c>
      <c r="AF3" s="530">
        <f>AP393</f>
        <v>0.36</v>
      </c>
      <c r="AG3" s="530">
        <f>AP408</f>
        <v>0.04</v>
      </c>
      <c r="AH3" s="530">
        <f>AP423</f>
        <v>0.68</v>
      </c>
    </row>
    <row r="4" spans="7:37" ht="15" customHeight="1">
      <c r="G4" s="538" t="s">
        <v>621</v>
      </c>
      <c r="H4" s="530">
        <f>AP34</f>
        <v>0</v>
      </c>
      <c r="I4" s="530">
        <f>AP49</f>
        <v>0.09</v>
      </c>
      <c r="J4" s="530">
        <f>AP64</f>
        <v>0</v>
      </c>
      <c r="K4" s="530">
        <f>AP79</f>
        <v>0</v>
      </c>
      <c r="L4" s="530">
        <f>AP94</f>
        <v>4.03</v>
      </c>
      <c r="M4" s="530">
        <f>AP109</f>
        <v>0</v>
      </c>
      <c r="N4" s="530">
        <f>AP124</f>
        <v>0</v>
      </c>
      <c r="O4" s="530">
        <f>AP139</f>
        <v>0</v>
      </c>
      <c r="P4" s="530">
        <f>AP154</f>
        <v>0</v>
      </c>
      <c r="Q4" s="530">
        <f>AP169</f>
        <v>0</v>
      </c>
      <c r="R4" s="530">
        <f>AP184</f>
        <v>0.05</v>
      </c>
      <c r="S4" s="530">
        <f>AP199</f>
        <v>0</v>
      </c>
      <c r="T4" s="530">
        <f>AP214</f>
        <v>0</v>
      </c>
      <c r="U4" s="530">
        <f>AP229</f>
        <v>0</v>
      </c>
      <c r="V4" s="530">
        <f>AP244</f>
        <v>0</v>
      </c>
      <c r="W4" s="530">
        <f>AP259</f>
        <v>0</v>
      </c>
      <c r="X4" s="530">
        <f>AP274</f>
        <v>0</v>
      </c>
      <c r="Y4" s="530">
        <f>AP289</f>
        <v>0</v>
      </c>
      <c r="Z4" s="530">
        <f>AP304</f>
        <v>0</v>
      </c>
      <c r="AA4" s="530">
        <f>AP319</f>
        <v>0</v>
      </c>
      <c r="AB4" s="530">
        <f>AP334</f>
        <v>0</v>
      </c>
      <c r="AC4" s="530">
        <f>AP349</f>
        <v>0</v>
      </c>
      <c r="AD4" s="530">
        <f>AP364</f>
        <v>0</v>
      </c>
      <c r="AE4" s="530">
        <f>AP379</f>
        <v>0</v>
      </c>
      <c r="AF4" s="530">
        <f>AP394</f>
        <v>0</v>
      </c>
      <c r="AG4" s="530">
        <f>AP409</f>
        <v>0</v>
      </c>
      <c r="AH4" s="530">
        <f>AP424</f>
        <v>0</v>
      </c>
    </row>
    <row r="5" spans="7:37" ht="15" customHeight="1">
      <c r="G5" s="538" t="s">
        <v>621</v>
      </c>
      <c r="H5" s="530">
        <f>AP35</f>
        <v>0</v>
      </c>
      <c r="I5" s="530">
        <f>AP50</f>
        <v>0.317</v>
      </c>
      <c r="J5" s="530">
        <f>AP65</f>
        <v>0</v>
      </c>
      <c r="K5" s="530">
        <f>AP80</f>
        <v>1.56</v>
      </c>
      <c r="L5" s="530">
        <f>AP95</f>
        <v>1.4359999999999999</v>
      </c>
      <c r="M5" s="530">
        <f>AP110</f>
        <v>0</v>
      </c>
      <c r="N5" s="530">
        <f>AP125</f>
        <v>0</v>
      </c>
      <c r="O5" s="530">
        <f>AP140</f>
        <v>0</v>
      </c>
      <c r="P5" s="530">
        <f>AP155</f>
        <v>0</v>
      </c>
      <c r="Q5" s="530">
        <f>AP170</f>
        <v>0.44600000000000001</v>
      </c>
      <c r="R5" s="530">
        <f>AP185</f>
        <v>28.908000000000001</v>
      </c>
      <c r="S5" s="530">
        <f>AP200</f>
        <v>0</v>
      </c>
      <c r="T5" s="530">
        <f>AP215</f>
        <v>0</v>
      </c>
      <c r="U5" s="530">
        <f>AP230</f>
        <v>0</v>
      </c>
      <c r="V5" s="530">
        <f>AP245</f>
        <v>0</v>
      </c>
      <c r="W5" s="530">
        <f>AP260</f>
        <v>0</v>
      </c>
      <c r="X5" s="530">
        <f>AP275</f>
        <v>0</v>
      </c>
      <c r="Y5" s="530">
        <f>AP290</f>
        <v>12.881</v>
      </c>
      <c r="Z5" s="530">
        <f>AP305</f>
        <v>0</v>
      </c>
      <c r="AA5" s="530">
        <f>AP320</f>
        <v>0</v>
      </c>
      <c r="AB5" s="530">
        <f>AP335</f>
        <v>0</v>
      </c>
      <c r="AC5" s="530">
        <f>AP350</f>
        <v>0.33700000000000002</v>
      </c>
      <c r="AD5" s="530">
        <f>AP365</f>
        <v>0</v>
      </c>
      <c r="AE5" s="530">
        <f>AP380</f>
        <v>9.9000000000000005E-2</v>
      </c>
      <c r="AF5" s="530">
        <f>AP395</f>
        <v>0</v>
      </c>
      <c r="AG5" s="530">
        <f>AP410</f>
        <v>0</v>
      </c>
      <c r="AH5" s="530">
        <f>AP425</f>
        <v>0</v>
      </c>
    </row>
    <row r="6" spans="7:37" ht="15" customHeight="1">
      <c r="G6" s="538" t="s">
        <v>634</v>
      </c>
      <c r="H6" s="530">
        <f t="shared" ref="H6:H9" si="0">AP36</f>
        <v>0</v>
      </c>
      <c r="I6" s="530">
        <f t="shared" ref="I6:I9" si="1">AP51</f>
        <v>0</v>
      </c>
      <c r="J6" s="530">
        <f t="shared" ref="J6:J9" si="2">AP66</f>
        <v>0.158</v>
      </c>
      <c r="K6" s="530">
        <f t="shared" ref="K6:K9" si="3">AP81</f>
        <v>0</v>
      </c>
      <c r="L6" s="530">
        <f t="shared" ref="L6:L9" si="4">AP96</f>
        <v>0</v>
      </c>
      <c r="M6" s="530">
        <f t="shared" ref="M6:M8" si="5">AP111</f>
        <v>0</v>
      </c>
      <c r="N6" s="530">
        <f t="shared" ref="N6:N8" si="6">AP126</f>
        <v>0</v>
      </c>
      <c r="O6" s="530">
        <f t="shared" ref="O6:O8" si="7">AP141</f>
        <v>0</v>
      </c>
      <c r="P6" s="530">
        <f t="shared" ref="P6:P8" si="8">AP156</f>
        <v>0</v>
      </c>
      <c r="Q6" s="530">
        <f t="shared" ref="Q6:Q8" si="9">AP171</f>
        <v>7.52</v>
      </c>
      <c r="R6" s="530">
        <f t="shared" ref="R6:R8" si="10">AP186</f>
        <v>2.72</v>
      </c>
      <c r="S6" s="530">
        <f t="shared" ref="S6:S8" si="11">AP201</f>
        <v>0</v>
      </c>
      <c r="T6" s="530">
        <f t="shared" ref="T6:T8" si="12">AP216</f>
        <v>0</v>
      </c>
      <c r="U6" s="530">
        <f t="shared" ref="U6:U8" si="13">AP231</f>
        <v>0</v>
      </c>
      <c r="V6" s="530">
        <f t="shared" ref="V6:V8" si="14">AP246</f>
        <v>0</v>
      </c>
      <c r="W6" s="530">
        <f t="shared" ref="W6:W8" si="15">AP261</f>
        <v>0</v>
      </c>
      <c r="X6" s="530">
        <f t="shared" ref="X6:X8" si="16">AP276</f>
        <v>0</v>
      </c>
      <c r="Y6" s="530">
        <f t="shared" ref="Y6:Y8" si="17">AP291</f>
        <v>0</v>
      </c>
      <c r="Z6" s="530">
        <f t="shared" ref="Z6:Z8" si="18">AP306</f>
        <v>0.125</v>
      </c>
      <c r="AA6" s="530">
        <f t="shared" ref="AA6:AA8" si="19">AP321</f>
        <v>0</v>
      </c>
      <c r="AB6" s="530">
        <f t="shared" ref="AB6:AB8" si="20">AP336</f>
        <v>0.121</v>
      </c>
      <c r="AC6" s="530">
        <f t="shared" ref="AC6:AC8" si="21">AP351</f>
        <v>7.9000000000000001E-2</v>
      </c>
      <c r="AD6" s="530">
        <f t="shared" ref="AD6:AD8" si="22">AP366</f>
        <v>0</v>
      </c>
      <c r="AE6" s="530">
        <f t="shared" ref="AE6:AE8" si="23">AP381</f>
        <v>0</v>
      </c>
      <c r="AF6" s="530">
        <f t="shared" ref="AF6:AF8" si="24">AP396</f>
        <v>0.37</v>
      </c>
      <c r="AG6" s="530">
        <f t="shared" ref="AG6:AG8" si="25">AP411</f>
        <v>0.04</v>
      </c>
      <c r="AH6" s="530">
        <f t="shared" ref="AH6:AH8" si="26">AP426</f>
        <v>0.70299999999999996</v>
      </c>
    </row>
    <row r="7" spans="7:37" ht="15" customHeight="1">
      <c r="G7" s="538" t="s">
        <v>634</v>
      </c>
      <c r="H7" s="530">
        <f t="shared" si="0"/>
        <v>1.1599999999999999</v>
      </c>
      <c r="I7" s="530">
        <f t="shared" si="1"/>
        <v>0</v>
      </c>
      <c r="J7" s="530">
        <f t="shared" si="2"/>
        <v>3.9E-2</v>
      </c>
      <c r="K7" s="530">
        <f t="shared" si="3"/>
        <v>0.65</v>
      </c>
      <c r="L7" s="530">
        <f t="shared" si="4"/>
        <v>0</v>
      </c>
      <c r="M7" s="530">
        <f t="shared" si="5"/>
        <v>0</v>
      </c>
      <c r="N7" s="530">
        <f t="shared" si="6"/>
        <v>0</v>
      </c>
      <c r="O7" s="530">
        <f t="shared" si="7"/>
        <v>0</v>
      </c>
      <c r="P7" s="530">
        <f t="shared" si="8"/>
        <v>20.52</v>
      </c>
      <c r="Q7" s="530">
        <f t="shared" si="9"/>
        <v>6.44</v>
      </c>
      <c r="R7" s="530">
        <f t="shared" si="10"/>
        <v>52</v>
      </c>
      <c r="S7" s="530">
        <f t="shared" si="11"/>
        <v>0</v>
      </c>
      <c r="T7" s="530">
        <f t="shared" si="12"/>
        <v>0</v>
      </c>
      <c r="U7" s="530">
        <f t="shared" si="13"/>
        <v>0</v>
      </c>
      <c r="V7" s="530">
        <f t="shared" si="14"/>
        <v>0</v>
      </c>
      <c r="W7" s="530">
        <f t="shared" si="15"/>
        <v>0.20100000000000001</v>
      </c>
      <c r="X7" s="530">
        <f t="shared" si="16"/>
        <v>0</v>
      </c>
      <c r="Y7" s="530">
        <f t="shared" si="17"/>
        <v>0.246</v>
      </c>
      <c r="Z7" s="530">
        <f t="shared" si="18"/>
        <v>0.375</v>
      </c>
      <c r="AA7" s="530">
        <f t="shared" si="19"/>
        <v>0.36</v>
      </c>
      <c r="AB7" s="530">
        <f t="shared" si="20"/>
        <v>10.53</v>
      </c>
      <c r="AC7" s="530">
        <f t="shared" si="21"/>
        <v>0.63</v>
      </c>
      <c r="AD7" s="530">
        <f t="shared" si="22"/>
        <v>0.16</v>
      </c>
      <c r="AE7" s="530">
        <f t="shared" si="23"/>
        <v>3.7559999999999998</v>
      </c>
      <c r="AF7" s="530">
        <f t="shared" si="24"/>
        <v>2.3839999999999999</v>
      </c>
      <c r="AG7" s="530">
        <f t="shared" si="25"/>
        <v>3.16</v>
      </c>
      <c r="AH7" s="530">
        <f t="shared" si="26"/>
        <v>8.2650000000000006</v>
      </c>
    </row>
    <row r="8" spans="7:37" ht="15" customHeight="1">
      <c r="G8" s="538" t="s">
        <v>635</v>
      </c>
      <c r="H8" s="530">
        <f t="shared" si="0"/>
        <v>0</v>
      </c>
      <c r="I8" s="530">
        <f t="shared" si="1"/>
        <v>0</v>
      </c>
      <c r="J8" s="530">
        <f t="shared" si="2"/>
        <v>0.63700000000000001</v>
      </c>
      <c r="K8" s="530">
        <f t="shared" si="3"/>
        <v>0</v>
      </c>
      <c r="L8" s="530">
        <f t="shared" si="4"/>
        <v>0</v>
      </c>
      <c r="M8" s="530">
        <f t="shared" si="5"/>
        <v>0</v>
      </c>
      <c r="N8" s="530">
        <f t="shared" si="6"/>
        <v>0</v>
      </c>
      <c r="O8" s="530">
        <f t="shared" si="7"/>
        <v>0</v>
      </c>
      <c r="P8" s="530">
        <f t="shared" si="8"/>
        <v>0</v>
      </c>
      <c r="Q8" s="530">
        <f t="shared" si="9"/>
        <v>0</v>
      </c>
      <c r="R8" s="530">
        <f t="shared" si="10"/>
        <v>0</v>
      </c>
      <c r="S8" s="530">
        <f t="shared" si="11"/>
        <v>0</v>
      </c>
      <c r="T8" s="530">
        <f t="shared" si="12"/>
        <v>0</v>
      </c>
      <c r="U8" s="530">
        <f t="shared" si="13"/>
        <v>0</v>
      </c>
      <c r="V8" s="530">
        <f t="shared" si="14"/>
        <v>0</v>
      </c>
      <c r="W8" s="530">
        <f t="shared" si="15"/>
        <v>0</v>
      </c>
      <c r="X8" s="530">
        <f t="shared" si="16"/>
        <v>0</v>
      </c>
      <c r="Y8" s="530">
        <f t="shared" si="17"/>
        <v>0</v>
      </c>
      <c r="Z8" s="530">
        <f t="shared" si="18"/>
        <v>0</v>
      </c>
      <c r="AA8" s="530">
        <f t="shared" si="19"/>
        <v>0</v>
      </c>
      <c r="AB8" s="530">
        <f t="shared" si="20"/>
        <v>0</v>
      </c>
      <c r="AC8" s="530">
        <f t="shared" si="21"/>
        <v>0.55700000000000005</v>
      </c>
      <c r="AD8" s="530">
        <f t="shared" si="22"/>
        <v>0</v>
      </c>
      <c r="AE8" s="530">
        <f t="shared" si="23"/>
        <v>0</v>
      </c>
      <c r="AF8" s="530">
        <f t="shared" si="24"/>
        <v>0</v>
      </c>
      <c r="AG8" s="530">
        <f t="shared" si="25"/>
        <v>0</v>
      </c>
      <c r="AH8" s="530">
        <f t="shared" si="26"/>
        <v>0</v>
      </c>
    </row>
    <row r="9" spans="7:37" ht="15" customHeight="1">
      <c r="G9" s="538" t="s">
        <v>635</v>
      </c>
      <c r="H9" s="530">
        <f t="shared" si="0"/>
        <v>0</v>
      </c>
      <c r="I9" s="530">
        <f t="shared" si="1"/>
        <v>0.04</v>
      </c>
      <c r="J9" s="530">
        <f t="shared" si="2"/>
        <v>0.39800000000000002</v>
      </c>
      <c r="K9" s="530">
        <f t="shared" si="3"/>
        <v>0</v>
      </c>
      <c r="L9" s="530">
        <f t="shared" si="4"/>
        <v>0</v>
      </c>
    </row>
    <row r="11" spans="7:37">
      <c r="G11" s="530" t="s">
        <v>995</v>
      </c>
      <c r="H11" s="530">
        <v>21</v>
      </c>
      <c r="I11" s="530">
        <f>H11+15</f>
        <v>36</v>
      </c>
      <c r="J11" s="530">
        <f t="shared" ref="J11:AH11" si="27">I11+15</f>
        <v>51</v>
      </c>
      <c r="K11" s="530">
        <f t="shared" si="27"/>
        <v>66</v>
      </c>
      <c r="L11" s="530">
        <f t="shared" si="27"/>
        <v>81</v>
      </c>
      <c r="M11" s="530">
        <f t="shared" si="27"/>
        <v>96</v>
      </c>
      <c r="N11" s="530">
        <f t="shared" si="27"/>
        <v>111</v>
      </c>
      <c r="O11" s="530">
        <f t="shared" si="27"/>
        <v>126</v>
      </c>
      <c r="P11" s="530">
        <f t="shared" si="27"/>
        <v>141</v>
      </c>
      <c r="Q11" s="530">
        <f t="shared" si="27"/>
        <v>156</v>
      </c>
      <c r="R11" s="530">
        <f t="shared" si="27"/>
        <v>171</v>
      </c>
      <c r="S11" s="530">
        <f t="shared" si="27"/>
        <v>186</v>
      </c>
      <c r="T11" s="530">
        <f t="shared" si="27"/>
        <v>201</v>
      </c>
      <c r="U11" s="530">
        <f t="shared" si="27"/>
        <v>216</v>
      </c>
      <c r="V11" s="530">
        <f t="shared" si="27"/>
        <v>231</v>
      </c>
      <c r="W11" s="530">
        <f t="shared" si="27"/>
        <v>246</v>
      </c>
      <c r="X11" s="530">
        <f t="shared" si="27"/>
        <v>261</v>
      </c>
      <c r="Y11" s="530">
        <f t="shared" si="27"/>
        <v>276</v>
      </c>
      <c r="Z11" s="530">
        <f t="shared" si="27"/>
        <v>291</v>
      </c>
      <c r="AA11" s="530">
        <f t="shared" si="27"/>
        <v>306</v>
      </c>
      <c r="AB11" s="530">
        <f t="shared" si="27"/>
        <v>321</v>
      </c>
      <c r="AC11" s="530">
        <f t="shared" si="27"/>
        <v>336</v>
      </c>
      <c r="AD11" s="530">
        <f t="shared" si="27"/>
        <v>351</v>
      </c>
      <c r="AE11" s="530">
        <f t="shared" si="27"/>
        <v>366</v>
      </c>
      <c r="AF11" s="530">
        <f t="shared" si="27"/>
        <v>381</v>
      </c>
      <c r="AG11" s="530">
        <f t="shared" si="27"/>
        <v>396</v>
      </c>
      <c r="AH11" s="530">
        <f t="shared" si="27"/>
        <v>411</v>
      </c>
    </row>
    <row r="13" spans="7:37">
      <c r="H13" s="530" t="s">
        <v>56</v>
      </c>
      <c r="I13" s="530" t="s">
        <v>39</v>
      </c>
      <c r="J13" s="530" t="s">
        <v>40</v>
      </c>
      <c r="K13" s="530" t="s">
        <v>49</v>
      </c>
      <c r="L13" s="530" t="s">
        <v>41</v>
      </c>
      <c r="M13" s="530" t="s">
        <v>43</v>
      </c>
      <c r="N13" s="530" t="s">
        <v>42</v>
      </c>
      <c r="O13" s="530" t="s">
        <v>44</v>
      </c>
      <c r="P13" s="530" t="s">
        <v>45</v>
      </c>
      <c r="Q13" s="530" t="s">
        <v>62</v>
      </c>
      <c r="R13" s="530" t="s">
        <v>46</v>
      </c>
      <c r="S13" s="530" t="s">
        <v>82</v>
      </c>
      <c r="T13" s="530" t="s">
        <v>53</v>
      </c>
      <c r="U13" s="530" t="s">
        <v>47</v>
      </c>
      <c r="V13" s="530" t="s">
        <v>48</v>
      </c>
      <c r="W13" s="530" t="s">
        <v>51</v>
      </c>
      <c r="X13" s="530" t="s">
        <v>52</v>
      </c>
      <c r="Y13" s="530" t="s">
        <v>50</v>
      </c>
      <c r="Z13" s="530" t="s">
        <v>54</v>
      </c>
      <c r="AA13" s="530" t="s">
        <v>55</v>
      </c>
      <c r="AB13" s="530" t="s">
        <v>57</v>
      </c>
      <c r="AC13" s="530" t="s">
        <v>58</v>
      </c>
      <c r="AD13" s="530" t="s">
        <v>59</v>
      </c>
      <c r="AE13" s="530" t="s">
        <v>63</v>
      </c>
      <c r="AF13" s="530" t="s">
        <v>60</v>
      </c>
      <c r="AG13" s="530" t="s">
        <v>61</v>
      </c>
      <c r="AH13" s="530" t="s">
        <v>64</v>
      </c>
      <c r="AI13" s="530" t="s">
        <v>81</v>
      </c>
      <c r="AJ13" s="530" t="s">
        <v>83</v>
      </c>
      <c r="AK13" s="530" t="s">
        <v>84</v>
      </c>
    </row>
    <row r="14" spans="7:37">
      <c r="G14" s="537" t="s">
        <v>611</v>
      </c>
      <c r="H14" s="530">
        <f>Z3</f>
        <v>0.12</v>
      </c>
      <c r="I14" s="530">
        <f t="shared" ref="I14:J16" si="28">H3</f>
        <v>0</v>
      </c>
      <c r="J14" s="530">
        <f t="shared" si="28"/>
        <v>0.77800000000000002</v>
      </c>
      <c r="K14" s="530">
        <f>S3</f>
        <v>0</v>
      </c>
      <c r="L14" s="530">
        <f>J3</f>
        <v>1.292</v>
      </c>
      <c r="M14" s="530">
        <f>L3</f>
        <v>19.78</v>
      </c>
      <c r="N14" s="530">
        <f>K3</f>
        <v>0</v>
      </c>
      <c r="O14" s="530">
        <f>M3</f>
        <v>0</v>
      </c>
      <c r="P14" s="530">
        <f>P3</f>
        <v>0</v>
      </c>
      <c r="Q14" s="530">
        <f>AF3</f>
        <v>0.36</v>
      </c>
      <c r="R14" s="530">
        <f>Q3</f>
        <v>9.6449999999999996</v>
      </c>
      <c r="S14" s="530">
        <f>O3</f>
        <v>0</v>
      </c>
      <c r="T14" s="530">
        <f>W3</f>
        <v>0</v>
      </c>
      <c r="U14" s="530">
        <f>N3</f>
        <v>0</v>
      </c>
      <c r="V14" s="530">
        <f>R3</f>
        <v>19.855</v>
      </c>
      <c r="W14" s="530">
        <f t="shared" ref="W14:X16" si="29">U3</f>
        <v>0</v>
      </c>
      <c r="X14" s="530">
        <f t="shared" si="29"/>
        <v>0</v>
      </c>
      <c r="Y14" s="530">
        <f>T3</f>
        <v>0</v>
      </c>
      <c r="Z14" s="530">
        <f t="shared" ref="Z14:AA16" si="30">X3</f>
        <v>0</v>
      </c>
      <c r="AA14" s="530">
        <f t="shared" si="30"/>
        <v>0</v>
      </c>
      <c r="AB14" s="530">
        <f t="shared" ref="AB14:AD16" si="31">AA3</f>
        <v>0</v>
      </c>
      <c r="AC14" s="530">
        <f t="shared" si="31"/>
        <v>0.16300000000000001</v>
      </c>
      <c r="AD14" s="530">
        <f t="shared" si="31"/>
        <v>0.68300000000000005</v>
      </c>
      <c r="AE14" s="530">
        <f>AG3</f>
        <v>0.04</v>
      </c>
      <c r="AF14" s="530">
        <f t="shared" ref="AF14:AG16" si="32">AD3</f>
        <v>0</v>
      </c>
      <c r="AG14" s="530">
        <f t="shared" si="32"/>
        <v>0</v>
      </c>
      <c r="AH14" s="530">
        <f>AH3</f>
        <v>0.68</v>
      </c>
    </row>
    <row r="15" spans="7:37">
      <c r="G15" s="538" t="s">
        <v>621</v>
      </c>
      <c r="H15" s="530">
        <f>Z4</f>
        <v>0</v>
      </c>
      <c r="I15" s="530">
        <f t="shared" si="28"/>
        <v>0</v>
      </c>
      <c r="J15" s="530">
        <f t="shared" si="28"/>
        <v>0.09</v>
      </c>
      <c r="K15" s="530">
        <f>S4</f>
        <v>0</v>
      </c>
      <c r="L15" s="530">
        <f>J4</f>
        <v>0</v>
      </c>
      <c r="M15" s="530">
        <f>L4</f>
        <v>4.03</v>
      </c>
      <c r="N15" s="530">
        <f>K4</f>
        <v>0</v>
      </c>
      <c r="O15" s="530">
        <f>M4</f>
        <v>0</v>
      </c>
      <c r="P15" s="530">
        <f>P4</f>
        <v>0</v>
      </c>
      <c r="Q15" s="530">
        <f>AF4</f>
        <v>0</v>
      </c>
      <c r="R15" s="530">
        <f>Q4</f>
        <v>0</v>
      </c>
      <c r="S15" s="530">
        <f>O4</f>
        <v>0</v>
      </c>
      <c r="T15" s="530">
        <f>W4</f>
        <v>0</v>
      </c>
      <c r="U15" s="530">
        <f>N4</f>
        <v>0</v>
      </c>
      <c r="V15" s="530">
        <f>R4</f>
        <v>0.05</v>
      </c>
      <c r="W15" s="530">
        <f t="shared" si="29"/>
        <v>0</v>
      </c>
      <c r="X15" s="530">
        <f t="shared" si="29"/>
        <v>0</v>
      </c>
      <c r="Y15" s="530">
        <f>T4</f>
        <v>0</v>
      </c>
      <c r="Z15" s="530">
        <f t="shared" si="30"/>
        <v>0</v>
      </c>
      <c r="AA15" s="530">
        <f t="shared" si="30"/>
        <v>0</v>
      </c>
      <c r="AB15" s="530">
        <f t="shared" si="31"/>
        <v>0</v>
      </c>
      <c r="AC15" s="530">
        <f t="shared" si="31"/>
        <v>0</v>
      </c>
      <c r="AD15" s="530">
        <f t="shared" si="31"/>
        <v>0</v>
      </c>
      <c r="AE15" s="530">
        <f>AG4</f>
        <v>0</v>
      </c>
      <c r="AF15" s="530">
        <f t="shared" si="32"/>
        <v>0</v>
      </c>
      <c r="AG15" s="530">
        <f t="shared" si="32"/>
        <v>0</v>
      </c>
      <c r="AH15" s="530">
        <f>AH4</f>
        <v>0</v>
      </c>
    </row>
    <row r="16" spans="7:37">
      <c r="G16" s="538" t="s">
        <v>621</v>
      </c>
      <c r="H16" s="530">
        <f>Z5</f>
        <v>0</v>
      </c>
      <c r="I16" s="530">
        <f t="shared" si="28"/>
        <v>0</v>
      </c>
      <c r="J16" s="530">
        <f t="shared" si="28"/>
        <v>0.317</v>
      </c>
      <c r="K16" s="530">
        <f>S5</f>
        <v>0</v>
      </c>
      <c r="L16" s="530">
        <f>J5</f>
        <v>0</v>
      </c>
      <c r="M16" s="530">
        <f>L5</f>
        <v>1.4359999999999999</v>
      </c>
      <c r="N16" s="530">
        <f>K5</f>
        <v>1.56</v>
      </c>
      <c r="O16" s="530">
        <f>M5</f>
        <v>0</v>
      </c>
      <c r="P16" s="530">
        <f>P5</f>
        <v>0</v>
      </c>
      <c r="Q16" s="530">
        <f>AF5</f>
        <v>0</v>
      </c>
      <c r="R16" s="530">
        <f>Q5</f>
        <v>0.44600000000000001</v>
      </c>
      <c r="S16" s="530">
        <f>O5</f>
        <v>0</v>
      </c>
      <c r="T16" s="530">
        <f>W5</f>
        <v>0</v>
      </c>
      <c r="U16" s="530">
        <f>N5</f>
        <v>0</v>
      </c>
      <c r="V16" s="530">
        <f>R5</f>
        <v>28.908000000000001</v>
      </c>
      <c r="W16" s="530">
        <f t="shared" si="29"/>
        <v>0</v>
      </c>
      <c r="X16" s="530">
        <f t="shared" si="29"/>
        <v>0</v>
      </c>
      <c r="Y16" s="530">
        <f>T5</f>
        <v>0</v>
      </c>
      <c r="Z16" s="530">
        <f t="shared" si="30"/>
        <v>0</v>
      </c>
      <c r="AA16" s="530">
        <f t="shared" si="30"/>
        <v>12.881</v>
      </c>
      <c r="AB16" s="530">
        <f t="shared" si="31"/>
        <v>0</v>
      </c>
      <c r="AC16" s="530">
        <f t="shared" si="31"/>
        <v>0</v>
      </c>
      <c r="AD16" s="530">
        <f t="shared" si="31"/>
        <v>0.33700000000000002</v>
      </c>
      <c r="AE16" s="530">
        <f>AG5</f>
        <v>0</v>
      </c>
      <c r="AF16" s="530">
        <f t="shared" si="32"/>
        <v>0</v>
      </c>
      <c r="AG16" s="530">
        <f t="shared" si="32"/>
        <v>9.9000000000000005E-2</v>
      </c>
      <c r="AH16" s="530">
        <f>AH5</f>
        <v>0</v>
      </c>
    </row>
    <row r="17" spans="1:42">
      <c r="G17" s="538" t="s">
        <v>634</v>
      </c>
      <c r="H17" s="530">
        <f t="shared" ref="H17:H20" si="33">Z6</f>
        <v>0.125</v>
      </c>
      <c r="I17" s="530">
        <f t="shared" ref="I17:I19" si="34">H6</f>
        <v>0</v>
      </c>
      <c r="J17" s="530">
        <f t="shared" ref="J17:J19" si="35">I6</f>
        <v>0</v>
      </c>
      <c r="K17" s="530">
        <f t="shared" ref="K17:K19" si="36">S6</f>
        <v>0</v>
      </c>
      <c r="L17" s="530">
        <f t="shared" ref="L17:L19" si="37">J6</f>
        <v>0.158</v>
      </c>
      <c r="M17" s="530">
        <f t="shared" ref="M17:M19" si="38">L6</f>
        <v>0</v>
      </c>
      <c r="N17" s="530">
        <f t="shared" ref="N17:N19" si="39">K6</f>
        <v>0</v>
      </c>
      <c r="O17" s="530">
        <f t="shared" ref="O17:O19" si="40">M6</f>
        <v>0</v>
      </c>
      <c r="P17" s="530">
        <f t="shared" ref="P17:P19" si="41">P6</f>
        <v>0</v>
      </c>
      <c r="Q17" s="530">
        <f t="shared" ref="Q17:Q19" si="42">AF6</f>
        <v>0.37</v>
      </c>
      <c r="R17" s="530">
        <f t="shared" ref="R17:R19" si="43">Q6</f>
        <v>7.52</v>
      </c>
      <c r="S17" s="530">
        <f t="shared" ref="S17:S19" si="44">O6</f>
        <v>0</v>
      </c>
      <c r="T17" s="530">
        <f t="shared" ref="T17:T19" si="45">W6</f>
        <v>0</v>
      </c>
      <c r="U17" s="530">
        <f t="shared" ref="U17:U19" si="46">N6</f>
        <v>0</v>
      </c>
      <c r="V17" s="530">
        <f t="shared" ref="V17:V19" si="47">R6</f>
        <v>2.72</v>
      </c>
      <c r="W17" s="530">
        <f t="shared" ref="W17:W19" si="48">U6</f>
        <v>0</v>
      </c>
      <c r="X17" s="530">
        <f t="shared" ref="X17:X19" si="49">V6</f>
        <v>0</v>
      </c>
      <c r="Y17" s="530">
        <f t="shared" ref="Y17:Y19" si="50">T6</f>
        <v>0</v>
      </c>
      <c r="Z17" s="530">
        <f t="shared" ref="Z17:Z19" si="51">X6</f>
        <v>0</v>
      </c>
      <c r="AA17" s="530">
        <f t="shared" ref="AA17:AA19" si="52">Y6</f>
        <v>0</v>
      </c>
      <c r="AB17" s="530">
        <f t="shared" ref="AB17:AB19" si="53">AA6</f>
        <v>0</v>
      </c>
      <c r="AC17" s="530">
        <f t="shared" ref="AC17:AC19" si="54">AB6</f>
        <v>0.121</v>
      </c>
      <c r="AD17" s="530">
        <f t="shared" ref="AD17:AD19" si="55">AC6</f>
        <v>7.9000000000000001E-2</v>
      </c>
      <c r="AE17" s="530">
        <f t="shared" ref="AE17:AE19" si="56">AG6</f>
        <v>0.04</v>
      </c>
      <c r="AF17" s="530">
        <f t="shared" ref="AF17:AF19" si="57">AD6</f>
        <v>0</v>
      </c>
      <c r="AG17" s="530">
        <f t="shared" ref="AG17:AG19" si="58">AE6</f>
        <v>0</v>
      </c>
      <c r="AH17" s="530">
        <f t="shared" ref="AH17:AH19" si="59">AH6</f>
        <v>0.70299999999999996</v>
      </c>
    </row>
    <row r="18" spans="1:42">
      <c r="G18" s="538" t="s">
        <v>634</v>
      </c>
      <c r="H18" s="530">
        <f t="shared" si="33"/>
        <v>0.375</v>
      </c>
      <c r="I18" s="530">
        <f t="shared" si="34"/>
        <v>1.1599999999999999</v>
      </c>
      <c r="J18" s="530">
        <f t="shared" si="35"/>
        <v>0</v>
      </c>
      <c r="K18" s="530">
        <f t="shared" si="36"/>
        <v>0</v>
      </c>
      <c r="L18" s="530">
        <f t="shared" si="37"/>
        <v>3.9E-2</v>
      </c>
      <c r="M18" s="530">
        <f t="shared" si="38"/>
        <v>0</v>
      </c>
      <c r="N18" s="530">
        <f t="shared" si="39"/>
        <v>0.65</v>
      </c>
      <c r="O18" s="530">
        <f t="shared" si="40"/>
        <v>0</v>
      </c>
      <c r="P18" s="530">
        <f t="shared" si="41"/>
        <v>20.52</v>
      </c>
      <c r="Q18" s="530">
        <f t="shared" si="42"/>
        <v>2.3839999999999999</v>
      </c>
      <c r="R18" s="530">
        <f t="shared" si="43"/>
        <v>6.44</v>
      </c>
      <c r="S18" s="530">
        <f t="shared" si="44"/>
        <v>0</v>
      </c>
      <c r="T18" s="530">
        <f t="shared" si="45"/>
        <v>0.20100000000000001</v>
      </c>
      <c r="U18" s="530">
        <f t="shared" si="46"/>
        <v>0</v>
      </c>
      <c r="V18" s="530">
        <f t="shared" si="47"/>
        <v>52</v>
      </c>
      <c r="W18" s="530">
        <f t="shared" si="48"/>
        <v>0</v>
      </c>
      <c r="X18" s="530">
        <f t="shared" si="49"/>
        <v>0</v>
      </c>
      <c r="Y18" s="530">
        <f t="shared" si="50"/>
        <v>0</v>
      </c>
      <c r="Z18" s="530">
        <f t="shared" si="51"/>
        <v>0</v>
      </c>
      <c r="AA18" s="530">
        <f t="shared" si="52"/>
        <v>0.246</v>
      </c>
      <c r="AB18" s="530">
        <f t="shared" si="53"/>
        <v>0.36</v>
      </c>
      <c r="AC18" s="530">
        <f t="shared" si="54"/>
        <v>10.53</v>
      </c>
      <c r="AD18" s="530">
        <f t="shared" si="55"/>
        <v>0.63</v>
      </c>
      <c r="AE18" s="530">
        <f t="shared" si="56"/>
        <v>3.16</v>
      </c>
      <c r="AF18" s="530">
        <f t="shared" si="57"/>
        <v>0.16</v>
      </c>
      <c r="AG18" s="530">
        <f t="shared" si="58"/>
        <v>3.7559999999999998</v>
      </c>
      <c r="AH18" s="530">
        <f t="shared" si="59"/>
        <v>8.2650000000000006</v>
      </c>
    </row>
    <row r="19" spans="1:42">
      <c r="G19" s="538" t="s">
        <v>635</v>
      </c>
      <c r="H19" s="530">
        <f t="shared" si="33"/>
        <v>0</v>
      </c>
      <c r="I19" s="530">
        <f t="shared" si="34"/>
        <v>0</v>
      </c>
      <c r="J19" s="530">
        <f t="shared" si="35"/>
        <v>0</v>
      </c>
      <c r="K19" s="530">
        <f t="shared" si="36"/>
        <v>0</v>
      </c>
      <c r="L19" s="530">
        <f t="shared" si="37"/>
        <v>0.63700000000000001</v>
      </c>
      <c r="M19" s="530">
        <f t="shared" si="38"/>
        <v>0</v>
      </c>
      <c r="N19" s="530">
        <f t="shared" si="39"/>
        <v>0</v>
      </c>
      <c r="O19" s="530">
        <f t="shared" si="40"/>
        <v>0</v>
      </c>
      <c r="P19" s="530">
        <f t="shared" si="41"/>
        <v>0</v>
      </c>
      <c r="Q19" s="530">
        <f t="shared" si="42"/>
        <v>0</v>
      </c>
      <c r="R19" s="530">
        <f t="shared" si="43"/>
        <v>0</v>
      </c>
      <c r="S19" s="530">
        <f t="shared" si="44"/>
        <v>0</v>
      </c>
      <c r="T19" s="530">
        <f t="shared" si="45"/>
        <v>0</v>
      </c>
      <c r="U19" s="530">
        <f t="shared" si="46"/>
        <v>0</v>
      </c>
      <c r="V19" s="530">
        <f t="shared" si="47"/>
        <v>0</v>
      </c>
      <c r="W19" s="530">
        <f t="shared" si="48"/>
        <v>0</v>
      </c>
      <c r="X19" s="530">
        <f t="shared" si="49"/>
        <v>0</v>
      </c>
      <c r="Y19" s="530">
        <f t="shared" si="50"/>
        <v>0</v>
      </c>
      <c r="Z19" s="530">
        <f t="shared" si="51"/>
        <v>0</v>
      </c>
      <c r="AA19" s="530">
        <f t="shared" si="52"/>
        <v>0</v>
      </c>
      <c r="AB19" s="530">
        <f t="shared" si="53"/>
        <v>0</v>
      </c>
      <c r="AC19" s="530">
        <f t="shared" si="54"/>
        <v>0</v>
      </c>
      <c r="AD19" s="530">
        <f t="shared" si="55"/>
        <v>0.55700000000000005</v>
      </c>
      <c r="AE19" s="530">
        <f t="shared" si="56"/>
        <v>0</v>
      </c>
      <c r="AF19" s="530">
        <f t="shared" si="57"/>
        <v>0</v>
      </c>
      <c r="AG19" s="530">
        <f t="shared" si="58"/>
        <v>0</v>
      </c>
      <c r="AH19" s="530">
        <f t="shared" si="59"/>
        <v>0</v>
      </c>
    </row>
    <row r="20" spans="1:42">
      <c r="G20" s="538" t="s">
        <v>635</v>
      </c>
      <c r="H20" s="530">
        <f t="shared" si="33"/>
        <v>0</v>
      </c>
      <c r="I20" s="530">
        <f t="shared" ref="I20" si="60">AA9</f>
        <v>0</v>
      </c>
      <c r="J20" s="530">
        <f t="shared" ref="J20" si="61">AB9</f>
        <v>0</v>
      </c>
      <c r="K20" s="530">
        <f t="shared" ref="K20" si="62">AC9</f>
        <v>0</v>
      </c>
      <c r="L20" s="530">
        <f t="shared" ref="L20" si="63">AD9</f>
        <v>0</v>
      </c>
      <c r="M20" s="530">
        <f t="shared" ref="M20" si="64">AE9</f>
        <v>0</v>
      </c>
      <c r="N20" s="530">
        <f t="shared" ref="N20" si="65">AF9</f>
        <v>0</v>
      </c>
      <c r="O20" s="530">
        <f t="shared" ref="O20" si="66">AG9</f>
        <v>0</v>
      </c>
      <c r="P20" s="530">
        <f t="shared" ref="P20" si="67">AH9</f>
        <v>0</v>
      </c>
      <c r="Q20" s="530">
        <f t="shared" ref="Q20" si="68">AI9</f>
        <v>0</v>
      </c>
      <c r="R20" s="530">
        <f t="shared" ref="R20" si="69">AJ9</f>
        <v>0</v>
      </c>
      <c r="S20" s="530">
        <f t="shared" ref="S20" si="70">AK9</f>
        <v>0</v>
      </c>
      <c r="T20" s="530">
        <f t="shared" ref="T20" si="71">AL9</f>
        <v>0</v>
      </c>
      <c r="U20" s="530">
        <f t="shared" ref="U20" si="72">AM9</f>
        <v>0</v>
      </c>
      <c r="V20" s="530">
        <f t="shared" ref="V20" si="73">AN9</f>
        <v>0</v>
      </c>
      <c r="W20" s="530">
        <f t="shared" ref="W20" si="74">AO9</f>
        <v>0</v>
      </c>
      <c r="X20" s="530">
        <f t="shared" ref="X20" si="75">AP9</f>
        <v>0</v>
      </c>
      <c r="Y20" s="530">
        <f t="shared" ref="Y20" si="76">AQ9</f>
        <v>0</v>
      </c>
      <c r="Z20" s="530">
        <f t="shared" ref="Z20" si="77">AR9</f>
        <v>0</v>
      </c>
      <c r="AA20" s="530">
        <f t="shared" ref="AA20" si="78">AS9</f>
        <v>0</v>
      </c>
      <c r="AB20" s="530">
        <f t="shared" ref="AB20" si="79">AT9</f>
        <v>0</v>
      </c>
      <c r="AC20" s="530">
        <f t="shared" ref="AC20" si="80">AU9</f>
        <v>0</v>
      </c>
      <c r="AD20" s="530">
        <f t="shared" ref="AD20" si="81">AV9</f>
        <v>0</v>
      </c>
      <c r="AE20" s="530">
        <f t="shared" ref="AE20" si="82">AW9</f>
        <v>0</v>
      </c>
      <c r="AF20" s="530">
        <f t="shared" ref="AF20" si="83">AX9</f>
        <v>0</v>
      </c>
      <c r="AG20" s="530">
        <f t="shared" ref="AG20" si="84">AY9</f>
        <v>0</v>
      </c>
      <c r="AH20" s="530">
        <f t="shared" ref="AH20" si="85">AZ9</f>
        <v>0</v>
      </c>
    </row>
    <row r="21" spans="1:42">
      <c r="G21" s="692"/>
    </row>
    <row r="22" spans="1:42">
      <c r="A22" s="529" t="s">
        <v>610</v>
      </c>
    </row>
    <row r="24" spans="1:42">
      <c r="A24" s="529" t="s">
        <v>269</v>
      </c>
      <c r="B24" s="531">
        <v>41353.592685185184</v>
      </c>
    </row>
    <row r="25" spans="1:42">
      <c r="A25" s="529" t="s">
        <v>271</v>
      </c>
      <c r="B25" s="531">
        <v>41387.642604583336</v>
      </c>
    </row>
    <row r="26" spans="1:42">
      <c r="A26" s="529" t="s">
        <v>273</v>
      </c>
      <c r="B26" s="529" t="s">
        <v>67</v>
      </c>
    </row>
    <row r="28" spans="1:42">
      <c r="A28" s="529" t="s">
        <v>340</v>
      </c>
      <c r="B28" s="529" t="s">
        <v>576</v>
      </c>
    </row>
    <row r="29" spans="1:42">
      <c r="A29" s="529" t="s">
        <v>578</v>
      </c>
      <c r="B29" s="529" t="s">
        <v>298</v>
      </c>
    </row>
    <row r="30" spans="1:42">
      <c r="A30" s="529" t="s">
        <v>343</v>
      </c>
      <c r="B30" s="529" t="s">
        <v>180</v>
      </c>
    </row>
    <row r="32" spans="1:42">
      <c r="A32" s="532" t="s">
        <v>592</v>
      </c>
      <c r="B32" s="532" t="s">
        <v>611</v>
      </c>
      <c r="C32" s="532" t="s">
        <v>612</v>
      </c>
      <c r="D32" s="532" t="s">
        <v>613</v>
      </c>
      <c r="E32" s="532" t="s">
        <v>614</v>
      </c>
      <c r="F32" s="532" t="s">
        <v>615</v>
      </c>
      <c r="G32" s="532" t="s">
        <v>616</v>
      </c>
      <c r="H32" s="532" t="s">
        <v>617</v>
      </c>
      <c r="I32" s="532" t="s">
        <v>618</v>
      </c>
      <c r="J32" s="532" t="s">
        <v>619</v>
      </c>
      <c r="K32" s="532" t="s">
        <v>620</v>
      </c>
      <c r="L32" s="532" t="s">
        <v>621</v>
      </c>
      <c r="M32" s="532" t="s">
        <v>622</v>
      </c>
      <c r="N32" s="532" t="s">
        <v>623</v>
      </c>
      <c r="O32" s="532" t="s">
        <v>225</v>
      </c>
      <c r="P32" s="532" t="s">
        <v>624</v>
      </c>
      <c r="Q32" s="532" t="s">
        <v>625</v>
      </c>
      <c r="R32" s="532" t="s">
        <v>626</v>
      </c>
      <c r="S32" s="532" t="s">
        <v>227</v>
      </c>
      <c r="T32" s="532" t="s">
        <v>627</v>
      </c>
      <c r="U32" s="532" t="s">
        <v>628</v>
      </c>
      <c r="V32" s="532" t="s">
        <v>629</v>
      </c>
      <c r="W32" s="532" t="s">
        <v>630</v>
      </c>
      <c r="X32" s="532" t="s">
        <v>631</v>
      </c>
      <c r="Y32" s="532" t="s">
        <v>632</v>
      </c>
      <c r="Z32" s="532" t="s">
        <v>633</v>
      </c>
      <c r="AA32" s="532" t="s">
        <v>229</v>
      </c>
      <c r="AB32" s="532" t="s">
        <v>634</v>
      </c>
      <c r="AC32" s="532" t="s">
        <v>635</v>
      </c>
      <c r="AD32" s="532" t="s">
        <v>636</v>
      </c>
      <c r="AE32" s="532" t="s">
        <v>637</v>
      </c>
      <c r="AF32" s="532" t="s">
        <v>638</v>
      </c>
      <c r="AG32" s="532" t="s">
        <v>639</v>
      </c>
      <c r="AH32" s="532" t="s">
        <v>640</v>
      </c>
      <c r="AI32" s="532" t="s">
        <v>641</v>
      </c>
      <c r="AJ32" s="532" t="s">
        <v>642</v>
      </c>
      <c r="AK32" s="532" t="s">
        <v>643</v>
      </c>
      <c r="AL32" s="532" t="s">
        <v>644</v>
      </c>
      <c r="AP32" s="530" t="str">
        <f>B30</f>
        <v>Belgium</v>
      </c>
    </row>
    <row r="33" spans="1:43">
      <c r="A33" s="532" t="s">
        <v>583</v>
      </c>
      <c r="B33" s="533">
        <v>16043</v>
      </c>
      <c r="C33" s="533">
        <v>0</v>
      </c>
      <c r="D33" s="533">
        <v>0</v>
      </c>
      <c r="E33" s="533">
        <v>0</v>
      </c>
      <c r="F33" s="533">
        <v>0</v>
      </c>
      <c r="G33" s="534" t="s">
        <v>36</v>
      </c>
      <c r="H33" s="534" t="s">
        <v>36</v>
      </c>
      <c r="I33" s="534" t="s">
        <v>36</v>
      </c>
      <c r="J33" s="534" t="s">
        <v>36</v>
      </c>
      <c r="K33" s="533">
        <v>16043</v>
      </c>
      <c r="L33" s="533">
        <v>0</v>
      </c>
      <c r="M33" s="533">
        <v>0</v>
      </c>
      <c r="N33" s="533">
        <v>0</v>
      </c>
      <c r="O33" s="533">
        <v>0</v>
      </c>
      <c r="P33" s="533">
        <v>0</v>
      </c>
      <c r="Q33" s="533">
        <v>0</v>
      </c>
      <c r="R33" s="533">
        <v>0</v>
      </c>
      <c r="S33" s="533">
        <v>0</v>
      </c>
      <c r="T33" s="533">
        <v>0</v>
      </c>
      <c r="U33" s="533">
        <v>0</v>
      </c>
      <c r="V33" s="533">
        <v>0</v>
      </c>
      <c r="W33" s="533">
        <v>0</v>
      </c>
      <c r="X33" s="533">
        <v>1363</v>
      </c>
      <c r="Y33" s="533">
        <v>0</v>
      </c>
      <c r="Z33" s="533">
        <v>1363</v>
      </c>
      <c r="AA33" s="533">
        <v>14680</v>
      </c>
      <c r="AB33" s="533">
        <v>14680</v>
      </c>
      <c r="AC33" s="533">
        <v>0</v>
      </c>
      <c r="AD33" s="533">
        <v>0</v>
      </c>
      <c r="AE33" s="533">
        <v>0</v>
      </c>
      <c r="AF33" s="533">
        <v>0</v>
      </c>
      <c r="AG33" s="533">
        <v>0</v>
      </c>
      <c r="AH33" s="533">
        <v>0</v>
      </c>
      <c r="AI33" s="533">
        <v>0</v>
      </c>
      <c r="AJ33" s="533">
        <v>0</v>
      </c>
      <c r="AK33" s="533">
        <v>0</v>
      </c>
      <c r="AL33" s="533">
        <v>0</v>
      </c>
      <c r="AO33" s="530" t="str">
        <f>A37</f>
        <v>Transformation input in Autoproducer Electricity Plants</v>
      </c>
      <c r="AP33" s="694">
        <f>B37/1000</f>
        <v>0</v>
      </c>
      <c r="AQ33" s="530" t="str">
        <f>B32</f>
        <v>Total petroleum products</v>
      </c>
    </row>
    <row r="34" spans="1:43">
      <c r="A34" s="532" t="s">
        <v>584</v>
      </c>
      <c r="B34" s="533">
        <v>15883</v>
      </c>
      <c r="C34" s="533">
        <v>0</v>
      </c>
      <c r="D34" s="533">
        <v>0</v>
      </c>
      <c r="E34" s="533">
        <v>0</v>
      </c>
      <c r="F34" s="533">
        <v>0</v>
      </c>
      <c r="G34" s="534" t="s">
        <v>36</v>
      </c>
      <c r="H34" s="534" t="s">
        <v>36</v>
      </c>
      <c r="I34" s="534" t="s">
        <v>36</v>
      </c>
      <c r="J34" s="534" t="s">
        <v>36</v>
      </c>
      <c r="K34" s="533">
        <v>15883</v>
      </c>
      <c r="L34" s="533">
        <v>0</v>
      </c>
      <c r="M34" s="533">
        <v>0</v>
      </c>
      <c r="N34" s="533">
        <v>0</v>
      </c>
      <c r="O34" s="533">
        <v>0</v>
      </c>
      <c r="P34" s="533">
        <v>0</v>
      </c>
      <c r="Q34" s="533">
        <v>0</v>
      </c>
      <c r="R34" s="533">
        <v>0</v>
      </c>
      <c r="S34" s="533">
        <v>0</v>
      </c>
      <c r="T34" s="533">
        <v>0</v>
      </c>
      <c r="U34" s="533">
        <v>0</v>
      </c>
      <c r="V34" s="533">
        <v>0</v>
      </c>
      <c r="W34" s="533">
        <v>0</v>
      </c>
      <c r="X34" s="533">
        <v>1363</v>
      </c>
      <c r="Y34" s="533">
        <v>0</v>
      </c>
      <c r="Z34" s="533">
        <v>1363</v>
      </c>
      <c r="AA34" s="533">
        <v>14520</v>
      </c>
      <c r="AB34" s="533">
        <v>14520</v>
      </c>
      <c r="AC34" s="533">
        <v>0</v>
      </c>
      <c r="AD34" s="533">
        <v>0</v>
      </c>
      <c r="AE34" s="533">
        <v>0</v>
      </c>
      <c r="AF34" s="533">
        <v>0</v>
      </c>
      <c r="AG34" s="533">
        <v>0</v>
      </c>
      <c r="AH34" s="533">
        <v>0</v>
      </c>
      <c r="AI34" s="533">
        <v>0</v>
      </c>
      <c r="AJ34" s="533">
        <v>0</v>
      </c>
      <c r="AK34" s="533">
        <v>0</v>
      </c>
      <c r="AL34" s="533">
        <v>0</v>
      </c>
      <c r="AO34" s="530" t="s">
        <v>1065</v>
      </c>
      <c r="AP34" s="530">
        <f>L37/1000</f>
        <v>0</v>
      </c>
      <c r="AQ34" s="532" t="s">
        <v>621</v>
      </c>
    </row>
    <row r="35" spans="1:43">
      <c r="A35" s="532" t="s">
        <v>585</v>
      </c>
      <c r="B35" s="533">
        <v>160</v>
      </c>
      <c r="C35" s="533">
        <v>0</v>
      </c>
      <c r="D35" s="533">
        <v>0</v>
      </c>
      <c r="E35" s="533">
        <v>0</v>
      </c>
      <c r="F35" s="533">
        <v>0</v>
      </c>
      <c r="G35" s="534" t="s">
        <v>36</v>
      </c>
      <c r="H35" s="534" t="s">
        <v>36</v>
      </c>
      <c r="I35" s="534" t="s">
        <v>36</v>
      </c>
      <c r="J35" s="534" t="s">
        <v>36</v>
      </c>
      <c r="K35" s="533">
        <v>160</v>
      </c>
      <c r="L35" s="533">
        <v>0</v>
      </c>
      <c r="M35" s="533">
        <v>0</v>
      </c>
      <c r="N35" s="533">
        <v>0</v>
      </c>
      <c r="O35" s="533">
        <v>0</v>
      </c>
      <c r="P35" s="533">
        <v>0</v>
      </c>
      <c r="Q35" s="533">
        <v>0</v>
      </c>
      <c r="R35" s="533">
        <v>0</v>
      </c>
      <c r="S35" s="533">
        <v>0</v>
      </c>
      <c r="T35" s="533">
        <v>0</v>
      </c>
      <c r="U35" s="533">
        <v>0</v>
      </c>
      <c r="V35" s="533">
        <v>0</v>
      </c>
      <c r="W35" s="533">
        <v>0</v>
      </c>
      <c r="X35" s="533">
        <v>0</v>
      </c>
      <c r="Y35" s="533">
        <v>0</v>
      </c>
      <c r="Z35" s="533">
        <v>0</v>
      </c>
      <c r="AA35" s="533">
        <v>160</v>
      </c>
      <c r="AB35" s="533">
        <v>160</v>
      </c>
      <c r="AC35" s="533">
        <v>0</v>
      </c>
      <c r="AD35" s="533">
        <v>0</v>
      </c>
      <c r="AE35" s="533">
        <v>0</v>
      </c>
      <c r="AF35" s="533">
        <v>0</v>
      </c>
      <c r="AG35" s="533">
        <v>0</v>
      </c>
      <c r="AH35" s="533">
        <v>0</v>
      </c>
      <c r="AI35" s="533">
        <v>0</v>
      </c>
      <c r="AJ35" s="533">
        <v>0</v>
      </c>
      <c r="AK35" s="533">
        <v>0</v>
      </c>
      <c r="AL35" s="533">
        <v>0</v>
      </c>
      <c r="AO35" s="530" t="s">
        <v>1066</v>
      </c>
      <c r="AP35" s="530">
        <f>L38/1000</f>
        <v>0</v>
      </c>
      <c r="AQ35" s="532" t="s">
        <v>621</v>
      </c>
    </row>
    <row r="36" spans="1:43">
      <c r="A36" s="532" t="s">
        <v>586</v>
      </c>
      <c r="B36" s="533">
        <v>1160</v>
      </c>
      <c r="C36" s="533">
        <v>0</v>
      </c>
      <c r="D36" s="533">
        <v>0</v>
      </c>
      <c r="E36" s="533">
        <v>0</v>
      </c>
      <c r="F36" s="533">
        <v>0</v>
      </c>
      <c r="G36" s="534" t="s">
        <v>36</v>
      </c>
      <c r="H36" s="534" t="s">
        <v>36</v>
      </c>
      <c r="I36" s="534" t="s">
        <v>36</v>
      </c>
      <c r="J36" s="534" t="s">
        <v>36</v>
      </c>
      <c r="K36" s="533">
        <v>1160</v>
      </c>
      <c r="L36" s="533">
        <v>0</v>
      </c>
      <c r="M36" s="533">
        <v>0</v>
      </c>
      <c r="N36" s="533">
        <v>0</v>
      </c>
      <c r="O36" s="533">
        <v>0</v>
      </c>
      <c r="P36" s="533">
        <v>0</v>
      </c>
      <c r="Q36" s="533">
        <v>0</v>
      </c>
      <c r="R36" s="533">
        <v>0</v>
      </c>
      <c r="S36" s="533">
        <v>0</v>
      </c>
      <c r="T36" s="533">
        <v>0</v>
      </c>
      <c r="U36" s="533">
        <v>0</v>
      </c>
      <c r="V36" s="533">
        <v>0</v>
      </c>
      <c r="W36" s="533">
        <v>0</v>
      </c>
      <c r="X36" s="533">
        <v>0</v>
      </c>
      <c r="Y36" s="533">
        <v>0</v>
      </c>
      <c r="Z36" s="533">
        <v>0</v>
      </c>
      <c r="AA36" s="533">
        <v>1160</v>
      </c>
      <c r="AB36" s="533">
        <v>1160</v>
      </c>
      <c r="AC36" s="533">
        <v>0</v>
      </c>
      <c r="AD36" s="533">
        <v>0</v>
      </c>
      <c r="AE36" s="533">
        <v>0</v>
      </c>
      <c r="AF36" s="533">
        <v>0</v>
      </c>
      <c r="AG36" s="533">
        <v>0</v>
      </c>
      <c r="AH36" s="533">
        <v>0</v>
      </c>
      <c r="AI36" s="533">
        <v>0</v>
      </c>
      <c r="AJ36" s="533">
        <v>0</v>
      </c>
      <c r="AK36" s="533">
        <v>0</v>
      </c>
      <c r="AL36" s="533">
        <v>0</v>
      </c>
      <c r="AO36" s="530" t="s">
        <v>1065</v>
      </c>
      <c r="AP36" s="535">
        <f>AB37/1000</f>
        <v>0</v>
      </c>
      <c r="AQ36" s="532" t="s">
        <v>634</v>
      </c>
    </row>
    <row r="37" spans="1:43">
      <c r="A37" s="532" t="s">
        <v>587</v>
      </c>
      <c r="B37" s="533">
        <v>0</v>
      </c>
      <c r="C37" s="533">
        <v>0</v>
      </c>
      <c r="D37" s="533">
        <v>0</v>
      </c>
      <c r="E37" s="533">
        <v>0</v>
      </c>
      <c r="F37" s="533">
        <v>0</v>
      </c>
      <c r="G37" s="534" t="s">
        <v>36</v>
      </c>
      <c r="H37" s="534" t="s">
        <v>36</v>
      </c>
      <c r="I37" s="534" t="s">
        <v>36</v>
      </c>
      <c r="J37" s="534" t="s">
        <v>36</v>
      </c>
      <c r="K37" s="533">
        <v>0</v>
      </c>
      <c r="L37" s="533">
        <v>0</v>
      </c>
      <c r="M37" s="533">
        <v>0</v>
      </c>
      <c r="N37" s="533">
        <v>0</v>
      </c>
      <c r="O37" s="533">
        <v>0</v>
      </c>
      <c r="P37" s="533">
        <v>0</v>
      </c>
      <c r="Q37" s="533">
        <v>0</v>
      </c>
      <c r="R37" s="533">
        <v>0</v>
      </c>
      <c r="S37" s="533">
        <v>0</v>
      </c>
      <c r="T37" s="533">
        <v>0</v>
      </c>
      <c r="U37" s="533">
        <v>0</v>
      </c>
      <c r="V37" s="533">
        <v>0</v>
      </c>
      <c r="W37" s="533">
        <v>0</v>
      </c>
      <c r="X37" s="533">
        <v>0</v>
      </c>
      <c r="Y37" s="533">
        <v>0</v>
      </c>
      <c r="Z37" s="533">
        <v>0</v>
      </c>
      <c r="AA37" s="533">
        <v>0</v>
      </c>
      <c r="AB37" s="533">
        <v>0</v>
      </c>
      <c r="AC37" s="533">
        <v>0</v>
      </c>
      <c r="AD37" s="533">
        <v>0</v>
      </c>
      <c r="AE37" s="533">
        <v>0</v>
      </c>
      <c r="AF37" s="533">
        <v>0</v>
      </c>
      <c r="AG37" s="533">
        <v>0</v>
      </c>
      <c r="AH37" s="533">
        <v>0</v>
      </c>
      <c r="AI37" s="533">
        <v>0</v>
      </c>
      <c r="AJ37" s="533">
        <v>0</v>
      </c>
      <c r="AK37" s="533">
        <v>0</v>
      </c>
      <c r="AL37" s="533">
        <v>0</v>
      </c>
      <c r="AO37" s="530" t="s">
        <v>1066</v>
      </c>
      <c r="AP37" s="693">
        <f>AB38/1000</f>
        <v>1.1599999999999999</v>
      </c>
      <c r="AQ37" s="532" t="s">
        <v>634</v>
      </c>
    </row>
    <row r="38" spans="1:43">
      <c r="A38" s="532" t="s">
        <v>588</v>
      </c>
      <c r="B38" s="533">
        <v>1160</v>
      </c>
      <c r="C38" s="533">
        <v>0</v>
      </c>
      <c r="D38" s="533">
        <v>0</v>
      </c>
      <c r="E38" s="533">
        <v>0</v>
      </c>
      <c r="F38" s="533">
        <v>0</v>
      </c>
      <c r="G38" s="534" t="s">
        <v>36</v>
      </c>
      <c r="H38" s="534" t="s">
        <v>36</v>
      </c>
      <c r="I38" s="534" t="s">
        <v>36</v>
      </c>
      <c r="J38" s="534" t="s">
        <v>36</v>
      </c>
      <c r="K38" s="533">
        <v>1160</v>
      </c>
      <c r="L38" s="533">
        <v>0</v>
      </c>
      <c r="M38" s="533">
        <v>0</v>
      </c>
      <c r="N38" s="533">
        <v>0</v>
      </c>
      <c r="O38" s="533">
        <v>0</v>
      </c>
      <c r="P38" s="533">
        <v>0</v>
      </c>
      <c r="Q38" s="533">
        <v>0</v>
      </c>
      <c r="R38" s="533">
        <v>0</v>
      </c>
      <c r="S38" s="533">
        <v>0</v>
      </c>
      <c r="T38" s="533">
        <v>0</v>
      </c>
      <c r="U38" s="533">
        <v>0</v>
      </c>
      <c r="V38" s="533">
        <v>0</v>
      </c>
      <c r="W38" s="533">
        <v>0</v>
      </c>
      <c r="X38" s="533">
        <v>0</v>
      </c>
      <c r="Y38" s="533">
        <v>0</v>
      </c>
      <c r="Z38" s="533">
        <v>0</v>
      </c>
      <c r="AA38" s="533">
        <v>1160</v>
      </c>
      <c r="AB38" s="533">
        <v>1160</v>
      </c>
      <c r="AC38" s="533">
        <v>0</v>
      </c>
      <c r="AD38" s="533">
        <v>0</v>
      </c>
      <c r="AE38" s="533">
        <v>0</v>
      </c>
      <c r="AF38" s="533">
        <v>0</v>
      </c>
      <c r="AG38" s="533">
        <v>0</v>
      </c>
      <c r="AH38" s="533">
        <v>0</v>
      </c>
      <c r="AI38" s="533">
        <v>0</v>
      </c>
      <c r="AJ38" s="533">
        <v>0</v>
      </c>
      <c r="AK38" s="533">
        <v>0</v>
      </c>
      <c r="AL38" s="533">
        <v>0</v>
      </c>
      <c r="AO38" s="530" t="s">
        <v>1065</v>
      </c>
      <c r="AP38" s="535">
        <f>AC37/1000</f>
        <v>0</v>
      </c>
      <c r="AQ38" s="532" t="s">
        <v>635</v>
      </c>
    </row>
    <row r="39" spans="1:43">
      <c r="AO39" s="530" t="s">
        <v>1066</v>
      </c>
      <c r="AP39" s="535">
        <f>AC38/1000</f>
        <v>0</v>
      </c>
      <c r="AQ39" s="532" t="s">
        <v>635</v>
      </c>
    </row>
    <row r="40" spans="1:43">
      <c r="A40" s="529" t="s">
        <v>589</v>
      </c>
    </row>
    <row r="41" spans="1:43">
      <c r="A41" s="529" t="s">
        <v>36</v>
      </c>
      <c r="B41" s="529" t="s">
        <v>590</v>
      </c>
    </row>
    <row r="43" spans="1:43">
      <c r="A43" s="529" t="s">
        <v>340</v>
      </c>
      <c r="B43" s="529" t="s">
        <v>576</v>
      </c>
    </row>
    <row r="44" spans="1:43">
      <c r="A44" s="529" t="s">
        <v>578</v>
      </c>
      <c r="B44" s="529" t="s">
        <v>298</v>
      </c>
    </row>
    <row r="45" spans="1:43">
      <c r="A45" s="529" t="s">
        <v>343</v>
      </c>
      <c r="B45" s="529" t="s">
        <v>181</v>
      </c>
    </row>
    <row r="47" spans="1:43">
      <c r="A47" s="532" t="s">
        <v>592</v>
      </c>
      <c r="B47" s="532" t="s">
        <v>611</v>
      </c>
      <c r="C47" s="532" t="s">
        <v>612</v>
      </c>
      <c r="D47" s="532" t="s">
        <v>613</v>
      </c>
      <c r="E47" s="532" t="s">
        <v>614</v>
      </c>
      <c r="F47" s="532" t="s">
        <v>615</v>
      </c>
      <c r="G47" s="532" t="s">
        <v>616</v>
      </c>
      <c r="H47" s="532" t="s">
        <v>617</v>
      </c>
      <c r="I47" s="532" t="s">
        <v>618</v>
      </c>
      <c r="J47" s="532" t="s">
        <v>619</v>
      </c>
      <c r="K47" s="532" t="s">
        <v>620</v>
      </c>
      <c r="L47" s="532" t="s">
        <v>621</v>
      </c>
      <c r="M47" s="532" t="s">
        <v>622</v>
      </c>
      <c r="N47" s="532" t="s">
        <v>623</v>
      </c>
      <c r="O47" s="532" t="s">
        <v>225</v>
      </c>
      <c r="P47" s="532" t="s">
        <v>624</v>
      </c>
      <c r="Q47" s="532" t="s">
        <v>625</v>
      </c>
      <c r="R47" s="532" t="s">
        <v>626</v>
      </c>
      <c r="S47" s="532" t="s">
        <v>227</v>
      </c>
      <c r="T47" s="532" t="s">
        <v>627</v>
      </c>
      <c r="U47" s="532" t="s">
        <v>628</v>
      </c>
      <c r="V47" s="532" t="s">
        <v>629</v>
      </c>
      <c r="W47" s="532" t="s">
        <v>630</v>
      </c>
      <c r="X47" s="532" t="s">
        <v>631</v>
      </c>
      <c r="Y47" s="532" t="s">
        <v>632</v>
      </c>
      <c r="Z47" s="532" t="s">
        <v>633</v>
      </c>
      <c r="AA47" s="532" t="s">
        <v>229</v>
      </c>
      <c r="AB47" s="532" t="s">
        <v>634</v>
      </c>
      <c r="AC47" s="532" t="s">
        <v>635</v>
      </c>
      <c r="AD47" s="532" t="s">
        <v>636</v>
      </c>
      <c r="AE47" s="532" t="s">
        <v>637</v>
      </c>
      <c r="AF47" s="532" t="s">
        <v>638</v>
      </c>
      <c r="AG47" s="532" t="s">
        <v>639</v>
      </c>
      <c r="AH47" s="532" t="s">
        <v>640</v>
      </c>
      <c r="AI47" s="532" t="s">
        <v>641</v>
      </c>
      <c r="AJ47" s="532" t="s">
        <v>642</v>
      </c>
      <c r="AK47" s="532" t="s">
        <v>643</v>
      </c>
      <c r="AL47" s="532" t="s">
        <v>644</v>
      </c>
      <c r="AP47" s="530" t="str">
        <f>B45</f>
        <v>Bulgaria</v>
      </c>
    </row>
    <row r="48" spans="1:43">
      <c r="A48" s="532" t="s">
        <v>583</v>
      </c>
      <c r="B48" s="533">
        <v>2870</v>
      </c>
      <c r="C48" s="533">
        <v>0</v>
      </c>
      <c r="D48" s="533">
        <v>0</v>
      </c>
      <c r="E48" s="533">
        <v>0</v>
      </c>
      <c r="F48" s="533">
        <v>0</v>
      </c>
      <c r="G48" s="534" t="s">
        <v>36</v>
      </c>
      <c r="H48" s="534" t="s">
        <v>36</v>
      </c>
      <c r="I48" s="534" t="s">
        <v>36</v>
      </c>
      <c r="J48" s="534" t="s">
        <v>36</v>
      </c>
      <c r="K48" s="533">
        <v>2870</v>
      </c>
      <c r="L48" s="533">
        <v>0</v>
      </c>
      <c r="M48" s="533">
        <v>0</v>
      </c>
      <c r="N48" s="533">
        <v>0</v>
      </c>
      <c r="O48" s="533">
        <v>0</v>
      </c>
      <c r="P48" s="533">
        <v>0</v>
      </c>
      <c r="Q48" s="533">
        <v>0</v>
      </c>
      <c r="R48" s="533">
        <v>0</v>
      </c>
      <c r="S48" s="533">
        <v>0</v>
      </c>
      <c r="T48" s="533">
        <v>0</v>
      </c>
      <c r="U48" s="533">
        <v>0</v>
      </c>
      <c r="V48" s="533">
        <v>0</v>
      </c>
      <c r="W48" s="533">
        <v>0</v>
      </c>
      <c r="X48" s="533">
        <v>0</v>
      </c>
      <c r="Y48" s="533">
        <v>0</v>
      </c>
      <c r="Z48" s="533">
        <v>0</v>
      </c>
      <c r="AA48" s="533">
        <v>1520</v>
      </c>
      <c r="AB48" s="533">
        <v>119</v>
      </c>
      <c r="AC48" s="533">
        <v>1392</v>
      </c>
      <c r="AD48" s="533">
        <v>1350</v>
      </c>
      <c r="AE48" s="533">
        <v>0</v>
      </c>
      <c r="AF48" s="533">
        <v>0</v>
      </c>
      <c r="AG48" s="533">
        <v>0</v>
      </c>
      <c r="AH48" s="533">
        <v>1350</v>
      </c>
      <c r="AI48" s="533">
        <v>0</v>
      </c>
      <c r="AJ48" s="533">
        <v>0</v>
      </c>
      <c r="AK48" s="533">
        <v>0</v>
      </c>
      <c r="AL48" s="533">
        <v>0</v>
      </c>
      <c r="AO48" s="530" t="str">
        <f>A52</f>
        <v>Transformation input in Autoproducer Electricity Plants</v>
      </c>
      <c r="AP48" s="530">
        <f>B52/1000</f>
        <v>0.77800000000000002</v>
      </c>
      <c r="AQ48" s="530" t="str">
        <f>B47</f>
        <v>Total petroleum products</v>
      </c>
    </row>
    <row r="49" spans="1:43">
      <c r="A49" s="532" t="s">
        <v>584</v>
      </c>
      <c r="B49" s="533">
        <v>1360</v>
      </c>
      <c r="C49" s="533">
        <v>0</v>
      </c>
      <c r="D49" s="533">
        <v>0</v>
      </c>
      <c r="E49" s="533">
        <v>0</v>
      </c>
      <c r="F49" s="533">
        <v>0</v>
      </c>
      <c r="G49" s="534" t="s">
        <v>36</v>
      </c>
      <c r="H49" s="534" t="s">
        <v>36</v>
      </c>
      <c r="I49" s="534" t="s">
        <v>36</v>
      </c>
      <c r="J49" s="534" t="s">
        <v>36</v>
      </c>
      <c r="K49" s="533">
        <v>1360</v>
      </c>
      <c r="L49" s="533">
        <v>0</v>
      </c>
      <c r="M49" s="533">
        <v>0</v>
      </c>
      <c r="N49" s="533">
        <v>0</v>
      </c>
      <c r="O49" s="533">
        <v>0</v>
      </c>
      <c r="P49" s="533">
        <v>0</v>
      </c>
      <c r="Q49" s="533">
        <v>0</v>
      </c>
      <c r="R49" s="533">
        <v>0</v>
      </c>
      <c r="S49" s="533">
        <v>0</v>
      </c>
      <c r="T49" s="533">
        <v>0</v>
      </c>
      <c r="U49" s="533">
        <v>0</v>
      </c>
      <c r="V49" s="533">
        <v>0</v>
      </c>
      <c r="W49" s="533">
        <v>0</v>
      </c>
      <c r="X49" s="533">
        <v>0</v>
      </c>
      <c r="Y49" s="533">
        <v>0</v>
      </c>
      <c r="Z49" s="533">
        <v>0</v>
      </c>
      <c r="AA49" s="533">
        <v>1360</v>
      </c>
      <c r="AB49" s="533">
        <v>40</v>
      </c>
      <c r="AC49" s="533">
        <v>1312</v>
      </c>
      <c r="AD49" s="533">
        <v>0</v>
      </c>
      <c r="AE49" s="533">
        <v>0</v>
      </c>
      <c r="AF49" s="533">
        <v>0</v>
      </c>
      <c r="AG49" s="533">
        <v>0</v>
      </c>
      <c r="AH49" s="533">
        <v>0</v>
      </c>
      <c r="AI49" s="533">
        <v>0</v>
      </c>
      <c r="AJ49" s="533">
        <v>0</v>
      </c>
      <c r="AK49" s="533">
        <v>0</v>
      </c>
      <c r="AL49" s="533">
        <v>0</v>
      </c>
      <c r="AO49" s="530" t="s">
        <v>1065</v>
      </c>
      <c r="AP49" s="530">
        <f>L52/1000</f>
        <v>0.09</v>
      </c>
      <c r="AQ49" s="532" t="s">
        <v>621</v>
      </c>
    </row>
    <row r="50" spans="1:43">
      <c r="A50" s="532" t="s">
        <v>585</v>
      </c>
      <c r="B50" s="533">
        <v>1510</v>
      </c>
      <c r="C50" s="533">
        <v>0</v>
      </c>
      <c r="D50" s="533">
        <v>0</v>
      </c>
      <c r="E50" s="533">
        <v>0</v>
      </c>
      <c r="F50" s="533">
        <v>0</v>
      </c>
      <c r="G50" s="534" t="s">
        <v>36</v>
      </c>
      <c r="H50" s="534" t="s">
        <v>36</v>
      </c>
      <c r="I50" s="534" t="s">
        <v>36</v>
      </c>
      <c r="J50" s="534" t="s">
        <v>36</v>
      </c>
      <c r="K50" s="533">
        <v>1510</v>
      </c>
      <c r="L50" s="533">
        <v>0</v>
      </c>
      <c r="M50" s="533">
        <v>0</v>
      </c>
      <c r="N50" s="533">
        <v>0</v>
      </c>
      <c r="O50" s="533">
        <v>0</v>
      </c>
      <c r="P50" s="533">
        <v>0</v>
      </c>
      <c r="Q50" s="533">
        <v>0</v>
      </c>
      <c r="R50" s="533">
        <v>0</v>
      </c>
      <c r="S50" s="533">
        <v>0</v>
      </c>
      <c r="T50" s="533">
        <v>0</v>
      </c>
      <c r="U50" s="533">
        <v>0</v>
      </c>
      <c r="V50" s="533">
        <v>0</v>
      </c>
      <c r="W50" s="533">
        <v>0</v>
      </c>
      <c r="X50" s="533">
        <v>0</v>
      </c>
      <c r="Y50" s="533">
        <v>0</v>
      </c>
      <c r="Z50" s="533">
        <v>0</v>
      </c>
      <c r="AA50" s="533">
        <v>160</v>
      </c>
      <c r="AB50" s="533">
        <v>80</v>
      </c>
      <c r="AC50" s="533">
        <v>80</v>
      </c>
      <c r="AD50" s="533">
        <v>1350</v>
      </c>
      <c r="AE50" s="533">
        <v>0</v>
      </c>
      <c r="AF50" s="533">
        <v>0</v>
      </c>
      <c r="AG50" s="533">
        <v>0</v>
      </c>
      <c r="AH50" s="533">
        <v>1350</v>
      </c>
      <c r="AI50" s="533">
        <v>0</v>
      </c>
      <c r="AJ50" s="533">
        <v>0</v>
      </c>
      <c r="AK50" s="533">
        <v>0</v>
      </c>
      <c r="AL50" s="533">
        <v>0</v>
      </c>
      <c r="AO50" s="530" t="s">
        <v>1066</v>
      </c>
      <c r="AP50" s="530">
        <f>L53/1000</f>
        <v>0.317</v>
      </c>
      <c r="AQ50" s="532" t="s">
        <v>621</v>
      </c>
    </row>
    <row r="51" spans="1:43">
      <c r="A51" s="532" t="s">
        <v>586</v>
      </c>
      <c r="B51" s="533">
        <v>4371</v>
      </c>
      <c r="C51" s="533">
        <v>0</v>
      </c>
      <c r="D51" s="533">
        <v>0</v>
      </c>
      <c r="E51" s="533">
        <v>0</v>
      </c>
      <c r="F51" s="533">
        <v>0</v>
      </c>
      <c r="G51" s="534" t="s">
        <v>36</v>
      </c>
      <c r="H51" s="534" t="s">
        <v>36</v>
      </c>
      <c r="I51" s="534" t="s">
        <v>36</v>
      </c>
      <c r="J51" s="534" t="s">
        <v>36</v>
      </c>
      <c r="K51" s="533">
        <v>4371</v>
      </c>
      <c r="L51" s="533">
        <v>407</v>
      </c>
      <c r="M51" s="533">
        <v>407</v>
      </c>
      <c r="N51" s="533">
        <v>0</v>
      </c>
      <c r="O51" s="533">
        <v>0</v>
      </c>
      <c r="P51" s="533">
        <v>0</v>
      </c>
      <c r="Q51" s="533">
        <v>0</v>
      </c>
      <c r="R51" s="533">
        <v>0</v>
      </c>
      <c r="S51" s="533">
        <v>0</v>
      </c>
      <c r="T51" s="533">
        <v>0</v>
      </c>
      <c r="U51" s="533">
        <v>0</v>
      </c>
      <c r="V51" s="533">
        <v>0</v>
      </c>
      <c r="W51" s="533">
        <v>0</v>
      </c>
      <c r="X51" s="533">
        <v>0</v>
      </c>
      <c r="Y51" s="533">
        <v>0</v>
      </c>
      <c r="Z51" s="533">
        <v>0</v>
      </c>
      <c r="AA51" s="533">
        <v>40</v>
      </c>
      <c r="AB51" s="533">
        <v>0</v>
      </c>
      <c r="AC51" s="533">
        <v>40</v>
      </c>
      <c r="AD51" s="533">
        <v>3923</v>
      </c>
      <c r="AE51" s="533">
        <v>0</v>
      </c>
      <c r="AF51" s="533">
        <v>0</v>
      </c>
      <c r="AG51" s="533">
        <v>0</v>
      </c>
      <c r="AH51" s="533">
        <v>0</v>
      </c>
      <c r="AI51" s="533">
        <v>0</v>
      </c>
      <c r="AJ51" s="533">
        <v>3923</v>
      </c>
      <c r="AK51" s="533">
        <v>0</v>
      </c>
      <c r="AL51" s="533">
        <v>0</v>
      </c>
      <c r="AO51" s="530" t="s">
        <v>1065</v>
      </c>
      <c r="AP51" s="535">
        <f>AB52/1000</f>
        <v>0</v>
      </c>
      <c r="AQ51" s="532" t="s">
        <v>634</v>
      </c>
    </row>
    <row r="52" spans="1:43">
      <c r="A52" s="532" t="s">
        <v>587</v>
      </c>
      <c r="B52" s="533">
        <v>778</v>
      </c>
      <c r="C52" s="533">
        <v>0</v>
      </c>
      <c r="D52" s="533">
        <v>0</v>
      </c>
      <c r="E52" s="533">
        <v>0</v>
      </c>
      <c r="F52" s="533">
        <v>0</v>
      </c>
      <c r="G52" s="534" t="s">
        <v>36</v>
      </c>
      <c r="H52" s="534" t="s">
        <v>36</v>
      </c>
      <c r="I52" s="534" t="s">
        <v>36</v>
      </c>
      <c r="J52" s="534" t="s">
        <v>36</v>
      </c>
      <c r="K52" s="533">
        <v>778</v>
      </c>
      <c r="L52" s="533">
        <v>90</v>
      </c>
      <c r="M52" s="533">
        <v>90</v>
      </c>
      <c r="N52" s="533">
        <v>0</v>
      </c>
      <c r="O52" s="533">
        <v>0</v>
      </c>
      <c r="P52" s="533">
        <v>0</v>
      </c>
      <c r="Q52" s="533">
        <v>0</v>
      </c>
      <c r="R52" s="533">
        <v>0</v>
      </c>
      <c r="S52" s="533">
        <v>0</v>
      </c>
      <c r="T52" s="533">
        <v>0</v>
      </c>
      <c r="U52" s="533">
        <v>0</v>
      </c>
      <c r="V52" s="533">
        <v>0</v>
      </c>
      <c r="W52" s="533">
        <v>0</v>
      </c>
      <c r="X52" s="533">
        <v>0</v>
      </c>
      <c r="Y52" s="533">
        <v>0</v>
      </c>
      <c r="Z52" s="533">
        <v>0</v>
      </c>
      <c r="AA52" s="533">
        <v>0</v>
      </c>
      <c r="AB52" s="533">
        <v>0</v>
      </c>
      <c r="AC52" s="533">
        <v>0</v>
      </c>
      <c r="AD52" s="533">
        <v>688</v>
      </c>
      <c r="AE52" s="533">
        <v>0</v>
      </c>
      <c r="AF52" s="533">
        <v>0</v>
      </c>
      <c r="AG52" s="533">
        <v>0</v>
      </c>
      <c r="AH52" s="533">
        <v>0</v>
      </c>
      <c r="AI52" s="533">
        <v>0</v>
      </c>
      <c r="AJ52" s="533">
        <v>688</v>
      </c>
      <c r="AK52" s="533">
        <v>0</v>
      </c>
      <c r="AL52" s="533">
        <v>0</v>
      </c>
      <c r="AO52" s="530" t="s">
        <v>1066</v>
      </c>
      <c r="AP52" s="535">
        <f>AB53/1000</f>
        <v>0</v>
      </c>
      <c r="AQ52" s="532" t="s">
        <v>634</v>
      </c>
    </row>
    <row r="53" spans="1:43">
      <c r="A53" s="532" t="s">
        <v>588</v>
      </c>
      <c r="B53" s="533">
        <v>3592</v>
      </c>
      <c r="C53" s="533">
        <v>0</v>
      </c>
      <c r="D53" s="533">
        <v>0</v>
      </c>
      <c r="E53" s="533">
        <v>0</v>
      </c>
      <c r="F53" s="533">
        <v>0</v>
      </c>
      <c r="G53" s="534" t="s">
        <v>36</v>
      </c>
      <c r="H53" s="534" t="s">
        <v>36</v>
      </c>
      <c r="I53" s="534" t="s">
        <v>36</v>
      </c>
      <c r="J53" s="534" t="s">
        <v>36</v>
      </c>
      <c r="K53" s="533">
        <v>3592</v>
      </c>
      <c r="L53" s="533">
        <v>317</v>
      </c>
      <c r="M53" s="533">
        <v>317</v>
      </c>
      <c r="N53" s="533">
        <v>0</v>
      </c>
      <c r="O53" s="533">
        <v>0</v>
      </c>
      <c r="P53" s="533">
        <v>0</v>
      </c>
      <c r="Q53" s="533">
        <v>0</v>
      </c>
      <c r="R53" s="533">
        <v>0</v>
      </c>
      <c r="S53" s="533">
        <v>0</v>
      </c>
      <c r="T53" s="533">
        <v>0</v>
      </c>
      <c r="U53" s="533">
        <v>0</v>
      </c>
      <c r="V53" s="533">
        <v>0</v>
      </c>
      <c r="W53" s="533">
        <v>0</v>
      </c>
      <c r="X53" s="533">
        <v>0</v>
      </c>
      <c r="Y53" s="533">
        <v>0</v>
      </c>
      <c r="Z53" s="533">
        <v>0</v>
      </c>
      <c r="AA53" s="533">
        <v>40</v>
      </c>
      <c r="AB53" s="533">
        <v>0</v>
      </c>
      <c r="AC53" s="533">
        <v>40</v>
      </c>
      <c r="AD53" s="533">
        <v>3236</v>
      </c>
      <c r="AE53" s="533">
        <v>0</v>
      </c>
      <c r="AF53" s="533">
        <v>0</v>
      </c>
      <c r="AG53" s="533">
        <v>0</v>
      </c>
      <c r="AH53" s="533">
        <v>0</v>
      </c>
      <c r="AI53" s="533">
        <v>0</v>
      </c>
      <c r="AJ53" s="533">
        <v>3236</v>
      </c>
      <c r="AK53" s="533">
        <v>0</v>
      </c>
      <c r="AL53" s="533">
        <v>0</v>
      </c>
      <c r="AO53" s="530" t="s">
        <v>1065</v>
      </c>
      <c r="AP53" s="535">
        <f>AC52/1000</f>
        <v>0</v>
      </c>
      <c r="AQ53" s="532" t="s">
        <v>635</v>
      </c>
    </row>
    <row r="54" spans="1:43">
      <c r="AO54" s="530" t="s">
        <v>1066</v>
      </c>
      <c r="AP54" s="535">
        <f>AC53/1000</f>
        <v>0.04</v>
      </c>
      <c r="AQ54" s="532" t="s">
        <v>635</v>
      </c>
    </row>
    <row r="55" spans="1:43">
      <c r="A55" s="529" t="s">
        <v>589</v>
      </c>
    </row>
    <row r="56" spans="1:43">
      <c r="A56" s="529" t="s">
        <v>36</v>
      </c>
      <c r="B56" s="529" t="s">
        <v>590</v>
      </c>
    </row>
    <row r="58" spans="1:43">
      <c r="A58" s="529" t="s">
        <v>340</v>
      </c>
      <c r="B58" s="529" t="s">
        <v>576</v>
      </c>
    </row>
    <row r="59" spans="1:43">
      <c r="A59" s="529" t="s">
        <v>578</v>
      </c>
      <c r="B59" s="529" t="s">
        <v>298</v>
      </c>
    </row>
    <row r="60" spans="1:43">
      <c r="A60" s="529" t="s">
        <v>343</v>
      </c>
      <c r="B60" s="529" t="s">
        <v>215</v>
      </c>
    </row>
    <row r="62" spans="1:43">
      <c r="A62" s="532" t="s">
        <v>592</v>
      </c>
      <c r="B62" s="532" t="s">
        <v>611</v>
      </c>
      <c r="C62" s="532" t="s">
        <v>612</v>
      </c>
      <c r="D62" s="532" t="s">
        <v>613</v>
      </c>
      <c r="E62" s="532" t="s">
        <v>614</v>
      </c>
      <c r="F62" s="532" t="s">
        <v>615</v>
      </c>
      <c r="G62" s="532" t="s">
        <v>616</v>
      </c>
      <c r="H62" s="532" t="s">
        <v>617</v>
      </c>
      <c r="I62" s="532" t="s">
        <v>618</v>
      </c>
      <c r="J62" s="532" t="s">
        <v>619</v>
      </c>
      <c r="K62" s="532" t="s">
        <v>620</v>
      </c>
      <c r="L62" s="532" t="s">
        <v>621</v>
      </c>
      <c r="M62" s="532" t="s">
        <v>622</v>
      </c>
      <c r="N62" s="532" t="s">
        <v>623</v>
      </c>
      <c r="O62" s="532" t="s">
        <v>225</v>
      </c>
      <c r="P62" s="532" t="s">
        <v>624</v>
      </c>
      <c r="Q62" s="532" t="s">
        <v>625</v>
      </c>
      <c r="R62" s="532" t="s">
        <v>626</v>
      </c>
      <c r="S62" s="532" t="s">
        <v>227</v>
      </c>
      <c r="T62" s="532" t="s">
        <v>627</v>
      </c>
      <c r="U62" s="532" t="s">
        <v>628</v>
      </c>
      <c r="V62" s="532" t="s">
        <v>629</v>
      </c>
      <c r="W62" s="532" t="s">
        <v>630</v>
      </c>
      <c r="X62" s="532" t="s">
        <v>631</v>
      </c>
      <c r="Y62" s="532" t="s">
        <v>632</v>
      </c>
      <c r="Z62" s="532" t="s">
        <v>633</v>
      </c>
      <c r="AA62" s="532" t="s">
        <v>229</v>
      </c>
      <c r="AB62" s="532" t="s">
        <v>634</v>
      </c>
      <c r="AC62" s="532" t="s">
        <v>635</v>
      </c>
      <c r="AD62" s="532" t="s">
        <v>636</v>
      </c>
      <c r="AE62" s="532" t="s">
        <v>637</v>
      </c>
      <c r="AF62" s="532" t="s">
        <v>638</v>
      </c>
      <c r="AG62" s="532" t="s">
        <v>639</v>
      </c>
      <c r="AH62" s="532" t="s">
        <v>640</v>
      </c>
      <c r="AI62" s="532" t="s">
        <v>641</v>
      </c>
      <c r="AJ62" s="532" t="s">
        <v>642</v>
      </c>
      <c r="AK62" s="532" t="s">
        <v>643</v>
      </c>
      <c r="AL62" s="532" t="s">
        <v>644</v>
      </c>
      <c r="AP62" s="530" t="str">
        <f>B60</f>
        <v>Czech Republic</v>
      </c>
    </row>
    <row r="63" spans="1:43">
      <c r="A63" s="532" t="s">
        <v>583</v>
      </c>
      <c r="B63" s="533">
        <v>4163</v>
      </c>
      <c r="C63" s="533">
        <v>0</v>
      </c>
      <c r="D63" s="533">
        <v>0</v>
      </c>
      <c r="E63" s="533">
        <v>0</v>
      </c>
      <c r="F63" s="533">
        <v>0</v>
      </c>
      <c r="G63" s="534" t="s">
        <v>36</v>
      </c>
      <c r="H63" s="534" t="s">
        <v>36</v>
      </c>
      <c r="I63" s="534" t="s">
        <v>36</v>
      </c>
      <c r="J63" s="534" t="s">
        <v>36</v>
      </c>
      <c r="K63" s="533">
        <v>4163</v>
      </c>
      <c r="L63" s="533">
        <v>0</v>
      </c>
      <c r="M63" s="533">
        <v>0</v>
      </c>
      <c r="N63" s="533">
        <v>0</v>
      </c>
      <c r="O63" s="533">
        <v>0</v>
      </c>
      <c r="P63" s="533">
        <v>0</v>
      </c>
      <c r="Q63" s="533">
        <v>0</v>
      </c>
      <c r="R63" s="533">
        <v>0</v>
      </c>
      <c r="S63" s="533">
        <v>0</v>
      </c>
      <c r="T63" s="533">
        <v>0</v>
      </c>
      <c r="U63" s="533">
        <v>0</v>
      </c>
      <c r="V63" s="533">
        <v>0</v>
      </c>
      <c r="W63" s="533">
        <v>0</v>
      </c>
      <c r="X63" s="533">
        <v>128</v>
      </c>
      <c r="Y63" s="533">
        <v>0</v>
      </c>
      <c r="Z63" s="533">
        <v>125</v>
      </c>
      <c r="AA63" s="533">
        <v>600</v>
      </c>
      <c r="AB63" s="533">
        <v>0</v>
      </c>
      <c r="AC63" s="533">
        <v>597</v>
      </c>
      <c r="AD63" s="533">
        <v>3435</v>
      </c>
      <c r="AE63" s="533">
        <v>0</v>
      </c>
      <c r="AF63" s="533">
        <v>0</v>
      </c>
      <c r="AG63" s="533">
        <v>0</v>
      </c>
      <c r="AH63" s="533">
        <v>0</v>
      </c>
      <c r="AI63" s="533">
        <v>0</v>
      </c>
      <c r="AJ63" s="533">
        <v>3435</v>
      </c>
      <c r="AK63" s="533">
        <v>0</v>
      </c>
      <c r="AL63" s="533">
        <v>0</v>
      </c>
      <c r="AO63" s="530" t="str">
        <f>A67</f>
        <v>Transformation input in Autoproducer Electricity Plants</v>
      </c>
      <c r="AP63" s="530">
        <f>B67/1000</f>
        <v>1.292</v>
      </c>
      <c r="AQ63" s="530" t="str">
        <f>B62</f>
        <v>Total petroleum products</v>
      </c>
    </row>
    <row r="64" spans="1:43">
      <c r="A64" s="532" t="s">
        <v>584</v>
      </c>
      <c r="B64" s="533">
        <v>449</v>
      </c>
      <c r="C64" s="533">
        <v>0</v>
      </c>
      <c r="D64" s="533">
        <v>0</v>
      </c>
      <c r="E64" s="533">
        <v>0</v>
      </c>
      <c r="F64" s="533">
        <v>0</v>
      </c>
      <c r="G64" s="534" t="s">
        <v>36</v>
      </c>
      <c r="H64" s="534" t="s">
        <v>36</v>
      </c>
      <c r="I64" s="534" t="s">
        <v>36</v>
      </c>
      <c r="J64" s="534" t="s">
        <v>36</v>
      </c>
      <c r="K64" s="533">
        <v>449</v>
      </c>
      <c r="L64" s="533">
        <v>0</v>
      </c>
      <c r="M64" s="533">
        <v>0</v>
      </c>
      <c r="N64" s="533">
        <v>0</v>
      </c>
      <c r="O64" s="533">
        <v>0</v>
      </c>
      <c r="P64" s="533">
        <v>0</v>
      </c>
      <c r="Q64" s="533">
        <v>0</v>
      </c>
      <c r="R64" s="533">
        <v>0</v>
      </c>
      <c r="S64" s="533">
        <v>0</v>
      </c>
      <c r="T64" s="533">
        <v>0</v>
      </c>
      <c r="U64" s="533">
        <v>0</v>
      </c>
      <c r="V64" s="533">
        <v>0</v>
      </c>
      <c r="W64" s="533">
        <v>0</v>
      </c>
      <c r="X64" s="533">
        <v>0</v>
      </c>
      <c r="Y64" s="533">
        <v>0</v>
      </c>
      <c r="Z64" s="533">
        <v>0</v>
      </c>
      <c r="AA64" s="533">
        <v>40</v>
      </c>
      <c r="AB64" s="533">
        <v>0</v>
      </c>
      <c r="AC64" s="533">
        <v>40</v>
      </c>
      <c r="AD64" s="533">
        <v>409</v>
      </c>
      <c r="AE64" s="533">
        <v>0</v>
      </c>
      <c r="AF64" s="533">
        <v>0</v>
      </c>
      <c r="AG64" s="533">
        <v>0</v>
      </c>
      <c r="AH64" s="533">
        <v>0</v>
      </c>
      <c r="AI64" s="533">
        <v>0</v>
      </c>
      <c r="AJ64" s="533">
        <v>409</v>
      </c>
      <c r="AK64" s="533">
        <v>0</v>
      </c>
      <c r="AL64" s="533">
        <v>0</v>
      </c>
      <c r="AO64" s="530" t="s">
        <v>1065</v>
      </c>
      <c r="AP64" s="530">
        <f>L67/1000</f>
        <v>0</v>
      </c>
      <c r="AQ64" s="532" t="s">
        <v>621</v>
      </c>
    </row>
    <row r="65" spans="1:43">
      <c r="A65" s="532" t="s">
        <v>585</v>
      </c>
      <c r="B65" s="533">
        <v>3714</v>
      </c>
      <c r="C65" s="533">
        <v>0</v>
      </c>
      <c r="D65" s="533">
        <v>0</v>
      </c>
      <c r="E65" s="533">
        <v>0</v>
      </c>
      <c r="F65" s="533">
        <v>0</v>
      </c>
      <c r="G65" s="534" t="s">
        <v>36</v>
      </c>
      <c r="H65" s="534" t="s">
        <v>36</v>
      </c>
      <c r="I65" s="534" t="s">
        <v>36</v>
      </c>
      <c r="J65" s="534" t="s">
        <v>36</v>
      </c>
      <c r="K65" s="533">
        <v>3714</v>
      </c>
      <c r="L65" s="533">
        <v>0</v>
      </c>
      <c r="M65" s="533">
        <v>0</v>
      </c>
      <c r="N65" s="533">
        <v>0</v>
      </c>
      <c r="O65" s="533">
        <v>0</v>
      </c>
      <c r="P65" s="533">
        <v>0</v>
      </c>
      <c r="Q65" s="533">
        <v>0</v>
      </c>
      <c r="R65" s="533">
        <v>0</v>
      </c>
      <c r="S65" s="533">
        <v>0</v>
      </c>
      <c r="T65" s="533">
        <v>0</v>
      </c>
      <c r="U65" s="533">
        <v>0</v>
      </c>
      <c r="V65" s="533">
        <v>0</v>
      </c>
      <c r="W65" s="533">
        <v>0</v>
      </c>
      <c r="X65" s="533">
        <v>128</v>
      </c>
      <c r="Y65" s="533">
        <v>0</v>
      </c>
      <c r="Z65" s="533">
        <v>125</v>
      </c>
      <c r="AA65" s="533">
        <v>560</v>
      </c>
      <c r="AB65" s="533">
        <v>0</v>
      </c>
      <c r="AC65" s="533">
        <v>557</v>
      </c>
      <c r="AD65" s="533">
        <v>3026</v>
      </c>
      <c r="AE65" s="533">
        <v>0</v>
      </c>
      <c r="AF65" s="533">
        <v>0</v>
      </c>
      <c r="AG65" s="533">
        <v>0</v>
      </c>
      <c r="AH65" s="533">
        <v>0</v>
      </c>
      <c r="AI65" s="533">
        <v>0</v>
      </c>
      <c r="AJ65" s="533">
        <v>3026</v>
      </c>
      <c r="AK65" s="533">
        <v>0</v>
      </c>
      <c r="AL65" s="533">
        <v>0</v>
      </c>
      <c r="AO65" s="530" t="s">
        <v>1066</v>
      </c>
      <c r="AP65" s="530">
        <f>L68/1000</f>
        <v>0</v>
      </c>
      <c r="AQ65" s="532" t="s">
        <v>621</v>
      </c>
    </row>
    <row r="66" spans="1:43">
      <c r="A66" s="532" t="s">
        <v>586</v>
      </c>
      <c r="B66" s="533">
        <v>2305</v>
      </c>
      <c r="C66" s="533">
        <v>0</v>
      </c>
      <c r="D66" s="533">
        <v>0</v>
      </c>
      <c r="E66" s="533">
        <v>0</v>
      </c>
      <c r="F66" s="533">
        <v>0</v>
      </c>
      <c r="G66" s="534" t="s">
        <v>36</v>
      </c>
      <c r="H66" s="534" t="s">
        <v>36</v>
      </c>
      <c r="I66" s="534" t="s">
        <v>36</v>
      </c>
      <c r="J66" s="534" t="s">
        <v>36</v>
      </c>
      <c r="K66" s="533">
        <v>2305</v>
      </c>
      <c r="L66" s="533">
        <v>0</v>
      </c>
      <c r="M66" s="533">
        <v>0</v>
      </c>
      <c r="N66" s="533">
        <v>0</v>
      </c>
      <c r="O66" s="533">
        <v>0</v>
      </c>
      <c r="P66" s="533">
        <v>0</v>
      </c>
      <c r="Q66" s="533">
        <v>0</v>
      </c>
      <c r="R66" s="533">
        <v>0</v>
      </c>
      <c r="S66" s="533">
        <v>0</v>
      </c>
      <c r="T66" s="533">
        <v>0</v>
      </c>
      <c r="U66" s="533">
        <v>0</v>
      </c>
      <c r="V66" s="533">
        <v>0</v>
      </c>
      <c r="W66" s="533">
        <v>0</v>
      </c>
      <c r="X66" s="533">
        <v>43</v>
      </c>
      <c r="Y66" s="533">
        <v>0</v>
      </c>
      <c r="Z66" s="533">
        <v>42</v>
      </c>
      <c r="AA66" s="533">
        <v>1240</v>
      </c>
      <c r="AB66" s="533">
        <v>197</v>
      </c>
      <c r="AC66" s="533">
        <v>1035</v>
      </c>
      <c r="AD66" s="533">
        <v>1022</v>
      </c>
      <c r="AE66" s="533">
        <v>0</v>
      </c>
      <c r="AF66" s="533">
        <v>0</v>
      </c>
      <c r="AG66" s="533">
        <v>0</v>
      </c>
      <c r="AH66" s="533">
        <v>0</v>
      </c>
      <c r="AI66" s="533">
        <v>0</v>
      </c>
      <c r="AJ66" s="533">
        <v>1022</v>
      </c>
      <c r="AK66" s="533">
        <v>0</v>
      </c>
      <c r="AL66" s="533">
        <v>0</v>
      </c>
      <c r="AO66" s="530" t="s">
        <v>1065</v>
      </c>
      <c r="AP66" s="535">
        <f>AB67/1000</f>
        <v>0.158</v>
      </c>
      <c r="AQ66" s="532" t="s">
        <v>634</v>
      </c>
    </row>
    <row r="67" spans="1:43">
      <c r="A67" s="532" t="s">
        <v>587</v>
      </c>
      <c r="B67" s="533">
        <v>1292</v>
      </c>
      <c r="C67" s="533">
        <v>0</v>
      </c>
      <c r="D67" s="533">
        <v>0</v>
      </c>
      <c r="E67" s="533">
        <v>0</v>
      </c>
      <c r="F67" s="533">
        <v>0</v>
      </c>
      <c r="G67" s="534" t="s">
        <v>36</v>
      </c>
      <c r="H67" s="534" t="s">
        <v>36</v>
      </c>
      <c r="I67" s="534" t="s">
        <v>36</v>
      </c>
      <c r="J67" s="534" t="s">
        <v>36</v>
      </c>
      <c r="K67" s="533">
        <v>1292</v>
      </c>
      <c r="L67" s="533">
        <v>0</v>
      </c>
      <c r="M67" s="533">
        <v>0</v>
      </c>
      <c r="N67" s="533">
        <v>0</v>
      </c>
      <c r="O67" s="533">
        <v>0</v>
      </c>
      <c r="P67" s="533">
        <v>0</v>
      </c>
      <c r="Q67" s="533">
        <v>0</v>
      </c>
      <c r="R67" s="533">
        <v>0</v>
      </c>
      <c r="S67" s="533">
        <v>0</v>
      </c>
      <c r="T67" s="533">
        <v>0</v>
      </c>
      <c r="U67" s="533">
        <v>0</v>
      </c>
      <c r="V67" s="533">
        <v>0</v>
      </c>
      <c r="W67" s="533">
        <v>0</v>
      </c>
      <c r="X67" s="533">
        <v>43</v>
      </c>
      <c r="Y67" s="533">
        <v>0</v>
      </c>
      <c r="Z67" s="533">
        <v>42</v>
      </c>
      <c r="AA67" s="533">
        <v>800</v>
      </c>
      <c r="AB67" s="533">
        <v>158</v>
      </c>
      <c r="AC67" s="533">
        <v>637</v>
      </c>
      <c r="AD67" s="533">
        <v>450</v>
      </c>
      <c r="AE67" s="533">
        <v>0</v>
      </c>
      <c r="AF67" s="533">
        <v>0</v>
      </c>
      <c r="AG67" s="533">
        <v>0</v>
      </c>
      <c r="AH67" s="533">
        <v>0</v>
      </c>
      <c r="AI67" s="533">
        <v>0</v>
      </c>
      <c r="AJ67" s="533">
        <v>450</v>
      </c>
      <c r="AK67" s="533">
        <v>0</v>
      </c>
      <c r="AL67" s="533">
        <v>0</v>
      </c>
      <c r="AO67" s="530" t="s">
        <v>1066</v>
      </c>
      <c r="AP67" s="535">
        <f>AB68/1000</f>
        <v>3.9E-2</v>
      </c>
      <c r="AQ67" s="532" t="s">
        <v>634</v>
      </c>
    </row>
    <row r="68" spans="1:43">
      <c r="A68" s="532" t="s">
        <v>588</v>
      </c>
      <c r="B68" s="533">
        <v>1013</v>
      </c>
      <c r="C68" s="533">
        <v>0</v>
      </c>
      <c r="D68" s="533">
        <v>0</v>
      </c>
      <c r="E68" s="533">
        <v>0</v>
      </c>
      <c r="F68" s="533">
        <v>0</v>
      </c>
      <c r="G68" s="534" t="s">
        <v>36</v>
      </c>
      <c r="H68" s="534" t="s">
        <v>36</v>
      </c>
      <c r="I68" s="534" t="s">
        <v>36</v>
      </c>
      <c r="J68" s="534" t="s">
        <v>36</v>
      </c>
      <c r="K68" s="533">
        <v>1013</v>
      </c>
      <c r="L68" s="533">
        <v>0</v>
      </c>
      <c r="M68" s="533">
        <v>0</v>
      </c>
      <c r="N68" s="533">
        <v>0</v>
      </c>
      <c r="O68" s="533">
        <v>0</v>
      </c>
      <c r="P68" s="533">
        <v>0</v>
      </c>
      <c r="Q68" s="533">
        <v>0</v>
      </c>
      <c r="R68" s="533">
        <v>0</v>
      </c>
      <c r="S68" s="533">
        <v>0</v>
      </c>
      <c r="T68" s="533">
        <v>0</v>
      </c>
      <c r="U68" s="533">
        <v>0</v>
      </c>
      <c r="V68" s="533">
        <v>0</v>
      </c>
      <c r="W68" s="533">
        <v>0</v>
      </c>
      <c r="X68" s="533">
        <v>0</v>
      </c>
      <c r="Y68" s="533">
        <v>0</v>
      </c>
      <c r="Z68" s="533">
        <v>0</v>
      </c>
      <c r="AA68" s="533">
        <v>440</v>
      </c>
      <c r="AB68" s="533">
        <v>39</v>
      </c>
      <c r="AC68" s="533">
        <v>398</v>
      </c>
      <c r="AD68" s="533">
        <v>573</v>
      </c>
      <c r="AE68" s="533">
        <v>0</v>
      </c>
      <c r="AF68" s="533">
        <v>0</v>
      </c>
      <c r="AG68" s="533">
        <v>0</v>
      </c>
      <c r="AH68" s="533">
        <v>0</v>
      </c>
      <c r="AI68" s="533">
        <v>0</v>
      </c>
      <c r="AJ68" s="533">
        <v>573</v>
      </c>
      <c r="AK68" s="533">
        <v>0</v>
      </c>
      <c r="AL68" s="533">
        <v>0</v>
      </c>
      <c r="AO68" s="530" t="s">
        <v>1065</v>
      </c>
      <c r="AP68" s="535">
        <f>AC67/1000</f>
        <v>0.63700000000000001</v>
      </c>
      <c r="AQ68" s="532" t="s">
        <v>635</v>
      </c>
    </row>
    <row r="69" spans="1:43">
      <c r="AO69" s="530" t="s">
        <v>1066</v>
      </c>
      <c r="AP69" s="535">
        <f>AC68/1000</f>
        <v>0.39800000000000002</v>
      </c>
      <c r="AQ69" s="532" t="s">
        <v>635</v>
      </c>
    </row>
    <row r="70" spans="1:43">
      <c r="A70" s="529" t="s">
        <v>589</v>
      </c>
    </row>
    <row r="71" spans="1:43">
      <c r="A71" s="529" t="s">
        <v>36</v>
      </c>
      <c r="B71" s="529" t="s">
        <v>590</v>
      </c>
    </row>
    <row r="73" spans="1:43">
      <c r="A73" s="529" t="s">
        <v>340</v>
      </c>
      <c r="B73" s="529" t="s">
        <v>576</v>
      </c>
    </row>
    <row r="74" spans="1:43">
      <c r="A74" s="529" t="s">
        <v>578</v>
      </c>
      <c r="B74" s="529" t="s">
        <v>298</v>
      </c>
    </row>
    <row r="75" spans="1:43">
      <c r="A75" s="529" t="s">
        <v>343</v>
      </c>
      <c r="B75" s="529" t="s">
        <v>182</v>
      </c>
    </row>
    <row r="77" spans="1:43">
      <c r="A77" s="532" t="s">
        <v>592</v>
      </c>
      <c r="B77" s="532" t="s">
        <v>611</v>
      </c>
      <c r="C77" s="532" t="s">
        <v>612</v>
      </c>
      <c r="D77" s="532" t="s">
        <v>613</v>
      </c>
      <c r="E77" s="532" t="s">
        <v>614</v>
      </c>
      <c r="F77" s="532" t="s">
        <v>615</v>
      </c>
      <c r="G77" s="532" t="s">
        <v>616</v>
      </c>
      <c r="H77" s="532" t="s">
        <v>617</v>
      </c>
      <c r="I77" s="532" t="s">
        <v>618</v>
      </c>
      <c r="J77" s="532" t="s">
        <v>619</v>
      </c>
      <c r="K77" s="532" t="s">
        <v>620</v>
      </c>
      <c r="L77" s="532" t="s">
        <v>621</v>
      </c>
      <c r="M77" s="532" t="s">
        <v>622</v>
      </c>
      <c r="N77" s="532" t="s">
        <v>623</v>
      </c>
      <c r="O77" s="532" t="s">
        <v>225</v>
      </c>
      <c r="P77" s="532" t="s">
        <v>624</v>
      </c>
      <c r="Q77" s="532" t="s">
        <v>625</v>
      </c>
      <c r="R77" s="532" t="s">
        <v>626</v>
      </c>
      <c r="S77" s="532" t="s">
        <v>227</v>
      </c>
      <c r="T77" s="532" t="s">
        <v>627</v>
      </c>
      <c r="U77" s="532" t="s">
        <v>628</v>
      </c>
      <c r="V77" s="532" t="s">
        <v>629</v>
      </c>
      <c r="W77" s="532" t="s">
        <v>630</v>
      </c>
      <c r="X77" s="532" t="s">
        <v>631</v>
      </c>
      <c r="Y77" s="532" t="s">
        <v>632</v>
      </c>
      <c r="Z77" s="532" t="s">
        <v>633</v>
      </c>
      <c r="AA77" s="532" t="s">
        <v>229</v>
      </c>
      <c r="AB77" s="532" t="s">
        <v>634</v>
      </c>
      <c r="AC77" s="532" t="s">
        <v>635</v>
      </c>
      <c r="AD77" s="532" t="s">
        <v>636</v>
      </c>
      <c r="AE77" s="532" t="s">
        <v>637</v>
      </c>
      <c r="AF77" s="532" t="s">
        <v>638</v>
      </c>
      <c r="AG77" s="532" t="s">
        <v>639</v>
      </c>
      <c r="AH77" s="532" t="s">
        <v>640</v>
      </c>
      <c r="AI77" s="532" t="s">
        <v>641</v>
      </c>
      <c r="AJ77" s="532" t="s">
        <v>642</v>
      </c>
      <c r="AK77" s="532" t="s">
        <v>643</v>
      </c>
      <c r="AL77" s="532" t="s">
        <v>644</v>
      </c>
      <c r="AP77" s="530" t="str">
        <f>B75</f>
        <v>Denmark</v>
      </c>
    </row>
    <row r="78" spans="1:43">
      <c r="A78" s="532" t="s">
        <v>583</v>
      </c>
      <c r="B78" s="533">
        <v>12223</v>
      </c>
      <c r="C78" s="533">
        <v>0</v>
      </c>
      <c r="D78" s="533">
        <v>0</v>
      </c>
      <c r="E78" s="533">
        <v>0</v>
      </c>
      <c r="F78" s="533">
        <v>0</v>
      </c>
      <c r="G78" s="534" t="s">
        <v>36</v>
      </c>
      <c r="H78" s="534" t="s">
        <v>36</v>
      </c>
      <c r="I78" s="534" t="s">
        <v>36</v>
      </c>
      <c r="J78" s="534" t="s">
        <v>36</v>
      </c>
      <c r="K78" s="533">
        <v>12223</v>
      </c>
      <c r="L78" s="533">
        <v>0</v>
      </c>
      <c r="M78" s="533">
        <v>0</v>
      </c>
      <c r="N78" s="533">
        <v>0</v>
      </c>
      <c r="O78" s="533">
        <v>0</v>
      </c>
      <c r="P78" s="533">
        <v>0</v>
      </c>
      <c r="Q78" s="533">
        <v>0</v>
      </c>
      <c r="R78" s="533">
        <v>0</v>
      </c>
      <c r="S78" s="533">
        <v>0</v>
      </c>
      <c r="T78" s="533">
        <v>0</v>
      </c>
      <c r="U78" s="533">
        <v>0</v>
      </c>
      <c r="V78" s="533">
        <v>0</v>
      </c>
      <c r="W78" s="533">
        <v>0</v>
      </c>
      <c r="X78" s="533">
        <v>383</v>
      </c>
      <c r="Y78" s="533">
        <v>0</v>
      </c>
      <c r="Z78" s="533">
        <v>384</v>
      </c>
      <c r="AA78" s="533">
        <v>11840</v>
      </c>
      <c r="AB78" s="533">
        <v>5366</v>
      </c>
      <c r="AC78" s="533">
        <v>6667</v>
      </c>
      <c r="AD78" s="533">
        <v>0</v>
      </c>
      <c r="AE78" s="533">
        <v>0</v>
      </c>
      <c r="AF78" s="533">
        <v>0</v>
      </c>
      <c r="AG78" s="533">
        <v>0</v>
      </c>
      <c r="AH78" s="533">
        <v>0</v>
      </c>
      <c r="AI78" s="533">
        <v>0</v>
      </c>
      <c r="AJ78" s="533">
        <v>0</v>
      </c>
      <c r="AK78" s="533">
        <v>0</v>
      </c>
      <c r="AL78" s="533">
        <v>0</v>
      </c>
      <c r="AO78" s="530" t="str">
        <f>A82</f>
        <v>Transformation input in Autoproducer Electricity Plants</v>
      </c>
      <c r="AP78" s="530">
        <f>B82/1000</f>
        <v>0</v>
      </c>
      <c r="AQ78" s="530" t="str">
        <f>B77</f>
        <v>Total petroleum products</v>
      </c>
    </row>
    <row r="79" spans="1:43">
      <c r="A79" s="532" t="s">
        <v>584</v>
      </c>
      <c r="B79" s="533">
        <v>168</v>
      </c>
      <c r="C79" s="533">
        <v>0</v>
      </c>
      <c r="D79" s="533">
        <v>0</v>
      </c>
      <c r="E79" s="533">
        <v>0</v>
      </c>
      <c r="F79" s="533">
        <v>0</v>
      </c>
      <c r="G79" s="534" t="s">
        <v>36</v>
      </c>
      <c r="H79" s="534" t="s">
        <v>36</v>
      </c>
      <c r="I79" s="534" t="s">
        <v>36</v>
      </c>
      <c r="J79" s="534" t="s">
        <v>36</v>
      </c>
      <c r="K79" s="533">
        <v>168</v>
      </c>
      <c r="L79" s="533">
        <v>0</v>
      </c>
      <c r="M79" s="533">
        <v>0</v>
      </c>
      <c r="N79" s="533">
        <v>0</v>
      </c>
      <c r="O79" s="533">
        <v>0</v>
      </c>
      <c r="P79" s="533">
        <v>0</v>
      </c>
      <c r="Q79" s="533">
        <v>0</v>
      </c>
      <c r="R79" s="533">
        <v>0</v>
      </c>
      <c r="S79" s="533">
        <v>0</v>
      </c>
      <c r="T79" s="533">
        <v>0</v>
      </c>
      <c r="U79" s="533">
        <v>0</v>
      </c>
      <c r="V79" s="533">
        <v>0</v>
      </c>
      <c r="W79" s="533">
        <v>0</v>
      </c>
      <c r="X79" s="533">
        <v>128</v>
      </c>
      <c r="Y79" s="533">
        <v>0</v>
      </c>
      <c r="Z79" s="533">
        <v>128</v>
      </c>
      <c r="AA79" s="533">
        <v>40</v>
      </c>
      <c r="AB79" s="533">
        <v>41</v>
      </c>
      <c r="AC79" s="533">
        <v>0</v>
      </c>
      <c r="AD79" s="533">
        <v>0</v>
      </c>
      <c r="AE79" s="533">
        <v>0</v>
      </c>
      <c r="AF79" s="533">
        <v>0</v>
      </c>
      <c r="AG79" s="533">
        <v>0</v>
      </c>
      <c r="AH79" s="533">
        <v>0</v>
      </c>
      <c r="AI79" s="533">
        <v>0</v>
      </c>
      <c r="AJ79" s="533">
        <v>0</v>
      </c>
      <c r="AK79" s="533">
        <v>0</v>
      </c>
      <c r="AL79" s="533">
        <v>0</v>
      </c>
      <c r="AO79" s="530" t="s">
        <v>1065</v>
      </c>
      <c r="AP79" s="530">
        <f>L82/1000</f>
        <v>0</v>
      </c>
      <c r="AQ79" s="532" t="s">
        <v>621</v>
      </c>
    </row>
    <row r="80" spans="1:43">
      <c r="A80" s="532" t="s">
        <v>585</v>
      </c>
      <c r="B80" s="533">
        <v>12056</v>
      </c>
      <c r="C80" s="533">
        <v>0</v>
      </c>
      <c r="D80" s="533">
        <v>0</v>
      </c>
      <c r="E80" s="533">
        <v>0</v>
      </c>
      <c r="F80" s="533">
        <v>0</v>
      </c>
      <c r="G80" s="534" t="s">
        <v>36</v>
      </c>
      <c r="H80" s="534" t="s">
        <v>36</v>
      </c>
      <c r="I80" s="534" t="s">
        <v>36</v>
      </c>
      <c r="J80" s="534" t="s">
        <v>36</v>
      </c>
      <c r="K80" s="533">
        <v>12056</v>
      </c>
      <c r="L80" s="533">
        <v>0</v>
      </c>
      <c r="M80" s="533">
        <v>0</v>
      </c>
      <c r="N80" s="533">
        <v>0</v>
      </c>
      <c r="O80" s="533">
        <v>0</v>
      </c>
      <c r="P80" s="533">
        <v>0</v>
      </c>
      <c r="Q80" s="533">
        <v>0</v>
      </c>
      <c r="R80" s="533">
        <v>0</v>
      </c>
      <c r="S80" s="533">
        <v>0</v>
      </c>
      <c r="T80" s="533">
        <v>0</v>
      </c>
      <c r="U80" s="533">
        <v>0</v>
      </c>
      <c r="V80" s="533">
        <v>0</v>
      </c>
      <c r="W80" s="533">
        <v>0</v>
      </c>
      <c r="X80" s="533">
        <v>256</v>
      </c>
      <c r="Y80" s="533">
        <v>0</v>
      </c>
      <c r="Z80" s="533">
        <v>256</v>
      </c>
      <c r="AA80" s="533">
        <v>11800</v>
      </c>
      <c r="AB80" s="533">
        <v>5325</v>
      </c>
      <c r="AC80" s="533">
        <v>6667</v>
      </c>
      <c r="AD80" s="533">
        <v>0</v>
      </c>
      <c r="AE80" s="533">
        <v>0</v>
      </c>
      <c r="AF80" s="533">
        <v>0</v>
      </c>
      <c r="AG80" s="533">
        <v>0</v>
      </c>
      <c r="AH80" s="533">
        <v>0</v>
      </c>
      <c r="AI80" s="533">
        <v>0</v>
      </c>
      <c r="AJ80" s="533">
        <v>0</v>
      </c>
      <c r="AK80" s="533">
        <v>0</v>
      </c>
      <c r="AL80" s="533">
        <v>0</v>
      </c>
      <c r="AO80" s="530" t="s">
        <v>1066</v>
      </c>
      <c r="AP80" s="530">
        <f>L83/1000</f>
        <v>1.56</v>
      </c>
      <c r="AQ80" s="532" t="s">
        <v>621</v>
      </c>
    </row>
    <row r="81" spans="1:43">
      <c r="A81" s="532" t="s">
        <v>586</v>
      </c>
      <c r="B81" s="533">
        <v>2243</v>
      </c>
      <c r="C81" s="533">
        <v>0</v>
      </c>
      <c r="D81" s="533">
        <v>0</v>
      </c>
      <c r="E81" s="533">
        <v>0</v>
      </c>
      <c r="F81" s="533">
        <v>0</v>
      </c>
      <c r="G81" s="534" t="s">
        <v>36</v>
      </c>
      <c r="H81" s="534" t="s">
        <v>36</v>
      </c>
      <c r="I81" s="534" t="s">
        <v>36</v>
      </c>
      <c r="J81" s="534" t="s">
        <v>36</v>
      </c>
      <c r="K81" s="533">
        <v>2243</v>
      </c>
      <c r="L81" s="533">
        <v>1560</v>
      </c>
      <c r="M81" s="533">
        <v>1560</v>
      </c>
      <c r="N81" s="533">
        <v>0</v>
      </c>
      <c r="O81" s="533">
        <v>0</v>
      </c>
      <c r="P81" s="533">
        <v>0</v>
      </c>
      <c r="Q81" s="533">
        <v>0</v>
      </c>
      <c r="R81" s="533">
        <v>0</v>
      </c>
      <c r="S81" s="533">
        <v>0</v>
      </c>
      <c r="T81" s="533">
        <v>0</v>
      </c>
      <c r="U81" s="533">
        <v>0</v>
      </c>
      <c r="V81" s="533">
        <v>0</v>
      </c>
      <c r="W81" s="533">
        <v>0</v>
      </c>
      <c r="X81" s="533">
        <v>43</v>
      </c>
      <c r="Y81" s="533">
        <v>0</v>
      </c>
      <c r="Z81" s="533">
        <v>43</v>
      </c>
      <c r="AA81" s="533">
        <v>640</v>
      </c>
      <c r="AB81" s="533">
        <v>650</v>
      </c>
      <c r="AC81" s="533">
        <v>0</v>
      </c>
      <c r="AD81" s="533">
        <v>0</v>
      </c>
      <c r="AE81" s="533">
        <v>0</v>
      </c>
      <c r="AF81" s="533">
        <v>0</v>
      </c>
      <c r="AG81" s="533">
        <v>0</v>
      </c>
      <c r="AH81" s="533">
        <v>0</v>
      </c>
      <c r="AI81" s="533">
        <v>0</v>
      </c>
      <c r="AJ81" s="533">
        <v>0</v>
      </c>
      <c r="AK81" s="533">
        <v>0</v>
      </c>
      <c r="AL81" s="533">
        <v>0</v>
      </c>
      <c r="AO81" s="530" t="s">
        <v>1065</v>
      </c>
      <c r="AP81" s="535">
        <f>AB82/1000</f>
        <v>0</v>
      </c>
      <c r="AQ81" s="532" t="s">
        <v>634</v>
      </c>
    </row>
    <row r="82" spans="1:43">
      <c r="A82" s="532" t="s">
        <v>587</v>
      </c>
      <c r="B82" s="533">
        <v>0</v>
      </c>
      <c r="C82" s="533">
        <v>0</v>
      </c>
      <c r="D82" s="533">
        <v>0</v>
      </c>
      <c r="E82" s="533">
        <v>0</v>
      </c>
      <c r="F82" s="533">
        <v>0</v>
      </c>
      <c r="G82" s="534" t="s">
        <v>36</v>
      </c>
      <c r="H82" s="534" t="s">
        <v>36</v>
      </c>
      <c r="I82" s="534" t="s">
        <v>36</v>
      </c>
      <c r="J82" s="534" t="s">
        <v>36</v>
      </c>
      <c r="K82" s="533">
        <v>0</v>
      </c>
      <c r="L82" s="533">
        <v>0</v>
      </c>
      <c r="M82" s="533">
        <v>0</v>
      </c>
      <c r="N82" s="533">
        <v>0</v>
      </c>
      <c r="O82" s="533">
        <v>0</v>
      </c>
      <c r="P82" s="533">
        <v>0</v>
      </c>
      <c r="Q82" s="533">
        <v>0</v>
      </c>
      <c r="R82" s="533">
        <v>0</v>
      </c>
      <c r="S82" s="533">
        <v>0</v>
      </c>
      <c r="T82" s="533">
        <v>0</v>
      </c>
      <c r="U82" s="533">
        <v>0</v>
      </c>
      <c r="V82" s="533">
        <v>0</v>
      </c>
      <c r="W82" s="533">
        <v>0</v>
      </c>
      <c r="X82" s="533">
        <v>0</v>
      </c>
      <c r="Y82" s="533">
        <v>0</v>
      </c>
      <c r="Z82" s="533">
        <v>0</v>
      </c>
      <c r="AA82" s="533">
        <v>0</v>
      </c>
      <c r="AB82" s="533">
        <v>0</v>
      </c>
      <c r="AC82" s="533">
        <v>0</v>
      </c>
      <c r="AD82" s="533">
        <v>0</v>
      </c>
      <c r="AE82" s="533">
        <v>0</v>
      </c>
      <c r="AF82" s="533">
        <v>0</v>
      </c>
      <c r="AG82" s="533">
        <v>0</v>
      </c>
      <c r="AH82" s="533">
        <v>0</v>
      </c>
      <c r="AI82" s="533">
        <v>0</v>
      </c>
      <c r="AJ82" s="533">
        <v>0</v>
      </c>
      <c r="AK82" s="533">
        <v>0</v>
      </c>
      <c r="AL82" s="533">
        <v>0</v>
      </c>
      <c r="AO82" s="530" t="s">
        <v>1066</v>
      </c>
      <c r="AP82" s="535">
        <f>AB83/1000</f>
        <v>0.65</v>
      </c>
      <c r="AQ82" s="532" t="s">
        <v>634</v>
      </c>
    </row>
    <row r="83" spans="1:43">
      <c r="A83" s="532" t="s">
        <v>588</v>
      </c>
      <c r="B83" s="533">
        <v>2243</v>
      </c>
      <c r="C83" s="533">
        <v>0</v>
      </c>
      <c r="D83" s="533">
        <v>0</v>
      </c>
      <c r="E83" s="533">
        <v>0</v>
      </c>
      <c r="F83" s="533">
        <v>0</v>
      </c>
      <c r="G83" s="534" t="s">
        <v>36</v>
      </c>
      <c r="H83" s="534" t="s">
        <v>36</v>
      </c>
      <c r="I83" s="534" t="s">
        <v>36</v>
      </c>
      <c r="J83" s="534" t="s">
        <v>36</v>
      </c>
      <c r="K83" s="533">
        <v>2243</v>
      </c>
      <c r="L83" s="533">
        <v>1560</v>
      </c>
      <c r="M83" s="533">
        <v>1560</v>
      </c>
      <c r="N83" s="533">
        <v>0</v>
      </c>
      <c r="O83" s="533">
        <v>0</v>
      </c>
      <c r="P83" s="533">
        <v>0</v>
      </c>
      <c r="Q83" s="533">
        <v>0</v>
      </c>
      <c r="R83" s="533">
        <v>0</v>
      </c>
      <c r="S83" s="533">
        <v>0</v>
      </c>
      <c r="T83" s="533">
        <v>0</v>
      </c>
      <c r="U83" s="533">
        <v>0</v>
      </c>
      <c r="V83" s="533">
        <v>0</v>
      </c>
      <c r="W83" s="533">
        <v>0</v>
      </c>
      <c r="X83" s="533">
        <v>43</v>
      </c>
      <c r="Y83" s="533">
        <v>0</v>
      </c>
      <c r="Z83" s="533">
        <v>43</v>
      </c>
      <c r="AA83" s="533">
        <v>640</v>
      </c>
      <c r="AB83" s="533">
        <v>650</v>
      </c>
      <c r="AC83" s="533">
        <v>0</v>
      </c>
      <c r="AD83" s="533">
        <v>0</v>
      </c>
      <c r="AE83" s="533">
        <v>0</v>
      </c>
      <c r="AF83" s="533">
        <v>0</v>
      </c>
      <c r="AG83" s="533">
        <v>0</v>
      </c>
      <c r="AH83" s="533">
        <v>0</v>
      </c>
      <c r="AI83" s="533">
        <v>0</v>
      </c>
      <c r="AJ83" s="533">
        <v>0</v>
      </c>
      <c r="AK83" s="533">
        <v>0</v>
      </c>
      <c r="AL83" s="533">
        <v>0</v>
      </c>
      <c r="AO83" s="530" t="s">
        <v>1065</v>
      </c>
      <c r="AP83" s="535">
        <f>AC82/1000</f>
        <v>0</v>
      </c>
      <c r="AQ83" s="532" t="s">
        <v>635</v>
      </c>
    </row>
    <row r="84" spans="1:43">
      <c r="AO84" s="530" t="s">
        <v>1066</v>
      </c>
      <c r="AP84" s="535">
        <f>AC83/1000</f>
        <v>0</v>
      </c>
      <c r="AQ84" s="532" t="s">
        <v>635</v>
      </c>
    </row>
    <row r="85" spans="1:43">
      <c r="A85" s="529" t="s">
        <v>589</v>
      </c>
    </row>
    <row r="86" spans="1:43">
      <c r="A86" s="529" t="s">
        <v>36</v>
      </c>
      <c r="B86" s="529" t="s">
        <v>590</v>
      </c>
    </row>
    <row r="88" spans="1:43">
      <c r="A88" s="529" t="s">
        <v>340</v>
      </c>
      <c r="B88" s="529" t="s">
        <v>576</v>
      </c>
    </row>
    <row r="89" spans="1:43">
      <c r="A89" s="529" t="s">
        <v>578</v>
      </c>
      <c r="B89" s="529" t="s">
        <v>298</v>
      </c>
    </row>
    <row r="90" spans="1:43">
      <c r="A90" s="529" t="s">
        <v>343</v>
      </c>
      <c r="B90" s="529" t="s">
        <v>581</v>
      </c>
    </row>
    <row r="92" spans="1:43">
      <c r="A92" s="532" t="s">
        <v>592</v>
      </c>
      <c r="B92" s="532" t="s">
        <v>611</v>
      </c>
      <c r="C92" s="532" t="s">
        <v>612</v>
      </c>
      <c r="D92" s="532" t="s">
        <v>613</v>
      </c>
      <c r="E92" s="532" t="s">
        <v>614</v>
      </c>
      <c r="F92" s="532" t="s">
        <v>615</v>
      </c>
      <c r="G92" s="532" t="s">
        <v>616</v>
      </c>
      <c r="H92" s="532" t="s">
        <v>617</v>
      </c>
      <c r="I92" s="532" t="s">
        <v>618</v>
      </c>
      <c r="J92" s="532" t="s">
        <v>619</v>
      </c>
      <c r="K92" s="532" t="s">
        <v>620</v>
      </c>
      <c r="L92" s="532" t="s">
        <v>621</v>
      </c>
      <c r="M92" s="532" t="s">
        <v>622</v>
      </c>
      <c r="N92" s="532" t="s">
        <v>623</v>
      </c>
      <c r="O92" s="532" t="s">
        <v>225</v>
      </c>
      <c r="P92" s="532" t="s">
        <v>624</v>
      </c>
      <c r="Q92" s="532" t="s">
        <v>625</v>
      </c>
      <c r="R92" s="532" t="s">
        <v>626</v>
      </c>
      <c r="S92" s="532" t="s">
        <v>227</v>
      </c>
      <c r="T92" s="532" t="s">
        <v>627</v>
      </c>
      <c r="U92" s="532" t="s">
        <v>628</v>
      </c>
      <c r="V92" s="532" t="s">
        <v>629</v>
      </c>
      <c r="W92" s="532" t="s">
        <v>630</v>
      </c>
      <c r="X92" s="532" t="s">
        <v>631</v>
      </c>
      <c r="Y92" s="532" t="s">
        <v>632</v>
      </c>
      <c r="Z92" s="532" t="s">
        <v>633</v>
      </c>
      <c r="AA92" s="532" t="s">
        <v>229</v>
      </c>
      <c r="AB92" s="532" t="s">
        <v>634</v>
      </c>
      <c r="AC92" s="532" t="s">
        <v>635</v>
      </c>
      <c r="AD92" s="532" t="s">
        <v>636</v>
      </c>
      <c r="AE92" s="532" t="s">
        <v>637</v>
      </c>
      <c r="AF92" s="532" t="s">
        <v>638</v>
      </c>
      <c r="AG92" s="532" t="s">
        <v>639</v>
      </c>
      <c r="AH92" s="532" t="s">
        <v>640</v>
      </c>
      <c r="AI92" s="532" t="s">
        <v>641</v>
      </c>
      <c r="AJ92" s="532" t="s">
        <v>642</v>
      </c>
      <c r="AK92" s="532" t="s">
        <v>643</v>
      </c>
      <c r="AL92" s="532" t="s">
        <v>644</v>
      </c>
      <c r="AP92" s="530" t="str">
        <f>B90</f>
        <v>Germany (until 1990 former territory of the FRG)</v>
      </c>
    </row>
    <row r="93" spans="1:43">
      <c r="A93" s="532" t="s">
        <v>583</v>
      </c>
      <c r="B93" s="533">
        <v>38880</v>
      </c>
      <c r="C93" s="533">
        <v>0</v>
      </c>
      <c r="D93" s="533">
        <v>0</v>
      </c>
      <c r="E93" s="533">
        <v>0</v>
      </c>
      <c r="F93" s="533">
        <v>0</v>
      </c>
      <c r="G93" s="534" t="s">
        <v>36</v>
      </c>
      <c r="H93" s="534" t="s">
        <v>36</v>
      </c>
      <c r="I93" s="534" t="s">
        <v>36</v>
      </c>
      <c r="J93" s="534" t="s">
        <v>36</v>
      </c>
      <c r="K93" s="533">
        <v>38880</v>
      </c>
      <c r="L93" s="533">
        <v>0</v>
      </c>
      <c r="M93" s="533">
        <v>0</v>
      </c>
      <c r="N93" s="533">
        <v>0</v>
      </c>
      <c r="O93" s="533">
        <v>0</v>
      </c>
      <c r="P93" s="533">
        <v>0</v>
      </c>
      <c r="Q93" s="533">
        <v>0</v>
      </c>
      <c r="R93" s="533">
        <v>0</v>
      </c>
      <c r="S93" s="533">
        <v>0</v>
      </c>
      <c r="T93" s="533">
        <v>0</v>
      </c>
      <c r="U93" s="533">
        <v>0</v>
      </c>
      <c r="V93" s="533">
        <v>0</v>
      </c>
      <c r="W93" s="533">
        <v>0</v>
      </c>
      <c r="X93" s="533">
        <v>9457</v>
      </c>
      <c r="Y93" s="533">
        <v>0</v>
      </c>
      <c r="Z93" s="533">
        <v>9499</v>
      </c>
      <c r="AA93" s="533">
        <v>14880</v>
      </c>
      <c r="AB93" s="533">
        <v>0</v>
      </c>
      <c r="AC93" s="533">
        <v>0</v>
      </c>
      <c r="AD93" s="533">
        <v>14542</v>
      </c>
      <c r="AE93" s="533">
        <v>0</v>
      </c>
      <c r="AF93" s="533">
        <v>0</v>
      </c>
      <c r="AG93" s="533">
        <v>0</v>
      </c>
      <c r="AH93" s="533">
        <v>14542</v>
      </c>
      <c r="AI93" s="533">
        <v>0</v>
      </c>
      <c r="AJ93" s="533">
        <v>0</v>
      </c>
      <c r="AK93" s="533">
        <v>0</v>
      </c>
      <c r="AL93" s="533">
        <v>0</v>
      </c>
      <c r="AO93" s="530" t="str">
        <f>A97</f>
        <v>Transformation input in Autoproducer Electricity Plants</v>
      </c>
      <c r="AP93" s="530">
        <f>B97/1000</f>
        <v>19.78</v>
      </c>
      <c r="AQ93" s="530" t="str">
        <f>B92</f>
        <v>Total petroleum products</v>
      </c>
    </row>
    <row r="94" spans="1:43">
      <c r="A94" s="532" t="s">
        <v>584</v>
      </c>
      <c r="B94" s="533">
        <v>33696</v>
      </c>
      <c r="C94" s="533">
        <v>0</v>
      </c>
      <c r="D94" s="533">
        <v>0</v>
      </c>
      <c r="E94" s="533">
        <v>0</v>
      </c>
      <c r="F94" s="533">
        <v>0</v>
      </c>
      <c r="G94" s="534" t="s">
        <v>36</v>
      </c>
      <c r="H94" s="534" t="s">
        <v>36</v>
      </c>
      <c r="I94" s="534" t="s">
        <v>36</v>
      </c>
      <c r="J94" s="534" t="s">
        <v>36</v>
      </c>
      <c r="K94" s="533">
        <v>33696</v>
      </c>
      <c r="L94" s="533">
        <v>0</v>
      </c>
      <c r="M94" s="533">
        <v>0</v>
      </c>
      <c r="N94" s="533">
        <v>0</v>
      </c>
      <c r="O94" s="533">
        <v>0</v>
      </c>
      <c r="P94" s="533">
        <v>0</v>
      </c>
      <c r="Q94" s="533">
        <v>0</v>
      </c>
      <c r="R94" s="533">
        <v>0</v>
      </c>
      <c r="S94" s="533">
        <v>0</v>
      </c>
      <c r="T94" s="533">
        <v>0</v>
      </c>
      <c r="U94" s="533">
        <v>0</v>
      </c>
      <c r="V94" s="533">
        <v>0</v>
      </c>
      <c r="W94" s="533">
        <v>0</v>
      </c>
      <c r="X94" s="533">
        <v>6433</v>
      </c>
      <c r="Y94" s="533">
        <v>0</v>
      </c>
      <c r="Z94" s="533">
        <v>6461</v>
      </c>
      <c r="AA94" s="533">
        <v>14040</v>
      </c>
      <c r="AB94" s="533">
        <v>0</v>
      </c>
      <c r="AC94" s="533">
        <v>0</v>
      </c>
      <c r="AD94" s="533">
        <v>13223</v>
      </c>
      <c r="AE94" s="533">
        <v>0</v>
      </c>
      <c r="AF94" s="533">
        <v>0</v>
      </c>
      <c r="AG94" s="533">
        <v>0</v>
      </c>
      <c r="AH94" s="533">
        <v>13223</v>
      </c>
      <c r="AI94" s="533">
        <v>0</v>
      </c>
      <c r="AJ94" s="533">
        <v>0</v>
      </c>
      <c r="AK94" s="533">
        <v>0</v>
      </c>
      <c r="AL94" s="533">
        <v>0</v>
      </c>
      <c r="AO94" s="530" t="s">
        <v>1065</v>
      </c>
      <c r="AP94" s="530">
        <f>L97/1000</f>
        <v>4.03</v>
      </c>
      <c r="AQ94" s="532" t="s">
        <v>621</v>
      </c>
    </row>
    <row r="95" spans="1:43">
      <c r="A95" s="532" t="s">
        <v>585</v>
      </c>
      <c r="B95" s="533">
        <v>5184</v>
      </c>
      <c r="C95" s="533">
        <v>0</v>
      </c>
      <c r="D95" s="533">
        <v>0</v>
      </c>
      <c r="E95" s="533">
        <v>0</v>
      </c>
      <c r="F95" s="533">
        <v>0</v>
      </c>
      <c r="G95" s="534" t="s">
        <v>36</v>
      </c>
      <c r="H95" s="534" t="s">
        <v>36</v>
      </c>
      <c r="I95" s="534" t="s">
        <v>36</v>
      </c>
      <c r="J95" s="534" t="s">
        <v>36</v>
      </c>
      <c r="K95" s="533">
        <v>5184</v>
      </c>
      <c r="L95" s="533">
        <v>0</v>
      </c>
      <c r="M95" s="533">
        <v>0</v>
      </c>
      <c r="N95" s="533">
        <v>0</v>
      </c>
      <c r="O95" s="533">
        <v>0</v>
      </c>
      <c r="P95" s="533">
        <v>0</v>
      </c>
      <c r="Q95" s="533">
        <v>0</v>
      </c>
      <c r="R95" s="533">
        <v>0</v>
      </c>
      <c r="S95" s="533">
        <v>0</v>
      </c>
      <c r="T95" s="533">
        <v>0</v>
      </c>
      <c r="U95" s="533">
        <v>0</v>
      </c>
      <c r="V95" s="533">
        <v>0</v>
      </c>
      <c r="W95" s="533">
        <v>0</v>
      </c>
      <c r="X95" s="533">
        <v>3025</v>
      </c>
      <c r="Y95" s="533">
        <v>0</v>
      </c>
      <c r="Z95" s="533">
        <v>3038</v>
      </c>
      <c r="AA95" s="533">
        <v>840</v>
      </c>
      <c r="AB95" s="533">
        <v>0</v>
      </c>
      <c r="AC95" s="533">
        <v>0</v>
      </c>
      <c r="AD95" s="533">
        <v>1319</v>
      </c>
      <c r="AE95" s="533">
        <v>0</v>
      </c>
      <c r="AF95" s="533">
        <v>0</v>
      </c>
      <c r="AG95" s="533">
        <v>0</v>
      </c>
      <c r="AH95" s="533">
        <v>1319</v>
      </c>
      <c r="AI95" s="533">
        <v>0</v>
      </c>
      <c r="AJ95" s="533">
        <v>0</v>
      </c>
      <c r="AK95" s="533">
        <v>0</v>
      </c>
      <c r="AL95" s="533">
        <v>0</v>
      </c>
      <c r="AO95" s="530" t="s">
        <v>1066</v>
      </c>
      <c r="AP95" s="530">
        <f>L98/1000</f>
        <v>1.4359999999999999</v>
      </c>
      <c r="AQ95" s="532" t="s">
        <v>621</v>
      </c>
    </row>
    <row r="96" spans="1:43">
      <c r="A96" s="532" t="s">
        <v>586</v>
      </c>
      <c r="B96" s="533">
        <v>46335</v>
      </c>
      <c r="C96" s="533">
        <v>0</v>
      </c>
      <c r="D96" s="533">
        <v>0</v>
      </c>
      <c r="E96" s="533">
        <v>0</v>
      </c>
      <c r="F96" s="533">
        <v>0</v>
      </c>
      <c r="G96" s="534" t="s">
        <v>36</v>
      </c>
      <c r="H96" s="534" t="s">
        <v>36</v>
      </c>
      <c r="I96" s="534" t="s">
        <v>36</v>
      </c>
      <c r="J96" s="534" t="s">
        <v>36</v>
      </c>
      <c r="K96" s="533">
        <v>46335</v>
      </c>
      <c r="L96" s="533">
        <v>5466</v>
      </c>
      <c r="M96" s="533">
        <v>5466</v>
      </c>
      <c r="N96" s="533">
        <v>0</v>
      </c>
      <c r="O96" s="533">
        <v>46</v>
      </c>
      <c r="P96" s="533">
        <v>0</v>
      </c>
      <c r="Q96" s="533">
        <v>0</v>
      </c>
      <c r="R96" s="533">
        <v>0</v>
      </c>
      <c r="S96" s="533">
        <v>0</v>
      </c>
      <c r="T96" s="533">
        <v>0</v>
      </c>
      <c r="U96" s="533">
        <v>0</v>
      </c>
      <c r="V96" s="533">
        <v>0</v>
      </c>
      <c r="W96" s="533">
        <v>0</v>
      </c>
      <c r="X96" s="533">
        <v>2939</v>
      </c>
      <c r="Y96" s="533">
        <v>0</v>
      </c>
      <c r="Z96" s="533">
        <v>2953</v>
      </c>
      <c r="AA96" s="533">
        <v>36960</v>
      </c>
      <c r="AB96" s="533">
        <v>0</v>
      </c>
      <c r="AC96" s="533">
        <v>0</v>
      </c>
      <c r="AD96" s="533">
        <v>924</v>
      </c>
      <c r="AE96" s="533">
        <v>0</v>
      </c>
      <c r="AF96" s="533">
        <v>0</v>
      </c>
      <c r="AG96" s="533">
        <v>0</v>
      </c>
      <c r="AH96" s="533">
        <v>0</v>
      </c>
      <c r="AI96" s="533">
        <v>0</v>
      </c>
      <c r="AJ96" s="533">
        <v>924</v>
      </c>
      <c r="AK96" s="533">
        <v>0</v>
      </c>
      <c r="AL96" s="533">
        <v>0</v>
      </c>
      <c r="AO96" s="530" t="s">
        <v>1065</v>
      </c>
      <c r="AP96" s="535">
        <f>AB97/1000</f>
        <v>0</v>
      </c>
      <c r="AQ96" s="532" t="s">
        <v>634</v>
      </c>
    </row>
    <row r="97" spans="1:43">
      <c r="A97" s="532" t="s">
        <v>587</v>
      </c>
      <c r="B97" s="533">
        <v>19780</v>
      </c>
      <c r="C97" s="533">
        <v>0</v>
      </c>
      <c r="D97" s="533">
        <v>0</v>
      </c>
      <c r="E97" s="533">
        <v>0</v>
      </c>
      <c r="F97" s="533">
        <v>0</v>
      </c>
      <c r="G97" s="534" t="s">
        <v>36</v>
      </c>
      <c r="H97" s="534" t="s">
        <v>36</v>
      </c>
      <c r="I97" s="534" t="s">
        <v>36</v>
      </c>
      <c r="J97" s="534" t="s">
        <v>36</v>
      </c>
      <c r="K97" s="533">
        <v>19780</v>
      </c>
      <c r="L97" s="533">
        <v>4030</v>
      </c>
      <c r="M97" s="533">
        <v>4030</v>
      </c>
      <c r="N97" s="533">
        <v>0</v>
      </c>
      <c r="O97" s="533">
        <v>0</v>
      </c>
      <c r="P97" s="533">
        <v>0</v>
      </c>
      <c r="Q97" s="533">
        <v>0</v>
      </c>
      <c r="R97" s="533">
        <v>0</v>
      </c>
      <c r="S97" s="533">
        <v>0</v>
      </c>
      <c r="T97" s="533">
        <v>0</v>
      </c>
      <c r="U97" s="533">
        <v>0</v>
      </c>
      <c r="V97" s="533">
        <v>0</v>
      </c>
      <c r="W97" s="533">
        <v>0</v>
      </c>
      <c r="X97" s="533">
        <v>1150</v>
      </c>
      <c r="Y97" s="533">
        <v>0</v>
      </c>
      <c r="Z97" s="533">
        <v>1155</v>
      </c>
      <c r="AA97" s="533">
        <v>14600</v>
      </c>
      <c r="AB97" s="533">
        <v>0</v>
      </c>
      <c r="AC97" s="533">
        <v>0</v>
      </c>
      <c r="AD97" s="533">
        <v>0</v>
      </c>
      <c r="AE97" s="533">
        <v>0</v>
      </c>
      <c r="AF97" s="533">
        <v>0</v>
      </c>
      <c r="AG97" s="533">
        <v>0</v>
      </c>
      <c r="AH97" s="533">
        <v>0</v>
      </c>
      <c r="AI97" s="533">
        <v>0</v>
      </c>
      <c r="AJ97" s="533">
        <v>0</v>
      </c>
      <c r="AK97" s="533">
        <v>0</v>
      </c>
      <c r="AL97" s="533">
        <v>0</v>
      </c>
      <c r="AO97" s="530" t="s">
        <v>1066</v>
      </c>
      <c r="AP97" s="535">
        <f>AB98/1000</f>
        <v>0</v>
      </c>
      <c r="AQ97" s="532" t="s">
        <v>634</v>
      </c>
    </row>
    <row r="98" spans="1:43">
      <c r="A98" s="532" t="s">
        <v>588</v>
      </c>
      <c r="B98" s="533">
        <v>26555</v>
      </c>
      <c r="C98" s="533">
        <v>0</v>
      </c>
      <c r="D98" s="533">
        <v>0</v>
      </c>
      <c r="E98" s="533">
        <v>0</v>
      </c>
      <c r="F98" s="533">
        <v>0</v>
      </c>
      <c r="G98" s="534" t="s">
        <v>36</v>
      </c>
      <c r="H98" s="534" t="s">
        <v>36</v>
      </c>
      <c r="I98" s="534" t="s">
        <v>36</v>
      </c>
      <c r="J98" s="534" t="s">
        <v>36</v>
      </c>
      <c r="K98" s="533">
        <v>26555</v>
      </c>
      <c r="L98" s="533">
        <v>1436</v>
      </c>
      <c r="M98" s="533">
        <v>1436</v>
      </c>
      <c r="N98" s="533">
        <v>0</v>
      </c>
      <c r="O98" s="533">
        <v>46</v>
      </c>
      <c r="P98" s="533">
        <v>0</v>
      </c>
      <c r="Q98" s="533">
        <v>0</v>
      </c>
      <c r="R98" s="533">
        <v>0</v>
      </c>
      <c r="S98" s="533">
        <v>0</v>
      </c>
      <c r="T98" s="533">
        <v>0</v>
      </c>
      <c r="U98" s="533">
        <v>0</v>
      </c>
      <c r="V98" s="533">
        <v>0</v>
      </c>
      <c r="W98" s="533">
        <v>0</v>
      </c>
      <c r="X98" s="533">
        <v>1789</v>
      </c>
      <c r="Y98" s="533">
        <v>0</v>
      </c>
      <c r="Z98" s="533">
        <v>1797</v>
      </c>
      <c r="AA98" s="533">
        <v>22360</v>
      </c>
      <c r="AB98" s="533">
        <v>0</v>
      </c>
      <c r="AC98" s="533">
        <v>0</v>
      </c>
      <c r="AD98" s="533">
        <v>924</v>
      </c>
      <c r="AE98" s="533">
        <v>0</v>
      </c>
      <c r="AF98" s="533">
        <v>0</v>
      </c>
      <c r="AG98" s="533">
        <v>0</v>
      </c>
      <c r="AH98" s="533">
        <v>0</v>
      </c>
      <c r="AI98" s="533">
        <v>0</v>
      </c>
      <c r="AJ98" s="533">
        <v>924</v>
      </c>
      <c r="AK98" s="533">
        <v>0</v>
      </c>
      <c r="AL98" s="533">
        <v>0</v>
      </c>
      <c r="AO98" s="530" t="s">
        <v>1065</v>
      </c>
      <c r="AP98" s="535">
        <f>AC97/1000</f>
        <v>0</v>
      </c>
      <c r="AQ98" s="532" t="s">
        <v>635</v>
      </c>
    </row>
    <row r="99" spans="1:43">
      <c r="AO99" s="530" t="s">
        <v>1066</v>
      </c>
      <c r="AP99" s="535">
        <f>AC98/1000</f>
        <v>0</v>
      </c>
      <c r="AQ99" s="532" t="s">
        <v>635</v>
      </c>
    </row>
    <row r="100" spans="1:43">
      <c r="A100" s="529" t="s">
        <v>589</v>
      </c>
    </row>
    <row r="101" spans="1:43">
      <c r="A101" s="529" t="s">
        <v>36</v>
      </c>
      <c r="B101" s="529" t="s">
        <v>590</v>
      </c>
    </row>
    <row r="103" spans="1:43">
      <c r="A103" s="529" t="s">
        <v>340</v>
      </c>
      <c r="B103" s="529" t="s">
        <v>576</v>
      </c>
    </row>
    <row r="104" spans="1:43">
      <c r="A104" s="529" t="s">
        <v>578</v>
      </c>
      <c r="B104" s="529" t="s">
        <v>298</v>
      </c>
    </row>
    <row r="105" spans="1:43">
      <c r="A105" s="529" t="s">
        <v>343</v>
      </c>
      <c r="B105" s="529" t="s">
        <v>217</v>
      </c>
    </row>
    <row r="107" spans="1:43">
      <c r="A107" s="532" t="s">
        <v>592</v>
      </c>
      <c r="B107" s="532" t="s">
        <v>611</v>
      </c>
      <c r="C107" s="532" t="s">
        <v>612</v>
      </c>
      <c r="D107" s="532" t="s">
        <v>613</v>
      </c>
      <c r="E107" s="532" t="s">
        <v>614</v>
      </c>
      <c r="F107" s="532" t="s">
        <v>615</v>
      </c>
      <c r="G107" s="532" t="s">
        <v>616</v>
      </c>
      <c r="H107" s="532" t="s">
        <v>617</v>
      </c>
      <c r="I107" s="532" t="s">
        <v>618</v>
      </c>
      <c r="J107" s="532" t="s">
        <v>619</v>
      </c>
      <c r="K107" s="532" t="s">
        <v>620</v>
      </c>
      <c r="L107" s="532" t="s">
        <v>621</v>
      </c>
      <c r="M107" s="532" t="s">
        <v>622</v>
      </c>
      <c r="N107" s="532" t="s">
        <v>623</v>
      </c>
      <c r="O107" s="532" t="s">
        <v>225</v>
      </c>
      <c r="P107" s="532" t="s">
        <v>624</v>
      </c>
      <c r="Q107" s="532" t="s">
        <v>625</v>
      </c>
      <c r="R107" s="532" t="s">
        <v>626</v>
      </c>
      <c r="S107" s="532" t="s">
        <v>227</v>
      </c>
      <c r="T107" s="532" t="s">
        <v>627</v>
      </c>
      <c r="U107" s="532" t="s">
        <v>628</v>
      </c>
      <c r="V107" s="532" t="s">
        <v>629</v>
      </c>
      <c r="W107" s="532" t="s">
        <v>630</v>
      </c>
      <c r="X107" s="532" t="s">
        <v>631</v>
      </c>
      <c r="Y107" s="532" t="s">
        <v>632</v>
      </c>
      <c r="Z107" s="532" t="s">
        <v>633</v>
      </c>
      <c r="AA107" s="532" t="s">
        <v>229</v>
      </c>
      <c r="AB107" s="532" t="s">
        <v>634</v>
      </c>
      <c r="AC107" s="532" t="s">
        <v>635</v>
      </c>
      <c r="AD107" s="532" t="s">
        <v>636</v>
      </c>
      <c r="AE107" s="532" t="s">
        <v>637</v>
      </c>
      <c r="AF107" s="532" t="s">
        <v>638</v>
      </c>
      <c r="AG107" s="532" t="s">
        <v>639</v>
      </c>
      <c r="AH107" s="532" t="s">
        <v>640</v>
      </c>
      <c r="AI107" s="532" t="s">
        <v>641</v>
      </c>
      <c r="AJ107" s="532" t="s">
        <v>642</v>
      </c>
      <c r="AK107" s="532" t="s">
        <v>643</v>
      </c>
      <c r="AL107" s="532" t="s">
        <v>644</v>
      </c>
      <c r="AP107" s="530" t="str">
        <f>B105</f>
        <v>Estonia</v>
      </c>
    </row>
    <row r="108" spans="1:43">
      <c r="A108" s="532" t="s">
        <v>583</v>
      </c>
      <c r="B108" s="533">
        <v>400</v>
      </c>
      <c r="C108" s="533">
        <v>0</v>
      </c>
      <c r="D108" s="533">
        <v>0</v>
      </c>
      <c r="E108" s="533">
        <v>0</v>
      </c>
      <c r="F108" s="533">
        <v>0</v>
      </c>
      <c r="G108" s="534" t="s">
        <v>36</v>
      </c>
      <c r="H108" s="534" t="s">
        <v>36</v>
      </c>
      <c r="I108" s="534" t="s">
        <v>36</v>
      </c>
      <c r="J108" s="534" t="s">
        <v>36</v>
      </c>
      <c r="K108" s="533">
        <v>400</v>
      </c>
      <c r="L108" s="533">
        <v>0</v>
      </c>
      <c r="M108" s="533">
        <v>0</v>
      </c>
      <c r="N108" s="533">
        <v>0</v>
      </c>
      <c r="O108" s="533">
        <v>0</v>
      </c>
      <c r="P108" s="533">
        <v>0</v>
      </c>
      <c r="Q108" s="533">
        <v>0</v>
      </c>
      <c r="R108" s="533">
        <v>0</v>
      </c>
      <c r="S108" s="533">
        <v>0</v>
      </c>
      <c r="T108" s="533">
        <v>0</v>
      </c>
      <c r="U108" s="533">
        <v>0</v>
      </c>
      <c r="V108" s="533">
        <v>0</v>
      </c>
      <c r="W108" s="533">
        <v>0</v>
      </c>
      <c r="X108" s="533">
        <v>0</v>
      </c>
      <c r="Y108" s="533">
        <v>0</v>
      </c>
      <c r="Z108" s="533">
        <v>0</v>
      </c>
      <c r="AA108" s="533">
        <v>400</v>
      </c>
      <c r="AB108" s="533">
        <v>400</v>
      </c>
      <c r="AC108" s="533">
        <v>0</v>
      </c>
      <c r="AD108" s="533">
        <v>0</v>
      </c>
      <c r="AE108" s="533">
        <v>0</v>
      </c>
      <c r="AF108" s="533">
        <v>0</v>
      </c>
      <c r="AG108" s="533">
        <v>0</v>
      </c>
      <c r="AH108" s="533">
        <v>0</v>
      </c>
      <c r="AI108" s="533">
        <v>0</v>
      </c>
      <c r="AJ108" s="533">
        <v>0</v>
      </c>
      <c r="AK108" s="533">
        <v>0</v>
      </c>
      <c r="AL108" s="533">
        <v>0</v>
      </c>
      <c r="AO108" s="530" t="str">
        <f>A112</f>
        <v>Transformation input in Autoproducer Electricity Plants</v>
      </c>
      <c r="AP108" s="530">
        <f>B112/1000</f>
        <v>0</v>
      </c>
      <c r="AQ108" s="530" t="str">
        <f>B107</f>
        <v>Total petroleum products</v>
      </c>
    </row>
    <row r="109" spans="1:43">
      <c r="A109" s="532" t="s">
        <v>584</v>
      </c>
      <c r="B109" s="533">
        <v>320</v>
      </c>
      <c r="C109" s="533">
        <v>0</v>
      </c>
      <c r="D109" s="533">
        <v>0</v>
      </c>
      <c r="E109" s="533">
        <v>0</v>
      </c>
      <c r="F109" s="533">
        <v>0</v>
      </c>
      <c r="G109" s="534" t="s">
        <v>36</v>
      </c>
      <c r="H109" s="534" t="s">
        <v>36</v>
      </c>
      <c r="I109" s="534" t="s">
        <v>36</v>
      </c>
      <c r="J109" s="534" t="s">
        <v>36</v>
      </c>
      <c r="K109" s="533">
        <v>320</v>
      </c>
      <c r="L109" s="533">
        <v>0</v>
      </c>
      <c r="M109" s="533">
        <v>0</v>
      </c>
      <c r="N109" s="533">
        <v>0</v>
      </c>
      <c r="O109" s="533">
        <v>0</v>
      </c>
      <c r="P109" s="533">
        <v>0</v>
      </c>
      <c r="Q109" s="533">
        <v>0</v>
      </c>
      <c r="R109" s="533">
        <v>0</v>
      </c>
      <c r="S109" s="533">
        <v>0</v>
      </c>
      <c r="T109" s="533">
        <v>0</v>
      </c>
      <c r="U109" s="533">
        <v>0</v>
      </c>
      <c r="V109" s="533">
        <v>0</v>
      </c>
      <c r="W109" s="533">
        <v>0</v>
      </c>
      <c r="X109" s="533">
        <v>0</v>
      </c>
      <c r="Y109" s="533">
        <v>0</v>
      </c>
      <c r="Z109" s="533">
        <v>0</v>
      </c>
      <c r="AA109" s="533">
        <v>320</v>
      </c>
      <c r="AB109" s="533">
        <v>320</v>
      </c>
      <c r="AC109" s="533">
        <v>0</v>
      </c>
      <c r="AD109" s="533">
        <v>0</v>
      </c>
      <c r="AE109" s="533">
        <v>0</v>
      </c>
      <c r="AF109" s="533">
        <v>0</v>
      </c>
      <c r="AG109" s="533">
        <v>0</v>
      </c>
      <c r="AH109" s="533">
        <v>0</v>
      </c>
      <c r="AI109" s="533">
        <v>0</v>
      </c>
      <c r="AJ109" s="533">
        <v>0</v>
      </c>
      <c r="AK109" s="533">
        <v>0</v>
      </c>
      <c r="AL109" s="533">
        <v>0</v>
      </c>
      <c r="AO109" s="530" t="s">
        <v>1065</v>
      </c>
      <c r="AP109" s="530">
        <f>L112/1000</f>
        <v>0</v>
      </c>
      <c r="AQ109" s="532" t="s">
        <v>621</v>
      </c>
    </row>
    <row r="110" spans="1:43">
      <c r="A110" s="532" t="s">
        <v>585</v>
      </c>
      <c r="B110" s="533">
        <v>80</v>
      </c>
      <c r="C110" s="533">
        <v>0</v>
      </c>
      <c r="D110" s="533">
        <v>0</v>
      </c>
      <c r="E110" s="533">
        <v>0</v>
      </c>
      <c r="F110" s="533">
        <v>0</v>
      </c>
      <c r="G110" s="534" t="s">
        <v>36</v>
      </c>
      <c r="H110" s="534" t="s">
        <v>36</v>
      </c>
      <c r="I110" s="534" t="s">
        <v>36</v>
      </c>
      <c r="J110" s="534" t="s">
        <v>36</v>
      </c>
      <c r="K110" s="533">
        <v>80</v>
      </c>
      <c r="L110" s="533">
        <v>0</v>
      </c>
      <c r="M110" s="533">
        <v>0</v>
      </c>
      <c r="N110" s="533">
        <v>0</v>
      </c>
      <c r="O110" s="533">
        <v>0</v>
      </c>
      <c r="P110" s="533">
        <v>0</v>
      </c>
      <c r="Q110" s="533">
        <v>0</v>
      </c>
      <c r="R110" s="533">
        <v>0</v>
      </c>
      <c r="S110" s="533">
        <v>0</v>
      </c>
      <c r="T110" s="533">
        <v>0</v>
      </c>
      <c r="U110" s="533">
        <v>0</v>
      </c>
      <c r="V110" s="533">
        <v>0</v>
      </c>
      <c r="W110" s="533">
        <v>0</v>
      </c>
      <c r="X110" s="533">
        <v>0</v>
      </c>
      <c r="Y110" s="533">
        <v>0</v>
      </c>
      <c r="Z110" s="533">
        <v>0</v>
      </c>
      <c r="AA110" s="533">
        <v>80</v>
      </c>
      <c r="AB110" s="533">
        <v>80</v>
      </c>
      <c r="AC110" s="533">
        <v>0</v>
      </c>
      <c r="AD110" s="533">
        <v>0</v>
      </c>
      <c r="AE110" s="533">
        <v>0</v>
      </c>
      <c r="AF110" s="533">
        <v>0</v>
      </c>
      <c r="AG110" s="533">
        <v>0</v>
      </c>
      <c r="AH110" s="533">
        <v>0</v>
      </c>
      <c r="AI110" s="533">
        <v>0</v>
      </c>
      <c r="AJ110" s="533">
        <v>0</v>
      </c>
      <c r="AK110" s="533">
        <v>0</v>
      </c>
      <c r="AL110" s="533">
        <v>0</v>
      </c>
      <c r="AO110" s="530" t="s">
        <v>1066</v>
      </c>
      <c r="AP110" s="530">
        <f>L113/1000</f>
        <v>0</v>
      </c>
      <c r="AQ110" s="532" t="s">
        <v>621</v>
      </c>
    </row>
    <row r="111" spans="1:43">
      <c r="A111" s="532" t="s">
        <v>586</v>
      </c>
      <c r="B111" s="533">
        <v>0</v>
      </c>
      <c r="C111" s="533">
        <v>0</v>
      </c>
      <c r="D111" s="533">
        <v>0</v>
      </c>
      <c r="E111" s="533">
        <v>0</v>
      </c>
      <c r="F111" s="533">
        <v>0</v>
      </c>
      <c r="G111" s="534" t="s">
        <v>36</v>
      </c>
      <c r="H111" s="534" t="s">
        <v>36</v>
      </c>
      <c r="I111" s="534" t="s">
        <v>36</v>
      </c>
      <c r="J111" s="534" t="s">
        <v>36</v>
      </c>
      <c r="K111" s="533">
        <v>0</v>
      </c>
      <c r="L111" s="533">
        <v>0</v>
      </c>
      <c r="M111" s="533">
        <v>0</v>
      </c>
      <c r="N111" s="533">
        <v>0</v>
      </c>
      <c r="O111" s="533">
        <v>0</v>
      </c>
      <c r="P111" s="533">
        <v>0</v>
      </c>
      <c r="Q111" s="533">
        <v>0</v>
      </c>
      <c r="R111" s="533">
        <v>0</v>
      </c>
      <c r="S111" s="533">
        <v>0</v>
      </c>
      <c r="T111" s="533">
        <v>0</v>
      </c>
      <c r="U111" s="533">
        <v>0</v>
      </c>
      <c r="V111" s="533">
        <v>0</v>
      </c>
      <c r="W111" s="533">
        <v>0</v>
      </c>
      <c r="X111" s="533">
        <v>0</v>
      </c>
      <c r="Y111" s="533">
        <v>0</v>
      </c>
      <c r="Z111" s="533">
        <v>0</v>
      </c>
      <c r="AA111" s="533">
        <v>0</v>
      </c>
      <c r="AB111" s="533">
        <v>0</v>
      </c>
      <c r="AC111" s="533">
        <v>0</v>
      </c>
      <c r="AD111" s="533">
        <v>0</v>
      </c>
      <c r="AE111" s="533">
        <v>0</v>
      </c>
      <c r="AF111" s="533">
        <v>0</v>
      </c>
      <c r="AG111" s="533">
        <v>0</v>
      </c>
      <c r="AH111" s="533">
        <v>0</v>
      </c>
      <c r="AI111" s="533">
        <v>0</v>
      </c>
      <c r="AJ111" s="533">
        <v>0</v>
      </c>
      <c r="AK111" s="533">
        <v>0</v>
      </c>
      <c r="AL111" s="533">
        <v>0</v>
      </c>
      <c r="AO111" s="530" t="s">
        <v>1065</v>
      </c>
      <c r="AP111" s="535">
        <f>AB112/1000</f>
        <v>0</v>
      </c>
      <c r="AQ111" s="532" t="s">
        <v>634</v>
      </c>
    </row>
    <row r="112" spans="1:43">
      <c r="A112" s="532" t="s">
        <v>587</v>
      </c>
      <c r="B112" s="533">
        <v>0</v>
      </c>
      <c r="C112" s="533">
        <v>0</v>
      </c>
      <c r="D112" s="533">
        <v>0</v>
      </c>
      <c r="E112" s="533">
        <v>0</v>
      </c>
      <c r="F112" s="533">
        <v>0</v>
      </c>
      <c r="G112" s="534" t="s">
        <v>36</v>
      </c>
      <c r="H112" s="534" t="s">
        <v>36</v>
      </c>
      <c r="I112" s="534" t="s">
        <v>36</v>
      </c>
      <c r="J112" s="534" t="s">
        <v>36</v>
      </c>
      <c r="K112" s="533">
        <v>0</v>
      </c>
      <c r="L112" s="533">
        <v>0</v>
      </c>
      <c r="M112" s="533">
        <v>0</v>
      </c>
      <c r="N112" s="533">
        <v>0</v>
      </c>
      <c r="O112" s="533">
        <v>0</v>
      </c>
      <c r="P112" s="533">
        <v>0</v>
      </c>
      <c r="Q112" s="533">
        <v>0</v>
      </c>
      <c r="R112" s="533">
        <v>0</v>
      </c>
      <c r="S112" s="533">
        <v>0</v>
      </c>
      <c r="T112" s="533">
        <v>0</v>
      </c>
      <c r="U112" s="533">
        <v>0</v>
      </c>
      <c r="V112" s="533">
        <v>0</v>
      </c>
      <c r="W112" s="533">
        <v>0</v>
      </c>
      <c r="X112" s="533">
        <v>0</v>
      </c>
      <c r="Y112" s="533">
        <v>0</v>
      </c>
      <c r="Z112" s="533">
        <v>0</v>
      </c>
      <c r="AA112" s="533">
        <v>0</v>
      </c>
      <c r="AB112" s="533">
        <v>0</v>
      </c>
      <c r="AC112" s="533">
        <v>0</v>
      </c>
      <c r="AD112" s="533">
        <v>0</v>
      </c>
      <c r="AE112" s="533">
        <v>0</v>
      </c>
      <c r="AF112" s="533">
        <v>0</v>
      </c>
      <c r="AG112" s="533">
        <v>0</v>
      </c>
      <c r="AH112" s="533">
        <v>0</v>
      </c>
      <c r="AI112" s="533">
        <v>0</v>
      </c>
      <c r="AJ112" s="533">
        <v>0</v>
      </c>
      <c r="AK112" s="533">
        <v>0</v>
      </c>
      <c r="AL112" s="533">
        <v>0</v>
      </c>
      <c r="AO112" s="530" t="s">
        <v>1066</v>
      </c>
      <c r="AP112" s="535">
        <f>AB113/1000</f>
        <v>0</v>
      </c>
      <c r="AQ112" s="532" t="s">
        <v>634</v>
      </c>
    </row>
    <row r="113" spans="1:43">
      <c r="A113" s="532" t="s">
        <v>588</v>
      </c>
      <c r="B113" s="533">
        <v>0</v>
      </c>
      <c r="C113" s="533">
        <v>0</v>
      </c>
      <c r="D113" s="533">
        <v>0</v>
      </c>
      <c r="E113" s="533">
        <v>0</v>
      </c>
      <c r="F113" s="533">
        <v>0</v>
      </c>
      <c r="G113" s="534" t="s">
        <v>36</v>
      </c>
      <c r="H113" s="534" t="s">
        <v>36</v>
      </c>
      <c r="I113" s="534" t="s">
        <v>36</v>
      </c>
      <c r="J113" s="534" t="s">
        <v>36</v>
      </c>
      <c r="K113" s="533">
        <v>0</v>
      </c>
      <c r="L113" s="533">
        <v>0</v>
      </c>
      <c r="M113" s="533">
        <v>0</v>
      </c>
      <c r="N113" s="533">
        <v>0</v>
      </c>
      <c r="O113" s="533">
        <v>0</v>
      </c>
      <c r="P113" s="533">
        <v>0</v>
      </c>
      <c r="Q113" s="533">
        <v>0</v>
      </c>
      <c r="R113" s="533">
        <v>0</v>
      </c>
      <c r="S113" s="533">
        <v>0</v>
      </c>
      <c r="T113" s="533">
        <v>0</v>
      </c>
      <c r="U113" s="533">
        <v>0</v>
      </c>
      <c r="V113" s="533">
        <v>0</v>
      </c>
      <c r="W113" s="533">
        <v>0</v>
      </c>
      <c r="X113" s="533">
        <v>0</v>
      </c>
      <c r="Y113" s="533">
        <v>0</v>
      </c>
      <c r="Z113" s="533">
        <v>0</v>
      </c>
      <c r="AA113" s="533">
        <v>0</v>
      </c>
      <c r="AB113" s="533">
        <v>0</v>
      </c>
      <c r="AC113" s="533">
        <v>0</v>
      </c>
      <c r="AD113" s="533">
        <v>0</v>
      </c>
      <c r="AE113" s="533">
        <v>0</v>
      </c>
      <c r="AF113" s="533">
        <v>0</v>
      </c>
      <c r="AG113" s="533">
        <v>0</v>
      </c>
      <c r="AH113" s="533">
        <v>0</v>
      </c>
      <c r="AI113" s="533">
        <v>0</v>
      </c>
      <c r="AJ113" s="533">
        <v>0</v>
      </c>
      <c r="AK113" s="533">
        <v>0</v>
      </c>
      <c r="AL113" s="533">
        <v>0</v>
      </c>
      <c r="AO113" s="530" t="s">
        <v>1065</v>
      </c>
      <c r="AP113" s="535">
        <f>AC112/1000</f>
        <v>0</v>
      </c>
      <c r="AQ113" s="532" t="s">
        <v>635</v>
      </c>
    </row>
    <row r="114" spans="1:43">
      <c r="AO114" s="530" t="s">
        <v>1066</v>
      </c>
      <c r="AP114" s="535">
        <f>AC113/1000</f>
        <v>0</v>
      </c>
      <c r="AQ114" s="532" t="s">
        <v>635</v>
      </c>
    </row>
    <row r="115" spans="1:43">
      <c r="A115" s="529" t="s">
        <v>589</v>
      </c>
    </row>
    <row r="116" spans="1:43">
      <c r="A116" s="529" t="s">
        <v>36</v>
      </c>
      <c r="B116" s="529" t="s">
        <v>590</v>
      </c>
    </row>
    <row r="118" spans="1:43">
      <c r="A118" s="529" t="s">
        <v>340</v>
      </c>
      <c r="B118" s="529" t="s">
        <v>576</v>
      </c>
    </row>
    <row r="119" spans="1:43">
      <c r="A119" s="529" t="s">
        <v>578</v>
      </c>
      <c r="B119" s="529" t="s">
        <v>298</v>
      </c>
    </row>
    <row r="120" spans="1:43">
      <c r="A120" s="529" t="s">
        <v>343</v>
      </c>
      <c r="B120" s="529" t="s">
        <v>218</v>
      </c>
    </row>
    <row r="122" spans="1:43">
      <c r="A122" s="532" t="s">
        <v>592</v>
      </c>
      <c r="B122" s="532" t="s">
        <v>611</v>
      </c>
      <c r="C122" s="532" t="s">
        <v>612</v>
      </c>
      <c r="D122" s="532" t="s">
        <v>613</v>
      </c>
      <c r="E122" s="532" t="s">
        <v>614</v>
      </c>
      <c r="F122" s="532" t="s">
        <v>615</v>
      </c>
      <c r="G122" s="532" t="s">
        <v>616</v>
      </c>
      <c r="H122" s="532" t="s">
        <v>617</v>
      </c>
      <c r="I122" s="532" t="s">
        <v>618</v>
      </c>
      <c r="J122" s="532" t="s">
        <v>619</v>
      </c>
      <c r="K122" s="532" t="s">
        <v>620</v>
      </c>
      <c r="L122" s="532" t="s">
        <v>621</v>
      </c>
      <c r="M122" s="532" t="s">
        <v>622</v>
      </c>
      <c r="N122" s="532" t="s">
        <v>623</v>
      </c>
      <c r="O122" s="532" t="s">
        <v>225</v>
      </c>
      <c r="P122" s="532" t="s">
        <v>624</v>
      </c>
      <c r="Q122" s="532" t="s">
        <v>625</v>
      </c>
      <c r="R122" s="532" t="s">
        <v>626</v>
      </c>
      <c r="S122" s="532" t="s">
        <v>227</v>
      </c>
      <c r="T122" s="532" t="s">
        <v>627</v>
      </c>
      <c r="U122" s="532" t="s">
        <v>628</v>
      </c>
      <c r="V122" s="532" t="s">
        <v>629</v>
      </c>
      <c r="W122" s="532" t="s">
        <v>630</v>
      </c>
      <c r="X122" s="532" t="s">
        <v>631</v>
      </c>
      <c r="Y122" s="532" t="s">
        <v>632</v>
      </c>
      <c r="Z122" s="532" t="s">
        <v>633</v>
      </c>
      <c r="AA122" s="532" t="s">
        <v>229</v>
      </c>
      <c r="AB122" s="532" t="s">
        <v>634</v>
      </c>
      <c r="AC122" s="532" t="s">
        <v>635</v>
      </c>
      <c r="AD122" s="532" t="s">
        <v>636</v>
      </c>
      <c r="AE122" s="532" t="s">
        <v>637</v>
      </c>
      <c r="AF122" s="532" t="s">
        <v>638</v>
      </c>
      <c r="AG122" s="532" t="s">
        <v>639</v>
      </c>
      <c r="AH122" s="532" t="s">
        <v>640</v>
      </c>
      <c r="AI122" s="532" t="s">
        <v>641</v>
      </c>
      <c r="AJ122" s="532" t="s">
        <v>642</v>
      </c>
      <c r="AK122" s="532" t="s">
        <v>643</v>
      </c>
      <c r="AL122" s="532" t="s">
        <v>644</v>
      </c>
      <c r="AP122" s="530" t="str">
        <f>B120</f>
        <v>Ireland</v>
      </c>
    </row>
    <row r="123" spans="1:43">
      <c r="A123" s="532" t="s">
        <v>583</v>
      </c>
      <c r="B123" s="533">
        <v>32092</v>
      </c>
      <c r="C123" s="533">
        <v>0</v>
      </c>
      <c r="D123" s="533">
        <v>0</v>
      </c>
      <c r="E123" s="533">
        <v>0</v>
      </c>
      <c r="F123" s="533">
        <v>0</v>
      </c>
      <c r="G123" s="534" t="s">
        <v>36</v>
      </c>
      <c r="H123" s="534" t="s">
        <v>36</v>
      </c>
      <c r="I123" s="534" t="s">
        <v>36</v>
      </c>
      <c r="J123" s="534" t="s">
        <v>36</v>
      </c>
      <c r="K123" s="533">
        <v>32092</v>
      </c>
      <c r="L123" s="533">
        <v>0</v>
      </c>
      <c r="M123" s="533">
        <v>0</v>
      </c>
      <c r="N123" s="533">
        <v>0</v>
      </c>
      <c r="O123" s="533">
        <v>0</v>
      </c>
      <c r="P123" s="533">
        <v>0</v>
      </c>
      <c r="Q123" s="533">
        <v>0</v>
      </c>
      <c r="R123" s="533">
        <v>0</v>
      </c>
      <c r="S123" s="533">
        <v>0</v>
      </c>
      <c r="T123" s="533">
        <v>0</v>
      </c>
      <c r="U123" s="533">
        <v>0</v>
      </c>
      <c r="V123" s="533">
        <v>0</v>
      </c>
      <c r="W123" s="533">
        <v>0</v>
      </c>
      <c r="X123" s="533">
        <v>2812</v>
      </c>
      <c r="Y123" s="533">
        <v>0</v>
      </c>
      <c r="Z123" s="533">
        <v>2812</v>
      </c>
      <c r="AA123" s="533">
        <v>29280</v>
      </c>
      <c r="AB123" s="533">
        <v>29280</v>
      </c>
      <c r="AC123" s="533">
        <v>0</v>
      </c>
      <c r="AD123" s="533">
        <v>0</v>
      </c>
      <c r="AE123" s="533">
        <v>0</v>
      </c>
      <c r="AF123" s="533">
        <v>0</v>
      </c>
      <c r="AG123" s="533">
        <v>0</v>
      </c>
      <c r="AH123" s="533">
        <v>0</v>
      </c>
      <c r="AI123" s="533">
        <v>0</v>
      </c>
      <c r="AJ123" s="533">
        <v>0</v>
      </c>
      <c r="AK123" s="533">
        <v>0</v>
      </c>
      <c r="AL123" s="533">
        <v>0</v>
      </c>
      <c r="AO123" s="530" t="str">
        <f>A127</f>
        <v>Transformation input in Autoproducer Electricity Plants</v>
      </c>
      <c r="AP123" s="530">
        <f>B127/1000</f>
        <v>0</v>
      </c>
      <c r="AQ123" s="530" t="str">
        <f>B122</f>
        <v>Total petroleum products</v>
      </c>
    </row>
    <row r="124" spans="1:43">
      <c r="A124" s="532" t="s">
        <v>584</v>
      </c>
      <c r="B124" s="533">
        <v>32092</v>
      </c>
      <c r="C124" s="533">
        <v>0</v>
      </c>
      <c r="D124" s="533">
        <v>0</v>
      </c>
      <c r="E124" s="533">
        <v>0</v>
      </c>
      <c r="F124" s="533">
        <v>0</v>
      </c>
      <c r="G124" s="534" t="s">
        <v>36</v>
      </c>
      <c r="H124" s="534" t="s">
        <v>36</v>
      </c>
      <c r="I124" s="534" t="s">
        <v>36</v>
      </c>
      <c r="J124" s="534" t="s">
        <v>36</v>
      </c>
      <c r="K124" s="533">
        <v>32092</v>
      </c>
      <c r="L124" s="533">
        <v>0</v>
      </c>
      <c r="M124" s="533">
        <v>0</v>
      </c>
      <c r="N124" s="533">
        <v>0</v>
      </c>
      <c r="O124" s="533">
        <v>0</v>
      </c>
      <c r="P124" s="533">
        <v>0</v>
      </c>
      <c r="Q124" s="533">
        <v>0</v>
      </c>
      <c r="R124" s="533">
        <v>0</v>
      </c>
      <c r="S124" s="533">
        <v>0</v>
      </c>
      <c r="T124" s="533">
        <v>0</v>
      </c>
      <c r="U124" s="533">
        <v>0</v>
      </c>
      <c r="V124" s="533">
        <v>0</v>
      </c>
      <c r="W124" s="533">
        <v>0</v>
      </c>
      <c r="X124" s="533">
        <v>2812</v>
      </c>
      <c r="Y124" s="533">
        <v>0</v>
      </c>
      <c r="Z124" s="533">
        <v>2812</v>
      </c>
      <c r="AA124" s="533">
        <v>29280</v>
      </c>
      <c r="AB124" s="533">
        <v>29280</v>
      </c>
      <c r="AC124" s="533">
        <v>0</v>
      </c>
      <c r="AD124" s="533">
        <v>0</v>
      </c>
      <c r="AE124" s="533">
        <v>0</v>
      </c>
      <c r="AF124" s="533">
        <v>0</v>
      </c>
      <c r="AG124" s="533">
        <v>0</v>
      </c>
      <c r="AH124" s="533">
        <v>0</v>
      </c>
      <c r="AI124" s="533">
        <v>0</v>
      </c>
      <c r="AJ124" s="533">
        <v>0</v>
      </c>
      <c r="AK124" s="533">
        <v>0</v>
      </c>
      <c r="AL124" s="533">
        <v>0</v>
      </c>
      <c r="AO124" s="530" t="s">
        <v>1065</v>
      </c>
      <c r="AP124" s="530">
        <f>L127/1000</f>
        <v>0</v>
      </c>
      <c r="AQ124" s="532" t="s">
        <v>621</v>
      </c>
    </row>
    <row r="125" spans="1:43">
      <c r="A125" s="532" t="s">
        <v>585</v>
      </c>
      <c r="B125" s="533">
        <v>0</v>
      </c>
      <c r="C125" s="533">
        <v>0</v>
      </c>
      <c r="D125" s="533">
        <v>0</v>
      </c>
      <c r="E125" s="533">
        <v>0</v>
      </c>
      <c r="F125" s="533">
        <v>0</v>
      </c>
      <c r="G125" s="534" t="s">
        <v>36</v>
      </c>
      <c r="H125" s="534" t="s">
        <v>36</v>
      </c>
      <c r="I125" s="534" t="s">
        <v>36</v>
      </c>
      <c r="J125" s="534" t="s">
        <v>36</v>
      </c>
      <c r="K125" s="533">
        <v>0</v>
      </c>
      <c r="L125" s="533">
        <v>0</v>
      </c>
      <c r="M125" s="533">
        <v>0</v>
      </c>
      <c r="N125" s="533">
        <v>0</v>
      </c>
      <c r="O125" s="533">
        <v>0</v>
      </c>
      <c r="P125" s="533">
        <v>0</v>
      </c>
      <c r="Q125" s="533">
        <v>0</v>
      </c>
      <c r="R125" s="533">
        <v>0</v>
      </c>
      <c r="S125" s="533">
        <v>0</v>
      </c>
      <c r="T125" s="533">
        <v>0</v>
      </c>
      <c r="U125" s="533">
        <v>0</v>
      </c>
      <c r="V125" s="533">
        <v>0</v>
      </c>
      <c r="W125" s="533">
        <v>0</v>
      </c>
      <c r="X125" s="533">
        <v>0</v>
      </c>
      <c r="Y125" s="533">
        <v>0</v>
      </c>
      <c r="Z125" s="533">
        <v>0</v>
      </c>
      <c r="AA125" s="533">
        <v>0</v>
      </c>
      <c r="AB125" s="533">
        <v>0</v>
      </c>
      <c r="AC125" s="533">
        <v>0</v>
      </c>
      <c r="AD125" s="533">
        <v>0</v>
      </c>
      <c r="AE125" s="533">
        <v>0</v>
      </c>
      <c r="AF125" s="533">
        <v>0</v>
      </c>
      <c r="AG125" s="533">
        <v>0</v>
      </c>
      <c r="AH125" s="533">
        <v>0</v>
      </c>
      <c r="AI125" s="533">
        <v>0</v>
      </c>
      <c r="AJ125" s="533">
        <v>0</v>
      </c>
      <c r="AK125" s="533">
        <v>0</v>
      </c>
      <c r="AL125" s="533">
        <v>0</v>
      </c>
      <c r="AO125" s="530" t="s">
        <v>1066</v>
      </c>
      <c r="AP125" s="530">
        <f>L128/1000</f>
        <v>0</v>
      </c>
      <c r="AQ125" s="532" t="s">
        <v>621</v>
      </c>
    </row>
    <row r="126" spans="1:43">
      <c r="A126" s="532" t="s">
        <v>586</v>
      </c>
      <c r="B126" s="533">
        <v>0</v>
      </c>
      <c r="C126" s="533">
        <v>0</v>
      </c>
      <c r="D126" s="533">
        <v>0</v>
      </c>
      <c r="E126" s="533">
        <v>0</v>
      </c>
      <c r="F126" s="533">
        <v>0</v>
      </c>
      <c r="G126" s="534" t="s">
        <v>36</v>
      </c>
      <c r="H126" s="534" t="s">
        <v>36</v>
      </c>
      <c r="I126" s="534" t="s">
        <v>36</v>
      </c>
      <c r="J126" s="534" t="s">
        <v>36</v>
      </c>
      <c r="K126" s="533">
        <v>0</v>
      </c>
      <c r="L126" s="533">
        <v>0</v>
      </c>
      <c r="M126" s="533">
        <v>0</v>
      </c>
      <c r="N126" s="533">
        <v>0</v>
      </c>
      <c r="O126" s="533">
        <v>0</v>
      </c>
      <c r="P126" s="533">
        <v>0</v>
      </c>
      <c r="Q126" s="533">
        <v>0</v>
      </c>
      <c r="R126" s="533">
        <v>0</v>
      </c>
      <c r="S126" s="533">
        <v>0</v>
      </c>
      <c r="T126" s="533">
        <v>0</v>
      </c>
      <c r="U126" s="533">
        <v>0</v>
      </c>
      <c r="V126" s="533">
        <v>0</v>
      </c>
      <c r="W126" s="533">
        <v>0</v>
      </c>
      <c r="X126" s="533">
        <v>0</v>
      </c>
      <c r="Y126" s="533">
        <v>0</v>
      </c>
      <c r="Z126" s="533">
        <v>0</v>
      </c>
      <c r="AA126" s="533">
        <v>0</v>
      </c>
      <c r="AB126" s="533">
        <v>0</v>
      </c>
      <c r="AC126" s="533">
        <v>0</v>
      </c>
      <c r="AD126" s="533">
        <v>0</v>
      </c>
      <c r="AE126" s="533">
        <v>0</v>
      </c>
      <c r="AF126" s="533">
        <v>0</v>
      </c>
      <c r="AG126" s="533">
        <v>0</v>
      </c>
      <c r="AH126" s="533">
        <v>0</v>
      </c>
      <c r="AI126" s="533">
        <v>0</v>
      </c>
      <c r="AJ126" s="533">
        <v>0</v>
      </c>
      <c r="AK126" s="533">
        <v>0</v>
      </c>
      <c r="AL126" s="533">
        <v>0</v>
      </c>
      <c r="AO126" s="530" t="s">
        <v>1065</v>
      </c>
      <c r="AP126" s="535">
        <f>AB127/1000</f>
        <v>0</v>
      </c>
      <c r="AQ126" s="532" t="s">
        <v>634</v>
      </c>
    </row>
    <row r="127" spans="1:43">
      <c r="A127" s="532" t="s">
        <v>587</v>
      </c>
      <c r="B127" s="533">
        <v>0</v>
      </c>
      <c r="C127" s="533">
        <v>0</v>
      </c>
      <c r="D127" s="533">
        <v>0</v>
      </c>
      <c r="E127" s="533">
        <v>0</v>
      </c>
      <c r="F127" s="533">
        <v>0</v>
      </c>
      <c r="G127" s="534" t="s">
        <v>36</v>
      </c>
      <c r="H127" s="534" t="s">
        <v>36</v>
      </c>
      <c r="I127" s="534" t="s">
        <v>36</v>
      </c>
      <c r="J127" s="534" t="s">
        <v>36</v>
      </c>
      <c r="K127" s="533">
        <v>0</v>
      </c>
      <c r="L127" s="533">
        <v>0</v>
      </c>
      <c r="M127" s="533">
        <v>0</v>
      </c>
      <c r="N127" s="533">
        <v>0</v>
      </c>
      <c r="O127" s="533">
        <v>0</v>
      </c>
      <c r="P127" s="533">
        <v>0</v>
      </c>
      <c r="Q127" s="533">
        <v>0</v>
      </c>
      <c r="R127" s="533">
        <v>0</v>
      </c>
      <c r="S127" s="533">
        <v>0</v>
      </c>
      <c r="T127" s="533">
        <v>0</v>
      </c>
      <c r="U127" s="533">
        <v>0</v>
      </c>
      <c r="V127" s="533">
        <v>0</v>
      </c>
      <c r="W127" s="533">
        <v>0</v>
      </c>
      <c r="X127" s="533">
        <v>0</v>
      </c>
      <c r="Y127" s="533">
        <v>0</v>
      </c>
      <c r="Z127" s="533">
        <v>0</v>
      </c>
      <c r="AA127" s="533">
        <v>0</v>
      </c>
      <c r="AB127" s="533">
        <v>0</v>
      </c>
      <c r="AC127" s="533">
        <v>0</v>
      </c>
      <c r="AD127" s="533">
        <v>0</v>
      </c>
      <c r="AE127" s="533">
        <v>0</v>
      </c>
      <c r="AF127" s="533">
        <v>0</v>
      </c>
      <c r="AG127" s="533">
        <v>0</v>
      </c>
      <c r="AH127" s="533">
        <v>0</v>
      </c>
      <c r="AI127" s="533">
        <v>0</v>
      </c>
      <c r="AJ127" s="533">
        <v>0</v>
      </c>
      <c r="AK127" s="533">
        <v>0</v>
      </c>
      <c r="AL127" s="533">
        <v>0</v>
      </c>
      <c r="AO127" s="530" t="s">
        <v>1066</v>
      </c>
      <c r="AP127" s="535">
        <f>AB128/1000</f>
        <v>0</v>
      </c>
      <c r="AQ127" s="532" t="s">
        <v>634</v>
      </c>
    </row>
    <row r="128" spans="1:43">
      <c r="A128" s="532" t="s">
        <v>588</v>
      </c>
      <c r="B128" s="533">
        <v>0</v>
      </c>
      <c r="C128" s="533">
        <v>0</v>
      </c>
      <c r="D128" s="533">
        <v>0</v>
      </c>
      <c r="E128" s="533">
        <v>0</v>
      </c>
      <c r="F128" s="533">
        <v>0</v>
      </c>
      <c r="G128" s="534" t="s">
        <v>36</v>
      </c>
      <c r="H128" s="534" t="s">
        <v>36</v>
      </c>
      <c r="I128" s="534" t="s">
        <v>36</v>
      </c>
      <c r="J128" s="534" t="s">
        <v>36</v>
      </c>
      <c r="K128" s="533">
        <v>0</v>
      </c>
      <c r="L128" s="533">
        <v>0</v>
      </c>
      <c r="M128" s="533">
        <v>0</v>
      </c>
      <c r="N128" s="533">
        <v>0</v>
      </c>
      <c r="O128" s="533">
        <v>0</v>
      </c>
      <c r="P128" s="533">
        <v>0</v>
      </c>
      <c r="Q128" s="533">
        <v>0</v>
      </c>
      <c r="R128" s="533">
        <v>0</v>
      </c>
      <c r="S128" s="533">
        <v>0</v>
      </c>
      <c r="T128" s="533">
        <v>0</v>
      </c>
      <c r="U128" s="533">
        <v>0</v>
      </c>
      <c r="V128" s="533">
        <v>0</v>
      </c>
      <c r="W128" s="533">
        <v>0</v>
      </c>
      <c r="X128" s="533">
        <v>0</v>
      </c>
      <c r="Y128" s="533">
        <v>0</v>
      </c>
      <c r="Z128" s="533">
        <v>0</v>
      </c>
      <c r="AA128" s="533">
        <v>0</v>
      </c>
      <c r="AB128" s="533">
        <v>0</v>
      </c>
      <c r="AC128" s="533">
        <v>0</v>
      </c>
      <c r="AD128" s="533">
        <v>0</v>
      </c>
      <c r="AE128" s="533">
        <v>0</v>
      </c>
      <c r="AF128" s="533">
        <v>0</v>
      </c>
      <c r="AG128" s="533">
        <v>0</v>
      </c>
      <c r="AH128" s="533">
        <v>0</v>
      </c>
      <c r="AI128" s="533">
        <v>0</v>
      </c>
      <c r="AJ128" s="533">
        <v>0</v>
      </c>
      <c r="AK128" s="533">
        <v>0</v>
      </c>
      <c r="AL128" s="533">
        <v>0</v>
      </c>
      <c r="AO128" s="530" t="s">
        <v>1065</v>
      </c>
      <c r="AP128" s="535">
        <f>AC127/1000</f>
        <v>0</v>
      </c>
      <c r="AQ128" s="532" t="s">
        <v>635</v>
      </c>
    </row>
    <row r="129" spans="1:43">
      <c r="AO129" s="530" t="s">
        <v>1066</v>
      </c>
      <c r="AP129" s="535">
        <f>AC128/1000</f>
        <v>0</v>
      </c>
      <c r="AQ129" s="532" t="s">
        <v>635</v>
      </c>
    </row>
    <row r="130" spans="1:43">
      <c r="A130" s="529" t="s">
        <v>589</v>
      </c>
    </row>
    <row r="131" spans="1:43">
      <c r="A131" s="529" t="s">
        <v>36</v>
      </c>
      <c r="B131" s="529" t="s">
        <v>590</v>
      </c>
    </row>
    <row r="133" spans="1:43">
      <c r="A133" s="529" t="s">
        <v>340</v>
      </c>
      <c r="B133" s="529" t="s">
        <v>576</v>
      </c>
    </row>
    <row r="134" spans="1:43">
      <c r="A134" s="529" t="s">
        <v>578</v>
      </c>
      <c r="B134" s="529" t="s">
        <v>298</v>
      </c>
    </row>
    <row r="135" spans="1:43">
      <c r="A135" s="529" t="s">
        <v>343</v>
      </c>
      <c r="B135" s="529" t="s">
        <v>183</v>
      </c>
    </row>
    <row r="137" spans="1:43">
      <c r="A137" s="532" t="s">
        <v>592</v>
      </c>
      <c r="B137" s="532" t="s">
        <v>611</v>
      </c>
      <c r="C137" s="532" t="s">
        <v>612</v>
      </c>
      <c r="D137" s="532" t="s">
        <v>613</v>
      </c>
      <c r="E137" s="532" t="s">
        <v>614</v>
      </c>
      <c r="F137" s="532" t="s">
        <v>615</v>
      </c>
      <c r="G137" s="532" t="s">
        <v>616</v>
      </c>
      <c r="H137" s="532" t="s">
        <v>617</v>
      </c>
      <c r="I137" s="532" t="s">
        <v>618</v>
      </c>
      <c r="J137" s="532" t="s">
        <v>619</v>
      </c>
      <c r="K137" s="532" t="s">
        <v>620</v>
      </c>
      <c r="L137" s="532" t="s">
        <v>621</v>
      </c>
      <c r="M137" s="532" t="s">
        <v>622</v>
      </c>
      <c r="N137" s="532" t="s">
        <v>623</v>
      </c>
      <c r="O137" s="532" t="s">
        <v>225</v>
      </c>
      <c r="P137" s="532" t="s">
        <v>624</v>
      </c>
      <c r="Q137" s="532" t="s">
        <v>625</v>
      </c>
      <c r="R137" s="532" t="s">
        <v>626</v>
      </c>
      <c r="S137" s="532" t="s">
        <v>227</v>
      </c>
      <c r="T137" s="532" t="s">
        <v>627</v>
      </c>
      <c r="U137" s="532" t="s">
        <v>628</v>
      </c>
      <c r="V137" s="532" t="s">
        <v>629</v>
      </c>
      <c r="W137" s="532" t="s">
        <v>630</v>
      </c>
      <c r="X137" s="532" t="s">
        <v>631</v>
      </c>
      <c r="Y137" s="532" t="s">
        <v>632</v>
      </c>
      <c r="Z137" s="532" t="s">
        <v>633</v>
      </c>
      <c r="AA137" s="532" t="s">
        <v>229</v>
      </c>
      <c r="AB137" s="532" t="s">
        <v>634</v>
      </c>
      <c r="AC137" s="532" t="s">
        <v>635</v>
      </c>
      <c r="AD137" s="532" t="s">
        <v>636</v>
      </c>
      <c r="AE137" s="532" t="s">
        <v>637</v>
      </c>
      <c r="AF137" s="532" t="s">
        <v>638</v>
      </c>
      <c r="AG137" s="532" t="s">
        <v>639</v>
      </c>
      <c r="AH137" s="532" t="s">
        <v>640</v>
      </c>
      <c r="AI137" s="532" t="s">
        <v>641</v>
      </c>
      <c r="AJ137" s="532" t="s">
        <v>642</v>
      </c>
      <c r="AK137" s="532" t="s">
        <v>643</v>
      </c>
      <c r="AL137" s="532" t="s">
        <v>644</v>
      </c>
      <c r="AP137" s="530" t="str">
        <f>B135</f>
        <v>Greece</v>
      </c>
    </row>
    <row r="138" spans="1:43">
      <c r="A138" s="532" t="s">
        <v>583</v>
      </c>
      <c r="B138" s="533">
        <v>82075</v>
      </c>
      <c r="C138" s="533">
        <v>0</v>
      </c>
      <c r="D138" s="533">
        <v>0</v>
      </c>
      <c r="E138" s="533">
        <v>0</v>
      </c>
      <c r="F138" s="533">
        <v>0</v>
      </c>
      <c r="G138" s="534" t="s">
        <v>36</v>
      </c>
      <c r="H138" s="534" t="s">
        <v>36</v>
      </c>
      <c r="I138" s="534" t="s">
        <v>36</v>
      </c>
      <c r="J138" s="534" t="s">
        <v>36</v>
      </c>
      <c r="K138" s="533">
        <v>82075</v>
      </c>
      <c r="L138" s="533">
        <v>0</v>
      </c>
      <c r="M138" s="533">
        <v>0</v>
      </c>
      <c r="N138" s="533">
        <v>0</v>
      </c>
      <c r="O138" s="533">
        <v>0</v>
      </c>
      <c r="P138" s="533">
        <v>0</v>
      </c>
      <c r="Q138" s="533">
        <v>0</v>
      </c>
      <c r="R138" s="533">
        <v>0</v>
      </c>
      <c r="S138" s="533">
        <v>0</v>
      </c>
      <c r="T138" s="533">
        <v>0</v>
      </c>
      <c r="U138" s="533">
        <v>0</v>
      </c>
      <c r="V138" s="533">
        <v>0</v>
      </c>
      <c r="W138" s="533">
        <v>0</v>
      </c>
      <c r="X138" s="533">
        <v>18275</v>
      </c>
      <c r="Y138" s="533">
        <v>0</v>
      </c>
      <c r="Z138" s="533">
        <v>18275</v>
      </c>
      <c r="AA138" s="533">
        <v>63800</v>
      </c>
      <c r="AB138" s="533">
        <v>5120</v>
      </c>
      <c r="AC138" s="533">
        <v>58680</v>
      </c>
      <c r="AD138" s="533">
        <v>0</v>
      </c>
      <c r="AE138" s="533">
        <v>0</v>
      </c>
      <c r="AF138" s="533">
        <v>0</v>
      </c>
      <c r="AG138" s="533">
        <v>0</v>
      </c>
      <c r="AH138" s="533">
        <v>0</v>
      </c>
      <c r="AI138" s="533">
        <v>0</v>
      </c>
      <c r="AJ138" s="533">
        <v>0</v>
      </c>
      <c r="AK138" s="533">
        <v>0</v>
      </c>
      <c r="AL138" s="533">
        <v>0</v>
      </c>
      <c r="AO138" s="530" t="str">
        <f>A142</f>
        <v>Transformation input in Autoproducer Electricity Plants</v>
      </c>
      <c r="AP138" s="530">
        <f>B142/1000</f>
        <v>0</v>
      </c>
      <c r="AQ138" s="530" t="str">
        <f>B137</f>
        <v>Total petroleum products</v>
      </c>
    </row>
    <row r="139" spans="1:43">
      <c r="A139" s="532" t="s">
        <v>584</v>
      </c>
      <c r="B139" s="533">
        <v>81862</v>
      </c>
      <c r="C139" s="533">
        <v>0</v>
      </c>
      <c r="D139" s="533">
        <v>0</v>
      </c>
      <c r="E139" s="533">
        <v>0</v>
      </c>
      <c r="F139" s="533">
        <v>0</v>
      </c>
      <c r="G139" s="534" t="s">
        <v>36</v>
      </c>
      <c r="H139" s="534" t="s">
        <v>36</v>
      </c>
      <c r="I139" s="534" t="s">
        <v>36</v>
      </c>
      <c r="J139" s="534" t="s">
        <v>36</v>
      </c>
      <c r="K139" s="533">
        <v>81862</v>
      </c>
      <c r="L139" s="533">
        <v>0</v>
      </c>
      <c r="M139" s="533">
        <v>0</v>
      </c>
      <c r="N139" s="533">
        <v>0</v>
      </c>
      <c r="O139" s="533">
        <v>0</v>
      </c>
      <c r="P139" s="533">
        <v>0</v>
      </c>
      <c r="Q139" s="533">
        <v>0</v>
      </c>
      <c r="R139" s="533">
        <v>0</v>
      </c>
      <c r="S139" s="533">
        <v>0</v>
      </c>
      <c r="T139" s="533">
        <v>0</v>
      </c>
      <c r="U139" s="533">
        <v>0</v>
      </c>
      <c r="V139" s="533">
        <v>0</v>
      </c>
      <c r="W139" s="533">
        <v>0</v>
      </c>
      <c r="X139" s="533">
        <v>18062</v>
      </c>
      <c r="Y139" s="533">
        <v>0</v>
      </c>
      <c r="Z139" s="533">
        <v>18062</v>
      </c>
      <c r="AA139" s="533">
        <v>63800</v>
      </c>
      <c r="AB139" s="533">
        <v>5120</v>
      </c>
      <c r="AC139" s="533">
        <v>58680</v>
      </c>
      <c r="AD139" s="533">
        <v>0</v>
      </c>
      <c r="AE139" s="533">
        <v>0</v>
      </c>
      <c r="AF139" s="533">
        <v>0</v>
      </c>
      <c r="AG139" s="533">
        <v>0</v>
      </c>
      <c r="AH139" s="533">
        <v>0</v>
      </c>
      <c r="AI139" s="533">
        <v>0</v>
      </c>
      <c r="AJ139" s="533">
        <v>0</v>
      </c>
      <c r="AK139" s="533">
        <v>0</v>
      </c>
      <c r="AL139" s="533">
        <v>0</v>
      </c>
      <c r="AO139" s="530" t="s">
        <v>1065</v>
      </c>
      <c r="AP139" s="530">
        <f>L142/1000</f>
        <v>0</v>
      </c>
      <c r="AQ139" s="532" t="s">
        <v>621</v>
      </c>
    </row>
    <row r="140" spans="1:43">
      <c r="A140" s="532" t="s">
        <v>585</v>
      </c>
      <c r="B140" s="533">
        <v>213</v>
      </c>
      <c r="C140" s="533">
        <v>0</v>
      </c>
      <c r="D140" s="533">
        <v>0</v>
      </c>
      <c r="E140" s="533">
        <v>0</v>
      </c>
      <c r="F140" s="533">
        <v>0</v>
      </c>
      <c r="G140" s="534" t="s">
        <v>36</v>
      </c>
      <c r="H140" s="534" t="s">
        <v>36</v>
      </c>
      <c r="I140" s="534" t="s">
        <v>36</v>
      </c>
      <c r="J140" s="534" t="s">
        <v>36</v>
      </c>
      <c r="K140" s="533">
        <v>213</v>
      </c>
      <c r="L140" s="533">
        <v>0</v>
      </c>
      <c r="M140" s="533">
        <v>0</v>
      </c>
      <c r="N140" s="533">
        <v>0</v>
      </c>
      <c r="O140" s="533">
        <v>0</v>
      </c>
      <c r="P140" s="533">
        <v>0</v>
      </c>
      <c r="Q140" s="533">
        <v>0</v>
      </c>
      <c r="R140" s="533">
        <v>0</v>
      </c>
      <c r="S140" s="533">
        <v>0</v>
      </c>
      <c r="T140" s="533">
        <v>0</v>
      </c>
      <c r="U140" s="533">
        <v>0</v>
      </c>
      <c r="V140" s="533">
        <v>0</v>
      </c>
      <c r="W140" s="533">
        <v>0</v>
      </c>
      <c r="X140" s="533">
        <v>213</v>
      </c>
      <c r="Y140" s="533">
        <v>0</v>
      </c>
      <c r="Z140" s="533">
        <v>213</v>
      </c>
      <c r="AA140" s="533">
        <v>0</v>
      </c>
      <c r="AB140" s="533">
        <v>0</v>
      </c>
      <c r="AC140" s="533">
        <v>0</v>
      </c>
      <c r="AD140" s="533">
        <v>0</v>
      </c>
      <c r="AE140" s="533">
        <v>0</v>
      </c>
      <c r="AF140" s="533">
        <v>0</v>
      </c>
      <c r="AG140" s="533">
        <v>0</v>
      </c>
      <c r="AH140" s="533">
        <v>0</v>
      </c>
      <c r="AI140" s="533">
        <v>0</v>
      </c>
      <c r="AJ140" s="533">
        <v>0</v>
      </c>
      <c r="AK140" s="533">
        <v>0</v>
      </c>
      <c r="AL140" s="533">
        <v>0</v>
      </c>
      <c r="AO140" s="530" t="s">
        <v>1066</v>
      </c>
      <c r="AP140" s="530">
        <f>L143/1000</f>
        <v>0</v>
      </c>
      <c r="AQ140" s="532" t="s">
        <v>621</v>
      </c>
    </row>
    <row r="141" spans="1:43">
      <c r="A141" s="532" t="s">
        <v>586</v>
      </c>
      <c r="B141" s="533">
        <v>240</v>
      </c>
      <c r="C141" s="533">
        <v>0</v>
      </c>
      <c r="D141" s="533">
        <v>0</v>
      </c>
      <c r="E141" s="533">
        <v>0</v>
      </c>
      <c r="F141" s="533">
        <v>0</v>
      </c>
      <c r="G141" s="534" t="s">
        <v>36</v>
      </c>
      <c r="H141" s="534" t="s">
        <v>36</v>
      </c>
      <c r="I141" s="534" t="s">
        <v>36</v>
      </c>
      <c r="J141" s="534" t="s">
        <v>36</v>
      </c>
      <c r="K141" s="533">
        <v>240</v>
      </c>
      <c r="L141" s="533">
        <v>0</v>
      </c>
      <c r="M141" s="533">
        <v>0</v>
      </c>
      <c r="N141" s="533">
        <v>0</v>
      </c>
      <c r="O141" s="533">
        <v>0</v>
      </c>
      <c r="P141" s="533">
        <v>0</v>
      </c>
      <c r="Q141" s="533">
        <v>0</v>
      </c>
      <c r="R141" s="533">
        <v>0</v>
      </c>
      <c r="S141" s="533">
        <v>0</v>
      </c>
      <c r="T141" s="533">
        <v>0</v>
      </c>
      <c r="U141" s="533">
        <v>0</v>
      </c>
      <c r="V141" s="533">
        <v>0</v>
      </c>
      <c r="W141" s="533">
        <v>0</v>
      </c>
      <c r="X141" s="533">
        <v>0</v>
      </c>
      <c r="Y141" s="533">
        <v>0</v>
      </c>
      <c r="Z141" s="533">
        <v>0</v>
      </c>
      <c r="AA141" s="533">
        <v>240</v>
      </c>
      <c r="AB141" s="533">
        <v>0</v>
      </c>
      <c r="AC141" s="533">
        <v>240</v>
      </c>
      <c r="AD141" s="533">
        <v>0</v>
      </c>
      <c r="AE141" s="533">
        <v>0</v>
      </c>
      <c r="AF141" s="533">
        <v>0</v>
      </c>
      <c r="AG141" s="533">
        <v>0</v>
      </c>
      <c r="AH141" s="533">
        <v>0</v>
      </c>
      <c r="AI141" s="533">
        <v>0</v>
      </c>
      <c r="AJ141" s="533">
        <v>0</v>
      </c>
      <c r="AK141" s="533">
        <v>0</v>
      </c>
      <c r="AL141" s="533">
        <v>0</v>
      </c>
      <c r="AO141" s="530" t="s">
        <v>1065</v>
      </c>
      <c r="AP141" s="535">
        <f>AB142/1000</f>
        <v>0</v>
      </c>
      <c r="AQ141" s="532" t="s">
        <v>634</v>
      </c>
    </row>
    <row r="142" spans="1:43">
      <c r="A142" s="532" t="s">
        <v>587</v>
      </c>
      <c r="B142" s="533">
        <v>0</v>
      </c>
      <c r="C142" s="533">
        <v>0</v>
      </c>
      <c r="D142" s="533">
        <v>0</v>
      </c>
      <c r="E142" s="533">
        <v>0</v>
      </c>
      <c r="F142" s="533">
        <v>0</v>
      </c>
      <c r="G142" s="534" t="s">
        <v>36</v>
      </c>
      <c r="H142" s="534" t="s">
        <v>36</v>
      </c>
      <c r="I142" s="534" t="s">
        <v>36</v>
      </c>
      <c r="J142" s="534" t="s">
        <v>36</v>
      </c>
      <c r="K142" s="533">
        <v>0</v>
      </c>
      <c r="L142" s="533">
        <v>0</v>
      </c>
      <c r="M142" s="533">
        <v>0</v>
      </c>
      <c r="N142" s="533">
        <v>0</v>
      </c>
      <c r="O142" s="533">
        <v>0</v>
      </c>
      <c r="P142" s="533">
        <v>0</v>
      </c>
      <c r="Q142" s="533">
        <v>0</v>
      </c>
      <c r="R142" s="533">
        <v>0</v>
      </c>
      <c r="S142" s="533">
        <v>0</v>
      </c>
      <c r="T142" s="533">
        <v>0</v>
      </c>
      <c r="U142" s="533">
        <v>0</v>
      </c>
      <c r="V142" s="533">
        <v>0</v>
      </c>
      <c r="W142" s="533">
        <v>0</v>
      </c>
      <c r="X142" s="533">
        <v>0</v>
      </c>
      <c r="Y142" s="533">
        <v>0</v>
      </c>
      <c r="Z142" s="533">
        <v>0</v>
      </c>
      <c r="AA142" s="533">
        <v>0</v>
      </c>
      <c r="AB142" s="533">
        <v>0</v>
      </c>
      <c r="AC142" s="533">
        <v>0</v>
      </c>
      <c r="AD142" s="533">
        <v>0</v>
      </c>
      <c r="AE142" s="533">
        <v>0</v>
      </c>
      <c r="AF142" s="533">
        <v>0</v>
      </c>
      <c r="AG142" s="533">
        <v>0</v>
      </c>
      <c r="AH142" s="533">
        <v>0</v>
      </c>
      <c r="AI142" s="533">
        <v>0</v>
      </c>
      <c r="AJ142" s="533">
        <v>0</v>
      </c>
      <c r="AK142" s="533">
        <v>0</v>
      </c>
      <c r="AL142" s="533">
        <v>0</v>
      </c>
      <c r="AO142" s="530" t="s">
        <v>1066</v>
      </c>
      <c r="AP142" s="535">
        <f>AB143/1000</f>
        <v>0</v>
      </c>
      <c r="AQ142" s="532" t="s">
        <v>634</v>
      </c>
    </row>
    <row r="143" spans="1:43">
      <c r="A143" s="532" t="s">
        <v>588</v>
      </c>
      <c r="B143" s="533">
        <v>240</v>
      </c>
      <c r="C143" s="533">
        <v>0</v>
      </c>
      <c r="D143" s="533">
        <v>0</v>
      </c>
      <c r="E143" s="533">
        <v>0</v>
      </c>
      <c r="F143" s="533">
        <v>0</v>
      </c>
      <c r="G143" s="534" t="s">
        <v>36</v>
      </c>
      <c r="H143" s="534" t="s">
        <v>36</v>
      </c>
      <c r="I143" s="534" t="s">
        <v>36</v>
      </c>
      <c r="J143" s="534" t="s">
        <v>36</v>
      </c>
      <c r="K143" s="533">
        <v>240</v>
      </c>
      <c r="L143" s="533">
        <v>0</v>
      </c>
      <c r="M143" s="533">
        <v>0</v>
      </c>
      <c r="N143" s="533">
        <v>0</v>
      </c>
      <c r="O143" s="533">
        <v>0</v>
      </c>
      <c r="P143" s="533">
        <v>0</v>
      </c>
      <c r="Q143" s="533">
        <v>0</v>
      </c>
      <c r="R143" s="533">
        <v>0</v>
      </c>
      <c r="S143" s="533">
        <v>0</v>
      </c>
      <c r="T143" s="533">
        <v>0</v>
      </c>
      <c r="U143" s="533">
        <v>0</v>
      </c>
      <c r="V143" s="533">
        <v>0</v>
      </c>
      <c r="W143" s="533">
        <v>0</v>
      </c>
      <c r="X143" s="533">
        <v>0</v>
      </c>
      <c r="Y143" s="533">
        <v>0</v>
      </c>
      <c r="Z143" s="533">
        <v>0</v>
      </c>
      <c r="AA143" s="533">
        <v>240</v>
      </c>
      <c r="AB143" s="533">
        <v>0</v>
      </c>
      <c r="AC143" s="533">
        <v>240</v>
      </c>
      <c r="AD143" s="533">
        <v>0</v>
      </c>
      <c r="AE143" s="533">
        <v>0</v>
      </c>
      <c r="AF143" s="533">
        <v>0</v>
      </c>
      <c r="AG143" s="533">
        <v>0</v>
      </c>
      <c r="AH143" s="533">
        <v>0</v>
      </c>
      <c r="AI143" s="533">
        <v>0</v>
      </c>
      <c r="AJ143" s="533">
        <v>0</v>
      </c>
      <c r="AK143" s="533">
        <v>0</v>
      </c>
      <c r="AL143" s="533">
        <v>0</v>
      </c>
      <c r="AO143" s="530" t="s">
        <v>1065</v>
      </c>
      <c r="AP143" s="535">
        <f>AC142/1000</f>
        <v>0</v>
      </c>
      <c r="AQ143" s="532" t="s">
        <v>635</v>
      </c>
    </row>
    <row r="144" spans="1:43">
      <c r="AO144" s="530" t="s">
        <v>1066</v>
      </c>
      <c r="AP144" s="535">
        <f>AC143/1000</f>
        <v>0.24</v>
      </c>
      <c r="AQ144" s="532" t="s">
        <v>635</v>
      </c>
    </row>
    <row r="145" spans="1:43">
      <c r="A145" s="529" t="s">
        <v>589</v>
      </c>
    </row>
    <row r="146" spans="1:43">
      <c r="A146" s="529" t="s">
        <v>36</v>
      </c>
      <c r="B146" s="529" t="s">
        <v>590</v>
      </c>
    </row>
    <row r="148" spans="1:43">
      <c r="A148" s="529" t="s">
        <v>340</v>
      </c>
      <c r="B148" s="529" t="s">
        <v>576</v>
      </c>
    </row>
    <row r="149" spans="1:43">
      <c r="A149" s="529" t="s">
        <v>578</v>
      </c>
      <c r="B149" s="529" t="s">
        <v>298</v>
      </c>
    </row>
    <row r="150" spans="1:43">
      <c r="A150" s="529" t="s">
        <v>343</v>
      </c>
      <c r="B150" s="529" t="s">
        <v>184</v>
      </c>
    </row>
    <row r="152" spans="1:43">
      <c r="A152" s="532" t="s">
        <v>592</v>
      </c>
      <c r="B152" s="532" t="s">
        <v>611</v>
      </c>
      <c r="C152" s="532" t="s">
        <v>612</v>
      </c>
      <c r="D152" s="532" t="s">
        <v>613</v>
      </c>
      <c r="E152" s="532" t="s">
        <v>614</v>
      </c>
      <c r="F152" s="532" t="s">
        <v>615</v>
      </c>
      <c r="G152" s="532" t="s">
        <v>616</v>
      </c>
      <c r="H152" s="532" t="s">
        <v>617</v>
      </c>
      <c r="I152" s="532" t="s">
        <v>618</v>
      </c>
      <c r="J152" s="532" t="s">
        <v>619</v>
      </c>
      <c r="K152" s="532" t="s">
        <v>620</v>
      </c>
      <c r="L152" s="532" t="s">
        <v>621</v>
      </c>
      <c r="M152" s="532" t="s">
        <v>622</v>
      </c>
      <c r="N152" s="532" t="s">
        <v>623</v>
      </c>
      <c r="O152" s="532" t="s">
        <v>225</v>
      </c>
      <c r="P152" s="532" t="s">
        <v>624</v>
      </c>
      <c r="Q152" s="532" t="s">
        <v>625</v>
      </c>
      <c r="R152" s="532" t="s">
        <v>626</v>
      </c>
      <c r="S152" s="532" t="s">
        <v>227</v>
      </c>
      <c r="T152" s="532" t="s">
        <v>627</v>
      </c>
      <c r="U152" s="532" t="s">
        <v>628</v>
      </c>
      <c r="V152" s="532" t="s">
        <v>629</v>
      </c>
      <c r="W152" s="532" t="s">
        <v>630</v>
      </c>
      <c r="X152" s="532" t="s">
        <v>631</v>
      </c>
      <c r="Y152" s="532" t="s">
        <v>632</v>
      </c>
      <c r="Z152" s="532" t="s">
        <v>633</v>
      </c>
      <c r="AA152" s="532" t="s">
        <v>229</v>
      </c>
      <c r="AB152" s="532" t="s">
        <v>634</v>
      </c>
      <c r="AC152" s="532" t="s">
        <v>635</v>
      </c>
      <c r="AD152" s="532" t="s">
        <v>636</v>
      </c>
      <c r="AE152" s="532" t="s">
        <v>637</v>
      </c>
      <c r="AF152" s="532" t="s">
        <v>638</v>
      </c>
      <c r="AG152" s="532" t="s">
        <v>639</v>
      </c>
      <c r="AH152" s="532" t="s">
        <v>640</v>
      </c>
      <c r="AI152" s="532" t="s">
        <v>641</v>
      </c>
      <c r="AJ152" s="532" t="s">
        <v>642</v>
      </c>
      <c r="AK152" s="532" t="s">
        <v>643</v>
      </c>
      <c r="AL152" s="532" t="s">
        <v>644</v>
      </c>
      <c r="AP152" s="530" t="str">
        <f>B150</f>
        <v>Spain</v>
      </c>
    </row>
    <row r="153" spans="1:43">
      <c r="A153" s="532" t="s">
        <v>583</v>
      </c>
      <c r="B153" s="533">
        <v>184080</v>
      </c>
      <c r="C153" s="533">
        <v>0</v>
      </c>
      <c r="D153" s="533">
        <v>0</v>
      </c>
      <c r="E153" s="533">
        <v>0</v>
      </c>
      <c r="F153" s="533">
        <v>0</v>
      </c>
      <c r="G153" s="534" t="s">
        <v>36</v>
      </c>
      <c r="H153" s="534" t="s">
        <v>36</v>
      </c>
      <c r="I153" s="534" t="s">
        <v>36</v>
      </c>
      <c r="J153" s="534" t="s">
        <v>36</v>
      </c>
      <c r="K153" s="533">
        <v>184080</v>
      </c>
      <c r="L153" s="533">
        <v>0</v>
      </c>
      <c r="M153" s="533">
        <v>0</v>
      </c>
      <c r="N153" s="533">
        <v>0</v>
      </c>
      <c r="O153" s="533">
        <v>0</v>
      </c>
      <c r="P153" s="533">
        <v>0</v>
      </c>
      <c r="Q153" s="533">
        <v>0</v>
      </c>
      <c r="R153" s="533">
        <v>0</v>
      </c>
      <c r="S153" s="533">
        <v>0</v>
      </c>
      <c r="T153" s="533">
        <v>0</v>
      </c>
      <c r="U153" s="533">
        <v>0</v>
      </c>
      <c r="V153" s="533">
        <v>0</v>
      </c>
      <c r="W153" s="533">
        <v>0</v>
      </c>
      <c r="X153" s="533">
        <v>0</v>
      </c>
      <c r="Y153" s="533">
        <v>0</v>
      </c>
      <c r="Z153" s="533">
        <v>0</v>
      </c>
      <c r="AA153" s="533">
        <v>177040</v>
      </c>
      <c r="AB153" s="533">
        <v>105600</v>
      </c>
      <c r="AC153" s="533">
        <v>71440</v>
      </c>
      <c r="AD153" s="533">
        <v>7040</v>
      </c>
      <c r="AE153" s="533">
        <v>0</v>
      </c>
      <c r="AF153" s="533">
        <v>0</v>
      </c>
      <c r="AG153" s="533">
        <v>0</v>
      </c>
      <c r="AH153" s="533">
        <v>7040</v>
      </c>
      <c r="AI153" s="533">
        <v>0</v>
      </c>
      <c r="AJ153" s="533">
        <v>0</v>
      </c>
      <c r="AK153" s="533">
        <v>0</v>
      </c>
      <c r="AL153" s="533">
        <v>0</v>
      </c>
      <c r="AO153" s="530" t="str">
        <f>A157</f>
        <v>Transformation input in Autoproducer Electricity Plants</v>
      </c>
      <c r="AP153" s="530">
        <f>B157/1000</f>
        <v>0</v>
      </c>
      <c r="AQ153" s="530" t="str">
        <f>B152</f>
        <v>Total petroleum products</v>
      </c>
    </row>
    <row r="154" spans="1:43">
      <c r="A154" s="532" t="s">
        <v>584</v>
      </c>
      <c r="B154" s="533">
        <v>184080</v>
      </c>
      <c r="C154" s="533">
        <v>0</v>
      </c>
      <c r="D154" s="533">
        <v>0</v>
      </c>
      <c r="E154" s="533">
        <v>0</v>
      </c>
      <c r="F154" s="533">
        <v>0</v>
      </c>
      <c r="G154" s="534" t="s">
        <v>36</v>
      </c>
      <c r="H154" s="534" t="s">
        <v>36</v>
      </c>
      <c r="I154" s="534" t="s">
        <v>36</v>
      </c>
      <c r="J154" s="534" t="s">
        <v>36</v>
      </c>
      <c r="K154" s="533">
        <v>184080</v>
      </c>
      <c r="L154" s="533">
        <v>0</v>
      </c>
      <c r="M154" s="533">
        <v>0</v>
      </c>
      <c r="N154" s="533">
        <v>0</v>
      </c>
      <c r="O154" s="533">
        <v>0</v>
      </c>
      <c r="P154" s="533">
        <v>0</v>
      </c>
      <c r="Q154" s="533">
        <v>0</v>
      </c>
      <c r="R154" s="533">
        <v>0</v>
      </c>
      <c r="S154" s="533">
        <v>0</v>
      </c>
      <c r="T154" s="533">
        <v>0</v>
      </c>
      <c r="U154" s="533">
        <v>0</v>
      </c>
      <c r="V154" s="533">
        <v>0</v>
      </c>
      <c r="W154" s="533">
        <v>0</v>
      </c>
      <c r="X154" s="533">
        <v>0</v>
      </c>
      <c r="Y154" s="533">
        <v>0</v>
      </c>
      <c r="Z154" s="533">
        <v>0</v>
      </c>
      <c r="AA154" s="533">
        <v>177040</v>
      </c>
      <c r="AB154" s="533">
        <v>105600</v>
      </c>
      <c r="AC154" s="533">
        <v>71440</v>
      </c>
      <c r="AD154" s="533">
        <v>7040</v>
      </c>
      <c r="AE154" s="533">
        <v>0</v>
      </c>
      <c r="AF154" s="533">
        <v>0</v>
      </c>
      <c r="AG154" s="533">
        <v>0</v>
      </c>
      <c r="AH154" s="533">
        <v>7040</v>
      </c>
      <c r="AI154" s="533">
        <v>0</v>
      </c>
      <c r="AJ154" s="533">
        <v>0</v>
      </c>
      <c r="AK154" s="533">
        <v>0</v>
      </c>
      <c r="AL154" s="533">
        <v>0</v>
      </c>
      <c r="AO154" s="530" t="s">
        <v>1065</v>
      </c>
      <c r="AP154" s="530">
        <f>L157/1000</f>
        <v>0</v>
      </c>
      <c r="AQ154" s="532" t="s">
        <v>621</v>
      </c>
    </row>
    <row r="155" spans="1:43">
      <c r="A155" s="532" t="s">
        <v>585</v>
      </c>
      <c r="B155" s="533">
        <v>0</v>
      </c>
      <c r="C155" s="533">
        <v>0</v>
      </c>
      <c r="D155" s="533">
        <v>0</v>
      </c>
      <c r="E155" s="533">
        <v>0</v>
      </c>
      <c r="F155" s="533">
        <v>0</v>
      </c>
      <c r="G155" s="534" t="s">
        <v>36</v>
      </c>
      <c r="H155" s="534" t="s">
        <v>36</v>
      </c>
      <c r="I155" s="534" t="s">
        <v>36</v>
      </c>
      <c r="J155" s="534" t="s">
        <v>36</v>
      </c>
      <c r="K155" s="533">
        <v>0</v>
      </c>
      <c r="L155" s="533">
        <v>0</v>
      </c>
      <c r="M155" s="533">
        <v>0</v>
      </c>
      <c r="N155" s="533">
        <v>0</v>
      </c>
      <c r="O155" s="533">
        <v>0</v>
      </c>
      <c r="P155" s="533">
        <v>0</v>
      </c>
      <c r="Q155" s="533">
        <v>0</v>
      </c>
      <c r="R155" s="533">
        <v>0</v>
      </c>
      <c r="S155" s="533">
        <v>0</v>
      </c>
      <c r="T155" s="533">
        <v>0</v>
      </c>
      <c r="U155" s="533">
        <v>0</v>
      </c>
      <c r="V155" s="533">
        <v>0</v>
      </c>
      <c r="W155" s="533">
        <v>0</v>
      </c>
      <c r="X155" s="533">
        <v>0</v>
      </c>
      <c r="Y155" s="533">
        <v>0</v>
      </c>
      <c r="Z155" s="533">
        <v>0</v>
      </c>
      <c r="AA155" s="533">
        <v>0</v>
      </c>
      <c r="AB155" s="533">
        <v>0</v>
      </c>
      <c r="AC155" s="533">
        <v>0</v>
      </c>
      <c r="AD155" s="533">
        <v>0</v>
      </c>
      <c r="AE155" s="533">
        <v>0</v>
      </c>
      <c r="AF155" s="533">
        <v>0</v>
      </c>
      <c r="AG155" s="533">
        <v>0</v>
      </c>
      <c r="AH155" s="533">
        <v>0</v>
      </c>
      <c r="AI155" s="533">
        <v>0</v>
      </c>
      <c r="AJ155" s="533">
        <v>0</v>
      </c>
      <c r="AK155" s="533">
        <v>0</v>
      </c>
      <c r="AL155" s="533">
        <v>0</v>
      </c>
      <c r="AO155" s="530" t="s">
        <v>1066</v>
      </c>
      <c r="AP155" s="530">
        <f>L158/1000</f>
        <v>0</v>
      </c>
      <c r="AQ155" s="532" t="s">
        <v>621</v>
      </c>
    </row>
    <row r="156" spans="1:43">
      <c r="A156" s="532" t="s">
        <v>586</v>
      </c>
      <c r="B156" s="533">
        <v>35680</v>
      </c>
      <c r="C156" s="533">
        <v>0</v>
      </c>
      <c r="D156" s="533">
        <v>0</v>
      </c>
      <c r="E156" s="533">
        <v>0</v>
      </c>
      <c r="F156" s="533">
        <v>0</v>
      </c>
      <c r="G156" s="534" t="s">
        <v>36</v>
      </c>
      <c r="H156" s="534" t="s">
        <v>36</v>
      </c>
      <c r="I156" s="534" t="s">
        <v>36</v>
      </c>
      <c r="J156" s="534" t="s">
        <v>36</v>
      </c>
      <c r="K156" s="533">
        <v>35680</v>
      </c>
      <c r="L156" s="533">
        <v>0</v>
      </c>
      <c r="M156" s="533">
        <v>0</v>
      </c>
      <c r="N156" s="533">
        <v>0</v>
      </c>
      <c r="O156" s="533">
        <v>0</v>
      </c>
      <c r="P156" s="533">
        <v>0</v>
      </c>
      <c r="Q156" s="533">
        <v>0</v>
      </c>
      <c r="R156" s="533">
        <v>0</v>
      </c>
      <c r="S156" s="533">
        <v>0</v>
      </c>
      <c r="T156" s="533">
        <v>0</v>
      </c>
      <c r="U156" s="533">
        <v>0</v>
      </c>
      <c r="V156" s="533">
        <v>0</v>
      </c>
      <c r="W156" s="533">
        <v>0</v>
      </c>
      <c r="X156" s="533">
        <v>0</v>
      </c>
      <c r="Y156" s="533">
        <v>0</v>
      </c>
      <c r="Z156" s="533">
        <v>0</v>
      </c>
      <c r="AA156" s="533">
        <v>35680</v>
      </c>
      <c r="AB156" s="533">
        <v>20520</v>
      </c>
      <c r="AC156" s="533">
        <v>15160</v>
      </c>
      <c r="AD156" s="533">
        <v>0</v>
      </c>
      <c r="AE156" s="533">
        <v>0</v>
      </c>
      <c r="AF156" s="533">
        <v>0</v>
      </c>
      <c r="AG156" s="533">
        <v>0</v>
      </c>
      <c r="AH156" s="533">
        <v>0</v>
      </c>
      <c r="AI156" s="533">
        <v>0</v>
      </c>
      <c r="AJ156" s="533">
        <v>0</v>
      </c>
      <c r="AK156" s="533">
        <v>0</v>
      </c>
      <c r="AL156" s="533">
        <v>0</v>
      </c>
      <c r="AO156" s="530" t="s">
        <v>1065</v>
      </c>
      <c r="AP156" s="535">
        <f>AB157/1000</f>
        <v>0</v>
      </c>
      <c r="AQ156" s="532" t="s">
        <v>634</v>
      </c>
    </row>
    <row r="157" spans="1:43">
      <c r="A157" s="532" t="s">
        <v>587</v>
      </c>
      <c r="B157" s="533">
        <v>0</v>
      </c>
      <c r="C157" s="533">
        <v>0</v>
      </c>
      <c r="D157" s="533">
        <v>0</v>
      </c>
      <c r="E157" s="533">
        <v>0</v>
      </c>
      <c r="F157" s="533">
        <v>0</v>
      </c>
      <c r="G157" s="534" t="s">
        <v>36</v>
      </c>
      <c r="H157" s="534" t="s">
        <v>36</v>
      </c>
      <c r="I157" s="534" t="s">
        <v>36</v>
      </c>
      <c r="J157" s="534" t="s">
        <v>36</v>
      </c>
      <c r="K157" s="533">
        <v>0</v>
      </c>
      <c r="L157" s="533">
        <v>0</v>
      </c>
      <c r="M157" s="533">
        <v>0</v>
      </c>
      <c r="N157" s="533">
        <v>0</v>
      </c>
      <c r="O157" s="533">
        <v>0</v>
      </c>
      <c r="P157" s="533">
        <v>0</v>
      </c>
      <c r="Q157" s="533">
        <v>0</v>
      </c>
      <c r="R157" s="533">
        <v>0</v>
      </c>
      <c r="S157" s="533">
        <v>0</v>
      </c>
      <c r="T157" s="533">
        <v>0</v>
      </c>
      <c r="U157" s="533">
        <v>0</v>
      </c>
      <c r="V157" s="533">
        <v>0</v>
      </c>
      <c r="W157" s="533">
        <v>0</v>
      </c>
      <c r="X157" s="533">
        <v>0</v>
      </c>
      <c r="Y157" s="533">
        <v>0</v>
      </c>
      <c r="Z157" s="533">
        <v>0</v>
      </c>
      <c r="AA157" s="533">
        <v>0</v>
      </c>
      <c r="AB157" s="533">
        <v>0</v>
      </c>
      <c r="AC157" s="533">
        <v>0</v>
      </c>
      <c r="AD157" s="533">
        <v>0</v>
      </c>
      <c r="AE157" s="533">
        <v>0</v>
      </c>
      <c r="AF157" s="533">
        <v>0</v>
      </c>
      <c r="AG157" s="533">
        <v>0</v>
      </c>
      <c r="AH157" s="533">
        <v>0</v>
      </c>
      <c r="AI157" s="533">
        <v>0</v>
      </c>
      <c r="AJ157" s="533">
        <v>0</v>
      </c>
      <c r="AK157" s="533">
        <v>0</v>
      </c>
      <c r="AL157" s="533">
        <v>0</v>
      </c>
      <c r="AO157" s="530" t="s">
        <v>1066</v>
      </c>
      <c r="AP157" s="535">
        <f>AB158/1000</f>
        <v>20.52</v>
      </c>
      <c r="AQ157" s="532" t="s">
        <v>634</v>
      </c>
    </row>
    <row r="158" spans="1:43">
      <c r="A158" s="532" t="s">
        <v>588</v>
      </c>
      <c r="B158" s="533">
        <v>35680</v>
      </c>
      <c r="C158" s="533">
        <v>0</v>
      </c>
      <c r="D158" s="533">
        <v>0</v>
      </c>
      <c r="E158" s="533">
        <v>0</v>
      </c>
      <c r="F158" s="533">
        <v>0</v>
      </c>
      <c r="G158" s="534" t="s">
        <v>36</v>
      </c>
      <c r="H158" s="534" t="s">
        <v>36</v>
      </c>
      <c r="I158" s="534" t="s">
        <v>36</v>
      </c>
      <c r="J158" s="534" t="s">
        <v>36</v>
      </c>
      <c r="K158" s="533">
        <v>35680</v>
      </c>
      <c r="L158" s="533">
        <v>0</v>
      </c>
      <c r="M158" s="533">
        <v>0</v>
      </c>
      <c r="N158" s="533">
        <v>0</v>
      </c>
      <c r="O158" s="533">
        <v>0</v>
      </c>
      <c r="P158" s="533">
        <v>0</v>
      </c>
      <c r="Q158" s="533">
        <v>0</v>
      </c>
      <c r="R158" s="533">
        <v>0</v>
      </c>
      <c r="S158" s="533">
        <v>0</v>
      </c>
      <c r="T158" s="533">
        <v>0</v>
      </c>
      <c r="U158" s="533">
        <v>0</v>
      </c>
      <c r="V158" s="533">
        <v>0</v>
      </c>
      <c r="W158" s="533">
        <v>0</v>
      </c>
      <c r="X158" s="533">
        <v>0</v>
      </c>
      <c r="Y158" s="533">
        <v>0</v>
      </c>
      <c r="Z158" s="533">
        <v>0</v>
      </c>
      <c r="AA158" s="533">
        <v>35680</v>
      </c>
      <c r="AB158" s="533">
        <v>20520</v>
      </c>
      <c r="AC158" s="533">
        <v>15160</v>
      </c>
      <c r="AD158" s="533">
        <v>0</v>
      </c>
      <c r="AE158" s="533">
        <v>0</v>
      </c>
      <c r="AF158" s="533">
        <v>0</v>
      </c>
      <c r="AG158" s="533">
        <v>0</v>
      </c>
      <c r="AH158" s="533">
        <v>0</v>
      </c>
      <c r="AI158" s="533">
        <v>0</v>
      </c>
      <c r="AJ158" s="533">
        <v>0</v>
      </c>
      <c r="AK158" s="533">
        <v>0</v>
      </c>
      <c r="AL158" s="533">
        <v>0</v>
      </c>
      <c r="AO158" s="530" t="s">
        <v>1065</v>
      </c>
      <c r="AP158" s="535">
        <f>AC157/1000</f>
        <v>0</v>
      </c>
      <c r="AQ158" s="532" t="s">
        <v>635</v>
      </c>
    </row>
    <row r="159" spans="1:43">
      <c r="AO159" s="530" t="s">
        <v>1066</v>
      </c>
      <c r="AP159" s="535">
        <f>AC158/1000</f>
        <v>15.16</v>
      </c>
      <c r="AQ159" s="532" t="s">
        <v>635</v>
      </c>
    </row>
    <row r="160" spans="1:43">
      <c r="A160" s="529" t="s">
        <v>589</v>
      </c>
    </row>
    <row r="161" spans="1:43">
      <c r="A161" s="529" t="s">
        <v>36</v>
      </c>
      <c r="B161" s="529" t="s">
        <v>590</v>
      </c>
    </row>
    <row r="163" spans="1:43">
      <c r="A163" s="529" t="s">
        <v>340</v>
      </c>
      <c r="B163" s="529" t="s">
        <v>576</v>
      </c>
    </row>
    <row r="164" spans="1:43">
      <c r="A164" s="529" t="s">
        <v>578</v>
      </c>
      <c r="B164" s="529" t="s">
        <v>298</v>
      </c>
    </row>
    <row r="165" spans="1:43">
      <c r="A165" s="529" t="s">
        <v>343</v>
      </c>
      <c r="B165" s="529" t="s">
        <v>185</v>
      </c>
    </row>
    <row r="167" spans="1:43">
      <c r="A167" s="532" t="s">
        <v>592</v>
      </c>
      <c r="B167" s="532" t="s">
        <v>611</v>
      </c>
      <c r="C167" s="532" t="s">
        <v>612</v>
      </c>
      <c r="D167" s="532" t="s">
        <v>613</v>
      </c>
      <c r="E167" s="532" t="s">
        <v>614</v>
      </c>
      <c r="F167" s="532" t="s">
        <v>615</v>
      </c>
      <c r="G167" s="532" t="s">
        <v>616</v>
      </c>
      <c r="H167" s="532" t="s">
        <v>617</v>
      </c>
      <c r="I167" s="532" t="s">
        <v>618</v>
      </c>
      <c r="J167" s="532" t="s">
        <v>619</v>
      </c>
      <c r="K167" s="532" t="s">
        <v>620</v>
      </c>
      <c r="L167" s="532" t="s">
        <v>621</v>
      </c>
      <c r="M167" s="532" t="s">
        <v>622</v>
      </c>
      <c r="N167" s="532" t="s">
        <v>623</v>
      </c>
      <c r="O167" s="532" t="s">
        <v>225</v>
      </c>
      <c r="P167" s="532" t="s">
        <v>624</v>
      </c>
      <c r="Q167" s="532" t="s">
        <v>625</v>
      </c>
      <c r="R167" s="532" t="s">
        <v>626</v>
      </c>
      <c r="S167" s="532" t="s">
        <v>227</v>
      </c>
      <c r="T167" s="532" t="s">
        <v>627</v>
      </c>
      <c r="U167" s="532" t="s">
        <v>628</v>
      </c>
      <c r="V167" s="532" t="s">
        <v>629</v>
      </c>
      <c r="W167" s="532" t="s">
        <v>630</v>
      </c>
      <c r="X167" s="532" t="s">
        <v>631</v>
      </c>
      <c r="Y167" s="532" t="s">
        <v>632</v>
      </c>
      <c r="Z167" s="532" t="s">
        <v>633</v>
      </c>
      <c r="AA167" s="532" t="s">
        <v>229</v>
      </c>
      <c r="AB167" s="532" t="s">
        <v>634</v>
      </c>
      <c r="AC167" s="532" t="s">
        <v>635</v>
      </c>
      <c r="AD167" s="532" t="s">
        <v>636</v>
      </c>
      <c r="AE167" s="532" t="s">
        <v>637</v>
      </c>
      <c r="AF167" s="532" t="s">
        <v>638</v>
      </c>
      <c r="AG167" s="532" t="s">
        <v>639</v>
      </c>
      <c r="AH167" s="532" t="s">
        <v>640</v>
      </c>
      <c r="AI167" s="532" t="s">
        <v>641</v>
      </c>
      <c r="AJ167" s="532" t="s">
        <v>642</v>
      </c>
      <c r="AK167" s="532" t="s">
        <v>643</v>
      </c>
      <c r="AL167" s="532" t="s">
        <v>644</v>
      </c>
      <c r="AP167" s="530" t="str">
        <f>B165</f>
        <v>France</v>
      </c>
    </row>
    <row r="168" spans="1:43">
      <c r="A168" s="532" t="s">
        <v>583</v>
      </c>
      <c r="B168" s="533">
        <v>68005</v>
      </c>
      <c r="C168" s="533">
        <v>0</v>
      </c>
      <c r="D168" s="533">
        <v>0</v>
      </c>
      <c r="E168" s="533">
        <v>0</v>
      </c>
      <c r="F168" s="533">
        <v>0</v>
      </c>
      <c r="G168" s="534" t="s">
        <v>36</v>
      </c>
      <c r="H168" s="534" t="s">
        <v>36</v>
      </c>
      <c r="I168" s="534" t="s">
        <v>36</v>
      </c>
      <c r="J168" s="534" t="s">
        <v>36</v>
      </c>
      <c r="K168" s="533">
        <v>68005</v>
      </c>
      <c r="L168" s="533">
        <v>0</v>
      </c>
      <c r="M168" s="533">
        <v>0</v>
      </c>
      <c r="N168" s="533">
        <v>0</v>
      </c>
      <c r="O168" s="533">
        <v>0</v>
      </c>
      <c r="P168" s="533">
        <v>0</v>
      </c>
      <c r="Q168" s="533">
        <v>0</v>
      </c>
      <c r="R168" s="533">
        <v>0</v>
      </c>
      <c r="S168" s="533">
        <v>0</v>
      </c>
      <c r="T168" s="533">
        <v>0</v>
      </c>
      <c r="U168" s="533">
        <v>0</v>
      </c>
      <c r="V168" s="533">
        <v>0</v>
      </c>
      <c r="W168" s="533">
        <v>0</v>
      </c>
      <c r="X168" s="533">
        <v>3621</v>
      </c>
      <c r="Y168" s="533">
        <v>0</v>
      </c>
      <c r="Z168" s="533">
        <v>3621</v>
      </c>
      <c r="AA168" s="533">
        <v>46640</v>
      </c>
      <c r="AB168" s="533">
        <v>46640</v>
      </c>
      <c r="AC168" s="533">
        <v>0</v>
      </c>
      <c r="AD168" s="533">
        <v>17744</v>
      </c>
      <c r="AE168" s="533">
        <v>0</v>
      </c>
      <c r="AF168" s="533">
        <v>0</v>
      </c>
      <c r="AG168" s="533">
        <v>0</v>
      </c>
      <c r="AH168" s="533">
        <v>6624</v>
      </c>
      <c r="AI168" s="533">
        <v>0</v>
      </c>
      <c r="AJ168" s="533">
        <v>11120</v>
      </c>
      <c r="AK168" s="533">
        <v>0</v>
      </c>
      <c r="AL168" s="533">
        <v>0</v>
      </c>
      <c r="AO168" s="530" t="str">
        <f>A172</f>
        <v>Transformation input in Autoproducer Electricity Plants</v>
      </c>
      <c r="AP168" s="530">
        <f>B172/1000</f>
        <v>9.6449999999999996</v>
      </c>
      <c r="AQ168" s="530" t="str">
        <f>B167</f>
        <v>Total petroleum products</v>
      </c>
    </row>
    <row r="169" spans="1:43">
      <c r="A169" s="532" t="s">
        <v>584</v>
      </c>
      <c r="B169" s="533">
        <v>56360</v>
      </c>
      <c r="C169" s="533">
        <v>0</v>
      </c>
      <c r="D169" s="533">
        <v>0</v>
      </c>
      <c r="E169" s="533">
        <v>0</v>
      </c>
      <c r="F169" s="533">
        <v>0</v>
      </c>
      <c r="G169" s="534" t="s">
        <v>36</v>
      </c>
      <c r="H169" s="534" t="s">
        <v>36</v>
      </c>
      <c r="I169" s="534" t="s">
        <v>36</v>
      </c>
      <c r="J169" s="534" t="s">
        <v>36</v>
      </c>
      <c r="K169" s="533">
        <v>56360</v>
      </c>
      <c r="L169" s="533">
        <v>0</v>
      </c>
      <c r="M169" s="533">
        <v>0</v>
      </c>
      <c r="N169" s="533">
        <v>0</v>
      </c>
      <c r="O169" s="533">
        <v>0</v>
      </c>
      <c r="P169" s="533">
        <v>0</v>
      </c>
      <c r="Q169" s="533">
        <v>0</v>
      </c>
      <c r="R169" s="533">
        <v>0</v>
      </c>
      <c r="S169" s="533">
        <v>0</v>
      </c>
      <c r="T169" s="533">
        <v>0</v>
      </c>
      <c r="U169" s="533">
        <v>0</v>
      </c>
      <c r="V169" s="533">
        <v>0</v>
      </c>
      <c r="W169" s="533">
        <v>0</v>
      </c>
      <c r="X169" s="533">
        <v>3536</v>
      </c>
      <c r="Y169" s="533">
        <v>0</v>
      </c>
      <c r="Z169" s="533">
        <v>3536</v>
      </c>
      <c r="AA169" s="533">
        <v>46200</v>
      </c>
      <c r="AB169" s="533">
        <v>46200</v>
      </c>
      <c r="AC169" s="533">
        <v>0</v>
      </c>
      <c r="AD169" s="533">
        <v>6624</v>
      </c>
      <c r="AE169" s="533">
        <v>0</v>
      </c>
      <c r="AF169" s="533">
        <v>0</v>
      </c>
      <c r="AG169" s="533">
        <v>0</v>
      </c>
      <c r="AH169" s="533">
        <v>6624</v>
      </c>
      <c r="AI169" s="533">
        <v>0</v>
      </c>
      <c r="AJ169" s="533">
        <v>0</v>
      </c>
      <c r="AK169" s="533">
        <v>0</v>
      </c>
      <c r="AL169" s="533">
        <v>0</v>
      </c>
      <c r="AO169" s="530" t="s">
        <v>1065</v>
      </c>
      <c r="AP169" s="530">
        <f>L172/1000</f>
        <v>0</v>
      </c>
      <c r="AQ169" s="532" t="s">
        <v>621</v>
      </c>
    </row>
    <row r="170" spans="1:43">
      <c r="A170" s="532" t="s">
        <v>585</v>
      </c>
      <c r="B170" s="533">
        <v>11645</v>
      </c>
      <c r="C170" s="533">
        <v>0</v>
      </c>
      <c r="D170" s="533">
        <v>0</v>
      </c>
      <c r="E170" s="533">
        <v>0</v>
      </c>
      <c r="F170" s="533">
        <v>0</v>
      </c>
      <c r="G170" s="534" t="s">
        <v>36</v>
      </c>
      <c r="H170" s="534" t="s">
        <v>36</v>
      </c>
      <c r="I170" s="534" t="s">
        <v>36</v>
      </c>
      <c r="J170" s="534" t="s">
        <v>36</v>
      </c>
      <c r="K170" s="533">
        <v>11645</v>
      </c>
      <c r="L170" s="533">
        <v>0</v>
      </c>
      <c r="M170" s="533">
        <v>0</v>
      </c>
      <c r="N170" s="533">
        <v>0</v>
      </c>
      <c r="O170" s="533">
        <v>0</v>
      </c>
      <c r="P170" s="533">
        <v>0</v>
      </c>
      <c r="Q170" s="533">
        <v>0</v>
      </c>
      <c r="R170" s="533">
        <v>0</v>
      </c>
      <c r="S170" s="533">
        <v>0</v>
      </c>
      <c r="T170" s="533">
        <v>0</v>
      </c>
      <c r="U170" s="533">
        <v>0</v>
      </c>
      <c r="V170" s="533">
        <v>0</v>
      </c>
      <c r="W170" s="533">
        <v>0</v>
      </c>
      <c r="X170" s="533">
        <v>85</v>
      </c>
      <c r="Y170" s="533">
        <v>0</v>
      </c>
      <c r="Z170" s="533">
        <v>85</v>
      </c>
      <c r="AA170" s="533">
        <v>440</v>
      </c>
      <c r="AB170" s="533">
        <v>440</v>
      </c>
      <c r="AC170" s="533">
        <v>0</v>
      </c>
      <c r="AD170" s="533">
        <v>11120</v>
      </c>
      <c r="AE170" s="533">
        <v>0</v>
      </c>
      <c r="AF170" s="533">
        <v>0</v>
      </c>
      <c r="AG170" s="533">
        <v>0</v>
      </c>
      <c r="AH170" s="533">
        <v>0</v>
      </c>
      <c r="AI170" s="533">
        <v>0</v>
      </c>
      <c r="AJ170" s="533">
        <v>11120</v>
      </c>
      <c r="AK170" s="533">
        <v>0</v>
      </c>
      <c r="AL170" s="533">
        <v>0</v>
      </c>
      <c r="AO170" s="530" t="s">
        <v>1066</v>
      </c>
      <c r="AP170" s="530">
        <f>L173/1000</f>
        <v>0.44600000000000001</v>
      </c>
      <c r="AQ170" s="532" t="s">
        <v>621</v>
      </c>
    </row>
    <row r="171" spans="1:43">
      <c r="A171" s="532" t="s">
        <v>586</v>
      </c>
      <c r="B171" s="533">
        <v>23458</v>
      </c>
      <c r="C171" s="533">
        <v>0</v>
      </c>
      <c r="D171" s="533">
        <v>0</v>
      </c>
      <c r="E171" s="533">
        <v>0</v>
      </c>
      <c r="F171" s="533">
        <v>0</v>
      </c>
      <c r="G171" s="534" t="s">
        <v>36</v>
      </c>
      <c r="H171" s="534" t="s">
        <v>36</v>
      </c>
      <c r="I171" s="534" t="s">
        <v>36</v>
      </c>
      <c r="J171" s="534" t="s">
        <v>36</v>
      </c>
      <c r="K171" s="533">
        <v>23458</v>
      </c>
      <c r="L171" s="533">
        <v>446</v>
      </c>
      <c r="M171" s="533">
        <v>0</v>
      </c>
      <c r="N171" s="533">
        <v>446</v>
      </c>
      <c r="O171" s="533">
        <v>0</v>
      </c>
      <c r="P171" s="533">
        <v>0</v>
      </c>
      <c r="Q171" s="533">
        <v>0</v>
      </c>
      <c r="R171" s="533">
        <v>0</v>
      </c>
      <c r="S171" s="533">
        <v>0</v>
      </c>
      <c r="T171" s="533">
        <v>0</v>
      </c>
      <c r="U171" s="533">
        <v>0</v>
      </c>
      <c r="V171" s="533">
        <v>0</v>
      </c>
      <c r="W171" s="533">
        <v>0</v>
      </c>
      <c r="X171" s="533">
        <v>2173</v>
      </c>
      <c r="Y171" s="533">
        <v>0</v>
      </c>
      <c r="Z171" s="533">
        <v>2173</v>
      </c>
      <c r="AA171" s="533">
        <v>13960</v>
      </c>
      <c r="AB171" s="533">
        <v>13960</v>
      </c>
      <c r="AC171" s="533">
        <v>0</v>
      </c>
      <c r="AD171" s="533">
        <v>6880</v>
      </c>
      <c r="AE171" s="533">
        <v>0</v>
      </c>
      <c r="AF171" s="533">
        <v>0</v>
      </c>
      <c r="AG171" s="533">
        <v>0</v>
      </c>
      <c r="AH171" s="533">
        <v>0</v>
      </c>
      <c r="AI171" s="533">
        <v>0</v>
      </c>
      <c r="AJ171" s="533">
        <v>6880</v>
      </c>
      <c r="AK171" s="533">
        <v>0</v>
      </c>
      <c r="AL171" s="533">
        <v>0</v>
      </c>
      <c r="AO171" s="530" t="s">
        <v>1065</v>
      </c>
      <c r="AP171" s="535">
        <f>AB172/1000</f>
        <v>7.52</v>
      </c>
      <c r="AQ171" s="532" t="s">
        <v>634</v>
      </c>
    </row>
    <row r="172" spans="1:43">
      <c r="A172" s="532" t="s">
        <v>587</v>
      </c>
      <c r="B172" s="533">
        <v>9645</v>
      </c>
      <c r="C172" s="533">
        <v>0</v>
      </c>
      <c r="D172" s="533">
        <v>0</v>
      </c>
      <c r="E172" s="533">
        <v>0</v>
      </c>
      <c r="F172" s="533">
        <v>0</v>
      </c>
      <c r="G172" s="534" t="s">
        <v>36</v>
      </c>
      <c r="H172" s="534" t="s">
        <v>36</v>
      </c>
      <c r="I172" s="534" t="s">
        <v>36</v>
      </c>
      <c r="J172" s="534" t="s">
        <v>36</v>
      </c>
      <c r="K172" s="533">
        <v>9645</v>
      </c>
      <c r="L172" s="533">
        <v>0</v>
      </c>
      <c r="M172" s="533">
        <v>0</v>
      </c>
      <c r="N172" s="533">
        <v>0</v>
      </c>
      <c r="O172" s="533">
        <v>0</v>
      </c>
      <c r="P172" s="533">
        <v>0</v>
      </c>
      <c r="Q172" s="533">
        <v>0</v>
      </c>
      <c r="R172" s="533">
        <v>0</v>
      </c>
      <c r="S172" s="533">
        <v>0</v>
      </c>
      <c r="T172" s="533">
        <v>0</v>
      </c>
      <c r="U172" s="533">
        <v>0</v>
      </c>
      <c r="V172" s="533">
        <v>0</v>
      </c>
      <c r="W172" s="533">
        <v>0</v>
      </c>
      <c r="X172" s="533">
        <v>2045</v>
      </c>
      <c r="Y172" s="533">
        <v>0</v>
      </c>
      <c r="Z172" s="533">
        <v>2045</v>
      </c>
      <c r="AA172" s="533">
        <v>7520</v>
      </c>
      <c r="AB172" s="533">
        <v>7520</v>
      </c>
      <c r="AC172" s="533">
        <v>0</v>
      </c>
      <c r="AD172" s="533">
        <v>80</v>
      </c>
      <c r="AE172" s="533">
        <v>0</v>
      </c>
      <c r="AF172" s="533">
        <v>0</v>
      </c>
      <c r="AG172" s="533">
        <v>0</v>
      </c>
      <c r="AH172" s="533">
        <v>0</v>
      </c>
      <c r="AI172" s="533">
        <v>0</v>
      </c>
      <c r="AJ172" s="533">
        <v>80</v>
      </c>
      <c r="AK172" s="533">
        <v>0</v>
      </c>
      <c r="AL172" s="533">
        <v>0</v>
      </c>
      <c r="AO172" s="530" t="s">
        <v>1066</v>
      </c>
      <c r="AP172" s="535">
        <f>AB173/1000</f>
        <v>6.44</v>
      </c>
      <c r="AQ172" s="532" t="s">
        <v>634</v>
      </c>
    </row>
    <row r="173" spans="1:43">
      <c r="A173" s="532" t="s">
        <v>588</v>
      </c>
      <c r="B173" s="533">
        <v>13813</v>
      </c>
      <c r="C173" s="533">
        <v>0</v>
      </c>
      <c r="D173" s="533">
        <v>0</v>
      </c>
      <c r="E173" s="533">
        <v>0</v>
      </c>
      <c r="F173" s="533">
        <v>0</v>
      </c>
      <c r="G173" s="534" t="s">
        <v>36</v>
      </c>
      <c r="H173" s="534" t="s">
        <v>36</v>
      </c>
      <c r="I173" s="534" t="s">
        <v>36</v>
      </c>
      <c r="J173" s="534" t="s">
        <v>36</v>
      </c>
      <c r="K173" s="533">
        <v>13813</v>
      </c>
      <c r="L173" s="533">
        <v>446</v>
      </c>
      <c r="M173" s="533">
        <v>0</v>
      </c>
      <c r="N173" s="533">
        <v>446</v>
      </c>
      <c r="O173" s="533">
        <v>0</v>
      </c>
      <c r="P173" s="533">
        <v>0</v>
      </c>
      <c r="Q173" s="533">
        <v>0</v>
      </c>
      <c r="R173" s="533">
        <v>0</v>
      </c>
      <c r="S173" s="533">
        <v>0</v>
      </c>
      <c r="T173" s="533">
        <v>0</v>
      </c>
      <c r="U173" s="533">
        <v>0</v>
      </c>
      <c r="V173" s="533">
        <v>0</v>
      </c>
      <c r="W173" s="533">
        <v>0</v>
      </c>
      <c r="X173" s="533">
        <v>128</v>
      </c>
      <c r="Y173" s="533">
        <v>0</v>
      </c>
      <c r="Z173" s="533">
        <v>128</v>
      </c>
      <c r="AA173" s="533">
        <v>6440</v>
      </c>
      <c r="AB173" s="533">
        <v>6440</v>
      </c>
      <c r="AC173" s="533">
        <v>0</v>
      </c>
      <c r="AD173" s="533">
        <v>6800</v>
      </c>
      <c r="AE173" s="533">
        <v>0</v>
      </c>
      <c r="AF173" s="533">
        <v>0</v>
      </c>
      <c r="AG173" s="533">
        <v>0</v>
      </c>
      <c r="AH173" s="533">
        <v>0</v>
      </c>
      <c r="AI173" s="533">
        <v>0</v>
      </c>
      <c r="AJ173" s="533">
        <v>6800</v>
      </c>
      <c r="AK173" s="533">
        <v>0</v>
      </c>
      <c r="AL173" s="533">
        <v>0</v>
      </c>
      <c r="AO173" s="530" t="s">
        <v>1065</v>
      </c>
      <c r="AP173" s="535">
        <f>AC172/1000</f>
        <v>0</v>
      </c>
      <c r="AQ173" s="532" t="s">
        <v>635</v>
      </c>
    </row>
    <row r="174" spans="1:43">
      <c r="AO174" s="530" t="s">
        <v>1066</v>
      </c>
      <c r="AP174" s="535">
        <f>AC173/1000</f>
        <v>0</v>
      </c>
      <c r="AQ174" s="532" t="s">
        <v>635</v>
      </c>
    </row>
    <row r="175" spans="1:43">
      <c r="A175" s="529" t="s">
        <v>589</v>
      </c>
    </row>
    <row r="176" spans="1:43">
      <c r="A176" s="529" t="s">
        <v>36</v>
      </c>
      <c r="B176" s="529" t="s">
        <v>590</v>
      </c>
    </row>
    <row r="178" spans="1:43">
      <c r="A178" s="529" t="s">
        <v>340</v>
      </c>
      <c r="B178" s="529" t="s">
        <v>576</v>
      </c>
    </row>
    <row r="179" spans="1:43">
      <c r="A179" s="529" t="s">
        <v>578</v>
      </c>
      <c r="B179" s="529" t="s">
        <v>298</v>
      </c>
    </row>
    <row r="180" spans="1:43">
      <c r="A180" s="529" t="s">
        <v>343</v>
      </c>
      <c r="B180" s="529" t="s">
        <v>186</v>
      </c>
    </row>
    <row r="182" spans="1:43">
      <c r="A182" s="532" t="s">
        <v>592</v>
      </c>
      <c r="B182" s="532" t="s">
        <v>611</v>
      </c>
      <c r="C182" s="532" t="s">
        <v>612</v>
      </c>
      <c r="D182" s="532" t="s">
        <v>613</v>
      </c>
      <c r="E182" s="532" t="s">
        <v>614</v>
      </c>
      <c r="F182" s="532" t="s">
        <v>615</v>
      </c>
      <c r="G182" s="532" t="s">
        <v>616</v>
      </c>
      <c r="H182" s="532" t="s">
        <v>617</v>
      </c>
      <c r="I182" s="532" t="s">
        <v>618</v>
      </c>
      <c r="J182" s="532" t="s">
        <v>619</v>
      </c>
      <c r="K182" s="532" t="s">
        <v>620</v>
      </c>
      <c r="L182" s="532" t="s">
        <v>621</v>
      </c>
      <c r="M182" s="532" t="s">
        <v>622</v>
      </c>
      <c r="N182" s="532" t="s">
        <v>623</v>
      </c>
      <c r="O182" s="532" t="s">
        <v>225</v>
      </c>
      <c r="P182" s="532" t="s">
        <v>624</v>
      </c>
      <c r="Q182" s="532" t="s">
        <v>625</v>
      </c>
      <c r="R182" s="532" t="s">
        <v>626</v>
      </c>
      <c r="S182" s="532" t="s">
        <v>227</v>
      </c>
      <c r="T182" s="532" t="s">
        <v>627</v>
      </c>
      <c r="U182" s="532" t="s">
        <v>628</v>
      </c>
      <c r="V182" s="532" t="s">
        <v>629</v>
      </c>
      <c r="W182" s="532" t="s">
        <v>630</v>
      </c>
      <c r="X182" s="532" t="s">
        <v>631</v>
      </c>
      <c r="Y182" s="532" t="s">
        <v>632</v>
      </c>
      <c r="Z182" s="532" t="s">
        <v>633</v>
      </c>
      <c r="AA182" s="532" t="s">
        <v>229</v>
      </c>
      <c r="AB182" s="532" t="s">
        <v>634</v>
      </c>
      <c r="AC182" s="532" t="s">
        <v>635</v>
      </c>
      <c r="AD182" s="532" t="s">
        <v>636</v>
      </c>
      <c r="AE182" s="532" t="s">
        <v>637</v>
      </c>
      <c r="AF182" s="532" t="s">
        <v>638</v>
      </c>
      <c r="AG182" s="532" t="s">
        <v>639</v>
      </c>
      <c r="AH182" s="532" t="s">
        <v>640</v>
      </c>
      <c r="AI182" s="532" t="s">
        <v>641</v>
      </c>
      <c r="AJ182" s="532" t="s">
        <v>642</v>
      </c>
      <c r="AK182" s="532" t="s">
        <v>643</v>
      </c>
      <c r="AL182" s="532" t="s">
        <v>644</v>
      </c>
      <c r="AP182" s="530" t="str">
        <f>B180</f>
        <v>Italy</v>
      </c>
    </row>
    <row r="183" spans="1:43">
      <c r="A183" s="532" t="s">
        <v>583</v>
      </c>
      <c r="B183" s="533">
        <v>372800</v>
      </c>
      <c r="C183" s="533">
        <v>0</v>
      </c>
      <c r="D183" s="533">
        <v>0</v>
      </c>
      <c r="E183" s="533">
        <v>0</v>
      </c>
      <c r="F183" s="533">
        <v>0</v>
      </c>
      <c r="G183" s="534" t="s">
        <v>36</v>
      </c>
      <c r="H183" s="534" t="s">
        <v>36</v>
      </c>
      <c r="I183" s="534" t="s">
        <v>36</v>
      </c>
      <c r="J183" s="534" t="s">
        <v>36</v>
      </c>
      <c r="K183" s="533">
        <v>372800</v>
      </c>
      <c r="L183" s="533">
        <v>5000</v>
      </c>
      <c r="M183" s="533">
        <v>5000</v>
      </c>
      <c r="N183" s="533">
        <v>0</v>
      </c>
      <c r="O183" s="533">
        <v>506</v>
      </c>
      <c r="P183" s="533">
        <v>0</v>
      </c>
      <c r="Q183" s="533">
        <v>0</v>
      </c>
      <c r="R183" s="533">
        <v>0</v>
      </c>
      <c r="S183" s="533">
        <v>0</v>
      </c>
      <c r="T183" s="533">
        <v>0</v>
      </c>
      <c r="U183" s="533">
        <v>0</v>
      </c>
      <c r="V183" s="533">
        <v>0</v>
      </c>
      <c r="W183" s="533">
        <v>264</v>
      </c>
      <c r="X183" s="533">
        <v>8392</v>
      </c>
      <c r="Y183" s="533">
        <v>0</v>
      </c>
      <c r="Z183" s="533">
        <v>8392</v>
      </c>
      <c r="AA183" s="533">
        <v>258320</v>
      </c>
      <c r="AB183" s="533">
        <v>214840</v>
      </c>
      <c r="AC183" s="533">
        <v>43480</v>
      </c>
      <c r="AD183" s="533">
        <v>100318</v>
      </c>
      <c r="AE183" s="533">
        <v>0</v>
      </c>
      <c r="AF183" s="533">
        <v>0</v>
      </c>
      <c r="AG183" s="533">
        <v>78</v>
      </c>
      <c r="AH183" s="533">
        <v>0</v>
      </c>
      <c r="AI183" s="533">
        <v>0</v>
      </c>
      <c r="AJ183" s="533">
        <v>100240</v>
      </c>
      <c r="AK183" s="533">
        <v>0</v>
      </c>
      <c r="AL183" s="533">
        <v>0</v>
      </c>
      <c r="AO183" s="530" t="str">
        <f>A187</f>
        <v>Transformation input in Autoproducer Electricity Plants</v>
      </c>
      <c r="AP183" s="530">
        <f>B187/1000</f>
        <v>19.855</v>
      </c>
      <c r="AQ183" s="530" t="str">
        <f>B182</f>
        <v>Total petroleum products</v>
      </c>
    </row>
    <row r="184" spans="1:43">
      <c r="A184" s="532" t="s">
        <v>584</v>
      </c>
      <c r="B184" s="533">
        <v>256635</v>
      </c>
      <c r="C184" s="533">
        <v>0</v>
      </c>
      <c r="D184" s="533">
        <v>0</v>
      </c>
      <c r="E184" s="533">
        <v>0</v>
      </c>
      <c r="F184" s="533">
        <v>0</v>
      </c>
      <c r="G184" s="534" t="s">
        <v>36</v>
      </c>
      <c r="H184" s="534" t="s">
        <v>36</v>
      </c>
      <c r="I184" s="534" t="s">
        <v>36</v>
      </c>
      <c r="J184" s="534" t="s">
        <v>36</v>
      </c>
      <c r="K184" s="533">
        <v>256635</v>
      </c>
      <c r="L184" s="533">
        <v>0</v>
      </c>
      <c r="M184" s="533">
        <v>0</v>
      </c>
      <c r="N184" s="533">
        <v>0</v>
      </c>
      <c r="O184" s="533">
        <v>46</v>
      </c>
      <c r="P184" s="533">
        <v>0</v>
      </c>
      <c r="Q184" s="533">
        <v>0</v>
      </c>
      <c r="R184" s="533">
        <v>0</v>
      </c>
      <c r="S184" s="533">
        <v>0</v>
      </c>
      <c r="T184" s="533">
        <v>0</v>
      </c>
      <c r="U184" s="533">
        <v>0</v>
      </c>
      <c r="V184" s="533">
        <v>0</v>
      </c>
      <c r="W184" s="533">
        <v>0</v>
      </c>
      <c r="X184" s="533">
        <v>5751</v>
      </c>
      <c r="Y184" s="533">
        <v>0</v>
      </c>
      <c r="Z184" s="533">
        <v>5751</v>
      </c>
      <c r="AA184" s="533">
        <v>246240</v>
      </c>
      <c r="AB184" s="533">
        <v>202760</v>
      </c>
      <c r="AC184" s="533">
        <v>43480</v>
      </c>
      <c r="AD184" s="533">
        <v>4598</v>
      </c>
      <c r="AE184" s="533">
        <v>0</v>
      </c>
      <c r="AF184" s="533">
        <v>0</v>
      </c>
      <c r="AG184" s="533">
        <v>78</v>
      </c>
      <c r="AH184" s="533">
        <v>0</v>
      </c>
      <c r="AI184" s="533">
        <v>0</v>
      </c>
      <c r="AJ184" s="533">
        <v>4520</v>
      </c>
      <c r="AK184" s="533">
        <v>0</v>
      </c>
      <c r="AL184" s="533">
        <v>0</v>
      </c>
      <c r="AO184" s="530" t="s">
        <v>1065</v>
      </c>
      <c r="AP184" s="530">
        <f>L187/1000</f>
        <v>0.05</v>
      </c>
      <c r="AQ184" s="532" t="s">
        <v>621</v>
      </c>
    </row>
    <row r="185" spans="1:43">
      <c r="A185" s="532" t="s">
        <v>585</v>
      </c>
      <c r="B185" s="533">
        <v>116165</v>
      </c>
      <c r="C185" s="533">
        <v>0</v>
      </c>
      <c r="D185" s="533">
        <v>0</v>
      </c>
      <c r="E185" s="533">
        <v>0</v>
      </c>
      <c r="F185" s="533">
        <v>0</v>
      </c>
      <c r="G185" s="534" t="s">
        <v>36</v>
      </c>
      <c r="H185" s="534" t="s">
        <v>36</v>
      </c>
      <c r="I185" s="534" t="s">
        <v>36</v>
      </c>
      <c r="J185" s="534" t="s">
        <v>36</v>
      </c>
      <c r="K185" s="533">
        <v>116165</v>
      </c>
      <c r="L185" s="533">
        <v>5000</v>
      </c>
      <c r="M185" s="533">
        <v>5000</v>
      </c>
      <c r="N185" s="533">
        <v>0</v>
      </c>
      <c r="O185" s="533">
        <v>460</v>
      </c>
      <c r="P185" s="533">
        <v>0</v>
      </c>
      <c r="Q185" s="533">
        <v>0</v>
      </c>
      <c r="R185" s="533">
        <v>0</v>
      </c>
      <c r="S185" s="533">
        <v>0</v>
      </c>
      <c r="T185" s="533">
        <v>0</v>
      </c>
      <c r="U185" s="533">
        <v>0</v>
      </c>
      <c r="V185" s="533">
        <v>0</v>
      </c>
      <c r="W185" s="533">
        <v>264</v>
      </c>
      <c r="X185" s="533">
        <v>2641</v>
      </c>
      <c r="Y185" s="533">
        <v>0</v>
      </c>
      <c r="Z185" s="533">
        <v>2641</v>
      </c>
      <c r="AA185" s="533">
        <v>12080</v>
      </c>
      <c r="AB185" s="533">
        <v>12080</v>
      </c>
      <c r="AC185" s="533">
        <v>0</v>
      </c>
      <c r="AD185" s="533">
        <v>95720</v>
      </c>
      <c r="AE185" s="533">
        <v>0</v>
      </c>
      <c r="AF185" s="533">
        <v>0</v>
      </c>
      <c r="AG185" s="533">
        <v>0</v>
      </c>
      <c r="AH185" s="533">
        <v>0</v>
      </c>
      <c r="AI185" s="533">
        <v>0</v>
      </c>
      <c r="AJ185" s="533">
        <v>95720</v>
      </c>
      <c r="AK185" s="533">
        <v>0</v>
      </c>
      <c r="AL185" s="533">
        <v>0</v>
      </c>
      <c r="AO185" s="530" t="s">
        <v>1066</v>
      </c>
      <c r="AP185" s="530">
        <f>L188/1000</f>
        <v>28.908000000000001</v>
      </c>
      <c r="AQ185" s="532" t="s">
        <v>621</v>
      </c>
    </row>
    <row r="186" spans="1:43">
      <c r="A186" s="532" t="s">
        <v>586</v>
      </c>
      <c r="B186" s="533">
        <v>132930</v>
      </c>
      <c r="C186" s="533">
        <v>0</v>
      </c>
      <c r="D186" s="533">
        <v>0</v>
      </c>
      <c r="E186" s="533">
        <v>0</v>
      </c>
      <c r="F186" s="533">
        <v>0</v>
      </c>
      <c r="G186" s="534" t="s">
        <v>36</v>
      </c>
      <c r="H186" s="534" t="s">
        <v>36</v>
      </c>
      <c r="I186" s="534" t="s">
        <v>36</v>
      </c>
      <c r="J186" s="534" t="s">
        <v>36</v>
      </c>
      <c r="K186" s="533">
        <v>132930</v>
      </c>
      <c r="L186" s="533">
        <v>28958</v>
      </c>
      <c r="M186" s="533">
        <v>28958</v>
      </c>
      <c r="N186" s="533">
        <v>0</v>
      </c>
      <c r="O186" s="533">
        <v>506</v>
      </c>
      <c r="P186" s="533">
        <v>0</v>
      </c>
      <c r="Q186" s="533">
        <v>0</v>
      </c>
      <c r="R186" s="533">
        <v>0</v>
      </c>
      <c r="S186" s="533">
        <v>0</v>
      </c>
      <c r="T186" s="533">
        <v>0</v>
      </c>
      <c r="U186" s="533">
        <v>0</v>
      </c>
      <c r="V186" s="533">
        <v>0</v>
      </c>
      <c r="W186" s="533">
        <v>0</v>
      </c>
      <c r="X186" s="533">
        <v>298</v>
      </c>
      <c r="Y186" s="533">
        <v>0</v>
      </c>
      <c r="Z186" s="533">
        <v>298</v>
      </c>
      <c r="AA186" s="533">
        <v>66920</v>
      </c>
      <c r="AB186" s="533">
        <v>54720</v>
      </c>
      <c r="AC186" s="533">
        <v>12200</v>
      </c>
      <c r="AD186" s="533">
        <v>36248</v>
      </c>
      <c r="AE186" s="533">
        <v>0</v>
      </c>
      <c r="AF186" s="533">
        <v>0</v>
      </c>
      <c r="AG186" s="533">
        <v>0</v>
      </c>
      <c r="AH186" s="533">
        <v>8448</v>
      </c>
      <c r="AI186" s="533">
        <v>0</v>
      </c>
      <c r="AJ186" s="533">
        <v>27800</v>
      </c>
      <c r="AK186" s="533">
        <v>0</v>
      </c>
      <c r="AL186" s="533">
        <v>0</v>
      </c>
      <c r="AO186" s="530" t="s">
        <v>1065</v>
      </c>
      <c r="AP186" s="535">
        <f>AB187/1000</f>
        <v>2.72</v>
      </c>
      <c r="AQ186" s="532" t="s">
        <v>634</v>
      </c>
    </row>
    <row r="187" spans="1:43">
      <c r="A187" s="532" t="s">
        <v>587</v>
      </c>
      <c r="B187" s="533">
        <v>19855</v>
      </c>
      <c r="C187" s="533">
        <v>0</v>
      </c>
      <c r="D187" s="533">
        <v>0</v>
      </c>
      <c r="E187" s="533">
        <v>0</v>
      </c>
      <c r="F187" s="533">
        <v>0</v>
      </c>
      <c r="G187" s="534" t="s">
        <v>36</v>
      </c>
      <c r="H187" s="534" t="s">
        <v>36</v>
      </c>
      <c r="I187" s="534" t="s">
        <v>36</v>
      </c>
      <c r="J187" s="534" t="s">
        <v>36</v>
      </c>
      <c r="K187" s="533">
        <v>19855</v>
      </c>
      <c r="L187" s="533">
        <v>50</v>
      </c>
      <c r="M187" s="533">
        <v>50</v>
      </c>
      <c r="N187" s="533">
        <v>0</v>
      </c>
      <c r="O187" s="533">
        <v>0</v>
      </c>
      <c r="P187" s="533">
        <v>0</v>
      </c>
      <c r="Q187" s="533">
        <v>0</v>
      </c>
      <c r="R187" s="533">
        <v>0</v>
      </c>
      <c r="S187" s="533">
        <v>0</v>
      </c>
      <c r="T187" s="533">
        <v>0</v>
      </c>
      <c r="U187" s="533">
        <v>0</v>
      </c>
      <c r="V187" s="533">
        <v>0</v>
      </c>
      <c r="W187" s="533">
        <v>0</v>
      </c>
      <c r="X187" s="533">
        <v>85</v>
      </c>
      <c r="Y187" s="533">
        <v>0</v>
      </c>
      <c r="Z187" s="533">
        <v>85</v>
      </c>
      <c r="AA187" s="533">
        <v>2720</v>
      </c>
      <c r="AB187" s="533">
        <v>2720</v>
      </c>
      <c r="AC187" s="533">
        <v>0</v>
      </c>
      <c r="AD187" s="533">
        <v>17000</v>
      </c>
      <c r="AE187" s="533">
        <v>0</v>
      </c>
      <c r="AF187" s="533">
        <v>0</v>
      </c>
      <c r="AG187" s="533">
        <v>0</v>
      </c>
      <c r="AH187" s="533">
        <v>0</v>
      </c>
      <c r="AI187" s="533">
        <v>0</v>
      </c>
      <c r="AJ187" s="533">
        <v>17000</v>
      </c>
      <c r="AK187" s="533">
        <v>0</v>
      </c>
      <c r="AL187" s="533">
        <v>0</v>
      </c>
      <c r="AO187" s="530" t="s">
        <v>1066</v>
      </c>
      <c r="AP187" s="535">
        <f>AB188/1000</f>
        <v>52</v>
      </c>
      <c r="AQ187" s="532" t="s">
        <v>634</v>
      </c>
    </row>
    <row r="188" spans="1:43">
      <c r="A188" s="532" t="s">
        <v>588</v>
      </c>
      <c r="B188" s="533">
        <v>113075</v>
      </c>
      <c r="C188" s="533">
        <v>0</v>
      </c>
      <c r="D188" s="533">
        <v>0</v>
      </c>
      <c r="E188" s="533">
        <v>0</v>
      </c>
      <c r="F188" s="533">
        <v>0</v>
      </c>
      <c r="G188" s="534" t="s">
        <v>36</v>
      </c>
      <c r="H188" s="534" t="s">
        <v>36</v>
      </c>
      <c r="I188" s="534" t="s">
        <v>36</v>
      </c>
      <c r="J188" s="534" t="s">
        <v>36</v>
      </c>
      <c r="K188" s="533">
        <v>113075</v>
      </c>
      <c r="L188" s="533">
        <v>28908</v>
      </c>
      <c r="M188" s="533">
        <v>28908</v>
      </c>
      <c r="N188" s="533">
        <v>0</v>
      </c>
      <c r="O188" s="533">
        <v>506</v>
      </c>
      <c r="P188" s="533">
        <v>0</v>
      </c>
      <c r="Q188" s="533">
        <v>0</v>
      </c>
      <c r="R188" s="533">
        <v>0</v>
      </c>
      <c r="S188" s="533">
        <v>0</v>
      </c>
      <c r="T188" s="533">
        <v>0</v>
      </c>
      <c r="U188" s="533">
        <v>0</v>
      </c>
      <c r="V188" s="533">
        <v>0</v>
      </c>
      <c r="W188" s="533">
        <v>0</v>
      </c>
      <c r="X188" s="533">
        <v>213</v>
      </c>
      <c r="Y188" s="533">
        <v>0</v>
      </c>
      <c r="Z188" s="533">
        <v>213</v>
      </c>
      <c r="AA188" s="533">
        <v>64200</v>
      </c>
      <c r="AB188" s="533">
        <v>52000</v>
      </c>
      <c r="AC188" s="533">
        <v>12200</v>
      </c>
      <c r="AD188" s="533">
        <v>19248</v>
      </c>
      <c r="AE188" s="533">
        <v>0</v>
      </c>
      <c r="AF188" s="533">
        <v>0</v>
      </c>
      <c r="AG188" s="533">
        <v>0</v>
      </c>
      <c r="AH188" s="533">
        <v>8448</v>
      </c>
      <c r="AI188" s="533">
        <v>0</v>
      </c>
      <c r="AJ188" s="533">
        <v>10800</v>
      </c>
      <c r="AK188" s="533">
        <v>0</v>
      </c>
      <c r="AL188" s="533">
        <v>0</v>
      </c>
      <c r="AO188" s="530" t="s">
        <v>1065</v>
      </c>
      <c r="AP188" s="535">
        <f>AC187/1000</f>
        <v>0</v>
      </c>
      <c r="AQ188" s="532" t="s">
        <v>635</v>
      </c>
    </row>
    <row r="189" spans="1:43">
      <c r="AO189" s="530" t="s">
        <v>1066</v>
      </c>
      <c r="AP189" s="535">
        <f>AC188/1000</f>
        <v>12.2</v>
      </c>
      <c r="AQ189" s="532" t="s">
        <v>635</v>
      </c>
    </row>
    <row r="190" spans="1:43">
      <c r="A190" s="529" t="s">
        <v>589</v>
      </c>
    </row>
    <row r="191" spans="1:43">
      <c r="A191" s="529" t="s">
        <v>36</v>
      </c>
      <c r="B191" s="529" t="s">
        <v>590</v>
      </c>
    </row>
    <row r="193" spans="1:43">
      <c r="A193" s="529" t="s">
        <v>340</v>
      </c>
      <c r="B193" s="529" t="s">
        <v>576</v>
      </c>
    </row>
    <row r="194" spans="1:43">
      <c r="A194" s="529" t="s">
        <v>578</v>
      </c>
      <c r="B194" s="529" t="s">
        <v>298</v>
      </c>
    </row>
    <row r="195" spans="1:43">
      <c r="A195" s="529" t="s">
        <v>343</v>
      </c>
      <c r="B195" s="529" t="s">
        <v>187</v>
      </c>
    </row>
    <row r="197" spans="1:43">
      <c r="A197" s="532" t="s">
        <v>592</v>
      </c>
      <c r="B197" s="532" t="s">
        <v>611</v>
      </c>
      <c r="C197" s="532" t="s">
        <v>612</v>
      </c>
      <c r="D197" s="532" t="s">
        <v>613</v>
      </c>
      <c r="E197" s="532" t="s">
        <v>614</v>
      </c>
      <c r="F197" s="532" t="s">
        <v>615</v>
      </c>
      <c r="G197" s="532" t="s">
        <v>616</v>
      </c>
      <c r="H197" s="532" t="s">
        <v>617</v>
      </c>
      <c r="I197" s="532" t="s">
        <v>618</v>
      </c>
      <c r="J197" s="532" t="s">
        <v>619</v>
      </c>
      <c r="K197" s="532" t="s">
        <v>620</v>
      </c>
      <c r="L197" s="532" t="s">
        <v>621</v>
      </c>
      <c r="M197" s="532" t="s">
        <v>622</v>
      </c>
      <c r="N197" s="532" t="s">
        <v>623</v>
      </c>
      <c r="O197" s="532" t="s">
        <v>225</v>
      </c>
      <c r="P197" s="532" t="s">
        <v>624</v>
      </c>
      <c r="Q197" s="532" t="s">
        <v>625</v>
      </c>
      <c r="R197" s="532" t="s">
        <v>626</v>
      </c>
      <c r="S197" s="532" t="s">
        <v>227</v>
      </c>
      <c r="T197" s="532" t="s">
        <v>627</v>
      </c>
      <c r="U197" s="532" t="s">
        <v>628</v>
      </c>
      <c r="V197" s="532" t="s">
        <v>629</v>
      </c>
      <c r="W197" s="532" t="s">
        <v>630</v>
      </c>
      <c r="X197" s="532" t="s">
        <v>631</v>
      </c>
      <c r="Y197" s="532" t="s">
        <v>632</v>
      </c>
      <c r="Z197" s="532" t="s">
        <v>633</v>
      </c>
      <c r="AA197" s="532" t="s">
        <v>229</v>
      </c>
      <c r="AB197" s="532" t="s">
        <v>634</v>
      </c>
      <c r="AC197" s="532" t="s">
        <v>635</v>
      </c>
      <c r="AD197" s="532" t="s">
        <v>636</v>
      </c>
      <c r="AE197" s="532" t="s">
        <v>637</v>
      </c>
      <c r="AF197" s="532" t="s">
        <v>638</v>
      </c>
      <c r="AG197" s="532" t="s">
        <v>639</v>
      </c>
      <c r="AH197" s="532" t="s">
        <v>640</v>
      </c>
      <c r="AI197" s="532" t="s">
        <v>641</v>
      </c>
      <c r="AJ197" s="532" t="s">
        <v>642</v>
      </c>
      <c r="AK197" s="532" t="s">
        <v>643</v>
      </c>
      <c r="AL197" s="532" t="s">
        <v>644</v>
      </c>
      <c r="AP197" s="530" t="str">
        <f>B195</f>
        <v>Cyprus</v>
      </c>
    </row>
    <row r="198" spans="1:43">
      <c r="A198" s="532" t="s">
        <v>583</v>
      </c>
      <c r="B198" s="533">
        <v>44842</v>
      </c>
      <c r="C198" s="533">
        <v>0</v>
      </c>
      <c r="D198" s="533">
        <v>0</v>
      </c>
      <c r="E198" s="533">
        <v>0</v>
      </c>
      <c r="F198" s="533">
        <v>0</v>
      </c>
      <c r="G198" s="534" t="s">
        <v>36</v>
      </c>
      <c r="H198" s="534" t="s">
        <v>36</v>
      </c>
      <c r="I198" s="534" t="s">
        <v>36</v>
      </c>
      <c r="J198" s="534" t="s">
        <v>36</v>
      </c>
      <c r="K198" s="533">
        <v>44842</v>
      </c>
      <c r="L198" s="533">
        <v>0</v>
      </c>
      <c r="M198" s="533">
        <v>0</v>
      </c>
      <c r="N198" s="533">
        <v>0</v>
      </c>
      <c r="O198" s="533">
        <v>0</v>
      </c>
      <c r="P198" s="533">
        <v>0</v>
      </c>
      <c r="Q198" s="533">
        <v>0</v>
      </c>
      <c r="R198" s="533">
        <v>0</v>
      </c>
      <c r="S198" s="533">
        <v>0</v>
      </c>
      <c r="T198" s="533">
        <v>0</v>
      </c>
      <c r="U198" s="533">
        <v>0</v>
      </c>
      <c r="V198" s="533">
        <v>0</v>
      </c>
      <c r="W198" s="533">
        <v>0</v>
      </c>
      <c r="X198" s="533">
        <v>682</v>
      </c>
      <c r="Y198" s="533">
        <v>0</v>
      </c>
      <c r="Z198" s="533">
        <v>682</v>
      </c>
      <c r="AA198" s="533">
        <v>44160</v>
      </c>
      <c r="AB198" s="533">
        <v>0</v>
      </c>
      <c r="AC198" s="533">
        <v>44160</v>
      </c>
      <c r="AD198" s="533">
        <v>0</v>
      </c>
      <c r="AE198" s="533">
        <v>0</v>
      </c>
      <c r="AF198" s="533">
        <v>0</v>
      </c>
      <c r="AG198" s="533">
        <v>0</v>
      </c>
      <c r="AH198" s="533">
        <v>0</v>
      </c>
      <c r="AI198" s="533">
        <v>0</v>
      </c>
      <c r="AJ198" s="533">
        <v>0</v>
      </c>
      <c r="AK198" s="533">
        <v>0</v>
      </c>
      <c r="AL198" s="533">
        <v>0</v>
      </c>
      <c r="AO198" s="530" t="str">
        <f>A202</f>
        <v>Transformation input in Autoproducer Electricity Plants</v>
      </c>
      <c r="AP198" s="530">
        <f>B202/1000</f>
        <v>0</v>
      </c>
      <c r="AQ198" s="530" t="str">
        <f>B197</f>
        <v>Total petroleum products</v>
      </c>
    </row>
    <row r="199" spans="1:43">
      <c r="A199" s="532" t="s">
        <v>584</v>
      </c>
      <c r="B199" s="533">
        <v>44842</v>
      </c>
      <c r="C199" s="533">
        <v>0</v>
      </c>
      <c r="D199" s="533">
        <v>0</v>
      </c>
      <c r="E199" s="533">
        <v>0</v>
      </c>
      <c r="F199" s="533">
        <v>0</v>
      </c>
      <c r="G199" s="534" t="s">
        <v>36</v>
      </c>
      <c r="H199" s="534" t="s">
        <v>36</v>
      </c>
      <c r="I199" s="534" t="s">
        <v>36</v>
      </c>
      <c r="J199" s="534" t="s">
        <v>36</v>
      </c>
      <c r="K199" s="533">
        <v>44842</v>
      </c>
      <c r="L199" s="533">
        <v>0</v>
      </c>
      <c r="M199" s="533">
        <v>0</v>
      </c>
      <c r="N199" s="533">
        <v>0</v>
      </c>
      <c r="O199" s="533">
        <v>0</v>
      </c>
      <c r="P199" s="533">
        <v>0</v>
      </c>
      <c r="Q199" s="533">
        <v>0</v>
      </c>
      <c r="R199" s="533">
        <v>0</v>
      </c>
      <c r="S199" s="533">
        <v>0</v>
      </c>
      <c r="T199" s="533">
        <v>0</v>
      </c>
      <c r="U199" s="533">
        <v>0</v>
      </c>
      <c r="V199" s="533">
        <v>0</v>
      </c>
      <c r="W199" s="533">
        <v>0</v>
      </c>
      <c r="X199" s="533">
        <v>682</v>
      </c>
      <c r="Y199" s="533">
        <v>0</v>
      </c>
      <c r="Z199" s="533">
        <v>682</v>
      </c>
      <c r="AA199" s="533">
        <v>44160</v>
      </c>
      <c r="AB199" s="533">
        <v>0</v>
      </c>
      <c r="AC199" s="533">
        <v>44160</v>
      </c>
      <c r="AD199" s="533">
        <v>0</v>
      </c>
      <c r="AE199" s="533">
        <v>0</v>
      </c>
      <c r="AF199" s="533">
        <v>0</v>
      </c>
      <c r="AG199" s="533">
        <v>0</v>
      </c>
      <c r="AH199" s="533">
        <v>0</v>
      </c>
      <c r="AI199" s="533">
        <v>0</v>
      </c>
      <c r="AJ199" s="533">
        <v>0</v>
      </c>
      <c r="AK199" s="533">
        <v>0</v>
      </c>
      <c r="AL199" s="533">
        <v>0</v>
      </c>
      <c r="AO199" s="530" t="s">
        <v>1065</v>
      </c>
      <c r="AP199" s="530">
        <f>L202/1000</f>
        <v>0</v>
      </c>
      <c r="AQ199" s="532" t="s">
        <v>621</v>
      </c>
    </row>
    <row r="200" spans="1:43">
      <c r="A200" s="532" t="s">
        <v>585</v>
      </c>
      <c r="B200" s="533">
        <v>0</v>
      </c>
      <c r="C200" s="533">
        <v>0</v>
      </c>
      <c r="D200" s="533">
        <v>0</v>
      </c>
      <c r="E200" s="533">
        <v>0</v>
      </c>
      <c r="F200" s="533">
        <v>0</v>
      </c>
      <c r="G200" s="534" t="s">
        <v>36</v>
      </c>
      <c r="H200" s="534" t="s">
        <v>36</v>
      </c>
      <c r="I200" s="534" t="s">
        <v>36</v>
      </c>
      <c r="J200" s="534" t="s">
        <v>36</v>
      </c>
      <c r="K200" s="533">
        <v>0</v>
      </c>
      <c r="L200" s="533">
        <v>0</v>
      </c>
      <c r="M200" s="533">
        <v>0</v>
      </c>
      <c r="N200" s="533">
        <v>0</v>
      </c>
      <c r="O200" s="533">
        <v>0</v>
      </c>
      <c r="P200" s="533">
        <v>0</v>
      </c>
      <c r="Q200" s="533">
        <v>0</v>
      </c>
      <c r="R200" s="533">
        <v>0</v>
      </c>
      <c r="S200" s="533">
        <v>0</v>
      </c>
      <c r="T200" s="533">
        <v>0</v>
      </c>
      <c r="U200" s="533">
        <v>0</v>
      </c>
      <c r="V200" s="533">
        <v>0</v>
      </c>
      <c r="W200" s="533">
        <v>0</v>
      </c>
      <c r="X200" s="533">
        <v>0</v>
      </c>
      <c r="Y200" s="533">
        <v>0</v>
      </c>
      <c r="Z200" s="533">
        <v>0</v>
      </c>
      <c r="AA200" s="533">
        <v>0</v>
      </c>
      <c r="AB200" s="533">
        <v>0</v>
      </c>
      <c r="AC200" s="533">
        <v>0</v>
      </c>
      <c r="AD200" s="533">
        <v>0</v>
      </c>
      <c r="AE200" s="533">
        <v>0</v>
      </c>
      <c r="AF200" s="533">
        <v>0</v>
      </c>
      <c r="AG200" s="533">
        <v>0</v>
      </c>
      <c r="AH200" s="533">
        <v>0</v>
      </c>
      <c r="AI200" s="533">
        <v>0</v>
      </c>
      <c r="AJ200" s="533">
        <v>0</v>
      </c>
      <c r="AK200" s="533">
        <v>0</v>
      </c>
      <c r="AL200" s="533">
        <v>0</v>
      </c>
      <c r="AO200" s="530" t="s">
        <v>1066</v>
      </c>
      <c r="AP200" s="530">
        <f>L203/1000</f>
        <v>0</v>
      </c>
      <c r="AQ200" s="532" t="s">
        <v>621</v>
      </c>
    </row>
    <row r="201" spans="1:43">
      <c r="A201" s="532" t="s">
        <v>586</v>
      </c>
      <c r="B201" s="533">
        <v>240</v>
      </c>
      <c r="C201" s="533">
        <v>0</v>
      </c>
      <c r="D201" s="533">
        <v>0</v>
      </c>
      <c r="E201" s="533">
        <v>0</v>
      </c>
      <c r="F201" s="533">
        <v>0</v>
      </c>
      <c r="G201" s="534" t="s">
        <v>36</v>
      </c>
      <c r="H201" s="534" t="s">
        <v>36</v>
      </c>
      <c r="I201" s="534" t="s">
        <v>36</v>
      </c>
      <c r="J201" s="534" t="s">
        <v>36</v>
      </c>
      <c r="K201" s="533">
        <v>240</v>
      </c>
      <c r="L201" s="533">
        <v>0</v>
      </c>
      <c r="M201" s="533">
        <v>0</v>
      </c>
      <c r="N201" s="533">
        <v>0</v>
      </c>
      <c r="O201" s="533">
        <v>0</v>
      </c>
      <c r="P201" s="533">
        <v>0</v>
      </c>
      <c r="Q201" s="533">
        <v>0</v>
      </c>
      <c r="R201" s="533">
        <v>0</v>
      </c>
      <c r="S201" s="533">
        <v>0</v>
      </c>
      <c r="T201" s="533">
        <v>0</v>
      </c>
      <c r="U201" s="533">
        <v>0</v>
      </c>
      <c r="V201" s="533">
        <v>0</v>
      </c>
      <c r="W201" s="533">
        <v>0</v>
      </c>
      <c r="X201" s="533">
        <v>0</v>
      </c>
      <c r="Y201" s="533">
        <v>0</v>
      </c>
      <c r="Z201" s="533">
        <v>0</v>
      </c>
      <c r="AA201" s="533">
        <v>240</v>
      </c>
      <c r="AB201" s="533">
        <v>0</v>
      </c>
      <c r="AC201" s="533">
        <v>240</v>
      </c>
      <c r="AD201" s="533">
        <v>0</v>
      </c>
      <c r="AE201" s="533">
        <v>0</v>
      </c>
      <c r="AF201" s="533">
        <v>0</v>
      </c>
      <c r="AG201" s="533">
        <v>0</v>
      </c>
      <c r="AH201" s="533">
        <v>0</v>
      </c>
      <c r="AI201" s="533">
        <v>0</v>
      </c>
      <c r="AJ201" s="533">
        <v>0</v>
      </c>
      <c r="AK201" s="533">
        <v>0</v>
      </c>
      <c r="AL201" s="533">
        <v>0</v>
      </c>
      <c r="AO201" s="530" t="s">
        <v>1065</v>
      </c>
      <c r="AP201" s="535">
        <f>AB202/1000</f>
        <v>0</v>
      </c>
      <c r="AQ201" s="532" t="s">
        <v>634</v>
      </c>
    </row>
    <row r="202" spans="1:43">
      <c r="A202" s="532" t="s">
        <v>587</v>
      </c>
      <c r="B202" s="533">
        <v>0</v>
      </c>
      <c r="C202" s="533">
        <v>0</v>
      </c>
      <c r="D202" s="533">
        <v>0</v>
      </c>
      <c r="E202" s="533">
        <v>0</v>
      </c>
      <c r="F202" s="533">
        <v>0</v>
      </c>
      <c r="G202" s="534" t="s">
        <v>36</v>
      </c>
      <c r="H202" s="534" t="s">
        <v>36</v>
      </c>
      <c r="I202" s="534" t="s">
        <v>36</v>
      </c>
      <c r="J202" s="534" t="s">
        <v>36</v>
      </c>
      <c r="K202" s="533">
        <v>0</v>
      </c>
      <c r="L202" s="533">
        <v>0</v>
      </c>
      <c r="M202" s="533">
        <v>0</v>
      </c>
      <c r="N202" s="533">
        <v>0</v>
      </c>
      <c r="O202" s="533">
        <v>0</v>
      </c>
      <c r="P202" s="533">
        <v>0</v>
      </c>
      <c r="Q202" s="533">
        <v>0</v>
      </c>
      <c r="R202" s="533">
        <v>0</v>
      </c>
      <c r="S202" s="533">
        <v>0</v>
      </c>
      <c r="T202" s="533">
        <v>0</v>
      </c>
      <c r="U202" s="533">
        <v>0</v>
      </c>
      <c r="V202" s="533">
        <v>0</v>
      </c>
      <c r="W202" s="533">
        <v>0</v>
      </c>
      <c r="X202" s="533">
        <v>0</v>
      </c>
      <c r="Y202" s="533">
        <v>0</v>
      </c>
      <c r="Z202" s="533">
        <v>0</v>
      </c>
      <c r="AA202" s="533">
        <v>0</v>
      </c>
      <c r="AB202" s="533">
        <v>0</v>
      </c>
      <c r="AC202" s="533">
        <v>0</v>
      </c>
      <c r="AD202" s="533">
        <v>0</v>
      </c>
      <c r="AE202" s="533">
        <v>0</v>
      </c>
      <c r="AF202" s="533">
        <v>0</v>
      </c>
      <c r="AG202" s="533">
        <v>0</v>
      </c>
      <c r="AH202" s="533">
        <v>0</v>
      </c>
      <c r="AI202" s="533">
        <v>0</v>
      </c>
      <c r="AJ202" s="533">
        <v>0</v>
      </c>
      <c r="AK202" s="533">
        <v>0</v>
      </c>
      <c r="AL202" s="533">
        <v>0</v>
      </c>
      <c r="AO202" s="530" t="s">
        <v>1066</v>
      </c>
      <c r="AP202" s="535">
        <f>AB203/1000</f>
        <v>0</v>
      </c>
      <c r="AQ202" s="532" t="s">
        <v>634</v>
      </c>
    </row>
    <row r="203" spans="1:43">
      <c r="A203" s="532" t="s">
        <v>588</v>
      </c>
      <c r="B203" s="533">
        <v>240</v>
      </c>
      <c r="C203" s="533">
        <v>0</v>
      </c>
      <c r="D203" s="533">
        <v>0</v>
      </c>
      <c r="E203" s="533">
        <v>0</v>
      </c>
      <c r="F203" s="533">
        <v>0</v>
      </c>
      <c r="G203" s="534" t="s">
        <v>36</v>
      </c>
      <c r="H203" s="534" t="s">
        <v>36</v>
      </c>
      <c r="I203" s="534" t="s">
        <v>36</v>
      </c>
      <c r="J203" s="534" t="s">
        <v>36</v>
      </c>
      <c r="K203" s="533">
        <v>240</v>
      </c>
      <c r="L203" s="533">
        <v>0</v>
      </c>
      <c r="M203" s="533">
        <v>0</v>
      </c>
      <c r="N203" s="533">
        <v>0</v>
      </c>
      <c r="O203" s="533">
        <v>0</v>
      </c>
      <c r="P203" s="533">
        <v>0</v>
      </c>
      <c r="Q203" s="533">
        <v>0</v>
      </c>
      <c r="R203" s="533">
        <v>0</v>
      </c>
      <c r="S203" s="533">
        <v>0</v>
      </c>
      <c r="T203" s="533">
        <v>0</v>
      </c>
      <c r="U203" s="533">
        <v>0</v>
      </c>
      <c r="V203" s="533">
        <v>0</v>
      </c>
      <c r="W203" s="533">
        <v>0</v>
      </c>
      <c r="X203" s="533">
        <v>0</v>
      </c>
      <c r="Y203" s="533">
        <v>0</v>
      </c>
      <c r="Z203" s="533">
        <v>0</v>
      </c>
      <c r="AA203" s="533">
        <v>240</v>
      </c>
      <c r="AB203" s="533">
        <v>0</v>
      </c>
      <c r="AC203" s="533">
        <v>240</v>
      </c>
      <c r="AD203" s="533">
        <v>0</v>
      </c>
      <c r="AE203" s="533">
        <v>0</v>
      </c>
      <c r="AF203" s="533">
        <v>0</v>
      </c>
      <c r="AG203" s="533">
        <v>0</v>
      </c>
      <c r="AH203" s="533">
        <v>0</v>
      </c>
      <c r="AI203" s="533">
        <v>0</v>
      </c>
      <c r="AJ203" s="533">
        <v>0</v>
      </c>
      <c r="AK203" s="533">
        <v>0</v>
      </c>
      <c r="AL203" s="533">
        <v>0</v>
      </c>
      <c r="AO203" s="530" t="s">
        <v>1065</v>
      </c>
      <c r="AP203" s="535">
        <f>AC202/1000</f>
        <v>0</v>
      </c>
      <c r="AQ203" s="532" t="s">
        <v>635</v>
      </c>
    </row>
    <row r="204" spans="1:43">
      <c r="AO204" s="530" t="s">
        <v>1066</v>
      </c>
      <c r="AP204" s="535">
        <f>AC203/1000</f>
        <v>0.24</v>
      </c>
      <c r="AQ204" s="532" t="s">
        <v>635</v>
      </c>
    </row>
    <row r="205" spans="1:43">
      <c r="A205" s="529" t="s">
        <v>589</v>
      </c>
    </row>
    <row r="206" spans="1:43">
      <c r="A206" s="529" t="s">
        <v>36</v>
      </c>
      <c r="B206" s="529" t="s">
        <v>590</v>
      </c>
    </row>
    <row r="208" spans="1:43">
      <c r="A208" s="529" t="s">
        <v>340</v>
      </c>
      <c r="B208" s="529" t="s">
        <v>576</v>
      </c>
    </row>
    <row r="209" spans="1:43">
      <c r="A209" s="529" t="s">
        <v>578</v>
      </c>
      <c r="B209" s="529" t="s">
        <v>298</v>
      </c>
    </row>
    <row r="210" spans="1:43">
      <c r="A210" s="529" t="s">
        <v>343</v>
      </c>
      <c r="B210" s="529" t="s">
        <v>219</v>
      </c>
    </row>
    <row r="212" spans="1:43">
      <c r="A212" s="532" t="s">
        <v>592</v>
      </c>
      <c r="B212" s="532" t="s">
        <v>611</v>
      </c>
      <c r="C212" s="532" t="s">
        <v>612</v>
      </c>
      <c r="D212" s="532" t="s">
        <v>613</v>
      </c>
      <c r="E212" s="532" t="s">
        <v>614</v>
      </c>
      <c r="F212" s="532" t="s">
        <v>615</v>
      </c>
      <c r="G212" s="532" t="s">
        <v>616</v>
      </c>
      <c r="H212" s="532" t="s">
        <v>617</v>
      </c>
      <c r="I212" s="532" t="s">
        <v>618</v>
      </c>
      <c r="J212" s="532" t="s">
        <v>619</v>
      </c>
      <c r="K212" s="532" t="s">
        <v>620</v>
      </c>
      <c r="L212" s="532" t="s">
        <v>621</v>
      </c>
      <c r="M212" s="532" t="s">
        <v>622</v>
      </c>
      <c r="N212" s="532" t="s">
        <v>623</v>
      </c>
      <c r="O212" s="532" t="s">
        <v>225</v>
      </c>
      <c r="P212" s="532" t="s">
        <v>624</v>
      </c>
      <c r="Q212" s="532" t="s">
        <v>625</v>
      </c>
      <c r="R212" s="532" t="s">
        <v>626</v>
      </c>
      <c r="S212" s="532" t="s">
        <v>227</v>
      </c>
      <c r="T212" s="532" t="s">
        <v>627</v>
      </c>
      <c r="U212" s="532" t="s">
        <v>628</v>
      </c>
      <c r="V212" s="532" t="s">
        <v>629</v>
      </c>
      <c r="W212" s="532" t="s">
        <v>630</v>
      </c>
      <c r="X212" s="532" t="s">
        <v>631</v>
      </c>
      <c r="Y212" s="532" t="s">
        <v>632</v>
      </c>
      <c r="Z212" s="532" t="s">
        <v>633</v>
      </c>
      <c r="AA212" s="532" t="s">
        <v>229</v>
      </c>
      <c r="AB212" s="532" t="s">
        <v>634</v>
      </c>
      <c r="AC212" s="532" t="s">
        <v>635</v>
      </c>
      <c r="AD212" s="532" t="s">
        <v>636</v>
      </c>
      <c r="AE212" s="532" t="s">
        <v>637</v>
      </c>
      <c r="AF212" s="532" t="s">
        <v>638</v>
      </c>
      <c r="AG212" s="532" t="s">
        <v>639</v>
      </c>
      <c r="AH212" s="532" t="s">
        <v>640</v>
      </c>
      <c r="AI212" s="532" t="s">
        <v>641</v>
      </c>
      <c r="AJ212" s="532" t="s">
        <v>642</v>
      </c>
      <c r="AK212" s="532" t="s">
        <v>643</v>
      </c>
      <c r="AL212" s="532" t="s">
        <v>644</v>
      </c>
      <c r="AP212" s="530" t="str">
        <f>B210</f>
        <v>Latvia</v>
      </c>
    </row>
    <row r="213" spans="1:43">
      <c r="A213" s="532" t="s">
        <v>583</v>
      </c>
      <c r="B213" s="533">
        <v>560</v>
      </c>
      <c r="C213" s="533">
        <v>0</v>
      </c>
      <c r="D213" s="533">
        <v>0</v>
      </c>
      <c r="E213" s="533">
        <v>0</v>
      </c>
      <c r="F213" s="533">
        <v>0</v>
      </c>
      <c r="G213" s="534" t="s">
        <v>36</v>
      </c>
      <c r="H213" s="534" t="s">
        <v>36</v>
      </c>
      <c r="I213" s="534" t="s">
        <v>36</v>
      </c>
      <c r="J213" s="534" t="s">
        <v>36</v>
      </c>
      <c r="K213" s="533">
        <v>560</v>
      </c>
      <c r="L213" s="533">
        <v>0</v>
      </c>
      <c r="M213" s="533">
        <v>0</v>
      </c>
      <c r="N213" s="533">
        <v>0</v>
      </c>
      <c r="O213" s="533">
        <v>0</v>
      </c>
      <c r="P213" s="533">
        <v>0</v>
      </c>
      <c r="Q213" s="533">
        <v>0</v>
      </c>
      <c r="R213" s="533">
        <v>0</v>
      </c>
      <c r="S213" s="533">
        <v>0</v>
      </c>
      <c r="T213" s="533">
        <v>0</v>
      </c>
      <c r="U213" s="533">
        <v>0</v>
      </c>
      <c r="V213" s="533">
        <v>0</v>
      </c>
      <c r="W213" s="533">
        <v>0</v>
      </c>
      <c r="X213" s="533">
        <v>0</v>
      </c>
      <c r="Y213" s="533">
        <v>0</v>
      </c>
      <c r="Z213" s="533">
        <v>0</v>
      </c>
      <c r="AA213" s="533">
        <v>560</v>
      </c>
      <c r="AB213" s="533">
        <v>0</v>
      </c>
      <c r="AC213" s="533">
        <v>568</v>
      </c>
      <c r="AD213" s="533">
        <v>0</v>
      </c>
      <c r="AE213" s="533">
        <v>0</v>
      </c>
      <c r="AF213" s="533">
        <v>0</v>
      </c>
      <c r="AG213" s="533">
        <v>0</v>
      </c>
      <c r="AH213" s="533">
        <v>0</v>
      </c>
      <c r="AI213" s="533">
        <v>0</v>
      </c>
      <c r="AJ213" s="533">
        <v>0</v>
      </c>
      <c r="AK213" s="533">
        <v>0</v>
      </c>
      <c r="AL213" s="533">
        <v>0</v>
      </c>
      <c r="AO213" s="530" t="str">
        <f>A217</f>
        <v>Transformation input in Autoproducer Electricity Plants</v>
      </c>
      <c r="AP213" s="530">
        <f>B217/1000</f>
        <v>0</v>
      </c>
      <c r="AQ213" s="530" t="str">
        <f>B212</f>
        <v>Total petroleum products</v>
      </c>
    </row>
    <row r="214" spans="1:43">
      <c r="A214" s="532" t="s">
        <v>584</v>
      </c>
      <c r="B214" s="533">
        <v>0</v>
      </c>
      <c r="C214" s="533">
        <v>0</v>
      </c>
      <c r="D214" s="533">
        <v>0</v>
      </c>
      <c r="E214" s="533">
        <v>0</v>
      </c>
      <c r="F214" s="533">
        <v>0</v>
      </c>
      <c r="G214" s="534" t="s">
        <v>36</v>
      </c>
      <c r="H214" s="534" t="s">
        <v>36</v>
      </c>
      <c r="I214" s="534" t="s">
        <v>36</v>
      </c>
      <c r="J214" s="534" t="s">
        <v>36</v>
      </c>
      <c r="K214" s="533">
        <v>0</v>
      </c>
      <c r="L214" s="533">
        <v>0</v>
      </c>
      <c r="M214" s="533">
        <v>0</v>
      </c>
      <c r="N214" s="533">
        <v>0</v>
      </c>
      <c r="O214" s="533">
        <v>0</v>
      </c>
      <c r="P214" s="533">
        <v>0</v>
      </c>
      <c r="Q214" s="533">
        <v>0</v>
      </c>
      <c r="R214" s="533">
        <v>0</v>
      </c>
      <c r="S214" s="533">
        <v>0</v>
      </c>
      <c r="T214" s="533">
        <v>0</v>
      </c>
      <c r="U214" s="533">
        <v>0</v>
      </c>
      <c r="V214" s="533">
        <v>0</v>
      </c>
      <c r="W214" s="533">
        <v>0</v>
      </c>
      <c r="X214" s="533">
        <v>0</v>
      </c>
      <c r="Y214" s="533">
        <v>0</v>
      </c>
      <c r="Z214" s="533">
        <v>0</v>
      </c>
      <c r="AA214" s="533">
        <v>0</v>
      </c>
      <c r="AB214" s="533">
        <v>0</v>
      </c>
      <c r="AC214" s="533">
        <v>0</v>
      </c>
      <c r="AD214" s="533">
        <v>0</v>
      </c>
      <c r="AE214" s="533">
        <v>0</v>
      </c>
      <c r="AF214" s="533">
        <v>0</v>
      </c>
      <c r="AG214" s="533">
        <v>0</v>
      </c>
      <c r="AH214" s="533">
        <v>0</v>
      </c>
      <c r="AI214" s="533">
        <v>0</v>
      </c>
      <c r="AJ214" s="533">
        <v>0</v>
      </c>
      <c r="AK214" s="533">
        <v>0</v>
      </c>
      <c r="AL214" s="533">
        <v>0</v>
      </c>
      <c r="AO214" s="530" t="s">
        <v>1065</v>
      </c>
      <c r="AP214" s="530">
        <f>L217/1000</f>
        <v>0</v>
      </c>
      <c r="AQ214" s="532" t="s">
        <v>621</v>
      </c>
    </row>
    <row r="215" spans="1:43">
      <c r="A215" s="532" t="s">
        <v>585</v>
      </c>
      <c r="B215" s="533">
        <v>560</v>
      </c>
      <c r="C215" s="533">
        <v>0</v>
      </c>
      <c r="D215" s="533">
        <v>0</v>
      </c>
      <c r="E215" s="533">
        <v>0</v>
      </c>
      <c r="F215" s="533">
        <v>0</v>
      </c>
      <c r="G215" s="534" t="s">
        <v>36</v>
      </c>
      <c r="H215" s="534" t="s">
        <v>36</v>
      </c>
      <c r="I215" s="534" t="s">
        <v>36</v>
      </c>
      <c r="J215" s="534" t="s">
        <v>36</v>
      </c>
      <c r="K215" s="533">
        <v>560</v>
      </c>
      <c r="L215" s="533">
        <v>0</v>
      </c>
      <c r="M215" s="533">
        <v>0</v>
      </c>
      <c r="N215" s="533">
        <v>0</v>
      </c>
      <c r="O215" s="533">
        <v>0</v>
      </c>
      <c r="P215" s="533">
        <v>0</v>
      </c>
      <c r="Q215" s="533">
        <v>0</v>
      </c>
      <c r="R215" s="533">
        <v>0</v>
      </c>
      <c r="S215" s="533">
        <v>0</v>
      </c>
      <c r="T215" s="533">
        <v>0</v>
      </c>
      <c r="U215" s="533">
        <v>0</v>
      </c>
      <c r="V215" s="533">
        <v>0</v>
      </c>
      <c r="W215" s="533">
        <v>0</v>
      </c>
      <c r="X215" s="533">
        <v>0</v>
      </c>
      <c r="Y215" s="533">
        <v>0</v>
      </c>
      <c r="Z215" s="533">
        <v>0</v>
      </c>
      <c r="AA215" s="533">
        <v>560</v>
      </c>
      <c r="AB215" s="533">
        <v>0</v>
      </c>
      <c r="AC215" s="533">
        <v>568</v>
      </c>
      <c r="AD215" s="533">
        <v>0</v>
      </c>
      <c r="AE215" s="533">
        <v>0</v>
      </c>
      <c r="AF215" s="533">
        <v>0</v>
      </c>
      <c r="AG215" s="533">
        <v>0</v>
      </c>
      <c r="AH215" s="533">
        <v>0</v>
      </c>
      <c r="AI215" s="533">
        <v>0</v>
      </c>
      <c r="AJ215" s="533">
        <v>0</v>
      </c>
      <c r="AK215" s="533">
        <v>0</v>
      </c>
      <c r="AL215" s="533">
        <v>0</v>
      </c>
      <c r="AO215" s="530" t="s">
        <v>1066</v>
      </c>
      <c r="AP215" s="530">
        <f>L218/1000</f>
        <v>0</v>
      </c>
      <c r="AQ215" s="532" t="s">
        <v>621</v>
      </c>
    </row>
    <row r="216" spans="1:43">
      <c r="A216" s="532" t="s">
        <v>586</v>
      </c>
      <c r="B216" s="533">
        <v>0</v>
      </c>
      <c r="C216" s="533">
        <v>0</v>
      </c>
      <c r="D216" s="533">
        <v>0</v>
      </c>
      <c r="E216" s="533">
        <v>0</v>
      </c>
      <c r="F216" s="533">
        <v>0</v>
      </c>
      <c r="G216" s="534" t="s">
        <v>36</v>
      </c>
      <c r="H216" s="534" t="s">
        <v>36</v>
      </c>
      <c r="I216" s="534" t="s">
        <v>36</v>
      </c>
      <c r="J216" s="534" t="s">
        <v>36</v>
      </c>
      <c r="K216" s="533">
        <v>0</v>
      </c>
      <c r="L216" s="533">
        <v>0</v>
      </c>
      <c r="M216" s="533">
        <v>0</v>
      </c>
      <c r="N216" s="533">
        <v>0</v>
      </c>
      <c r="O216" s="533">
        <v>0</v>
      </c>
      <c r="P216" s="533">
        <v>0</v>
      </c>
      <c r="Q216" s="533">
        <v>0</v>
      </c>
      <c r="R216" s="533">
        <v>0</v>
      </c>
      <c r="S216" s="533">
        <v>0</v>
      </c>
      <c r="T216" s="533">
        <v>0</v>
      </c>
      <c r="U216" s="533">
        <v>0</v>
      </c>
      <c r="V216" s="533">
        <v>0</v>
      </c>
      <c r="W216" s="533">
        <v>0</v>
      </c>
      <c r="X216" s="533">
        <v>0</v>
      </c>
      <c r="Y216" s="533">
        <v>0</v>
      </c>
      <c r="Z216" s="533">
        <v>0</v>
      </c>
      <c r="AA216" s="533">
        <v>0</v>
      </c>
      <c r="AB216" s="533">
        <v>0</v>
      </c>
      <c r="AC216" s="533">
        <v>0</v>
      </c>
      <c r="AD216" s="533">
        <v>0</v>
      </c>
      <c r="AE216" s="533">
        <v>0</v>
      </c>
      <c r="AF216" s="533">
        <v>0</v>
      </c>
      <c r="AG216" s="533">
        <v>0</v>
      </c>
      <c r="AH216" s="533">
        <v>0</v>
      </c>
      <c r="AI216" s="533">
        <v>0</v>
      </c>
      <c r="AJ216" s="533">
        <v>0</v>
      </c>
      <c r="AK216" s="533">
        <v>0</v>
      </c>
      <c r="AL216" s="533">
        <v>0</v>
      </c>
      <c r="AO216" s="530" t="s">
        <v>1065</v>
      </c>
      <c r="AP216" s="535">
        <f>AB217/1000</f>
        <v>0</v>
      </c>
      <c r="AQ216" s="532" t="s">
        <v>634</v>
      </c>
    </row>
    <row r="217" spans="1:43">
      <c r="A217" s="532" t="s">
        <v>587</v>
      </c>
      <c r="B217" s="533">
        <v>0</v>
      </c>
      <c r="C217" s="533">
        <v>0</v>
      </c>
      <c r="D217" s="533">
        <v>0</v>
      </c>
      <c r="E217" s="533">
        <v>0</v>
      </c>
      <c r="F217" s="533">
        <v>0</v>
      </c>
      <c r="G217" s="534" t="s">
        <v>36</v>
      </c>
      <c r="H217" s="534" t="s">
        <v>36</v>
      </c>
      <c r="I217" s="534" t="s">
        <v>36</v>
      </c>
      <c r="J217" s="534" t="s">
        <v>36</v>
      </c>
      <c r="K217" s="533">
        <v>0</v>
      </c>
      <c r="L217" s="533">
        <v>0</v>
      </c>
      <c r="M217" s="533">
        <v>0</v>
      </c>
      <c r="N217" s="533">
        <v>0</v>
      </c>
      <c r="O217" s="533">
        <v>0</v>
      </c>
      <c r="P217" s="533">
        <v>0</v>
      </c>
      <c r="Q217" s="533">
        <v>0</v>
      </c>
      <c r="R217" s="533">
        <v>0</v>
      </c>
      <c r="S217" s="533">
        <v>0</v>
      </c>
      <c r="T217" s="533">
        <v>0</v>
      </c>
      <c r="U217" s="533">
        <v>0</v>
      </c>
      <c r="V217" s="533">
        <v>0</v>
      </c>
      <c r="W217" s="533">
        <v>0</v>
      </c>
      <c r="X217" s="533">
        <v>0</v>
      </c>
      <c r="Y217" s="533">
        <v>0</v>
      </c>
      <c r="Z217" s="533">
        <v>0</v>
      </c>
      <c r="AA217" s="533">
        <v>0</v>
      </c>
      <c r="AB217" s="533">
        <v>0</v>
      </c>
      <c r="AC217" s="533">
        <v>0</v>
      </c>
      <c r="AD217" s="533">
        <v>0</v>
      </c>
      <c r="AE217" s="533">
        <v>0</v>
      </c>
      <c r="AF217" s="533">
        <v>0</v>
      </c>
      <c r="AG217" s="533">
        <v>0</v>
      </c>
      <c r="AH217" s="533">
        <v>0</v>
      </c>
      <c r="AI217" s="533">
        <v>0</v>
      </c>
      <c r="AJ217" s="533">
        <v>0</v>
      </c>
      <c r="AK217" s="533">
        <v>0</v>
      </c>
      <c r="AL217" s="533">
        <v>0</v>
      </c>
      <c r="AO217" s="530" t="s">
        <v>1066</v>
      </c>
      <c r="AP217" s="535">
        <f>AB218/1000</f>
        <v>0</v>
      </c>
      <c r="AQ217" s="532" t="s">
        <v>634</v>
      </c>
    </row>
    <row r="218" spans="1:43">
      <c r="A218" s="532" t="s">
        <v>588</v>
      </c>
      <c r="B218" s="533">
        <v>0</v>
      </c>
      <c r="C218" s="533">
        <v>0</v>
      </c>
      <c r="D218" s="533">
        <v>0</v>
      </c>
      <c r="E218" s="533">
        <v>0</v>
      </c>
      <c r="F218" s="533">
        <v>0</v>
      </c>
      <c r="G218" s="534" t="s">
        <v>36</v>
      </c>
      <c r="H218" s="534" t="s">
        <v>36</v>
      </c>
      <c r="I218" s="534" t="s">
        <v>36</v>
      </c>
      <c r="J218" s="534" t="s">
        <v>36</v>
      </c>
      <c r="K218" s="533">
        <v>0</v>
      </c>
      <c r="L218" s="533">
        <v>0</v>
      </c>
      <c r="M218" s="533">
        <v>0</v>
      </c>
      <c r="N218" s="533">
        <v>0</v>
      </c>
      <c r="O218" s="533">
        <v>0</v>
      </c>
      <c r="P218" s="533">
        <v>0</v>
      </c>
      <c r="Q218" s="533">
        <v>0</v>
      </c>
      <c r="R218" s="533">
        <v>0</v>
      </c>
      <c r="S218" s="533">
        <v>0</v>
      </c>
      <c r="T218" s="533">
        <v>0</v>
      </c>
      <c r="U218" s="533">
        <v>0</v>
      </c>
      <c r="V218" s="533">
        <v>0</v>
      </c>
      <c r="W218" s="533">
        <v>0</v>
      </c>
      <c r="X218" s="533">
        <v>0</v>
      </c>
      <c r="Y218" s="533">
        <v>0</v>
      </c>
      <c r="Z218" s="533">
        <v>0</v>
      </c>
      <c r="AA218" s="533">
        <v>0</v>
      </c>
      <c r="AB218" s="533">
        <v>0</v>
      </c>
      <c r="AC218" s="533">
        <v>0</v>
      </c>
      <c r="AD218" s="533">
        <v>0</v>
      </c>
      <c r="AE218" s="533">
        <v>0</v>
      </c>
      <c r="AF218" s="533">
        <v>0</v>
      </c>
      <c r="AG218" s="533">
        <v>0</v>
      </c>
      <c r="AH218" s="533">
        <v>0</v>
      </c>
      <c r="AI218" s="533">
        <v>0</v>
      </c>
      <c r="AJ218" s="533">
        <v>0</v>
      </c>
      <c r="AK218" s="533">
        <v>0</v>
      </c>
      <c r="AL218" s="533">
        <v>0</v>
      </c>
      <c r="AO218" s="530" t="s">
        <v>1065</v>
      </c>
      <c r="AP218" s="535">
        <f>AC217/1000</f>
        <v>0</v>
      </c>
      <c r="AQ218" s="532" t="s">
        <v>635</v>
      </c>
    </row>
    <row r="219" spans="1:43">
      <c r="AO219" s="530" t="s">
        <v>1066</v>
      </c>
      <c r="AP219" s="535">
        <f>AC218/1000</f>
        <v>0</v>
      </c>
      <c r="AQ219" s="532" t="s">
        <v>635</v>
      </c>
    </row>
    <row r="220" spans="1:43">
      <c r="A220" s="529" t="s">
        <v>589</v>
      </c>
    </row>
    <row r="221" spans="1:43">
      <c r="A221" s="529" t="s">
        <v>36</v>
      </c>
      <c r="B221" s="529" t="s">
        <v>590</v>
      </c>
    </row>
    <row r="223" spans="1:43">
      <c r="A223" s="529" t="s">
        <v>340</v>
      </c>
      <c r="B223" s="529" t="s">
        <v>576</v>
      </c>
    </row>
    <row r="224" spans="1:43">
      <c r="A224" s="529" t="s">
        <v>578</v>
      </c>
      <c r="B224" s="529" t="s">
        <v>298</v>
      </c>
    </row>
    <row r="225" spans="1:43">
      <c r="A225" s="529" t="s">
        <v>343</v>
      </c>
      <c r="B225" s="529" t="s">
        <v>188</v>
      </c>
    </row>
    <row r="227" spans="1:43">
      <c r="A227" s="532" t="s">
        <v>592</v>
      </c>
      <c r="B227" s="532" t="s">
        <v>611</v>
      </c>
      <c r="C227" s="532" t="s">
        <v>612</v>
      </c>
      <c r="D227" s="532" t="s">
        <v>613</v>
      </c>
      <c r="E227" s="532" t="s">
        <v>614</v>
      </c>
      <c r="F227" s="532" t="s">
        <v>615</v>
      </c>
      <c r="G227" s="532" t="s">
        <v>616</v>
      </c>
      <c r="H227" s="532" t="s">
        <v>617</v>
      </c>
      <c r="I227" s="532" t="s">
        <v>618</v>
      </c>
      <c r="J227" s="532" t="s">
        <v>619</v>
      </c>
      <c r="K227" s="532" t="s">
        <v>620</v>
      </c>
      <c r="L227" s="532" t="s">
        <v>621</v>
      </c>
      <c r="M227" s="532" t="s">
        <v>622</v>
      </c>
      <c r="N227" s="532" t="s">
        <v>623</v>
      </c>
      <c r="O227" s="532" t="s">
        <v>225</v>
      </c>
      <c r="P227" s="532" t="s">
        <v>624</v>
      </c>
      <c r="Q227" s="532" t="s">
        <v>625</v>
      </c>
      <c r="R227" s="532" t="s">
        <v>626</v>
      </c>
      <c r="S227" s="532" t="s">
        <v>227</v>
      </c>
      <c r="T227" s="532" t="s">
        <v>627</v>
      </c>
      <c r="U227" s="532" t="s">
        <v>628</v>
      </c>
      <c r="V227" s="532" t="s">
        <v>629</v>
      </c>
      <c r="W227" s="532" t="s">
        <v>630</v>
      </c>
      <c r="X227" s="532" t="s">
        <v>631</v>
      </c>
      <c r="Y227" s="532" t="s">
        <v>632</v>
      </c>
      <c r="Z227" s="532" t="s">
        <v>633</v>
      </c>
      <c r="AA227" s="532" t="s">
        <v>229</v>
      </c>
      <c r="AB227" s="532" t="s">
        <v>634</v>
      </c>
      <c r="AC227" s="532" t="s">
        <v>635</v>
      </c>
      <c r="AD227" s="532" t="s">
        <v>636</v>
      </c>
      <c r="AE227" s="532" t="s">
        <v>637</v>
      </c>
      <c r="AF227" s="532" t="s">
        <v>638</v>
      </c>
      <c r="AG227" s="532" t="s">
        <v>639</v>
      </c>
      <c r="AH227" s="532" t="s">
        <v>640</v>
      </c>
      <c r="AI227" s="532" t="s">
        <v>641</v>
      </c>
      <c r="AJ227" s="532" t="s">
        <v>642</v>
      </c>
      <c r="AK227" s="532" t="s">
        <v>643</v>
      </c>
      <c r="AL227" s="532" t="s">
        <v>644</v>
      </c>
      <c r="AP227" s="530" t="str">
        <f>B225</f>
        <v>Lithuania</v>
      </c>
    </row>
    <row r="228" spans="1:43">
      <c r="A228" s="532" t="s">
        <v>583</v>
      </c>
      <c r="B228" s="533">
        <v>7437</v>
      </c>
      <c r="C228" s="533">
        <v>0</v>
      </c>
      <c r="D228" s="533">
        <v>0</v>
      </c>
      <c r="E228" s="533">
        <v>0</v>
      </c>
      <c r="F228" s="533">
        <v>0</v>
      </c>
      <c r="G228" s="534" t="s">
        <v>36</v>
      </c>
      <c r="H228" s="534" t="s">
        <v>36</v>
      </c>
      <c r="I228" s="534" t="s">
        <v>36</v>
      </c>
      <c r="J228" s="534" t="s">
        <v>36</v>
      </c>
      <c r="K228" s="533">
        <v>7437</v>
      </c>
      <c r="L228" s="533">
        <v>0</v>
      </c>
      <c r="M228" s="533">
        <v>0</v>
      </c>
      <c r="N228" s="533">
        <v>0</v>
      </c>
      <c r="O228" s="533">
        <v>0</v>
      </c>
      <c r="P228" s="533">
        <v>0</v>
      </c>
      <c r="Q228" s="533">
        <v>0</v>
      </c>
      <c r="R228" s="533">
        <v>0</v>
      </c>
      <c r="S228" s="533">
        <v>0</v>
      </c>
      <c r="T228" s="533">
        <v>0</v>
      </c>
      <c r="U228" s="533">
        <v>0</v>
      </c>
      <c r="V228" s="533">
        <v>0</v>
      </c>
      <c r="W228" s="533">
        <v>0</v>
      </c>
      <c r="X228" s="533">
        <v>0</v>
      </c>
      <c r="Y228" s="533">
        <v>0</v>
      </c>
      <c r="Z228" s="533">
        <v>0</v>
      </c>
      <c r="AA228" s="533">
        <v>3840</v>
      </c>
      <c r="AB228" s="533">
        <v>0</v>
      </c>
      <c r="AC228" s="533">
        <v>3838</v>
      </c>
      <c r="AD228" s="533">
        <v>3597</v>
      </c>
      <c r="AE228" s="533">
        <v>0</v>
      </c>
      <c r="AF228" s="533">
        <v>0</v>
      </c>
      <c r="AG228" s="533">
        <v>3597</v>
      </c>
      <c r="AH228" s="533">
        <v>0</v>
      </c>
      <c r="AI228" s="533">
        <v>0</v>
      </c>
      <c r="AJ228" s="533">
        <v>0</v>
      </c>
      <c r="AK228" s="533">
        <v>0</v>
      </c>
      <c r="AL228" s="533">
        <v>0</v>
      </c>
      <c r="AO228" s="530" t="str">
        <f>A232</f>
        <v>Transformation input in Autoproducer Electricity Plants</v>
      </c>
      <c r="AP228" s="530">
        <f>B232/1000</f>
        <v>0</v>
      </c>
      <c r="AQ228" s="530" t="str">
        <f>B227</f>
        <v>Total petroleum products</v>
      </c>
    </row>
    <row r="229" spans="1:43">
      <c r="A229" s="532" t="s">
        <v>584</v>
      </c>
      <c r="B229" s="533">
        <v>0</v>
      </c>
      <c r="C229" s="533">
        <v>0</v>
      </c>
      <c r="D229" s="533">
        <v>0</v>
      </c>
      <c r="E229" s="533">
        <v>0</v>
      </c>
      <c r="F229" s="533">
        <v>0</v>
      </c>
      <c r="G229" s="534" t="s">
        <v>36</v>
      </c>
      <c r="H229" s="534" t="s">
        <v>36</v>
      </c>
      <c r="I229" s="534" t="s">
        <v>36</v>
      </c>
      <c r="J229" s="534" t="s">
        <v>36</v>
      </c>
      <c r="K229" s="533">
        <v>0</v>
      </c>
      <c r="L229" s="533">
        <v>0</v>
      </c>
      <c r="M229" s="533">
        <v>0</v>
      </c>
      <c r="N229" s="533">
        <v>0</v>
      </c>
      <c r="O229" s="533">
        <v>0</v>
      </c>
      <c r="P229" s="533">
        <v>0</v>
      </c>
      <c r="Q229" s="533">
        <v>0</v>
      </c>
      <c r="R229" s="533">
        <v>0</v>
      </c>
      <c r="S229" s="533">
        <v>0</v>
      </c>
      <c r="T229" s="533">
        <v>0</v>
      </c>
      <c r="U229" s="533">
        <v>0</v>
      </c>
      <c r="V229" s="533">
        <v>0</v>
      </c>
      <c r="W229" s="533">
        <v>0</v>
      </c>
      <c r="X229" s="533">
        <v>0</v>
      </c>
      <c r="Y229" s="533">
        <v>0</v>
      </c>
      <c r="Z229" s="533">
        <v>0</v>
      </c>
      <c r="AA229" s="533">
        <v>0</v>
      </c>
      <c r="AB229" s="533">
        <v>0</v>
      </c>
      <c r="AC229" s="533">
        <v>0</v>
      </c>
      <c r="AD229" s="533">
        <v>0</v>
      </c>
      <c r="AE229" s="533">
        <v>0</v>
      </c>
      <c r="AF229" s="533">
        <v>0</v>
      </c>
      <c r="AG229" s="533">
        <v>0</v>
      </c>
      <c r="AH229" s="533">
        <v>0</v>
      </c>
      <c r="AI229" s="533">
        <v>0</v>
      </c>
      <c r="AJ229" s="533">
        <v>0</v>
      </c>
      <c r="AK229" s="533">
        <v>0</v>
      </c>
      <c r="AL229" s="533">
        <v>0</v>
      </c>
      <c r="AO229" s="530" t="s">
        <v>1065</v>
      </c>
      <c r="AP229" s="530">
        <f>L232/1000</f>
        <v>0</v>
      </c>
      <c r="AQ229" s="532" t="s">
        <v>621</v>
      </c>
    </row>
    <row r="230" spans="1:43">
      <c r="A230" s="532" t="s">
        <v>585</v>
      </c>
      <c r="B230" s="533">
        <v>7437</v>
      </c>
      <c r="C230" s="533">
        <v>0</v>
      </c>
      <c r="D230" s="533">
        <v>0</v>
      </c>
      <c r="E230" s="533">
        <v>0</v>
      </c>
      <c r="F230" s="533">
        <v>0</v>
      </c>
      <c r="G230" s="534" t="s">
        <v>36</v>
      </c>
      <c r="H230" s="534" t="s">
        <v>36</v>
      </c>
      <c r="I230" s="534" t="s">
        <v>36</v>
      </c>
      <c r="J230" s="534" t="s">
        <v>36</v>
      </c>
      <c r="K230" s="533">
        <v>7437</v>
      </c>
      <c r="L230" s="533">
        <v>0</v>
      </c>
      <c r="M230" s="533">
        <v>0</v>
      </c>
      <c r="N230" s="533">
        <v>0</v>
      </c>
      <c r="O230" s="533">
        <v>0</v>
      </c>
      <c r="P230" s="533">
        <v>0</v>
      </c>
      <c r="Q230" s="533">
        <v>0</v>
      </c>
      <c r="R230" s="533">
        <v>0</v>
      </c>
      <c r="S230" s="533">
        <v>0</v>
      </c>
      <c r="T230" s="533">
        <v>0</v>
      </c>
      <c r="U230" s="533">
        <v>0</v>
      </c>
      <c r="V230" s="533">
        <v>0</v>
      </c>
      <c r="W230" s="533">
        <v>0</v>
      </c>
      <c r="X230" s="533">
        <v>0</v>
      </c>
      <c r="Y230" s="533">
        <v>0</v>
      </c>
      <c r="Z230" s="533">
        <v>0</v>
      </c>
      <c r="AA230" s="533">
        <v>3840</v>
      </c>
      <c r="AB230" s="533">
        <v>0</v>
      </c>
      <c r="AC230" s="533">
        <v>3838</v>
      </c>
      <c r="AD230" s="533">
        <v>3597</v>
      </c>
      <c r="AE230" s="533">
        <v>0</v>
      </c>
      <c r="AF230" s="533">
        <v>0</v>
      </c>
      <c r="AG230" s="533">
        <v>3597</v>
      </c>
      <c r="AH230" s="533">
        <v>0</v>
      </c>
      <c r="AI230" s="533">
        <v>0</v>
      </c>
      <c r="AJ230" s="533">
        <v>0</v>
      </c>
      <c r="AK230" s="533">
        <v>0</v>
      </c>
      <c r="AL230" s="533">
        <v>0</v>
      </c>
      <c r="AO230" s="530" t="s">
        <v>1066</v>
      </c>
      <c r="AP230" s="530">
        <f>L233/1000</f>
        <v>0</v>
      </c>
      <c r="AQ230" s="532" t="s">
        <v>621</v>
      </c>
    </row>
    <row r="231" spans="1:43">
      <c r="A231" s="532" t="s">
        <v>586</v>
      </c>
      <c r="B231" s="533">
        <v>0</v>
      </c>
      <c r="C231" s="533">
        <v>0</v>
      </c>
      <c r="D231" s="533">
        <v>0</v>
      </c>
      <c r="E231" s="533">
        <v>0</v>
      </c>
      <c r="F231" s="533">
        <v>0</v>
      </c>
      <c r="G231" s="534" t="s">
        <v>36</v>
      </c>
      <c r="H231" s="534" t="s">
        <v>36</v>
      </c>
      <c r="I231" s="534" t="s">
        <v>36</v>
      </c>
      <c r="J231" s="534" t="s">
        <v>36</v>
      </c>
      <c r="K231" s="533">
        <v>0</v>
      </c>
      <c r="L231" s="533">
        <v>0</v>
      </c>
      <c r="M231" s="533">
        <v>0</v>
      </c>
      <c r="N231" s="533">
        <v>0</v>
      </c>
      <c r="O231" s="533">
        <v>0</v>
      </c>
      <c r="P231" s="533">
        <v>0</v>
      </c>
      <c r="Q231" s="533">
        <v>0</v>
      </c>
      <c r="R231" s="533">
        <v>0</v>
      </c>
      <c r="S231" s="533">
        <v>0</v>
      </c>
      <c r="T231" s="533">
        <v>0</v>
      </c>
      <c r="U231" s="533">
        <v>0</v>
      </c>
      <c r="V231" s="533">
        <v>0</v>
      </c>
      <c r="W231" s="533">
        <v>0</v>
      </c>
      <c r="X231" s="533">
        <v>0</v>
      </c>
      <c r="Y231" s="533">
        <v>0</v>
      </c>
      <c r="Z231" s="533">
        <v>0</v>
      </c>
      <c r="AA231" s="533">
        <v>0</v>
      </c>
      <c r="AB231" s="533">
        <v>0</v>
      </c>
      <c r="AC231" s="533">
        <v>0</v>
      </c>
      <c r="AD231" s="533">
        <v>0</v>
      </c>
      <c r="AE231" s="533">
        <v>0</v>
      </c>
      <c r="AF231" s="533">
        <v>0</v>
      </c>
      <c r="AG231" s="533">
        <v>0</v>
      </c>
      <c r="AH231" s="533">
        <v>0</v>
      </c>
      <c r="AI231" s="533">
        <v>0</v>
      </c>
      <c r="AJ231" s="533">
        <v>0</v>
      </c>
      <c r="AK231" s="533">
        <v>0</v>
      </c>
      <c r="AL231" s="533">
        <v>0</v>
      </c>
      <c r="AO231" s="530" t="s">
        <v>1065</v>
      </c>
      <c r="AP231" s="535">
        <f>AB232/1000</f>
        <v>0</v>
      </c>
      <c r="AQ231" s="532" t="s">
        <v>634</v>
      </c>
    </row>
    <row r="232" spans="1:43">
      <c r="A232" s="532" t="s">
        <v>587</v>
      </c>
      <c r="B232" s="533">
        <v>0</v>
      </c>
      <c r="C232" s="533">
        <v>0</v>
      </c>
      <c r="D232" s="533">
        <v>0</v>
      </c>
      <c r="E232" s="533">
        <v>0</v>
      </c>
      <c r="F232" s="533">
        <v>0</v>
      </c>
      <c r="G232" s="534" t="s">
        <v>36</v>
      </c>
      <c r="H232" s="534" t="s">
        <v>36</v>
      </c>
      <c r="I232" s="534" t="s">
        <v>36</v>
      </c>
      <c r="J232" s="534" t="s">
        <v>36</v>
      </c>
      <c r="K232" s="533">
        <v>0</v>
      </c>
      <c r="L232" s="533">
        <v>0</v>
      </c>
      <c r="M232" s="533">
        <v>0</v>
      </c>
      <c r="N232" s="533">
        <v>0</v>
      </c>
      <c r="O232" s="533">
        <v>0</v>
      </c>
      <c r="P232" s="533">
        <v>0</v>
      </c>
      <c r="Q232" s="533">
        <v>0</v>
      </c>
      <c r="R232" s="533">
        <v>0</v>
      </c>
      <c r="S232" s="533">
        <v>0</v>
      </c>
      <c r="T232" s="533">
        <v>0</v>
      </c>
      <c r="U232" s="533">
        <v>0</v>
      </c>
      <c r="V232" s="533">
        <v>0</v>
      </c>
      <c r="W232" s="533">
        <v>0</v>
      </c>
      <c r="X232" s="533">
        <v>0</v>
      </c>
      <c r="Y232" s="533">
        <v>0</v>
      </c>
      <c r="Z232" s="533">
        <v>0</v>
      </c>
      <c r="AA232" s="533">
        <v>0</v>
      </c>
      <c r="AB232" s="533">
        <v>0</v>
      </c>
      <c r="AC232" s="533">
        <v>0</v>
      </c>
      <c r="AD232" s="533">
        <v>0</v>
      </c>
      <c r="AE232" s="533">
        <v>0</v>
      </c>
      <c r="AF232" s="533">
        <v>0</v>
      </c>
      <c r="AG232" s="533">
        <v>0</v>
      </c>
      <c r="AH232" s="533">
        <v>0</v>
      </c>
      <c r="AI232" s="533">
        <v>0</v>
      </c>
      <c r="AJ232" s="533">
        <v>0</v>
      </c>
      <c r="AK232" s="533">
        <v>0</v>
      </c>
      <c r="AL232" s="533">
        <v>0</v>
      </c>
      <c r="AO232" s="530" t="s">
        <v>1066</v>
      </c>
      <c r="AP232" s="535">
        <f>AB233/1000</f>
        <v>0</v>
      </c>
      <c r="AQ232" s="532" t="s">
        <v>634</v>
      </c>
    </row>
    <row r="233" spans="1:43">
      <c r="A233" s="532" t="s">
        <v>588</v>
      </c>
      <c r="B233" s="533">
        <v>0</v>
      </c>
      <c r="C233" s="533">
        <v>0</v>
      </c>
      <c r="D233" s="533">
        <v>0</v>
      </c>
      <c r="E233" s="533">
        <v>0</v>
      </c>
      <c r="F233" s="533">
        <v>0</v>
      </c>
      <c r="G233" s="534" t="s">
        <v>36</v>
      </c>
      <c r="H233" s="534" t="s">
        <v>36</v>
      </c>
      <c r="I233" s="534" t="s">
        <v>36</v>
      </c>
      <c r="J233" s="534" t="s">
        <v>36</v>
      </c>
      <c r="K233" s="533">
        <v>0</v>
      </c>
      <c r="L233" s="533">
        <v>0</v>
      </c>
      <c r="M233" s="533">
        <v>0</v>
      </c>
      <c r="N233" s="533">
        <v>0</v>
      </c>
      <c r="O233" s="533">
        <v>0</v>
      </c>
      <c r="P233" s="533">
        <v>0</v>
      </c>
      <c r="Q233" s="533">
        <v>0</v>
      </c>
      <c r="R233" s="533">
        <v>0</v>
      </c>
      <c r="S233" s="533">
        <v>0</v>
      </c>
      <c r="T233" s="533">
        <v>0</v>
      </c>
      <c r="U233" s="533">
        <v>0</v>
      </c>
      <c r="V233" s="533">
        <v>0</v>
      </c>
      <c r="W233" s="533">
        <v>0</v>
      </c>
      <c r="X233" s="533">
        <v>0</v>
      </c>
      <c r="Y233" s="533">
        <v>0</v>
      </c>
      <c r="Z233" s="533">
        <v>0</v>
      </c>
      <c r="AA233" s="533">
        <v>0</v>
      </c>
      <c r="AB233" s="533">
        <v>0</v>
      </c>
      <c r="AC233" s="533">
        <v>0</v>
      </c>
      <c r="AD233" s="533">
        <v>0</v>
      </c>
      <c r="AE233" s="533">
        <v>0</v>
      </c>
      <c r="AF233" s="533">
        <v>0</v>
      </c>
      <c r="AG233" s="533">
        <v>0</v>
      </c>
      <c r="AH233" s="533">
        <v>0</v>
      </c>
      <c r="AI233" s="533">
        <v>0</v>
      </c>
      <c r="AJ233" s="533">
        <v>0</v>
      </c>
      <c r="AK233" s="533">
        <v>0</v>
      </c>
      <c r="AL233" s="533">
        <v>0</v>
      </c>
      <c r="AO233" s="530" t="s">
        <v>1065</v>
      </c>
      <c r="AP233" s="535">
        <f>AC232/1000</f>
        <v>0</v>
      </c>
      <c r="AQ233" s="532" t="s">
        <v>635</v>
      </c>
    </row>
    <row r="234" spans="1:43">
      <c r="AO234" s="530" t="s">
        <v>1066</v>
      </c>
      <c r="AP234" s="535">
        <f>AC233/1000</f>
        <v>0</v>
      </c>
      <c r="AQ234" s="532" t="s">
        <v>635</v>
      </c>
    </row>
    <row r="235" spans="1:43">
      <c r="A235" s="529" t="s">
        <v>589</v>
      </c>
    </row>
    <row r="236" spans="1:43">
      <c r="A236" s="529" t="s">
        <v>36</v>
      </c>
      <c r="B236" s="529" t="s">
        <v>590</v>
      </c>
    </row>
    <row r="238" spans="1:43">
      <c r="A238" s="529" t="s">
        <v>340</v>
      </c>
      <c r="B238" s="529" t="s">
        <v>576</v>
      </c>
    </row>
    <row r="239" spans="1:43">
      <c r="A239" s="529" t="s">
        <v>578</v>
      </c>
      <c r="B239" s="529" t="s">
        <v>298</v>
      </c>
    </row>
    <row r="240" spans="1:43">
      <c r="A240" s="529" t="s">
        <v>343</v>
      </c>
      <c r="B240" s="529" t="s">
        <v>474</v>
      </c>
    </row>
    <row r="242" spans="1:43">
      <c r="A242" s="532" t="s">
        <v>592</v>
      </c>
      <c r="B242" s="532" t="s">
        <v>611</v>
      </c>
      <c r="C242" s="532" t="s">
        <v>612</v>
      </c>
      <c r="D242" s="532" t="s">
        <v>613</v>
      </c>
      <c r="E242" s="532" t="s">
        <v>614</v>
      </c>
      <c r="F242" s="532" t="s">
        <v>615</v>
      </c>
      <c r="G242" s="532" t="s">
        <v>616</v>
      </c>
      <c r="H242" s="532" t="s">
        <v>617</v>
      </c>
      <c r="I242" s="532" t="s">
        <v>618</v>
      </c>
      <c r="J242" s="532" t="s">
        <v>619</v>
      </c>
      <c r="K242" s="532" t="s">
        <v>620</v>
      </c>
      <c r="L242" s="532" t="s">
        <v>621</v>
      </c>
      <c r="M242" s="532" t="s">
        <v>622</v>
      </c>
      <c r="N242" s="532" t="s">
        <v>623</v>
      </c>
      <c r="O242" s="532" t="s">
        <v>225</v>
      </c>
      <c r="P242" s="532" t="s">
        <v>624</v>
      </c>
      <c r="Q242" s="532" t="s">
        <v>625</v>
      </c>
      <c r="R242" s="532" t="s">
        <v>626</v>
      </c>
      <c r="S242" s="532" t="s">
        <v>227</v>
      </c>
      <c r="T242" s="532" t="s">
        <v>627</v>
      </c>
      <c r="U242" s="532" t="s">
        <v>628</v>
      </c>
      <c r="V242" s="532" t="s">
        <v>629</v>
      </c>
      <c r="W242" s="532" t="s">
        <v>630</v>
      </c>
      <c r="X242" s="532" t="s">
        <v>631</v>
      </c>
      <c r="Y242" s="532" t="s">
        <v>632</v>
      </c>
      <c r="Z242" s="532" t="s">
        <v>633</v>
      </c>
      <c r="AA242" s="532" t="s">
        <v>229</v>
      </c>
      <c r="AB242" s="532" t="s">
        <v>634</v>
      </c>
      <c r="AC242" s="532" t="s">
        <v>635</v>
      </c>
      <c r="AD242" s="532" t="s">
        <v>636</v>
      </c>
      <c r="AE242" s="532" t="s">
        <v>637</v>
      </c>
      <c r="AF242" s="532" t="s">
        <v>638</v>
      </c>
      <c r="AG242" s="532" t="s">
        <v>639</v>
      </c>
      <c r="AH242" s="532" t="s">
        <v>640</v>
      </c>
      <c r="AI242" s="532" t="s">
        <v>641</v>
      </c>
      <c r="AJ242" s="532" t="s">
        <v>642</v>
      </c>
      <c r="AK242" s="532" t="s">
        <v>643</v>
      </c>
      <c r="AL242" s="532" t="s">
        <v>644</v>
      </c>
      <c r="AP242" s="530" t="str">
        <f>B240</f>
        <v>Luxembourg</v>
      </c>
    </row>
    <row r="243" spans="1:43">
      <c r="A243" s="532" t="s">
        <v>583</v>
      </c>
      <c r="B243" s="533">
        <v>0</v>
      </c>
      <c r="C243" s="533">
        <v>0</v>
      </c>
      <c r="D243" s="533">
        <v>0</v>
      </c>
      <c r="E243" s="533">
        <v>0</v>
      </c>
      <c r="F243" s="533">
        <v>0</v>
      </c>
      <c r="G243" s="534" t="s">
        <v>36</v>
      </c>
      <c r="H243" s="534" t="s">
        <v>36</v>
      </c>
      <c r="I243" s="534" t="s">
        <v>36</v>
      </c>
      <c r="J243" s="534" t="s">
        <v>36</v>
      </c>
      <c r="K243" s="533">
        <v>0</v>
      </c>
      <c r="L243" s="533">
        <v>0</v>
      </c>
      <c r="M243" s="533">
        <v>0</v>
      </c>
      <c r="N243" s="533">
        <v>0</v>
      </c>
      <c r="O243" s="533">
        <v>0</v>
      </c>
      <c r="P243" s="533">
        <v>0</v>
      </c>
      <c r="Q243" s="533">
        <v>0</v>
      </c>
      <c r="R243" s="533">
        <v>0</v>
      </c>
      <c r="S243" s="533">
        <v>0</v>
      </c>
      <c r="T243" s="533">
        <v>0</v>
      </c>
      <c r="U243" s="533">
        <v>0</v>
      </c>
      <c r="V243" s="533">
        <v>0</v>
      </c>
      <c r="W243" s="533">
        <v>0</v>
      </c>
      <c r="X243" s="533">
        <v>0</v>
      </c>
      <c r="Y243" s="533">
        <v>0</v>
      </c>
      <c r="Z243" s="533">
        <v>0</v>
      </c>
      <c r="AA243" s="533">
        <v>0</v>
      </c>
      <c r="AB243" s="533">
        <v>0</v>
      </c>
      <c r="AC243" s="533">
        <v>0</v>
      </c>
      <c r="AD243" s="533">
        <v>0</v>
      </c>
      <c r="AE243" s="533">
        <v>0</v>
      </c>
      <c r="AF243" s="533">
        <v>0</v>
      </c>
      <c r="AG243" s="533">
        <v>0</v>
      </c>
      <c r="AH243" s="533">
        <v>0</v>
      </c>
      <c r="AI243" s="533">
        <v>0</v>
      </c>
      <c r="AJ243" s="533">
        <v>0</v>
      </c>
      <c r="AK243" s="533">
        <v>0</v>
      </c>
      <c r="AL243" s="533">
        <v>0</v>
      </c>
      <c r="AO243" s="530" t="str">
        <f>A247</f>
        <v>Transformation input in Autoproducer Electricity Plants</v>
      </c>
      <c r="AP243" s="530">
        <f>B247/1000</f>
        <v>0</v>
      </c>
      <c r="AQ243" s="530" t="str">
        <f>B242</f>
        <v>Total petroleum products</v>
      </c>
    </row>
    <row r="244" spans="1:43">
      <c r="A244" s="532" t="s">
        <v>584</v>
      </c>
      <c r="B244" s="533">
        <v>0</v>
      </c>
      <c r="C244" s="533">
        <v>0</v>
      </c>
      <c r="D244" s="533">
        <v>0</v>
      </c>
      <c r="E244" s="533">
        <v>0</v>
      </c>
      <c r="F244" s="533">
        <v>0</v>
      </c>
      <c r="G244" s="534" t="s">
        <v>36</v>
      </c>
      <c r="H244" s="534" t="s">
        <v>36</v>
      </c>
      <c r="I244" s="534" t="s">
        <v>36</v>
      </c>
      <c r="J244" s="534" t="s">
        <v>36</v>
      </c>
      <c r="K244" s="533">
        <v>0</v>
      </c>
      <c r="L244" s="533">
        <v>0</v>
      </c>
      <c r="M244" s="533">
        <v>0</v>
      </c>
      <c r="N244" s="533">
        <v>0</v>
      </c>
      <c r="O244" s="533">
        <v>0</v>
      </c>
      <c r="P244" s="533">
        <v>0</v>
      </c>
      <c r="Q244" s="533">
        <v>0</v>
      </c>
      <c r="R244" s="533">
        <v>0</v>
      </c>
      <c r="S244" s="533">
        <v>0</v>
      </c>
      <c r="T244" s="533">
        <v>0</v>
      </c>
      <c r="U244" s="533">
        <v>0</v>
      </c>
      <c r="V244" s="533">
        <v>0</v>
      </c>
      <c r="W244" s="533">
        <v>0</v>
      </c>
      <c r="X244" s="533">
        <v>0</v>
      </c>
      <c r="Y244" s="533">
        <v>0</v>
      </c>
      <c r="Z244" s="533">
        <v>0</v>
      </c>
      <c r="AA244" s="533">
        <v>0</v>
      </c>
      <c r="AB244" s="533">
        <v>0</v>
      </c>
      <c r="AC244" s="533">
        <v>0</v>
      </c>
      <c r="AD244" s="533">
        <v>0</v>
      </c>
      <c r="AE244" s="533">
        <v>0</v>
      </c>
      <c r="AF244" s="533">
        <v>0</v>
      </c>
      <c r="AG244" s="533">
        <v>0</v>
      </c>
      <c r="AH244" s="533">
        <v>0</v>
      </c>
      <c r="AI244" s="533">
        <v>0</v>
      </c>
      <c r="AJ244" s="533">
        <v>0</v>
      </c>
      <c r="AK244" s="533">
        <v>0</v>
      </c>
      <c r="AL244" s="533">
        <v>0</v>
      </c>
      <c r="AO244" s="530" t="s">
        <v>1065</v>
      </c>
      <c r="AP244" s="530">
        <f>L247/1000</f>
        <v>0</v>
      </c>
      <c r="AQ244" s="532" t="s">
        <v>621</v>
      </c>
    </row>
    <row r="245" spans="1:43">
      <c r="A245" s="532" t="s">
        <v>585</v>
      </c>
      <c r="B245" s="533">
        <v>0</v>
      </c>
      <c r="C245" s="533">
        <v>0</v>
      </c>
      <c r="D245" s="533">
        <v>0</v>
      </c>
      <c r="E245" s="533">
        <v>0</v>
      </c>
      <c r="F245" s="533">
        <v>0</v>
      </c>
      <c r="G245" s="534" t="s">
        <v>36</v>
      </c>
      <c r="H245" s="534" t="s">
        <v>36</v>
      </c>
      <c r="I245" s="534" t="s">
        <v>36</v>
      </c>
      <c r="J245" s="534" t="s">
        <v>36</v>
      </c>
      <c r="K245" s="533">
        <v>0</v>
      </c>
      <c r="L245" s="533">
        <v>0</v>
      </c>
      <c r="M245" s="533">
        <v>0</v>
      </c>
      <c r="N245" s="533">
        <v>0</v>
      </c>
      <c r="O245" s="533">
        <v>0</v>
      </c>
      <c r="P245" s="533">
        <v>0</v>
      </c>
      <c r="Q245" s="533">
        <v>0</v>
      </c>
      <c r="R245" s="533">
        <v>0</v>
      </c>
      <c r="S245" s="533">
        <v>0</v>
      </c>
      <c r="T245" s="533">
        <v>0</v>
      </c>
      <c r="U245" s="533">
        <v>0</v>
      </c>
      <c r="V245" s="533">
        <v>0</v>
      </c>
      <c r="W245" s="533">
        <v>0</v>
      </c>
      <c r="X245" s="533">
        <v>0</v>
      </c>
      <c r="Y245" s="533">
        <v>0</v>
      </c>
      <c r="Z245" s="533">
        <v>0</v>
      </c>
      <c r="AA245" s="533">
        <v>0</v>
      </c>
      <c r="AB245" s="533">
        <v>0</v>
      </c>
      <c r="AC245" s="533">
        <v>0</v>
      </c>
      <c r="AD245" s="533">
        <v>0</v>
      </c>
      <c r="AE245" s="533">
        <v>0</v>
      </c>
      <c r="AF245" s="533">
        <v>0</v>
      </c>
      <c r="AG245" s="533">
        <v>0</v>
      </c>
      <c r="AH245" s="533">
        <v>0</v>
      </c>
      <c r="AI245" s="533">
        <v>0</v>
      </c>
      <c r="AJ245" s="533">
        <v>0</v>
      </c>
      <c r="AK245" s="533">
        <v>0</v>
      </c>
      <c r="AL245" s="533">
        <v>0</v>
      </c>
      <c r="AO245" s="530" t="s">
        <v>1066</v>
      </c>
      <c r="AP245" s="530">
        <f>L248/1000</f>
        <v>0</v>
      </c>
      <c r="AQ245" s="532" t="s">
        <v>621</v>
      </c>
    </row>
    <row r="246" spans="1:43">
      <c r="A246" s="532" t="s">
        <v>586</v>
      </c>
      <c r="B246" s="533">
        <v>0</v>
      </c>
      <c r="C246" s="533">
        <v>0</v>
      </c>
      <c r="D246" s="533">
        <v>0</v>
      </c>
      <c r="E246" s="533">
        <v>0</v>
      </c>
      <c r="F246" s="533">
        <v>0</v>
      </c>
      <c r="G246" s="534" t="s">
        <v>36</v>
      </c>
      <c r="H246" s="534" t="s">
        <v>36</v>
      </c>
      <c r="I246" s="534" t="s">
        <v>36</v>
      </c>
      <c r="J246" s="534" t="s">
        <v>36</v>
      </c>
      <c r="K246" s="533">
        <v>0</v>
      </c>
      <c r="L246" s="533">
        <v>0</v>
      </c>
      <c r="M246" s="533">
        <v>0</v>
      </c>
      <c r="N246" s="533">
        <v>0</v>
      </c>
      <c r="O246" s="533">
        <v>0</v>
      </c>
      <c r="P246" s="533">
        <v>0</v>
      </c>
      <c r="Q246" s="533">
        <v>0</v>
      </c>
      <c r="R246" s="533">
        <v>0</v>
      </c>
      <c r="S246" s="533">
        <v>0</v>
      </c>
      <c r="T246" s="533">
        <v>0</v>
      </c>
      <c r="U246" s="533">
        <v>0</v>
      </c>
      <c r="V246" s="533">
        <v>0</v>
      </c>
      <c r="W246" s="533">
        <v>0</v>
      </c>
      <c r="X246" s="533">
        <v>0</v>
      </c>
      <c r="Y246" s="533">
        <v>0</v>
      </c>
      <c r="Z246" s="533">
        <v>0</v>
      </c>
      <c r="AA246" s="533">
        <v>0</v>
      </c>
      <c r="AB246" s="533">
        <v>0</v>
      </c>
      <c r="AC246" s="533">
        <v>0</v>
      </c>
      <c r="AD246" s="533">
        <v>0</v>
      </c>
      <c r="AE246" s="533">
        <v>0</v>
      </c>
      <c r="AF246" s="533">
        <v>0</v>
      </c>
      <c r="AG246" s="533">
        <v>0</v>
      </c>
      <c r="AH246" s="533">
        <v>0</v>
      </c>
      <c r="AI246" s="533">
        <v>0</v>
      </c>
      <c r="AJ246" s="533">
        <v>0</v>
      </c>
      <c r="AK246" s="533">
        <v>0</v>
      </c>
      <c r="AL246" s="533">
        <v>0</v>
      </c>
      <c r="AO246" s="530" t="s">
        <v>1065</v>
      </c>
      <c r="AP246" s="535">
        <f>AB247/1000</f>
        <v>0</v>
      </c>
      <c r="AQ246" s="532" t="s">
        <v>634</v>
      </c>
    </row>
    <row r="247" spans="1:43">
      <c r="A247" s="532" t="s">
        <v>587</v>
      </c>
      <c r="B247" s="533">
        <v>0</v>
      </c>
      <c r="C247" s="533">
        <v>0</v>
      </c>
      <c r="D247" s="533">
        <v>0</v>
      </c>
      <c r="E247" s="533">
        <v>0</v>
      </c>
      <c r="F247" s="533">
        <v>0</v>
      </c>
      <c r="G247" s="534" t="s">
        <v>36</v>
      </c>
      <c r="H247" s="534" t="s">
        <v>36</v>
      </c>
      <c r="I247" s="534" t="s">
        <v>36</v>
      </c>
      <c r="J247" s="534" t="s">
        <v>36</v>
      </c>
      <c r="K247" s="533">
        <v>0</v>
      </c>
      <c r="L247" s="533">
        <v>0</v>
      </c>
      <c r="M247" s="533">
        <v>0</v>
      </c>
      <c r="N247" s="533">
        <v>0</v>
      </c>
      <c r="O247" s="533">
        <v>0</v>
      </c>
      <c r="P247" s="533">
        <v>0</v>
      </c>
      <c r="Q247" s="533">
        <v>0</v>
      </c>
      <c r="R247" s="533">
        <v>0</v>
      </c>
      <c r="S247" s="533">
        <v>0</v>
      </c>
      <c r="T247" s="533">
        <v>0</v>
      </c>
      <c r="U247" s="533">
        <v>0</v>
      </c>
      <c r="V247" s="533">
        <v>0</v>
      </c>
      <c r="W247" s="533">
        <v>0</v>
      </c>
      <c r="X247" s="533">
        <v>0</v>
      </c>
      <c r="Y247" s="533">
        <v>0</v>
      </c>
      <c r="Z247" s="533">
        <v>0</v>
      </c>
      <c r="AA247" s="533">
        <v>0</v>
      </c>
      <c r="AB247" s="533">
        <v>0</v>
      </c>
      <c r="AC247" s="533">
        <v>0</v>
      </c>
      <c r="AD247" s="533">
        <v>0</v>
      </c>
      <c r="AE247" s="533">
        <v>0</v>
      </c>
      <c r="AF247" s="533">
        <v>0</v>
      </c>
      <c r="AG247" s="533">
        <v>0</v>
      </c>
      <c r="AH247" s="533">
        <v>0</v>
      </c>
      <c r="AI247" s="533">
        <v>0</v>
      </c>
      <c r="AJ247" s="533">
        <v>0</v>
      </c>
      <c r="AK247" s="533">
        <v>0</v>
      </c>
      <c r="AL247" s="533">
        <v>0</v>
      </c>
      <c r="AO247" s="530" t="s">
        <v>1066</v>
      </c>
      <c r="AP247" s="535">
        <f>AB248/1000</f>
        <v>0</v>
      </c>
      <c r="AQ247" s="532" t="s">
        <v>634</v>
      </c>
    </row>
    <row r="248" spans="1:43">
      <c r="A248" s="532" t="s">
        <v>588</v>
      </c>
      <c r="B248" s="533">
        <v>0</v>
      </c>
      <c r="C248" s="533">
        <v>0</v>
      </c>
      <c r="D248" s="533">
        <v>0</v>
      </c>
      <c r="E248" s="533">
        <v>0</v>
      </c>
      <c r="F248" s="533">
        <v>0</v>
      </c>
      <c r="G248" s="534" t="s">
        <v>36</v>
      </c>
      <c r="H248" s="534" t="s">
        <v>36</v>
      </c>
      <c r="I248" s="534" t="s">
        <v>36</v>
      </c>
      <c r="J248" s="534" t="s">
        <v>36</v>
      </c>
      <c r="K248" s="533">
        <v>0</v>
      </c>
      <c r="L248" s="533">
        <v>0</v>
      </c>
      <c r="M248" s="533">
        <v>0</v>
      </c>
      <c r="N248" s="533">
        <v>0</v>
      </c>
      <c r="O248" s="533">
        <v>0</v>
      </c>
      <c r="P248" s="533">
        <v>0</v>
      </c>
      <c r="Q248" s="533">
        <v>0</v>
      </c>
      <c r="R248" s="533">
        <v>0</v>
      </c>
      <c r="S248" s="533">
        <v>0</v>
      </c>
      <c r="T248" s="533">
        <v>0</v>
      </c>
      <c r="U248" s="533">
        <v>0</v>
      </c>
      <c r="V248" s="533">
        <v>0</v>
      </c>
      <c r="W248" s="533">
        <v>0</v>
      </c>
      <c r="X248" s="533">
        <v>0</v>
      </c>
      <c r="Y248" s="533">
        <v>0</v>
      </c>
      <c r="Z248" s="533">
        <v>0</v>
      </c>
      <c r="AA248" s="533">
        <v>0</v>
      </c>
      <c r="AB248" s="533">
        <v>0</v>
      </c>
      <c r="AC248" s="533">
        <v>0</v>
      </c>
      <c r="AD248" s="533">
        <v>0</v>
      </c>
      <c r="AE248" s="533">
        <v>0</v>
      </c>
      <c r="AF248" s="533">
        <v>0</v>
      </c>
      <c r="AG248" s="533">
        <v>0</v>
      </c>
      <c r="AH248" s="533">
        <v>0</v>
      </c>
      <c r="AI248" s="533">
        <v>0</v>
      </c>
      <c r="AJ248" s="533">
        <v>0</v>
      </c>
      <c r="AK248" s="533">
        <v>0</v>
      </c>
      <c r="AL248" s="533">
        <v>0</v>
      </c>
      <c r="AO248" s="530" t="s">
        <v>1065</v>
      </c>
      <c r="AP248" s="535">
        <f>AC247/1000</f>
        <v>0</v>
      </c>
      <c r="AQ248" s="532" t="s">
        <v>635</v>
      </c>
    </row>
    <row r="249" spans="1:43">
      <c r="AO249" s="530" t="s">
        <v>1066</v>
      </c>
      <c r="AP249" s="535">
        <f>AC248/1000</f>
        <v>0</v>
      </c>
      <c r="AQ249" s="532" t="s">
        <v>635</v>
      </c>
    </row>
    <row r="250" spans="1:43">
      <c r="A250" s="529" t="s">
        <v>589</v>
      </c>
    </row>
    <row r="251" spans="1:43">
      <c r="A251" s="529" t="s">
        <v>36</v>
      </c>
      <c r="B251" s="529" t="s">
        <v>590</v>
      </c>
    </row>
    <row r="253" spans="1:43">
      <c r="A253" s="529" t="s">
        <v>340</v>
      </c>
      <c r="B253" s="529" t="s">
        <v>576</v>
      </c>
    </row>
    <row r="254" spans="1:43">
      <c r="A254" s="529" t="s">
        <v>578</v>
      </c>
      <c r="B254" s="529" t="s">
        <v>298</v>
      </c>
    </row>
    <row r="255" spans="1:43">
      <c r="A255" s="529" t="s">
        <v>343</v>
      </c>
      <c r="B255" s="529" t="s">
        <v>189</v>
      </c>
    </row>
    <row r="257" spans="1:43">
      <c r="A257" s="532" t="s">
        <v>592</v>
      </c>
      <c r="B257" s="532" t="s">
        <v>611</v>
      </c>
      <c r="C257" s="532" t="s">
        <v>612</v>
      </c>
      <c r="D257" s="532" t="s">
        <v>613</v>
      </c>
      <c r="E257" s="532" t="s">
        <v>614</v>
      </c>
      <c r="F257" s="532" t="s">
        <v>615</v>
      </c>
      <c r="G257" s="532" t="s">
        <v>616</v>
      </c>
      <c r="H257" s="532" t="s">
        <v>617</v>
      </c>
      <c r="I257" s="532" t="s">
        <v>618</v>
      </c>
      <c r="J257" s="532" t="s">
        <v>619</v>
      </c>
      <c r="K257" s="532" t="s">
        <v>620</v>
      </c>
      <c r="L257" s="532" t="s">
        <v>621</v>
      </c>
      <c r="M257" s="532" t="s">
        <v>622</v>
      </c>
      <c r="N257" s="532" t="s">
        <v>623</v>
      </c>
      <c r="O257" s="532" t="s">
        <v>225</v>
      </c>
      <c r="P257" s="532" t="s">
        <v>624</v>
      </c>
      <c r="Q257" s="532" t="s">
        <v>625</v>
      </c>
      <c r="R257" s="532" t="s">
        <v>626</v>
      </c>
      <c r="S257" s="532" t="s">
        <v>227</v>
      </c>
      <c r="T257" s="532" t="s">
        <v>627</v>
      </c>
      <c r="U257" s="532" t="s">
        <v>628</v>
      </c>
      <c r="V257" s="532" t="s">
        <v>629</v>
      </c>
      <c r="W257" s="532" t="s">
        <v>630</v>
      </c>
      <c r="X257" s="532" t="s">
        <v>631</v>
      </c>
      <c r="Y257" s="532" t="s">
        <v>632</v>
      </c>
      <c r="Z257" s="532" t="s">
        <v>633</v>
      </c>
      <c r="AA257" s="532" t="s">
        <v>229</v>
      </c>
      <c r="AB257" s="532" t="s">
        <v>634</v>
      </c>
      <c r="AC257" s="532" t="s">
        <v>635</v>
      </c>
      <c r="AD257" s="532" t="s">
        <v>636</v>
      </c>
      <c r="AE257" s="532" t="s">
        <v>637</v>
      </c>
      <c r="AF257" s="532" t="s">
        <v>638</v>
      </c>
      <c r="AG257" s="532" t="s">
        <v>639</v>
      </c>
      <c r="AH257" s="532" t="s">
        <v>640</v>
      </c>
      <c r="AI257" s="532" t="s">
        <v>641</v>
      </c>
      <c r="AJ257" s="532" t="s">
        <v>642</v>
      </c>
      <c r="AK257" s="532" t="s">
        <v>643</v>
      </c>
      <c r="AL257" s="532" t="s">
        <v>644</v>
      </c>
      <c r="AP257" s="530" t="str">
        <f>B255</f>
        <v>Hungary</v>
      </c>
    </row>
    <row r="258" spans="1:43">
      <c r="A258" s="532" t="s">
        <v>583</v>
      </c>
      <c r="B258" s="533">
        <v>4623</v>
      </c>
      <c r="C258" s="533">
        <v>0</v>
      </c>
      <c r="D258" s="533">
        <v>0</v>
      </c>
      <c r="E258" s="533">
        <v>0</v>
      </c>
      <c r="F258" s="533">
        <v>0</v>
      </c>
      <c r="G258" s="534" t="s">
        <v>36</v>
      </c>
      <c r="H258" s="534" t="s">
        <v>36</v>
      </c>
      <c r="I258" s="534" t="s">
        <v>36</v>
      </c>
      <c r="J258" s="534" t="s">
        <v>36</v>
      </c>
      <c r="K258" s="533">
        <v>4623</v>
      </c>
      <c r="L258" s="533">
        <v>0</v>
      </c>
      <c r="M258" s="533">
        <v>0</v>
      </c>
      <c r="N258" s="533">
        <v>0</v>
      </c>
      <c r="O258" s="533">
        <v>0</v>
      </c>
      <c r="P258" s="533">
        <v>0</v>
      </c>
      <c r="Q258" s="533">
        <v>0</v>
      </c>
      <c r="R258" s="533">
        <v>0</v>
      </c>
      <c r="S258" s="533">
        <v>0</v>
      </c>
      <c r="T258" s="533">
        <v>0</v>
      </c>
      <c r="U258" s="533">
        <v>0</v>
      </c>
      <c r="V258" s="533">
        <v>0</v>
      </c>
      <c r="W258" s="533">
        <v>0</v>
      </c>
      <c r="X258" s="533">
        <v>213</v>
      </c>
      <c r="Y258" s="533">
        <v>0</v>
      </c>
      <c r="Z258" s="533">
        <v>210</v>
      </c>
      <c r="AA258" s="533">
        <v>3480</v>
      </c>
      <c r="AB258" s="533">
        <v>2814</v>
      </c>
      <c r="AC258" s="533">
        <v>683</v>
      </c>
      <c r="AD258" s="533">
        <v>930</v>
      </c>
      <c r="AE258" s="533">
        <v>0</v>
      </c>
      <c r="AF258" s="533">
        <v>0</v>
      </c>
      <c r="AG258" s="533">
        <v>0</v>
      </c>
      <c r="AH258" s="533">
        <v>0</v>
      </c>
      <c r="AI258" s="533">
        <v>0</v>
      </c>
      <c r="AJ258" s="533">
        <v>930</v>
      </c>
      <c r="AK258" s="533">
        <v>0</v>
      </c>
      <c r="AL258" s="533">
        <v>0</v>
      </c>
      <c r="AO258" s="530" t="str">
        <f>A262</f>
        <v>Transformation input in Autoproducer Electricity Plants</v>
      </c>
      <c r="AP258" s="530">
        <f>B262/1000</f>
        <v>0</v>
      </c>
      <c r="AQ258" s="530" t="str">
        <f>B257</f>
        <v>Total petroleum products</v>
      </c>
    </row>
    <row r="259" spans="1:43">
      <c r="A259" s="532" t="s">
        <v>584</v>
      </c>
      <c r="B259" s="533">
        <v>3740</v>
      </c>
      <c r="C259" s="533">
        <v>0</v>
      </c>
      <c r="D259" s="533">
        <v>0</v>
      </c>
      <c r="E259" s="533">
        <v>0</v>
      </c>
      <c r="F259" s="533">
        <v>0</v>
      </c>
      <c r="G259" s="534" t="s">
        <v>36</v>
      </c>
      <c r="H259" s="534" t="s">
        <v>36</v>
      </c>
      <c r="I259" s="534" t="s">
        <v>36</v>
      </c>
      <c r="J259" s="534" t="s">
        <v>36</v>
      </c>
      <c r="K259" s="533">
        <v>3740</v>
      </c>
      <c r="L259" s="533">
        <v>0</v>
      </c>
      <c r="M259" s="533">
        <v>0</v>
      </c>
      <c r="N259" s="533">
        <v>0</v>
      </c>
      <c r="O259" s="533">
        <v>0</v>
      </c>
      <c r="P259" s="533">
        <v>0</v>
      </c>
      <c r="Q259" s="533">
        <v>0</v>
      </c>
      <c r="R259" s="533">
        <v>0</v>
      </c>
      <c r="S259" s="533">
        <v>0</v>
      </c>
      <c r="T259" s="533">
        <v>0</v>
      </c>
      <c r="U259" s="533">
        <v>0</v>
      </c>
      <c r="V259" s="533">
        <v>0</v>
      </c>
      <c r="W259" s="533">
        <v>0</v>
      </c>
      <c r="X259" s="533">
        <v>170</v>
      </c>
      <c r="Y259" s="533">
        <v>0</v>
      </c>
      <c r="Z259" s="533">
        <v>168</v>
      </c>
      <c r="AA259" s="533">
        <v>2640</v>
      </c>
      <c r="AB259" s="533">
        <v>1970</v>
      </c>
      <c r="AC259" s="533">
        <v>683</v>
      </c>
      <c r="AD259" s="533">
        <v>930</v>
      </c>
      <c r="AE259" s="533">
        <v>0</v>
      </c>
      <c r="AF259" s="533">
        <v>0</v>
      </c>
      <c r="AG259" s="533">
        <v>0</v>
      </c>
      <c r="AH259" s="533">
        <v>0</v>
      </c>
      <c r="AI259" s="533">
        <v>0</v>
      </c>
      <c r="AJ259" s="533">
        <v>930</v>
      </c>
      <c r="AK259" s="533">
        <v>0</v>
      </c>
      <c r="AL259" s="533">
        <v>0</v>
      </c>
      <c r="AO259" s="530" t="s">
        <v>1065</v>
      </c>
      <c r="AP259" s="530">
        <f>L262/1000</f>
        <v>0</v>
      </c>
      <c r="AQ259" s="532" t="s">
        <v>621</v>
      </c>
    </row>
    <row r="260" spans="1:43">
      <c r="A260" s="532" t="s">
        <v>585</v>
      </c>
      <c r="B260" s="533">
        <v>883</v>
      </c>
      <c r="C260" s="533">
        <v>0</v>
      </c>
      <c r="D260" s="533">
        <v>0</v>
      </c>
      <c r="E260" s="533">
        <v>0</v>
      </c>
      <c r="F260" s="533">
        <v>0</v>
      </c>
      <c r="G260" s="534" t="s">
        <v>36</v>
      </c>
      <c r="H260" s="534" t="s">
        <v>36</v>
      </c>
      <c r="I260" s="534" t="s">
        <v>36</v>
      </c>
      <c r="J260" s="534" t="s">
        <v>36</v>
      </c>
      <c r="K260" s="533">
        <v>883</v>
      </c>
      <c r="L260" s="533">
        <v>0</v>
      </c>
      <c r="M260" s="533">
        <v>0</v>
      </c>
      <c r="N260" s="533">
        <v>0</v>
      </c>
      <c r="O260" s="533">
        <v>0</v>
      </c>
      <c r="P260" s="533">
        <v>0</v>
      </c>
      <c r="Q260" s="533">
        <v>0</v>
      </c>
      <c r="R260" s="533">
        <v>0</v>
      </c>
      <c r="S260" s="533">
        <v>0</v>
      </c>
      <c r="T260" s="533">
        <v>0</v>
      </c>
      <c r="U260" s="533">
        <v>0</v>
      </c>
      <c r="V260" s="533">
        <v>0</v>
      </c>
      <c r="W260" s="533">
        <v>0</v>
      </c>
      <c r="X260" s="533">
        <v>43</v>
      </c>
      <c r="Y260" s="533">
        <v>0</v>
      </c>
      <c r="Z260" s="533">
        <v>42</v>
      </c>
      <c r="AA260" s="533">
        <v>840</v>
      </c>
      <c r="AB260" s="533">
        <v>844</v>
      </c>
      <c r="AC260" s="533">
        <v>0</v>
      </c>
      <c r="AD260" s="533">
        <v>0</v>
      </c>
      <c r="AE260" s="533">
        <v>0</v>
      </c>
      <c r="AF260" s="533">
        <v>0</v>
      </c>
      <c r="AG260" s="533">
        <v>0</v>
      </c>
      <c r="AH260" s="533">
        <v>0</v>
      </c>
      <c r="AI260" s="533">
        <v>0</v>
      </c>
      <c r="AJ260" s="533">
        <v>0</v>
      </c>
      <c r="AK260" s="533">
        <v>0</v>
      </c>
      <c r="AL260" s="533">
        <v>0</v>
      </c>
      <c r="AO260" s="530" t="s">
        <v>1066</v>
      </c>
      <c r="AP260" s="530">
        <f>L263/1000</f>
        <v>0</v>
      </c>
      <c r="AQ260" s="532" t="s">
        <v>621</v>
      </c>
    </row>
    <row r="261" spans="1:43">
      <c r="A261" s="532" t="s">
        <v>586</v>
      </c>
      <c r="B261" s="533">
        <v>200</v>
      </c>
      <c r="C261" s="533">
        <v>0</v>
      </c>
      <c r="D261" s="533">
        <v>0</v>
      </c>
      <c r="E261" s="533">
        <v>0</v>
      </c>
      <c r="F261" s="533">
        <v>0</v>
      </c>
      <c r="G261" s="534" t="s">
        <v>36</v>
      </c>
      <c r="H261" s="534" t="s">
        <v>36</v>
      </c>
      <c r="I261" s="534" t="s">
        <v>36</v>
      </c>
      <c r="J261" s="534" t="s">
        <v>36</v>
      </c>
      <c r="K261" s="533">
        <v>200</v>
      </c>
      <c r="L261" s="533">
        <v>0</v>
      </c>
      <c r="M261" s="533">
        <v>0</v>
      </c>
      <c r="N261" s="533">
        <v>0</v>
      </c>
      <c r="O261" s="533">
        <v>0</v>
      </c>
      <c r="P261" s="533">
        <v>0</v>
      </c>
      <c r="Q261" s="533">
        <v>0</v>
      </c>
      <c r="R261" s="533">
        <v>0</v>
      </c>
      <c r="S261" s="533">
        <v>0</v>
      </c>
      <c r="T261" s="533">
        <v>0</v>
      </c>
      <c r="U261" s="533">
        <v>0</v>
      </c>
      <c r="V261" s="533">
        <v>0</v>
      </c>
      <c r="W261" s="533">
        <v>0</v>
      </c>
      <c r="X261" s="533">
        <v>0</v>
      </c>
      <c r="Y261" s="533">
        <v>0</v>
      </c>
      <c r="Z261" s="533">
        <v>0</v>
      </c>
      <c r="AA261" s="533">
        <v>200</v>
      </c>
      <c r="AB261" s="533">
        <v>201</v>
      </c>
      <c r="AC261" s="533">
        <v>0</v>
      </c>
      <c r="AD261" s="533">
        <v>0</v>
      </c>
      <c r="AE261" s="533">
        <v>0</v>
      </c>
      <c r="AF261" s="533">
        <v>0</v>
      </c>
      <c r="AG261" s="533">
        <v>0</v>
      </c>
      <c r="AH261" s="533">
        <v>0</v>
      </c>
      <c r="AI261" s="533">
        <v>0</v>
      </c>
      <c r="AJ261" s="533">
        <v>0</v>
      </c>
      <c r="AK261" s="533">
        <v>0</v>
      </c>
      <c r="AL261" s="533">
        <v>0</v>
      </c>
      <c r="AO261" s="530" t="s">
        <v>1065</v>
      </c>
      <c r="AP261" s="535">
        <f>AB262/1000</f>
        <v>0</v>
      </c>
      <c r="AQ261" s="532" t="s">
        <v>634</v>
      </c>
    </row>
    <row r="262" spans="1:43">
      <c r="A262" s="532" t="s">
        <v>587</v>
      </c>
      <c r="B262" s="533">
        <v>0</v>
      </c>
      <c r="C262" s="533">
        <v>0</v>
      </c>
      <c r="D262" s="533">
        <v>0</v>
      </c>
      <c r="E262" s="533">
        <v>0</v>
      </c>
      <c r="F262" s="533">
        <v>0</v>
      </c>
      <c r="G262" s="534" t="s">
        <v>36</v>
      </c>
      <c r="H262" s="534" t="s">
        <v>36</v>
      </c>
      <c r="I262" s="534" t="s">
        <v>36</v>
      </c>
      <c r="J262" s="534" t="s">
        <v>36</v>
      </c>
      <c r="K262" s="533">
        <v>0</v>
      </c>
      <c r="L262" s="533">
        <v>0</v>
      </c>
      <c r="M262" s="533">
        <v>0</v>
      </c>
      <c r="N262" s="533">
        <v>0</v>
      </c>
      <c r="O262" s="533">
        <v>0</v>
      </c>
      <c r="P262" s="533">
        <v>0</v>
      </c>
      <c r="Q262" s="533">
        <v>0</v>
      </c>
      <c r="R262" s="533">
        <v>0</v>
      </c>
      <c r="S262" s="533">
        <v>0</v>
      </c>
      <c r="T262" s="533">
        <v>0</v>
      </c>
      <c r="U262" s="533">
        <v>0</v>
      </c>
      <c r="V262" s="533">
        <v>0</v>
      </c>
      <c r="W262" s="533">
        <v>0</v>
      </c>
      <c r="X262" s="533">
        <v>0</v>
      </c>
      <c r="Y262" s="533">
        <v>0</v>
      </c>
      <c r="Z262" s="533">
        <v>0</v>
      </c>
      <c r="AA262" s="533">
        <v>0</v>
      </c>
      <c r="AB262" s="533">
        <v>0</v>
      </c>
      <c r="AC262" s="533">
        <v>0</v>
      </c>
      <c r="AD262" s="533">
        <v>0</v>
      </c>
      <c r="AE262" s="533">
        <v>0</v>
      </c>
      <c r="AF262" s="533">
        <v>0</v>
      </c>
      <c r="AG262" s="533">
        <v>0</v>
      </c>
      <c r="AH262" s="533">
        <v>0</v>
      </c>
      <c r="AI262" s="533">
        <v>0</v>
      </c>
      <c r="AJ262" s="533">
        <v>0</v>
      </c>
      <c r="AK262" s="533">
        <v>0</v>
      </c>
      <c r="AL262" s="533">
        <v>0</v>
      </c>
      <c r="AO262" s="530" t="s">
        <v>1066</v>
      </c>
      <c r="AP262" s="535">
        <f>AB263/1000</f>
        <v>0.20100000000000001</v>
      </c>
      <c r="AQ262" s="532" t="s">
        <v>634</v>
      </c>
    </row>
    <row r="263" spans="1:43">
      <c r="A263" s="532" t="s">
        <v>588</v>
      </c>
      <c r="B263" s="533">
        <v>200</v>
      </c>
      <c r="C263" s="533">
        <v>0</v>
      </c>
      <c r="D263" s="533">
        <v>0</v>
      </c>
      <c r="E263" s="533">
        <v>0</v>
      </c>
      <c r="F263" s="533">
        <v>0</v>
      </c>
      <c r="G263" s="534" t="s">
        <v>36</v>
      </c>
      <c r="H263" s="534" t="s">
        <v>36</v>
      </c>
      <c r="I263" s="534" t="s">
        <v>36</v>
      </c>
      <c r="J263" s="534" t="s">
        <v>36</v>
      </c>
      <c r="K263" s="533">
        <v>200</v>
      </c>
      <c r="L263" s="533">
        <v>0</v>
      </c>
      <c r="M263" s="533">
        <v>0</v>
      </c>
      <c r="N263" s="533">
        <v>0</v>
      </c>
      <c r="O263" s="533">
        <v>0</v>
      </c>
      <c r="P263" s="533">
        <v>0</v>
      </c>
      <c r="Q263" s="533">
        <v>0</v>
      </c>
      <c r="R263" s="533">
        <v>0</v>
      </c>
      <c r="S263" s="533">
        <v>0</v>
      </c>
      <c r="T263" s="533">
        <v>0</v>
      </c>
      <c r="U263" s="533">
        <v>0</v>
      </c>
      <c r="V263" s="533">
        <v>0</v>
      </c>
      <c r="W263" s="533">
        <v>0</v>
      </c>
      <c r="X263" s="533">
        <v>0</v>
      </c>
      <c r="Y263" s="533">
        <v>0</v>
      </c>
      <c r="Z263" s="533">
        <v>0</v>
      </c>
      <c r="AA263" s="533">
        <v>200</v>
      </c>
      <c r="AB263" s="533">
        <v>201</v>
      </c>
      <c r="AC263" s="533">
        <v>0</v>
      </c>
      <c r="AD263" s="533">
        <v>0</v>
      </c>
      <c r="AE263" s="533">
        <v>0</v>
      </c>
      <c r="AF263" s="533">
        <v>0</v>
      </c>
      <c r="AG263" s="533">
        <v>0</v>
      </c>
      <c r="AH263" s="533">
        <v>0</v>
      </c>
      <c r="AI263" s="533">
        <v>0</v>
      </c>
      <c r="AJ263" s="533">
        <v>0</v>
      </c>
      <c r="AK263" s="533">
        <v>0</v>
      </c>
      <c r="AL263" s="533">
        <v>0</v>
      </c>
      <c r="AO263" s="530" t="s">
        <v>1065</v>
      </c>
      <c r="AP263" s="535">
        <f>AC262/1000</f>
        <v>0</v>
      </c>
      <c r="AQ263" s="532" t="s">
        <v>635</v>
      </c>
    </row>
    <row r="264" spans="1:43">
      <c r="AO264" s="530" t="s">
        <v>1066</v>
      </c>
      <c r="AP264" s="535">
        <f>AC263/1000</f>
        <v>0</v>
      </c>
      <c r="AQ264" s="532" t="s">
        <v>635</v>
      </c>
    </row>
    <row r="265" spans="1:43">
      <c r="A265" s="529" t="s">
        <v>589</v>
      </c>
    </row>
    <row r="266" spans="1:43">
      <c r="A266" s="529" t="s">
        <v>36</v>
      </c>
      <c r="B266" s="529" t="s">
        <v>590</v>
      </c>
    </row>
    <row r="268" spans="1:43">
      <c r="A268" s="529" t="s">
        <v>340</v>
      </c>
      <c r="B268" s="529" t="s">
        <v>576</v>
      </c>
    </row>
    <row r="269" spans="1:43">
      <c r="A269" s="529" t="s">
        <v>578</v>
      </c>
      <c r="B269" s="529" t="s">
        <v>298</v>
      </c>
    </row>
    <row r="270" spans="1:43">
      <c r="A270" s="529" t="s">
        <v>343</v>
      </c>
      <c r="B270" s="529" t="s">
        <v>190</v>
      </c>
    </row>
    <row r="272" spans="1:43">
      <c r="A272" s="532" t="s">
        <v>592</v>
      </c>
      <c r="B272" s="532" t="s">
        <v>611</v>
      </c>
      <c r="C272" s="532" t="s">
        <v>612</v>
      </c>
      <c r="D272" s="532" t="s">
        <v>613</v>
      </c>
      <c r="E272" s="532" t="s">
        <v>614</v>
      </c>
      <c r="F272" s="532" t="s">
        <v>615</v>
      </c>
      <c r="G272" s="532" t="s">
        <v>616</v>
      </c>
      <c r="H272" s="532" t="s">
        <v>617</v>
      </c>
      <c r="I272" s="532" t="s">
        <v>618</v>
      </c>
      <c r="J272" s="532" t="s">
        <v>619</v>
      </c>
      <c r="K272" s="532" t="s">
        <v>620</v>
      </c>
      <c r="L272" s="532" t="s">
        <v>621</v>
      </c>
      <c r="M272" s="532" t="s">
        <v>622</v>
      </c>
      <c r="N272" s="532" t="s">
        <v>623</v>
      </c>
      <c r="O272" s="532" t="s">
        <v>225</v>
      </c>
      <c r="P272" s="532" t="s">
        <v>624</v>
      </c>
      <c r="Q272" s="532" t="s">
        <v>625</v>
      </c>
      <c r="R272" s="532" t="s">
        <v>626</v>
      </c>
      <c r="S272" s="532" t="s">
        <v>227</v>
      </c>
      <c r="T272" s="532" t="s">
        <v>627</v>
      </c>
      <c r="U272" s="532" t="s">
        <v>628</v>
      </c>
      <c r="V272" s="532" t="s">
        <v>629</v>
      </c>
      <c r="W272" s="532" t="s">
        <v>630</v>
      </c>
      <c r="X272" s="532" t="s">
        <v>631</v>
      </c>
      <c r="Y272" s="532" t="s">
        <v>632</v>
      </c>
      <c r="Z272" s="532" t="s">
        <v>633</v>
      </c>
      <c r="AA272" s="532" t="s">
        <v>229</v>
      </c>
      <c r="AB272" s="532" t="s">
        <v>634</v>
      </c>
      <c r="AC272" s="532" t="s">
        <v>635</v>
      </c>
      <c r="AD272" s="532" t="s">
        <v>636</v>
      </c>
      <c r="AE272" s="532" t="s">
        <v>637</v>
      </c>
      <c r="AF272" s="532" t="s">
        <v>638</v>
      </c>
      <c r="AG272" s="532" t="s">
        <v>639</v>
      </c>
      <c r="AH272" s="532" t="s">
        <v>640</v>
      </c>
      <c r="AI272" s="532" t="s">
        <v>641</v>
      </c>
      <c r="AJ272" s="532" t="s">
        <v>642</v>
      </c>
      <c r="AK272" s="532" t="s">
        <v>643</v>
      </c>
      <c r="AL272" s="532" t="s">
        <v>644</v>
      </c>
      <c r="AP272" s="530" t="str">
        <f>B270</f>
        <v>Malta</v>
      </c>
    </row>
    <row r="273" spans="1:43">
      <c r="A273" s="532" t="s">
        <v>583</v>
      </c>
      <c r="B273" s="533">
        <v>30497</v>
      </c>
      <c r="C273" s="533">
        <v>0</v>
      </c>
      <c r="D273" s="533">
        <v>0</v>
      </c>
      <c r="E273" s="533">
        <v>0</v>
      </c>
      <c r="F273" s="533">
        <v>0</v>
      </c>
      <c r="G273" s="534" t="s">
        <v>36</v>
      </c>
      <c r="H273" s="534" t="s">
        <v>36</v>
      </c>
      <c r="I273" s="534" t="s">
        <v>36</v>
      </c>
      <c r="J273" s="534" t="s">
        <v>36</v>
      </c>
      <c r="K273" s="533">
        <v>30497</v>
      </c>
      <c r="L273" s="533">
        <v>0</v>
      </c>
      <c r="M273" s="533">
        <v>0</v>
      </c>
      <c r="N273" s="533">
        <v>0</v>
      </c>
      <c r="O273" s="533">
        <v>0</v>
      </c>
      <c r="P273" s="533">
        <v>0</v>
      </c>
      <c r="Q273" s="533">
        <v>0</v>
      </c>
      <c r="R273" s="533">
        <v>0</v>
      </c>
      <c r="S273" s="533">
        <v>0</v>
      </c>
      <c r="T273" s="533">
        <v>0</v>
      </c>
      <c r="U273" s="533">
        <v>0</v>
      </c>
      <c r="V273" s="533">
        <v>0</v>
      </c>
      <c r="W273" s="533">
        <v>0</v>
      </c>
      <c r="X273" s="533">
        <v>6177</v>
      </c>
      <c r="Y273" s="533">
        <v>2599</v>
      </c>
      <c r="Z273" s="533">
        <v>3578</v>
      </c>
      <c r="AA273" s="533">
        <v>24320</v>
      </c>
      <c r="AB273" s="533">
        <v>24320</v>
      </c>
      <c r="AC273" s="533">
        <v>0</v>
      </c>
      <c r="AD273" s="533">
        <v>0</v>
      </c>
      <c r="AE273" s="533">
        <v>0</v>
      </c>
      <c r="AF273" s="533">
        <v>0</v>
      </c>
      <c r="AG273" s="533">
        <v>0</v>
      </c>
      <c r="AH273" s="533">
        <v>0</v>
      </c>
      <c r="AI273" s="533">
        <v>0</v>
      </c>
      <c r="AJ273" s="533">
        <v>0</v>
      </c>
      <c r="AK273" s="533">
        <v>0</v>
      </c>
      <c r="AL273" s="533">
        <v>0</v>
      </c>
      <c r="AO273" s="530" t="str">
        <f>A277</f>
        <v>Transformation input in Autoproducer Electricity Plants</v>
      </c>
      <c r="AP273" s="530">
        <f>B277/1000</f>
        <v>0</v>
      </c>
      <c r="AQ273" s="530" t="str">
        <f>B272</f>
        <v>Total petroleum products</v>
      </c>
    </row>
    <row r="274" spans="1:43">
      <c r="A274" s="532" t="s">
        <v>584</v>
      </c>
      <c r="B274" s="533">
        <v>30497</v>
      </c>
      <c r="C274" s="533">
        <v>0</v>
      </c>
      <c r="D274" s="533">
        <v>0</v>
      </c>
      <c r="E274" s="533">
        <v>0</v>
      </c>
      <c r="F274" s="533">
        <v>0</v>
      </c>
      <c r="G274" s="534" t="s">
        <v>36</v>
      </c>
      <c r="H274" s="534" t="s">
        <v>36</v>
      </c>
      <c r="I274" s="534" t="s">
        <v>36</v>
      </c>
      <c r="J274" s="534" t="s">
        <v>36</v>
      </c>
      <c r="K274" s="533">
        <v>30497</v>
      </c>
      <c r="L274" s="533">
        <v>0</v>
      </c>
      <c r="M274" s="533">
        <v>0</v>
      </c>
      <c r="N274" s="533">
        <v>0</v>
      </c>
      <c r="O274" s="533">
        <v>0</v>
      </c>
      <c r="P274" s="533">
        <v>0</v>
      </c>
      <c r="Q274" s="533">
        <v>0</v>
      </c>
      <c r="R274" s="533">
        <v>0</v>
      </c>
      <c r="S274" s="533">
        <v>0</v>
      </c>
      <c r="T274" s="533">
        <v>0</v>
      </c>
      <c r="U274" s="533">
        <v>0</v>
      </c>
      <c r="V274" s="533">
        <v>0</v>
      </c>
      <c r="W274" s="533">
        <v>0</v>
      </c>
      <c r="X274" s="533">
        <v>6177</v>
      </c>
      <c r="Y274" s="533">
        <v>2599</v>
      </c>
      <c r="Z274" s="533">
        <v>3578</v>
      </c>
      <c r="AA274" s="533">
        <v>24320</v>
      </c>
      <c r="AB274" s="533">
        <v>24320</v>
      </c>
      <c r="AC274" s="533">
        <v>0</v>
      </c>
      <c r="AD274" s="533">
        <v>0</v>
      </c>
      <c r="AE274" s="533">
        <v>0</v>
      </c>
      <c r="AF274" s="533">
        <v>0</v>
      </c>
      <c r="AG274" s="533">
        <v>0</v>
      </c>
      <c r="AH274" s="533">
        <v>0</v>
      </c>
      <c r="AI274" s="533">
        <v>0</v>
      </c>
      <c r="AJ274" s="533">
        <v>0</v>
      </c>
      <c r="AK274" s="533">
        <v>0</v>
      </c>
      <c r="AL274" s="533">
        <v>0</v>
      </c>
      <c r="AO274" s="530" t="s">
        <v>1065</v>
      </c>
      <c r="AP274" s="530">
        <f>L277/1000</f>
        <v>0</v>
      </c>
      <c r="AQ274" s="532" t="s">
        <v>621</v>
      </c>
    </row>
    <row r="275" spans="1:43">
      <c r="A275" s="532" t="s">
        <v>585</v>
      </c>
      <c r="B275" s="533">
        <v>0</v>
      </c>
      <c r="C275" s="533">
        <v>0</v>
      </c>
      <c r="D275" s="533">
        <v>0</v>
      </c>
      <c r="E275" s="533">
        <v>0</v>
      </c>
      <c r="F275" s="533">
        <v>0</v>
      </c>
      <c r="G275" s="534" t="s">
        <v>36</v>
      </c>
      <c r="H275" s="534" t="s">
        <v>36</v>
      </c>
      <c r="I275" s="534" t="s">
        <v>36</v>
      </c>
      <c r="J275" s="534" t="s">
        <v>36</v>
      </c>
      <c r="K275" s="533">
        <v>0</v>
      </c>
      <c r="L275" s="533">
        <v>0</v>
      </c>
      <c r="M275" s="533">
        <v>0</v>
      </c>
      <c r="N275" s="533">
        <v>0</v>
      </c>
      <c r="O275" s="533">
        <v>0</v>
      </c>
      <c r="P275" s="533">
        <v>0</v>
      </c>
      <c r="Q275" s="533">
        <v>0</v>
      </c>
      <c r="R275" s="533">
        <v>0</v>
      </c>
      <c r="S275" s="533">
        <v>0</v>
      </c>
      <c r="T275" s="533">
        <v>0</v>
      </c>
      <c r="U275" s="533">
        <v>0</v>
      </c>
      <c r="V275" s="533">
        <v>0</v>
      </c>
      <c r="W275" s="533">
        <v>0</v>
      </c>
      <c r="X275" s="533">
        <v>0</v>
      </c>
      <c r="Y275" s="533">
        <v>0</v>
      </c>
      <c r="Z275" s="533">
        <v>0</v>
      </c>
      <c r="AA275" s="533">
        <v>0</v>
      </c>
      <c r="AB275" s="533">
        <v>0</v>
      </c>
      <c r="AC275" s="533">
        <v>0</v>
      </c>
      <c r="AD275" s="533">
        <v>0</v>
      </c>
      <c r="AE275" s="533">
        <v>0</v>
      </c>
      <c r="AF275" s="533">
        <v>0</v>
      </c>
      <c r="AG275" s="533">
        <v>0</v>
      </c>
      <c r="AH275" s="533">
        <v>0</v>
      </c>
      <c r="AI275" s="533">
        <v>0</v>
      </c>
      <c r="AJ275" s="533">
        <v>0</v>
      </c>
      <c r="AK275" s="533">
        <v>0</v>
      </c>
      <c r="AL275" s="533">
        <v>0</v>
      </c>
      <c r="AO275" s="530" t="s">
        <v>1066</v>
      </c>
      <c r="AP275" s="530">
        <f>L278/1000</f>
        <v>0</v>
      </c>
      <c r="AQ275" s="532" t="s">
        <v>621</v>
      </c>
    </row>
    <row r="276" spans="1:43">
      <c r="A276" s="532" t="s">
        <v>586</v>
      </c>
      <c r="B276" s="533">
        <v>0</v>
      </c>
      <c r="C276" s="533">
        <v>0</v>
      </c>
      <c r="D276" s="533">
        <v>0</v>
      </c>
      <c r="E276" s="533">
        <v>0</v>
      </c>
      <c r="F276" s="533">
        <v>0</v>
      </c>
      <c r="G276" s="534" t="s">
        <v>36</v>
      </c>
      <c r="H276" s="534" t="s">
        <v>36</v>
      </c>
      <c r="I276" s="534" t="s">
        <v>36</v>
      </c>
      <c r="J276" s="534" t="s">
        <v>36</v>
      </c>
      <c r="K276" s="533">
        <v>0</v>
      </c>
      <c r="L276" s="533">
        <v>0</v>
      </c>
      <c r="M276" s="533">
        <v>0</v>
      </c>
      <c r="N276" s="533">
        <v>0</v>
      </c>
      <c r="O276" s="533">
        <v>0</v>
      </c>
      <c r="P276" s="533">
        <v>0</v>
      </c>
      <c r="Q276" s="533">
        <v>0</v>
      </c>
      <c r="R276" s="533">
        <v>0</v>
      </c>
      <c r="S276" s="533">
        <v>0</v>
      </c>
      <c r="T276" s="533">
        <v>0</v>
      </c>
      <c r="U276" s="533">
        <v>0</v>
      </c>
      <c r="V276" s="533">
        <v>0</v>
      </c>
      <c r="W276" s="533">
        <v>0</v>
      </c>
      <c r="X276" s="533">
        <v>0</v>
      </c>
      <c r="Y276" s="533">
        <v>0</v>
      </c>
      <c r="Z276" s="533">
        <v>0</v>
      </c>
      <c r="AA276" s="533">
        <v>0</v>
      </c>
      <c r="AB276" s="533">
        <v>0</v>
      </c>
      <c r="AC276" s="533">
        <v>0</v>
      </c>
      <c r="AD276" s="533">
        <v>0</v>
      </c>
      <c r="AE276" s="533">
        <v>0</v>
      </c>
      <c r="AF276" s="533">
        <v>0</v>
      </c>
      <c r="AG276" s="533">
        <v>0</v>
      </c>
      <c r="AH276" s="533">
        <v>0</v>
      </c>
      <c r="AI276" s="533">
        <v>0</v>
      </c>
      <c r="AJ276" s="533">
        <v>0</v>
      </c>
      <c r="AK276" s="533">
        <v>0</v>
      </c>
      <c r="AL276" s="533">
        <v>0</v>
      </c>
      <c r="AO276" s="530" t="s">
        <v>1065</v>
      </c>
      <c r="AP276" s="535">
        <f>AB277/1000</f>
        <v>0</v>
      </c>
      <c r="AQ276" s="532" t="s">
        <v>634</v>
      </c>
    </row>
    <row r="277" spans="1:43">
      <c r="A277" s="532" t="s">
        <v>587</v>
      </c>
      <c r="B277" s="533">
        <v>0</v>
      </c>
      <c r="C277" s="533">
        <v>0</v>
      </c>
      <c r="D277" s="533">
        <v>0</v>
      </c>
      <c r="E277" s="533">
        <v>0</v>
      </c>
      <c r="F277" s="533">
        <v>0</v>
      </c>
      <c r="G277" s="534" t="s">
        <v>36</v>
      </c>
      <c r="H277" s="534" t="s">
        <v>36</v>
      </c>
      <c r="I277" s="534" t="s">
        <v>36</v>
      </c>
      <c r="J277" s="534" t="s">
        <v>36</v>
      </c>
      <c r="K277" s="533">
        <v>0</v>
      </c>
      <c r="L277" s="533">
        <v>0</v>
      </c>
      <c r="M277" s="533">
        <v>0</v>
      </c>
      <c r="N277" s="533">
        <v>0</v>
      </c>
      <c r="O277" s="533">
        <v>0</v>
      </c>
      <c r="P277" s="533">
        <v>0</v>
      </c>
      <c r="Q277" s="533">
        <v>0</v>
      </c>
      <c r="R277" s="533">
        <v>0</v>
      </c>
      <c r="S277" s="533">
        <v>0</v>
      </c>
      <c r="T277" s="533">
        <v>0</v>
      </c>
      <c r="U277" s="533">
        <v>0</v>
      </c>
      <c r="V277" s="533">
        <v>0</v>
      </c>
      <c r="W277" s="533">
        <v>0</v>
      </c>
      <c r="X277" s="533">
        <v>0</v>
      </c>
      <c r="Y277" s="533">
        <v>0</v>
      </c>
      <c r="Z277" s="533">
        <v>0</v>
      </c>
      <c r="AA277" s="533">
        <v>0</v>
      </c>
      <c r="AB277" s="533">
        <v>0</v>
      </c>
      <c r="AC277" s="533">
        <v>0</v>
      </c>
      <c r="AD277" s="533">
        <v>0</v>
      </c>
      <c r="AE277" s="533">
        <v>0</v>
      </c>
      <c r="AF277" s="533">
        <v>0</v>
      </c>
      <c r="AG277" s="533">
        <v>0</v>
      </c>
      <c r="AH277" s="533">
        <v>0</v>
      </c>
      <c r="AI277" s="533">
        <v>0</v>
      </c>
      <c r="AJ277" s="533">
        <v>0</v>
      </c>
      <c r="AK277" s="533">
        <v>0</v>
      </c>
      <c r="AL277" s="533">
        <v>0</v>
      </c>
      <c r="AO277" s="530" t="s">
        <v>1066</v>
      </c>
      <c r="AP277" s="535">
        <f>AB278/1000</f>
        <v>0</v>
      </c>
      <c r="AQ277" s="532" t="s">
        <v>634</v>
      </c>
    </row>
    <row r="278" spans="1:43">
      <c r="A278" s="532" t="s">
        <v>588</v>
      </c>
      <c r="B278" s="533">
        <v>0</v>
      </c>
      <c r="C278" s="533">
        <v>0</v>
      </c>
      <c r="D278" s="533">
        <v>0</v>
      </c>
      <c r="E278" s="533">
        <v>0</v>
      </c>
      <c r="F278" s="533">
        <v>0</v>
      </c>
      <c r="G278" s="534" t="s">
        <v>36</v>
      </c>
      <c r="H278" s="534" t="s">
        <v>36</v>
      </c>
      <c r="I278" s="534" t="s">
        <v>36</v>
      </c>
      <c r="J278" s="534" t="s">
        <v>36</v>
      </c>
      <c r="K278" s="533">
        <v>0</v>
      </c>
      <c r="L278" s="533">
        <v>0</v>
      </c>
      <c r="M278" s="533">
        <v>0</v>
      </c>
      <c r="N278" s="533">
        <v>0</v>
      </c>
      <c r="O278" s="533">
        <v>0</v>
      </c>
      <c r="P278" s="533">
        <v>0</v>
      </c>
      <c r="Q278" s="533">
        <v>0</v>
      </c>
      <c r="R278" s="533">
        <v>0</v>
      </c>
      <c r="S278" s="533">
        <v>0</v>
      </c>
      <c r="T278" s="533">
        <v>0</v>
      </c>
      <c r="U278" s="533">
        <v>0</v>
      </c>
      <c r="V278" s="533">
        <v>0</v>
      </c>
      <c r="W278" s="533">
        <v>0</v>
      </c>
      <c r="X278" s="533">
        <v>0</v>
      </c>
      <c r="Y278" s="533">
        <v>0</v>
      </c>
      <c r="Z278" s="533">
        <v>0</v>
      </c>
      <c r="AA278" s="533">
        <v>0</v>
      </c>
      <c r="AB278" s="533">
        <v>0</v>
      </c>
      <c r="AC278" s="533">
        <v>0</v>
      </c>
      <c r="AD278" s="533">
        <v>0</v>
      </c>
      <c r="AE278" s="533">
        <v>0</v>
      </c>
      <c r="AF278" s="533">
        <v>0</v>
      </c>
      <c r="AG278" s="533">
        <v>0</v>
      </c>
      <c r="AH278" s="533">
        <v>0</v>
      </c>
      <c r="AI278" s="533">
        <v>0</v>
      </c>
      <c r="AJ278" s="533">
        <v>0</v>
      </c>
      <c r="AK278" s="533">
        <v>0</v>
      </c>
      <c r="AL278" s="533">
        <v>0</v>
      </c>
      <c r="AO278" s="530" t="s">
        <v>1065</v>
      </c>
      <c r="AP278" s="535">
        <f>AC277/1000</f>
        <v>0</v>
      </c>
      <c r="AQ278" s="532" t="s">
        <v>635</v>
      </c>
    </row>
    <row r="279" spans="1:43">
      <c r="AO279" s="530" t="s">
        <v>1066</v>
      </c>
      <c r="AP279" s="535">
        <f>AC278/1000</f>
        <v>0</v>
      </c>
      <c r="AQ279" s="532" t="s">
        <v>635</v>
      </c>
    </row>
    <row r="280" spans="1:43">
      <c r="A280" s="529" t="s">
        <v>589</v>
      </c>
    </row>
    <row r="281" spans="1:43">
      <c r="A281" s="529" t="s">
        <v>36</v>
      </c>
      <c r="B281" s="529" t="s">
        <v>590</v>
      </c>
    </row>
    <row r="283" spans="1:43">
      <c r="A283" s="529" t="s">
        <v>340</v>
      </c>
      <c r="B283" s="529" t="s">
        <v>576</v>
      </c>
    </row>
    <row r="284" spans="1:43">
      <c r="A284" s="529" t="s">
        <v>578</v>
      </c>
      <c r="B284" s="529" t="s">
        <v>298</v>
      </c>
    </row>
    <row r="285" spans="1:43">
      <c r="A285" s="529" t="s">
        <v>343</v>
      </c>
      <c r="B285" s="529" t="s">
        <v>191</v>
      </c>
    </row>
    <row r="287" spans="1:43">
      <c r="A287" s="532" t="s">
        <v>592</v>
      </c>
      <c r="B287" s="532" t="s">
        <v>611</v>
      </c>
      <c r="C287" s="532" t="s">
        <v>612</v>
      </c>
      <c r="D287" s="532" t="s">
        <v>613</v>
      </c>
      <c r="E287" s="532" t="s">
        <v>614</v>
      </c>
      <c r="F287" s="532" t="s">
        <v>615</v>
      </c>
      <c r="G287" s="532" t="s">
        <v>616</v>
      </c>
      <c r="H287" s="532" t="s">
        <v>617</v>
      </c>
      <c r="I287" s="532" t="s">
        <v>618</v>
      </c>
      <c r="J287" s="532" t="s">
        <v>619</v>
      </c>
      <c r="K287" s="532" t="s">
        <v>620</v>
      </c>
      <c r="L287" s="532" t="s">
        <v>621</v>
      </c>
      <c r="M287" s="532" t="s">
        <v>622</v>
      </c>
      <c r="N287" s="532" t="s">
        <v>623</v>
      </c>
      <c r="O287" s="532" t="s">
        <v>225</v>
      </c>
      <c r="P287" s="532" t="s">
        <v>624</v>
      </c>
      <c r="Q287" s="532" t="s">
        <v>625</v>
      </c>
      <c r="R287" s="532" t="s">
        <v>626</v>
      </c>
      <c r="S287" s="532" t="s">
        <v>227</v>
      </c>
      <c r="T287" s="532" t="s">
        <v>627</v>
      </c>
      <c r="U287" s="532" t="s">
        <v>628</v>
      </c>
      <c r="V287" s="532" t="s">
        <v>629</v>
      </c>
      <c r="W287" s="532" t="s">
        <v>630</v>
      </c>
      <c r="X287" s="532" t="s">
        <v>631</v>
      </c>
      <c r="Y287" s="532" t="s">
        <v>632</v>
      </c>
      <c r="Z287" s="532" t="s">
        <v>633</v>
      </c>
      <c r="AA287" s="532" t="s">
        <v>229</v>
      </c>
      <c r="AB287" s="532" t="s">
        <v>634</v>
      </c>
      <c r="AC287" s="532" t="s">
        <v>635</v>
      </c>
      <c r="AD287" s="532" t="s">
        <v>636</v>
      </c>
      <c r="AE287" s="532" t="s">
        <v>637</v>
      </c>
      <c r="AF287" s="532" t="s">
        <v>638</v>
      </c>
      <c r="AG287" s="532" t="s">
        <v>639</v>
      </c>
      <c r="AH287" s="532" t="s">
        <v>640</v>
      </c>
      <c r="AI287" s="532" t="s">
        <v>641</v>
      </c>
      <c r="AJ287" s="532" t="s">
        <v>642</v>
      </c>
      <c r="AK287" s="532" t="s">
        <v>643</v>
      </c>
      <c r="AL287" s="532" t="s">
        <v>644</v>
      </c>
      <c r="AP287" s="530" t="str">
        <f>B285</f>
        <v>Netherlands</v>
      </c>
    </row>
    <row r="288" spans="1:43">
      <c r="A288" s="532" t="s">
        <v>583</v>
      </c>
      <c r="B288" s="533">
        <v>4856</v>
      </c>
      <c r="C288" s="533">
        <v>0</v>
      </c>
      <c r="D288" s="533">
        <v>0</v>
      </c>
      <c r="E288" s="533">
        <v>0</v>
      </c>
      <c r="F288" s="533">
        <v>0</v>
      </c>
      <c r="G288" s="534" t="s">
        <v>36</v>
      </c>
      <c r="H288" s="534" t="s">
        <v>36</v>
      </c>
      <c r="I288" s="534" t="s">
        <v>36</v>
      </c>
      <c r="J288" s="534" t="s">
        <v>36</v>
      </c>
      <c r="K288" s="533">
        <v>4856</v>
      </c>
      <c r="L288" s="533">
        <v>4022</v>
      </c>
      <c r="M288" s="533">
        <v>4022</v>
      </c>
      <c r="N288" s="533">
        <v>0</v>
      </c>
      <c r="O288" s="533">
        <v>0</v>
      </c>
      <c r="P288" s="533">
        <v>0</v>
      </c>
      <c r="Q288" s="533">
        <v>0</v>
      </c>
      <c r="R288" s="533">
        <v>0</v>
      </c>
      <c r="S288" s="533">
        <v>0</v>
      </c>
      <c r="T288" s="533">
        <v>0</v>
      </c>
      <c r="U288" s="533">
        <v>0</v>
      </c>
      <c r="V288" s="533">
        <v>0</v>
      </c>
      <c r="W288" s="533">
        <v>0</v>
      </c>
      <c r="X288" s="533">
        <v>554</v>
      </c>
      <c r="Y288" s="533">
        <v>0</v>
      </c>
      <c r="Z288" s="533">
        <v>555</v>
      </c>
      <c r="AA288" s="533">
        <v>160</v>
      </c>
      <c r="AB288" s="533">
        <v>164</v>
      </c>
      <c r="AC288" s="533">
        <v>0</v>
      </c>
      <c r="AD288" s="533">
        <v>120</v>
      </c>
      <c r="AE288" s="533">
        <v>0</v>
      </c>
      <c r="AF288" s="533">
        <v>0</v>
      </c>
      <c r="AG288" s="533">
        <v>0</v>
      </c>
      <c r="AH288" s="533">
        <v>0</v>
      </c>
      <c r="AI288" s="533">
        <v>0</v>
      </c>
      <c r="AJ288" s="533">
        <v>120</v>
      </c>
      <c r="AK288" s="533">
        <v>0</v>
      </c>
      <c r="AL288" s="533">
        <v>0</v>
      </c>
      <c r="AO288" s="530" t="str">
        <f>A292</f>
        <v>Transformation input in Autoproducer Electricity Plants</v>
      </c>
      <c r="AP288" s="530">
        <f>B292/1000</f>
        <v>0</v>
      </c>
      <c r="AQ288" s="530" t="str">
        <f>B287</f>
        <v>Total petroleum products</v>
      </c>
    </row>
    <row r="289" spans="1:43">
      <c r="A289" s="532" t="s">
        <v>584</v>
      </c>
      <c r="B289" s="533">
        <v>0</v>
      </c>
      <c r="C289" s="533">
        <v>0</v>
      </c>
      <c r="D289" s="533">
        <v>0</v>
      </c>
      <c r="E289" s="533">
        <v>0</v>
      </c>
      <c r="F289" s="533">
        <v>0</v>
      </c>
      <c r="G289" s="534" t="s">
        <v>36</v>
      </c>
      <c r="H289" s="534" t="s">
        <v>36</v>
      </c>
      <c r="I289" s="534" t="s">
        <v>36</v>
      </c>
      <c r="J289" s="534" t="s">
        <v>36</v>
      </c>
      <c r="K289" s="533">
        <v>0</v>
      </c>
      <c r="L289" s="533">
        <v>0</v>
      </c>
      <c r="M289" s="533">
        <v>0</v>
      </c>
      <c r="N289" s="533">
        <v>0</v>
      </c>
      <c r="O289" s="533">
        <v>0</v>
      </c>
      <c r="P289" s="533">
        <v>0</v>
      </c>
      <c r="Q289" s="533">
        <v>0</v>
      </c>
      <c r="R289" s="533">
        <v>0</v>
      </c>
      <c r="S289" s="533">
        <v>0</v>
      </c>
      <c r="T289" s="533">
        <v>0</v>
      </c>
      <c r="U289" s="533">
        <v>0</v>
      </c>
      <c r="V289" s="533">
        <v>0</v>
      </c>
      <c r="W289" s="533">
        <v>0</v>
      </c>
      <c r="X289" s="533">
        <v>0</v>
      </c>
      <c r="Y289" s="533">
        <v>0</v>
      </c>
      <c r="Z289" s="533">
        <v>0</v>
      </c>
      <c r="AA289" s="533">
        <v>0</v>
      </c>
      <c r="AB289" s="533">
        <v>0</v>
      </c>
      <c r="AC289" s="533">
        <v>0</v>
      </c>
      <c r="AD289" s="533">
        <v>0</v>
      </c>
      <c r="AE289" s="533">
        <v>0</v>
      </c>
      <c r="AF289" s="533">
        <v>0</v>
      </c>
      <c r="AG289" s="533">
        <v>0</v>
      </c>
      <c r="AH289" s="533">
        <v>0</v>
      </c>
      <c r="AI289" s="533">
        <v>0</v>
      </c>
      <c r="AJ289" s="533">
        <v>0</v>
      </c>
      <c r="AK289" s="533">
        <v>0</v>
      </c>
      <c r="AL289" s="533">
        <v>0</v>
      </c>
      <c r="AO289" s="530" t="s">
        <v>1065</v>
      </c>
      <c r="AP289" s="530">
        <f>L292/1000</f>
        <v>0</v>
      </c>
      <c r="AQ289" s="532" t="s">
        <v>621</v>
      </c>
    </row>
    <row r="290" spans="1:43">
      <c r="A290" s="532" t="s">
        <v>585</v>
      </c>
      <c r="B290" s="533">
        <v>4856</v>
      </c>
      <c r="C290" s="533">
        <v>0</v>
      </c>
      <c r="D290" s="533">
        <v>0</v>
      </c>
      <c r="E290" s="533">
        <v>0</v>
      </c>
      <c r="F290" s="533">
        <v>0</v>
      </c>
      <c r="G290" s="534" t="s">
        <v>36</v>
      </c>
      <c r="H290" s="534" t="s">
        <v>36</v>
      </c>
      <c r="I290" s="534" t="s">
        <v>36</v>
      </c>
      <c r="J290" s="534" t="s">
        <v>36</v>
      </c>
      <c r="K290" s="533">
        <v>4856</v>
      </c>
      <c r="L290" s="533">
        <v>4022</v>
      </c>
      <c r="M290" s="533">
        <v>4022</v>
      </c>
      <c r="N290" s="533">
        <v>0</v>
      </c>
      <c r="O290" s="533">
        <v>0</v>
      </c>
      <c r="P290" s="533">
        <v>0</v>
      </c>
      <c r="Q290" s="533">
        <v>0</v>
      </c>
      <c r="R290" s="533">
        <v>0</v>
      </c>
      <c r="S290" s="533">
        <v>0</v>
      </c>
      <c r="T290" s="533">
        <v>0</v>
      </c>
      <c r="U290" s="533">
        <v>0</v>
      </c>
      <c r="V290" s="533">
        <v>0</v>
      </c>
      <c r="W290" s="533">
        <v>0</v>
      </c>
      <c r="X290" s="533">
        <v>554</v>
      </c>
      <c r="Y290" s="533">
        <v>0</v>
      </c>
      <c r="Z290" s="533">
        <v>555</v>
      </c>
      <c r="AA290" s="533">
        <v>160</v>
      </c>
      <c r="AB290" s="533">
        <v>164</v>
      </c>
      <c r="AC290" s="533">
        <v>0</v>
      </c>
      <c r="AD290" s="533">
        <v>120</v>
      </c>
      <c r="AE290" s="533">
        <v>0</v>
      </c>
      <c r="AF290" s="533">
        <v>0</v>
      </c>
      <c r="AG290" s="533">
        <v>0</v>
      </c>
      <c r="AH290" s="533">
        <v>0</v>
      </c>
      <c r="AI290" s="533">
        <v>0</v>
      </c>
      <c r="AJ290" s="533">
        <v>120</v>
      </c>
      <c r="AK290" s="533">
        <v>0</v>
      </c>
      <c r="AL290" s="533">
        <v>0</v>
      </c>
      <c r="AO290" s="530" t="s">
        <v>1066</v>
      </c>
      <c r="AP290" s="530">
        <f>L293/1000</f>
        <v>12.881</v>
      </c>
      <c r="AQ290" s="532" t="s">
        <v>621</v>
      </c>
    </row>
    <row r="291" spans="1:43">
      <c r="A291" s="532" t="s">
        <v>586</v>
      </c>
      <c r="B291" s="533">
        <v>18291</v>
      </c>
      <c r="C291" s="533">
        <v>0</v>
      </c>
      <c r="D291" s="533">
        <v>0</v>
      </c>
      <c r="E291" s="533">
        <v>0</v>
      </c>
      <c r="F291" s="533">
        <v>0</v>
      </c>
      <c r="G291" s="534" t="s">
        <v>36</v>
      </c>
      <c r="H291" s="534" t="s">
        <v>36</v>
      </c>
      <c r="I291" s="534" t="s">
        <v>36</v>
      </c>
      <c r="J291" s="534" t="s">
        <v>36</v>
      </c>
      <c r="K291" s="533">
        <v>18291</v>
      </c>
      <c r="L291" s="533">
        <v>12881</v>
      </c>
      <c r="M291" s="533">
        <v>12881</v>
      </c>
      <c r="N291" s="533">
        <v>0</v>
      </c>
      <c r="O291" s="533">
        <v>0</v>
      </c>
      <c r="P291" s="533">
        <v>0</v>
      </c>
      <c r="Q291" s="533">
        <v>0</v>
      </c>
      <c r="R291" s="533">
        <v>0</v>
      </c>
      <c r="S291" s="533">
        <v>0</v>
      </c>
      <c r="T291" s="533">
        <v>0</v>
      </c>
      <c r="U291" s="533">
        <v>0</v>
      </c>
      <c r="V291" s="533">
        <v>0</v>
      </c>
      <c r="W291" s="533">
        <v>0</v>
      </c>
      <c r="X291" s="533">
        <v>170</v>
      </c>
      <c r="Y291" s="533">
        <v>0</v>
      </c>
      <c r="Z291" s="533">
        <v>171</v>
      </c>
      <c r="AA291" s="533">
        <v>240</v>
      </c>
      <c r="AB291" s="533">
        <v>246</v>
      </c>
      <c r="AC291" s="533">
        <v>0</v>
      </c>
      <c r="AD291" s="533">
        <v>5000</v>
      </c>
      <c r="AE291" s="533">
        <v>0</v>
      </c>
      <c r="AF291" s="533">
        <v>0</v>
      </c>
      <c r="AG291" s="533">
        <v>0</v>
      </c>
      <c r="AH291" s="533">
        <v>0</v>
      </c>
      <c r="AI291" s="533">
        <v>0</v>
      </c>
      <c r="AJ291" s="533">
        <v>5000</v>
      </c>
      <c r="AK291" s="533">
        <v>0</v>
      </c>
      <c r="AL291" s="533">
        <v>0</v>
      </c>
      <c r="AO291" s="530" t="s">
        <v>1065</v>
      </c>
      <c r="AP291" s="535">
        <f>AB292/1000</f>
        <v>0</v>
      </c>
      <c r="AQ291" s="532" t="s">
        <v>634</v>
      </c>
    </row>
    <row r="292" spans="1:43">
      <c r="A292" s="532" t="s">
        <v>587</v>
      </c>
      <c r="B292" s="533">
        <v>0</v>
      </c>
      <c r="C292" s="533">
        <v>0</v>
      </c>
      <c r="D292" s="533">
        <v>0</v>
      </c>
      <c r="E292" s="533">
        <v>0</v>
      </c>
      <c r="F292" s="533">
        <v>0</v>
      </c>
      <c r="G292" s="534" t="s">
        <v>36</v>
      </c>
      <c r="H292" s="534" t="s">
        <v>36</v>
      </c>
      <c r="I292" s="534" t="s">
        <v>36</v>
      </c>
      <c r="J292" s="534" t="s">
        <v>36</v>
      </c>
      <c r="K292" s="533">
        <v>0</v>
      </c>
      <c r="L292" s="533">
        <v>0</v>
      </c>
      <c r="M292" s="533">
        <v>0</v>
      </c>
      <c r="N292" s="533">
        <v>0</v>
      </c>
      <c r="O292" s="533">
        <v>0</v>
      </c>
      <c r="P292" s="533">
        <v>0</v>
      </c>
      <c r="Q292" s="533">
        <v>0</v>
      </c>
      <c r="R292" s="533">
        <v>0</v>
      </c>
      <c r="S292" s="533">
        <v>0</v>
      </c>
      <c r="T292" s="533">
        <v>0</v>
      </c>
      <c r="U292" s="533">
        <v>0</v>
      </c>
      <c r="V292" s="533">
        <v>0</v>
      </c>
      <c r="W292" s="533">
        <v>0</v>
      </c>
      <c r="X292" s="533">
        <v>0</v>
      </c>
      <c r="Y292" s="533">
        <v>0</v>
      </c>
      <c r="Z292" s="533">
        <v>0</v>
      </c>
      <c r="AA292" s="533">
        <v>0</v>
      </c>
      <c r="AB292" s="533">
        <v>0</v>
      </c>
      <c r="AC292" s="533">
        <v>0</v>
      </c>
      <c r="AD292" s="533">
        <v>0</v>
      </c>
      <c r="AE292" s="533">
        <v>0</v>
      </c>
      <c r="AF292" s="533">
        <v>0</v>
      </c>
      <c r="AG292" s="533">
        <v>0</v>
      </c>
      <c r="AH292" s="533">
        <v>0</v>
      </c>
      <c r="AI292" s="533">
        <v>0</v>
      </c>
      <c r="AJ292" s="533">
        <v>0</v>
      </c>
      <c r="AK292" s="533">
        <v>0</v>
      </c>
      <c r="AL292" s="533">
        <v>0</v>
      </c>
      <c r="AO292" s="530" t="s">
        <v>1066</v>
      </c>
      <c r="AP292" s="535">
        <f>AB293/1000</f>
        <v>0.246</v>
      </c>
      <c r="AQ292" s="532" t="s">
        <v>634</v>
      </c>
    </row>
    <row r="293" spans="1:43">
      <c r="A293" s="532" t="s">
        <v>588</v>
      </c>
      <c r="B293" s="533">
        <v>18291</v>
      </c>
      <c r="C293" s="533">
        <v>0</v>
      </c>
      <c r="D293" s="533">
        <v>0</v>
      </c>
      <c r="E293" s="533">
        <v>0</v>
      </c>
      <c r="F293" s="533">
        <v>0</v>
      </c>
      <c r="G293" s="534" t="s">
        <v>36</v>
      </c>
      <c r="H293" s="534" t="s">
        <v>36</v>
      </c>
      <c r="I293" s="534" t="s">
        <v>36</v>
      </c>
      <c r="J293" s="534" t="s">
        <v>36</v>
      </c>
      <c r="K293" s="533">
        <v>18291</v>
      </c>
      <c r="L293" s="533">
        <v>12881</v>
      </c>
      <c r="M293" s="533">
        <v>12881</v>
      </c>
      <c r="N293" s="533">
        <v>0</v>
      </c>
      <c r="O293" s="533">
        <v>0</v>
      </c>
      <c r="P293" s="533">
        <v>0</v>
      </c>
      <c r="Q293" s="533">
        <v>0</v>
      </c>
      <c r="R293" s="533">
        <v>0</v>
      </c>
      <c r="S293" s="533">
        <v>0</v>
      </c>
      <c r="T293" s="533">
        <v>0</v>
      </c>
      <c r="U293" s="533">
        <v>0</v>
      </c>
      <c r="V293" s="533">
        <v>0</v>
      </c>
      <c r="W293" s="533">
        <v>0</v>
      </c>
      <c r="X293" s="533">
        <v>170</v>
      </c>
      <c r="Y293" s="533">
        <v>0</v>
      </c>
      <c r="Z293" s="533">
        <v>171</v>
      </c>
      <c r="AA293" s="533">
        <v>240</v>
      </c>
      <c r="AB293" s="533">
        <v>246</v>
      </c>
      <c r="AC293" s="533">
        <v>0</v>
      </c>
      <c r="AD293" s="533">
        <v>5000</v>
      </c>
      <c r="AE293" s="533">
        <v>0</v>
      </c>
      <c r="AF293" s="533">
        <v>0</v>
      </c>
      <c r="AG293" s="533">
        <v>0</v>
      </c>
      <c r="AH293" s="533">
        <v>0</v>
      </c>
      <c r="AI293" s="533">
        <v>0</v>
      </c>
      <c r="AJ293" s="533">
        <v>5000</v>
      </c>
      <c r="AK293" s="533">
        <v>0</v>
      </c>
      <c r="AL293" s="533">
        <v>0</v>
      </c>
      <c r="AO293" s="530" t="s">
        <v>1065</v>
      </c>
      <c r="AP293" s="535">
        <f>AC292/1000</f>
        <v>0</v>
      </c>
      <c r="AQ293" s="532" t="s">
        <v>635</v>
      </c>
    </row>
    <row r="294" spans="1:43">
      <c r="AO294" s="530" t="s">
        <v>1066</v>
      </c>
      <c r="AP294" s="535">
        <f>AC293/1000</f>
        <v>0</v>
      </c>
      <c r="AQ294" s="532" t="s">
        <v>635</v>
      </c>
    </row>
    <row r="295" spans="1:43">
      <c r="A295" s="529" t="s">
        <v>589</v>
      </c>
    </row>
    <row r="296" spans="1:43">
      <c r="A296" s="529" t="s">
        <v>36</v>
      </c>
      <c r="B296" s="529" t="s">
        <v>590</v>
      </c>
    </row>
    <row r="298" spans="1:43">
      <c r="A298" s="529" t="s">
        <v>340</v>
      </c>
      <c r="B298" s="529" t="s">
        <v>576</v>
      </c>
    </row>
    <row r="299" spans="1:43">
      <c r="A299" s="529" t="s">
        <v>578</v>
      </c>
      <c r="B299" s="529" t="s">
        <v>298</v>
      </c>
    </row>
    <row r="300" spans="1:43">
      <c r="A300" s="529" t="s">
        <v>343</v>
      </c>
      <c r="B300" s="529" t="s">
        <v>192</v>
      </c>
    </row>
    <row r="302" spans="1:43">
      <c r="A302" s="532" t="s">
        <v>592</v>
      </c>
      <c r="B302" s="532" t="s">
        <v>611</v>
      </c>
      <c r="C302" s="532" t="s">
        <v>612</v>
      </c>
      <c r="D302" s="532" t="s">
        <v>613</v>
      </c>
      <c r="E302" s="532" t="s">
        <v>614</v>
      </c>
      <c r="F302" s="532" t="s">
        <v>615</v>
      </c>
      <c r="G302" s="532" t="s">
        <v>616</v>
      </c>
      <c r="H302" s="532" t="s">
        <v>617</v>
      </c>
      <c r="I302" s="532" t="s">
        <v>618</v>
      </c>
      <c r="J302" s="532" t="s">
        <v>619</v>
      </c>
      <c r="K302" s="532" t="s">
        <v>620</v>
      </c>
      <c r="L302" s="532" t="s">
        <v>621</v>
      </c>
      <c r="M302" s="532" t="s">
        <v>622</v>
      </c>
      <c r="N302" s="532" t="s">
        <v>623</v>
      </c>
      <c r="O302" s="532" t="s">
        <v>225</v>
      </c>
      <c r="P302" s="532" t="s">
        <v>624</v>
      </c>
      <c r="Q302" s="532" t="s">
        <v>625</v>
      </c>
      <c r="R302" s="532" t="s">
        <v>626</v>
      </c>
      <c r="S302" s="532" t="s">
        <v>227</v>
      </c>
      <c r="T302" s="532" t="s">
        <v>627</v>
      </c>
      <c r="U302" s="532" t="s">
        <v>628</v>
      </c>
      <c r="V302" s="532" t="s">
        <v>629</v>
      </c>
      <c r="W302" s="532" t="s">
        <v>630</v>
      </c>
      <c r="X302" s="532" t="s">
        <v>631</v>
      </c>
      <c r="Y302" s="532" t="s">
        <v>632</v>
      </c>
      <c r="Z302" s="532" t="s">
        <v>633</v>
      </c>
      <c r="AA302" s="532" t="s">
        <v>229</v>
      </c>
      <c r="AB302" s="532" t="s">
        <v>634</v>
      </c>
      <c r="AC302" s="532" t="s">
        <v>635</v>
      </c>
      <c r="AD302" s="532" t="s">
        <v>636</v>
      </c>
      <c r="AE302" s="532" t="s">
        <v>637</v>
      </c>
      <c r="AF302" s="532" t="s">
        <v>638</v>
      </c>
      <c r="AG302" s="532" t="s">
        <v>639</v>
      </c>
      <c r="AH302" s="532" t="s">
        <v>640</v>
      </c>
      <c r="AI302" s="532" t="s">
        <v>641</v>
      </c>
      <c r="AJ302" s="532" t="s">
        <v>642</v>
      </c>
      <c r="AK302" s="532" t="s">
        <v>643</v>
      </c>
      <c r="AL302" s="532" t="s">
        <v>644</v>
      </c>
      <c r="AP302" s="530" t="str">
        <f>B300</f>
        <v>Austria</v>
      </c>
    </row>
    <row r="303" spans="1:43">
      <c r="A303" s="532" t="s">
        <v>583</v>
      </c>
      <c r="B303" s="533">
        <v>10490</v>
      </c>
      <c r="C303" s="533">
        <v>0</v>
      </c>
      <c r="D303" s="533">
        <v>0</v>
      </c>
      <c r="E303" s="533">
        <v>0</v>
      </c>
      <c r="F303" s="533">
        <v>0</v>
      </c>
      <c r="G303" s="534" t="s">
        <v>36</v>
      </c>
      <c r="H303" s="534" t="s">
        <v>36</v>
      </c>
      <c r="I303" s="534" t="s">
        <v>36</v>
      </c>
      <c r="J303" s="534" t="s">
        <v>36</v>
      </c>
      <c r="K303" s="533">
        <v>10490</v>
      </c>
      <c r="L303" s="533">
        <v>0</v>
      </c>
      <c r="M303" s="533">
        <v>0</v>
      </c>
      <c r="N303" s="533">
        <v>0</v>
      </c>
      <c r="O303" s="533">
        <v>0</v>
      </c>
      <c r="P303" s="533">
        <v>0</v>
      </c>
      <c r="Q303" s="533">
        <v>0</v>
      </c>
      <c r="R303" s="533">
        <v>0</v>
      </c>
      <c r="S303" s="533">
        <v>0</v>
      </c>
      <c r="T303" s="533">
        <v>0</v>
      </c>
      <c r="U303" s="533">
        <v>0</v>
      </c>
      <c r="V303" s="533">
        <v>0</v>
      </c>
      <c r="W303" s="533">
        <v>0</v>
      </c>
      <c r="X303" s="533">
        <v>170</v>
      </c>
      <c r="Y303" s="533">
        <v>0</v>
      </c>
      <c r="Z303" s="533">
        <v>171</v>
      </c>
      <c r="AA303" s="533">
        <v>10320</v>
      </c>
      <c r="AB303" s="533">
        <v>0</v>
      </c>
      <c r="AC303" s="533">
        <v>10746</v>
      </c>
      <c r="AD303" s="533">
        <v>0</v>
      </c>
      <c r="AE303" s="533">
        <v>0</v>
      </c>
      <c r="AF303" s="533">
        <v>0</v>
      </c>
      <c r="AG303" s="533">
        <v>0</v>
      </c>
      <c r="AH303" s="533">
        <v>0</v>
      </c>
      <c r="AI303" s="533">
        <v>0</v>
      </c>
      <c r="AJ303" s="533">
        <v>0</v>
      </c>
      <c r="AK303" s="533">
        <v>0</v>
      </c>
      <c r="AL303" s="533">
        <v>0</v>
      </c>
      <c r="AO303" s="530" t="str">
        <f>A307</f>
        <v>Transformation input in Autoproducer Electricity Plants</v>
      </c>
      <c r="AP303" s="530">
        <f>B307/1000</f>
        <v>0.12</v>
      </c>
      <c r="AQ303" s="530" t="str">
        <f>B302</f>
        <v>Total petroleum products</v>
      </c>
    </row>
    <row r="304" spans="1:43">
      <c r="A304" s="532" t="s">
        <v>584</v>
      </c>
      <c r="B304" s="533">
        <v>3403</v>
      </c>
      <c r="C304" s="533">
        <v>0</v>
      </c>
      <c r="D304" s="533">
        <v>0</v>
      </c>
      <c r="E304" s="533">
        <v>0</v>
      </c>
      <c r="F304" s="533">
        <v>0</v>
      </c>
      <c r="G304" s="534" t="s">
        <v>36</v>
      </c>
      <c r="H304" s="534" t="s">
        <v>36</v>
      </c>
      <c r="I304" s="534" t="s">
        <v>36</v>
      </c>
      <c r="J304" s="534" t="s">
        <v>36</v>
      </c>
      <c r="K304" s="533">
        <v>3403</v>
      </c>
      <c r="L304" s="533">
        <v>0</v>
      </c>
      <c r="M304" s="533">
        <v>0</v>
      </c>
      <c r="N304" s="533">
        <v>0</v>
      </c>
      <c r="O304" s="533">
        <v>0</v>
      </c>
      <c r="P304" s="533">
        <v>0</v>
      </c>
      <c r="Q304" s="533">
        <v>0</v>
      </c>
      <c r="R304" s="533">
        <v>0</v>
      </c>
      <c r="S304" s="533">
        <v>0</v>
      </c>
      <c r="T304" s="533">
        <v>0</v>
      </c>
      <c r="U304" s="533">
        <v>0</v>
      </c>
      <c r="V304" s="533">
        <v>0</v>
      </c>
      <c r="W304" s="533">
        <v>0</v>
      </c>
      <c r="X304" s="533">
        <v>43</v>
      </c>
      <c r="Y304" s="533">
        <v>0</v>
      </c>
      <c r="Z304" s="533">
        <v>43</v>
      </c>
      <c r="AA304" s="533">
        <v>3360</v>
      </c>
      <c r="AB304" s="533">
        <v>0</v>
      </c>
      <c r="AC304" s="533">
        <v>3499</v>
      </c>
      <c r="AD304" s="533">
        <v>0</v>
      </c>
      <c r="AE304" s="533">
        <v>0</v>
      </c>
      <c r="AF304" s="533">
        <v>0</v>
      </c>
      <c r="AG304" s="533">
        <v>0</v>
      </c>
      <c r="AH304" s="533">
        <v>0</v>
      </c>
      <c r="AI304" s="533">
        <v>0</v>
      </c>
      <c r="AJ304" s="533">
        <v>0</v>
      </c>
      <c r="AK304" s="533">
        <v>0</v>
      </c>
      <c r="AL304" s="533">
        <v>0</v>
      </c>
      <c r="AO304" s="530" t="s">
        <v>1065</v>
      </c>
      <c r="AP304" s="530">
        <f>L307/1000</f>
        <v>0</v>
      </c>
      <c r="AQ304" s="532" t="s">
        <v>621</v>
      </c>
    </row>
    <row r="305" spans="1:43">
      <c r="A305" s="532" t="s">
        <v>585</v>
      </c>
      <c r="B305" s="533">
        <v>7088</v>
      </c>
      <c r="C305" s="533">
        <v>0</v>
      </c>
      <c r="D305" s="533">
        <v>0</v>
      </c>
      <c r="E305" s="533">
        <v>0</v>
      </c>
      <c r="F305" s="533">
        <v>0</v>
      </c>
      <c r="G305" s="534" t="s">
        <v>36</v>
      </c>
      <c r="H305" s="534" t="s">
        <v>36</v>
      </c>
      <c r="I305" s="534" t="s">
        <v>36</v>
      </c>
      <c r="J305" s="534" t="s">
        <v>36</v>
      </c>
      <c r="K305" s="533">
        <v>7088</v>
      </c>
      <c r="L305" s="533">
        <v>0</v>
      </c>
      <c r="M305" s="533">
        <v>0</v>
      </c>
      <c r="N305" s="533">
        <v>0</v>
      </c>
      <c r="O305" s="533">
        <v>0</v>
      </c>
      <c r="P305" s="533">
        <v>0</v>
      </c>
      <c r="Q305" s="533">
        <v>0</v>
      </c>
      <c r="R305" s="533">
        <v>0</v>
      </c>
      <c r="S305" s="533">
        <v>0</v>
      </c>
      <c r="T305" s="533">
        <v>0</v>
      </c>
      <c r="U305" s="533">
        <v>0</v>
      </c>
      <c r="V305" s="533">
        <v>0</v>
      </c>
      <c r="W305" s="533">
        <v>0</v>
      </c>
      <c r="X305" s="533">
        <v>128</v>
      </c>
      <c r="Y305" s="533">
        <v>0</v>
      </c>
      <c r="Z305" s="533">
        <v>128</v>
      </c>
      <c r="AA305" s="533">
        <v>6960</v>
      </c>
      <c r="AB305" s="533">
        <v>0</v>
      </c>
      <c r="AC305" s="533">
        <v>7247</v>
      </c>
      <c r="AD305" s="533">
        <v>0</v>
      </c>
      <c r="AE305" s="533">
        <v>0</v>
      </c>
      <c r="AF305" s="533">
        <v>0</v>
      </c>
      <c r="AG305" s="533">
        <v>0</v>
      </c>
      <c r="AH305" s="533">
        <v>0</v>
      </c>
      <c r="AI305" s="533">
        <v>0</v>
      </c>
      <c r="AJ305" s="533">
        <v>0</v>
      </c>
      <c r="AK305" s="533">
        <v>0</v>
      </c>
      <c r="AL305" s="533">
        <v>0</v>
      </c>
      <c r="AO305" s="530" t="s">
        <v>1066</v>
      </c>
      <c r="AP305" s="530">
        <f>L308/1000</f>
        <v>0</v>
      </c>
      <c r="AQ305" s="532" t="s">
        <v>621</v>
      </c>
    </row>
    <row r="306" spans="1:43">
      <c r="A306" s="532" t="s">
        <v>586</v>
      </c>
      <c r="B306" s="533">
        <v>480</v>
      </c>
      <c r="C306" s="533">
        <v>0</v>
      </c>
      <c r="D306" s="533">
        <v>0</v>
      </c>
      <c r="E306" s="533">
        <v>0</v>
      </c>
      <c r="F306" s="533">
        <v>0</v>
      </c>
      <c r="G306" s="534" t="s">
        <v>36</v>
      </c>
      <c r="H306" s="534" t="s">
        <v>36</v>
      </c>
      <c r="I306" s="534" t="s">
        <v>36</v>
      </c>
      <c r="J306" s="534" t="s">
        <v>36</v>
      </c>
      <c r="K306" s="533">
        <v>480</v>
      </c>
      <c r="L306" s="533">
        <v>0</v>
      </c>
      <c r="M306" s="533">
        <v>0</v>
      </c>
      <c r="N306" s="533">
        <v>0</v>
      </c>
      <c r="O306" s="533">
        <v>0</v>
      </c>
      <c r="P306" s="533">
        <v>0</v>
      </c>
      <c r="Q306" s="533">
        <v>0</v>
      </c>
      <c r="R306" s="533">
        <v>0</v>
      </c>
      <c r="S306" s="533">
        <v>0</v>
      </c>
      <c r="T306" s="533">
        <v>0</v>
      </c>
      <c r="U306" s="533">
        <v>0</v>
      </c>
      <c r="V306" s="533">
        <v>0</v>
      </c>
      <c r="W306" s="533">
        <v>0</v>
      </c>
      <c r="X306" s="533">
        <v>0</v>
      </c>
      <c r="Y306" s="533">
        <v>0</v>
      </c>
      <c r="Z306" s="533">
        <v>0</v>
      </c>
      <c r="AA306" s="533">
        <v>480</v>
      </c>
      <c r="AB306" s="533">
        <v>499</v>
      </c>
      <c r="AC306" s="533">
        <v>0</v>
      </c>
      <c r="AD306" s="533">
        <v>0</v>
      </c>
      <c r="AE306" s="533">
        <v>0</v>
      </c>
      <c r="AF306" s="533">
        <v>0</v>
      </c>
      <c r="AG306" s="533">
        <v>0</v>
      </c>
      <c r="AH306" s="533">
        <v>0</v>
      </c>
      <c r="AI306" s="533">
        <v>0</v>
      </c>
      <c r="AJ306" s="533">
        <v>0</v>
      </c>
      <c r="AK306" s="533">
        <v>0</v>
      </c>
      <c r="AL306" s="533">
        <v>0</v>
      </c>
      <c r="AO306" s="530" t="s">
        <v>1065</v>
      </c>
      <c r="AP306" s="535">
        <f>AB307/1000</f>
        <v>0.125</v>
      </c>
      <c r="AQ306" s="532" t="s">
        <v>634</v>
      </c>
    </row>
    <row r="307" spans="1:43">
      <c r="A307" s="532" t="s">
        <v>587</v>
      </c>
      <c r="B307" s="533">
        <v>120</v>
      </c>
      <c r="C307" s="533">
        <v>0</v>
      </c>
      <c r="D307" s="533">
        <v>0</v>
      </c>
      <c r="E307" s="533">
        <v>0</v>
      </c>
      <c r="F307" s="533">
        <v>0</v>
      </c>
      <c r="G307" s="534" t="s">
        <v>36</v>
      </c>
      <c r="H307" s="534" t="s">
        <v>36</v>
      </c>
      <c r="I307" s="534" t="s">
        <v>36</v>
      </c>
      <c r="J307" s="534" t="s">
        <v>36</v>
      </c>
      <c r="K307" s="533">
        <v>120</v>
      </c>
      <c r="L307" s="533">
        <v>0</v>
      </c>
      <c r="M307" s="533">
        <v>0</v>
      </c>
      <c r="N307" s="533">
        <v>0</v>
      </c>
      <c r="O307" s="533">
        <v>0</v>
      </c>
      <c r="P307" s="533">
        <v>0</v>
      </c>
      <c r="Q307" s="533">
        <v>0</v>
      </c>
      <c r="R307" s="533">
        <v>0</v>
      </c>
      <c r="S307" s="533">
        <v>0</v>
      </c>
      <c r="T307" s="533">
        <v>0</v>
      </c>
      <c r="U307" s="533">
        <v>0</v>
      </c>
      <c r="V307" s="533">
        <v>0</v>
      </c>
      <c r="W307" s="533">
        <v>0</v>
      </c>
      <c r="X307" s="533">
        <v>0</v>
      </c>
      <c r="Y307" s="533">
        <v>0</v>
      </c>
      <c r="Z307" s="533">
        <v>0</v>
      </c>
      <c r="AA307" s="533">
        <v>120</v>
      </c>
      <c r="AB307" s="533">
        <v>125</v>
      </c>
      <c r="AC307" s="533">
        <v>0</v>
      </c>
      <c r="AD307" s="533">
        <v>0</v>
      </c>
      <c r="AE307" s="533">
        <v>0</v>
      </c>
      <c r="AF307" s="533">
        <v>0</v>
      </c>
      <c r="AG307" s="533">
        <v>0</v>
      </c>
      <c r="AH307" s="533">
        <v>0</v>
      </c>
      <c r="AI307" s="533">
        <v>0</v>
      </c>
      <c r="AJ307" s="533">
        <v>0</v>
      </c>
      <c r="AK307" s="533">
        <v>0</v>
      </c>
      <c r="AL307" s="533">
        <v>0</v>
      </c>
      <c r="AO307" s="530" t="s">
        <v>1066</v>
      </c>
      <c r="AP307" s="535">
        <f>AB308/1000</f>
        <v>0.375</v>
      </c>
      <c r="AQ307" s="532" t="s">
        <v>634</v>
      </c>
    </row>
    <row r="308" spans="1:43">
      <c r="A308" s="532" t="s">
        <v>588</v>
      </c>
      <c r="B308" s="533">
        <v>360</v>
      </c>
      <c r="C308" s="533">
        <v>0</v>
      </c>
      <c r="D308" s="533">
        <v>0</v>
      </c>
      <c r="E308" s="533">
        <v>0</v>
      </c>
      <c r="F308" s="533">
        <v>0</v>
      </c>
      <c r="G308" s="534" t="s">
        <v>36</v>
      </c>
      <c r="H308" s="534" t="s">
        <v>36</v>
      </c>
      <c r="I308" s="534" t="s">
        <v>36</v>
      </c>
      <c r="J308" s="534" t="s">
        <v>36</v>
      </c>
      <c r="K308" s="533">
        <v>360</v>
      </c>
      <c r="L308" s="533">
        <v>0</v>
      </c>
      <c r="M308" s="533">
        <v>0</v>
      </c>
      <c r="N308" s="533">
        <v>0</v>
      </c>
      <c r="O308" s="533">
        <v>0</v>
      </c>
      <c r="P308" s="533">
        <v>0</v>
      </c>
      <c r="Q308" s="533">
        <v>0</v>
      </c>
      <c r="R308" s="533">
        <v>0</v>
      </c>
      <c r="S308" s="533">
        <v>0</v>
      </c>
      <c r="T308" s="533">
        <v>0</v>
      </c>
      <c r="U308" s="533">
        <v>0</v>
      </c>
      <c r="V308" s="533">
        <v>0</v>
      </c>
      <c r="W308" s="533">
        <v>0</v>
      </c>
      <c r="X308" s="533">
        <v>0</v>
      </c>
      <c r="Y308" s="533">
        <v>0</v>
      </c>
      <c r="Z308" s="533">
        <v>0</v>
      </c>
      <c r="AA308" s="533">
        <v>360</v>
      </c>
      <c r="AB308" s="533">
        <v>375</v>
      </c>
      <c r="AC308" s="533">
        <v>0</v>
      </c>
      <c r="AD308" s="533">
        <v>0</v>
      </c>
      <c r="AE308" s="533">
        <v>0</v>
      </c>
      <c r="AF308" s="533">
        <v>0</v>
      </c>
      <c r="AG308" s="533">
        <v>0</v>
      </c>
      <c r="AH308" s="533">
        <v>0</v>
      </c>
      <c r="AI308" s="533">
        <v>0</v>
      </c>
      <c r="AJ308" s="533">
        <v>0</v>
      </c>
      <c r="AK308" s="533">
        <v>0</v>
      </c>
      <c r="AL308" s="533">
        <v>0</v>
      </c>
      <c r="AO308" s="530" t="s">
        <v>1065</v>
      </c>
      <c r="AP308" s="535">
        <f>AC307/1000</f>
        <v>0</v>
      </c>
      <c r="AQ308" s="532" t="s">
        <v>635</v>
      </c>
    </row>
    <row r="309" spans="1:43">
      <c r="AO309" s="530" t="s">
        <v>1066</v>
      </c>
      <c r="AP309" s="535">
        <f>AC308/1000</f>
        <v>0</v>
      </c>
      <c r="AQ309" s="532" t="s">
        <v>635</v>
      </c>
    </row>
    <row r="310" spans="1:43">
      <c r="A310" s="529" t="s">
        <v>589</v>
      </c>
    </row>
    <row r="311" spans="1:43">
      <c r="A311" s="529" t="s">
        <v>36</v>
      </c>
      <c r="B311" s="529" t="s">
        <v>590</v>
      </c>
    </row>
    <row r="313" spans="1:43">
      <c r="A313" s="529" t="s">
        <v>340</v>
      </c>
      <c r="B313" s="529" t="s">
        <v>576</v>
      </c>
    </row>
    <row r="314" spans="1:43">
      <c r="A314" s="529" t="s">
        <v>578</v>
      </c>
      <c r="B314" s="529" t="s">
        <v>298</v>
      </c>
    </row>
    <row r="315" spans="1:43">
      <c r="A315" s="529" t="s">
        <v>343</v>
      </c>
      <c r="B315" s="529" t="s">
        <v>193</v>
      </c>
    </row>
    <row r="317" spans="1:43">
      <c r="A317" s="532" t="s">
        <v>592</v>
      </c>
      <c r="B317" s="532" t="s">
        <v>611</v>
      </c>
      <c r="C317" s="532" t="s">
        <v>612</v>
      </c>
      <c r="D317" s="532" t="s">
        <v>613</v>
      </c>
      <c r="E317" s="532" t="s">
        <v>614</v>
      </c>
      <c r="F317" s="532" t="s">
        <v>615</v>
      </c>
      <c r="G317" s="532" t="s">
        <v>616</v>
      </c>
      <c r="H317" s="532" t="s">
        <v>617</v>
      </c>
      <c r="I317" s="532" t="s">
        <v>618</v>
      </c>
      <c r="J317" s="532" t="s">
        <v>619</v>
      </c>
      <c r="K317" s="532" t="s">
        <v>620</v>
      </c>
      <c r="L317" s="532" t="s">
        <v>621</v>
      </c>
      <c r="M317" s="532" t="s">
        <v>622</v>
      </c>
      <c r="N317" s="532" t="s">
        <v>623</v>
      </c>
      <c r="O317" s="532" t="s">
        <v>225</v>
      </c>
      <c r="P317" s="532" t="s">
        <v>624</v>
      </c>
      <c r="Q317" s="532" t="s">
        <v>625</v>
      </c>
      <c r="R317" s="532" t="s">
        <v>626</v>
      </c>
      <c r="S317" s="532" t="s">
        <v>227</v>
      </c>
      <c r="T317" s="532" t="s">
        <v>627</v>
      </c>
      <c r="U317" s="532" t="s">
        <v>628</v>
      </c>
      <c r="V317" s="532" t="s">
        <v>629</v>
      </c>
      <c r="W317" s="532" t="s">
        <v>630</v>
      </c>
      <c r="X317" s="532" t="s">
        <v>631</v>
      </c>
      <c r="Y317" s="532" t="s">
        <v>632</v>
      </c>
      <c r="Z317" s="532" t="s">
        <v>633</v>
      </c>
      <c r="AA317" s="532" t="s">
        <v>229</v>
      </c>
      <c r="AB317" s="532" t="s">
        <v>634</v>
      </c>
      <c r="AC317" s="532" t="s">
        <v>635</v>
      </c>
      <c r="AD317" s="532" t="s">
        <v>636</v>
      </c>
      <c r="AE317" s="532" t="s">
        <v>637</v>
      </c>
      <c r="AF317" s="532" t="s">
        <v>638</v>
      </c>
      <c r="AG317" s="532" t="s">
        <v>639</v>
      </c>
      <c r="AH317" s="532" t="s">
        <v>640</v>
      </c>
      <c r="AI317" s="532" t="s">
        <v>641</v>
      </c>
      <c r="AJ317" s="532" t="s">
        <v>642</v>
      </c>
      <c r="AK317" s="532" t="s">
        <v>643</v>
      </c>
      <c r="AL317" s="532" t="s">
        <v>644</v>
      </c>
      <c r="AP317" s="530" t="str">
        <f>B315</f>
        <v>Poland</v>
      </c>
    </row>
    <row r="318" spans="1:43">
      <c r="A318" s="532" t="s">
        <v>583</v>
      </c>
      <c r="B318" s="533">
        <v>6048</v>
      </c>
      <c r="C318" s="533">
        <v>0</v>
      </c>
      <c r="D318" s="533">
        <v>0</v>
      </c>
      <c r="E318" s="533">
        <v>0</v>
      </c>
      <c r="F318" s="533">
        <v>0</v>
      </c>
      <c r="G318" s="534" t="s">
        <v>36</v>
      </c>
      <c r="H318" s="534" t="s">
        <v>36</v>
      </c>
      <c r="I318" s="534" t="s">
        <v>36</v>
      </c>
      <c r="J318" s="534" t="s">
        <v>36</v>
      </c>
      <c r="K318" s="533">
        <v>6048</v>
      </c>
      <c r="L318" s="533">
        <v>0</v>
      </c>
      <c r="M318" s="533">
        <v>0</v>
      </c>
      <c r="N318" s="533">
        <v>0</v>
      </c>
      <c r="O318" s="533">
        <v>0</v>
      </c>
      <c r="P318" s="533">
        <v>0</v>
      </c>
      <c r="Q318" s="533">
        <v>0</v>
      </c>
      <c r="R318" s="533">
        <v>0</v>
      </c>
      <c r="S318" s="533">
        <v>0</v>
      </c>
      <c r="T318" s="533">
        <v>0</v>
      </c>
      <c r="U318" s="533">
        <v>0</v>
      </c>
      <c r="V318" s="533">
        <v>0</v>
      </c>
      <c r="W318" s="533">
        <v>0</v>
      </c>
      <c r="X318" s="533">
        <v>128</v>
      </c>
      <c r="Y318" s="533">
        <v>0</v>
      </c>
      <c r="Z318" s="533">
        <v>128</v>
      </c>
      <c r="AA318" s="533">
        <v>5920</v>
      </c>
      <c r="AB318" s="533">
        <v>880</v>
      </c>
      <c r="AC318" s="533">
        <v>5040</v>
      </c>
      <c r="AD318" s="533">
        <v>0</v>
      </c>
      <c r="AE318" s="533">
        <v>0</v>
      </c>
      <c r="AF318" s="533">
        <v>0</v>
      </c>
      <c r="AG318" s="533">
        <v>0</v>
      </c>
      <c r="AH318" s="533">
        <v>0</v>
      </c>
      <c r="AI318" s="533">
        <v>0</v>
      </c>
      <c r="AJ318" s="533">
        <v>0</v>
      </c>
      <c r="AK318" s="533">
        <v>0</v>
      </c>
      <c r="AL318" s="533">
        <v>0</v>
      </c>
      <c r="AO318" s="530" t="str">
        <f>A322</f>
        <v>Transformation input in Autoproducer Electricity Plants</v>
      </c>
      <c r="AP318" s="530">
        <f>B322/1000</f>
        <v>0</v>
      </c>
      <c r="AQ318" s="530" t="str">
        <f>B317</f>
        <v>Total petroleum products</v>
      </c>
    </row>
    <row r="319" spans="1:43">
      <c r="A319" s="532" t="s">
        <v>584</v>
      </c>
      <c r="B319" s="533">
        <v>0</v>
      </c>
      <c r="C319" s="533">
        <v>0</v>
      </c>
      <c r="D319" s="533">
        <v>0</v>
      </c>
      <c r="E319" s="533">
        <v>0</v>
      </c>
      <c r="F319" s="533">
        <v>0</v>
      </c>
      <c r="G319" s="534" t="s">
        <v>36</v>
      </c>
      <c r="H319" s="534" t="s">
        <v>36</v>
      </c>
      <c r="I319" s="534" t="s">
        <v>36</v>
      </c>
      <c r="J319" s="534" t="s">
        <v>36</v>
      </c>
      <c r="K319" s="533">
        <v>0</v>
      </c>
      <c r="L319" s="533">
        <v>0</v>
      </c>
      <c r="M319" s="533">
        <v>0</v>
      </c>
      <c r="N319" s="533">
        <v>0</v>
      </c>
      <c r="O319" s="533">
        <v>0</v>
      </c>
      <c r="P319" s="533">
        <v>0</v>
      </c>
      <c r="Q319" s="533">
        <v>0</v>
      </c>
      <c r="R319" s="533">
        <v>0</v>
      </c>
      <c r="S319" s="533">
        <v>0</v>
      </c>
      <c r="T319" s="533">
        <v>0</v>
      </c>
      <c r="U319" s="533">
        <v>0</v>
      </c>
      <c r="V319" s="533">
        <v>0</v>
      </c>
      <c r="W319" s="533">
        <v>0</v>
      </c>
      <c r="X319" s="533">
        <v>0</v>
      </c>
      <c r="Y319" s="533">
        <v>0</v>
      </c>
      <c r="Z319" s="533">
        <v>0</v>
      </c>
      <c r="AA319" s="533">
        <v>0</v>
      </c>
      <c r="AB319" s="533">
        <v>0</v>
      </c>
      <c r="AC319" s="533">
        <v>0</v>
      </c>
      <c r="AD319" s="533">
        <v>0</v>
      </c>
      <c r="AE319" s="533">
        <v>0</v>
      </c>
      <c r="AF319" s="533">
        <v>0</v>
      </c>
      <c r="AG319" s="533">
        <v>0</v>
      </c>
      <c r="AH319" s="533">
        <v>0</v>
      </c>
      <c r="AI319" s="533">
        <v>0</v>
      </c>
      <c r="AJ319" s="533">
        <v>0</v>
      </c>
      <c r="AK319" s="533">
        <v>0</v>
      </c>
      <c r="AL319" s="533">
        <v>0</v>
      </c>
      <c r="AO319" s="530" t="s">
        <v>1065</v>
      </c>
      <c r="AP319" s="530">
        <f>L322/1000</f>
        <v>0</v>
      </c>
      <c r="AQ319" s="532" t="s">
        <v>621</v>
      </c>
    </row>
    <row r="320" spans="1:43">
      <c r="A320" s="532" t="s">
        <v>585</v>
      </c>
      <c r="B320" s="533">
        <v>6048</v>
      </c>
      <c r="C320" s="533">
        <v>0</v>
      </c>
      <c r="D320" s="533">
        <v>0</v>
      </c>
      <c r="E320" s="533">
        <v>0</v>
      </c>
      <c r="F320" s="533">
        <v>0</v>
      </c>
      <c r="G320" s="534" t="s">
        <v>36</v>
      </c>
      <c r="H320" s="534" t="s">
        <v>36</v>
      </c>
      <c r="I320" s="534" t="s">
        <v>36</v>
      </c>
      <c r="J320" s="534" t="s">
        <v>36</v>
      </c>
      <c r="K320" s="533">
        <v>6048</v>
      </c>
      <c r="L320" s="533">
        <v>0</v>
      </c>
      <c r="M320" s="533">
        <v>0</v>
      </c>
      <c r="N320" s="533">
        <v>0</v>
      </c>
      <c r="O320" s="533">
        <v>0</v>
      </c>
      <c r="P320" s="533">
        <v>0</v>
      </c>
      <c r="Q320" s="533">
        <v>0</v>
      </c>
      <c r="R320" s="533">
        <v>0</v>
      </c>
      <c r="S320" s="533">
        <v>0</v>
      </c>
      <c r="T320" s="533">
        <v>0</v>
      </c>
      <c r="U320" s="533">
        <v>0</v>
      </c>
      <c r="V320" s="533">
        <v>0</v>
      </c>
      <c r="W320" s="533">
        <v>0</v>
      </c>
      <c r="X320" s="533">
        <v>128</v>
      </c>
      <c r="Y320" s="533">
        <v>0</v>
      </c>
      <c r="Z320" s="533">
        <v>128</v>
      </c>
      <c r="AA320" s="533">
        <v>5920</v>
      </c>
      <c r="AB320" s="533">
        <v>880</v>
      </c>
      <c r="AC320" s="533">
        <v>5040</v>
      </c>
      <c r="AD320" s="533">
        <v>0</v>
      </c>
      <c r="AE320" s="533">
        <v>0</v>
      </c>
      <c r="AF320" s="533">
        <v>0</v>
      </c>
      <c r="AG320" s="533">
        <v>0</v>
      </c>
      <c r="AH320" s="533">
        <v>0</v>
      </c>
      <c r="AI320" s="533">
        <v>0</v>
      </c>
      <c r="AJ320" s="533">
        <v>0</v>
      </c>
      <c r="AK320" s="533">
        <v>0</v>
      </c>
      <c r="AL320" s="533">
        <v>0</v>
      </c>
      <c r="AO320" s="530" t="s">
        <v>1066</v>
      </c>
      <c r="AP320" s="530">
        <f>L323/1000</f>
        <v>0</v>
      </c>
      <c r="AQ320" s="532" t="s">
        <v>621</v>
      </c>
    </row>
    <row r="321" spans="1:43">
      <c r="A321" s="532" t="s">
        <v>586</v>
      </c>
      <c r="B321" s="533">
        <v>1080</v>
      </c>
      <c r="C321" s="533">
        <v>0</v>
      </c>
      <c r="D321" s="533">
        <v>0</v>
      </c>
      <c r="E321" s="533">
        <v>0</v>
      </c>
      <c r="F321" s="533">
        <v>0</v>
      </c>
      <c r="G321" s="534" t="s">
        <v>36</v>
      </c>
      <c r="H321" s="534" t="s">
        <v>36</v>
      </c>
      <c r="I321" s="534" t="s">
        <v>36</v>
      </c>
      <c r="J321" s="534" t="s">
        <v>36</v>
      </c>
      <c r="K321" s="533">
        <v>1080</v>
      </c>
      <c r="L321" s="533">
        <v>0</v>
      </c>
      <c r="M321" s="533">
        <v>0</v>
      </c>
      <c r="N321" s="533">
        <v>0</v>
      </c>
      <c r="O321" s="533">
        <v>0</v>
      </c>
      <c r="P321" s="533">
        <v>0</v>
      </c>
      <c r="Q321" s="533">
        <v>0</v>
      </c>
      <c r="R321" s="533">
        <v>0</v>
      </c>
      <c r="S321" s="533">
        <v>0</v>
      </c>
      <c r="T321" s="533">
        <v>0</v>
      </c>
      <c r="U321" s="533">
        <v>0</v>
      </c>
      <c r="V321" s="533">
        <v>0</v>
      </c>
      <c r="W321" s="533">
        <v>0</v>
      </c>
      <c r="X321" s="533">
        <v>0</v>
      </c>
      <c r="Y321" s="533">
        <v>0</v>
      </c>
      <c r="Z321" s="533">
        <v>0</v>
      </c>
      <c r="AA321" s="533">
        <v>1080</v>
      </c>
      <c r="AB321" s="533">
        <v>360</v>
      </c>
      <c r="AC321" s="533">
        <v>720</v>
      </c>
      <c r="AD321" s="533">
        <v>0</v>
      </c>
      <c r="AE321" s="533">
        <v>0</v>
      </c>
      <c r="AF321" s="533">
        <v>0</v>
      </c>
      <c r="AG321" s="533">
        <v>0</v>
      </c>
      <c r="AH321" s="533">
        <v>0</v>
      </c>
      <c r="AI321" s="533">
        <v>0</v>
      </c>
      <c r="AJ321" s="533">
        <v>0</v>
      </c>
      <c r="AK321" s="533">
        <v>0</v>
      </c>
      <c r="AL321" s="533">
        <v>0</v>
      </c>
      <c r="AO321" s="530" t="s">
        <v>1065</v>
      </c>
      <c r="AP321" s="535">
        <f>AB322/1000</f>
        <v>0</v>
      </c>
      <c r="AQ321" s="532" t="s">
        <v>634</v>
      </c>
    </row>
    <row r="322" spans="1:43">
      <c r="A322" s="532" t="s">
        <v>587</v>
      </c>
      <c r="B322" s="533">
        <v>0</v>
      </c>
      <c r="C322" s="533">
        <v>0</v>
      </c>
      <c r="D322" s="533">
        <v>0</v>
      </c>
      <c r="E322" s="533">
        <v>0</v>
      </c>
      <c r="F322" s="533">
        <v>0</v>
      </c>
      <c r="G322" s="534" t="s">
        <v>36</v>
      </c>
      <c r="H322" s="534" t="s">
        <v>36</v>
      </c>
      <c r="I322" s="534" t="s">
        <v>36</v>
      </c>
      <c r="J322" s="534" t="s">
        <v>36</v>
      </c>
      <c r="K322" s="533">
        <v>0</v>
      </c>
      <c r="L322" s="533">
        <v>0</v>
      </c>
      <c r="M322" s="533">
        <v>0</v>
      </c>
      <c r="N322" s="533">
        <v>0</v>
      </c>
      <c r="O322" s="533">
        <v>0</v>
      </c>
      <c r="P322" s="533">
        <v>0</v>
      </c>
      <c r="Q322" s="533">
        <v>0</v>
      </c>
      <c r="R322" s="533">
        <v>0</v>
      </c>
      <c r="S322" s="533">
        <v>0</v>
      </c>
      <c r="T322" s="533">
        <v>0</v>
      </c>
      <c r="U322" s="533">
        <v>0</v>
      </c>
      <c r="V322" s="533">
        <v>0</v>
      </c>
      <c r="W322" s="533">
        <v>0</v>
      </c>
      <c r="X322" s="533">
        <v>0</v>
      </c>
      <c r="Y322" s="533">
        <v>0</v>
      </c>
      <c r="Z322" s="533">
        <v>0</v>
      </c>
      <c r="AA322" s="533">
        <v>0</v>
      </c>
      <c r="AB322" s="533">
        <v>0</v>
      </c>
      <c r="AC322" s="533">
        <v>0</v>
      </c>
      <c r="AD322" s="533">
        <v>0</v>
      </c>
      <c r="AE322" s="533">
        <v>0</v>
      </c>
      <c r="AF322" s="533">
        <v>0</v>
      </c>
      <c r="AG322" s="533">
        <v>0</v>
      </c>
      <c r="AH322" s="533">
        <v>0</v>
      </c>
      <c r="AI322" s="533">
        <v>0</v>
      </c>
      <c r="AJ322" s="533">
        <v>0</v>
      </c>
      <c r="AK322" s="533">
        <v>0</v>
      </c>
      <c r="AL322" s="533">
        <v>0</v>
      </c>
      <c r="AO322" s="530" t="s">
        <v>1066</v>
      </c>
      <c r="AP322" s="535">
        <f>AB323/1000</f>
        <v>0.36</v>
      </c>
      <c r="AQ322" s="532" t="s">
        <v>634</v>
      </c>
    </row>
    <row r="323" spans="1:43">
      <c r="A323" s="532" t="s">
        <v>588</v>
      </c>
      <c r="B323" s="533">
        <v>1080</v>
      </c>
      <c r="C323" s="533">
        <v>0</v>
      </c>
      <c r="D323" s="533">
        <v>0</v>
      </c>
      <c r="E323" s="533">
        <v>0</v>
      </c>
      <c r="F323" s="533">
        <v>0</v>
      </c>
      <c r="G323" s="534" t="s">
        <v>36</v>
      </c>
      <c r="H323" s="534" t="s">
        <v>36</v>
      </c>
      <c r="I323" s="534" t="s">
        <v>36</v>
      </c>
      <c r="J323" s="534" t="s">
        <v>36</v>
      </c>
      <c r="K323" s="533">
        <v>1080</v>
      </c>
      <c r="L323" s="533">
        <v>0</v>
      </c>
      <c r="M323" s="533">
        <v>0</v>
      </c>
      <c r="N323" s="533">
        <v>0</v>
      </c>
      <c r="O323" s="533">
        <v>0</v>
      </c>
      <c r="P323" s="533">
        <v>0</v>
      </c>
      <c r="Q323" s="533">
        <v>0</v>
      </c>
      <c r="R323" s="533">
        <v>0</v>
      </c>
      <c r="S323" s="533">
        <v>0</v>
      </c>
      <c r="T323" s="533">
        <v>0</v>
      </c>
      <c r="U323" s="533">
        <v>0</v>
      </c>
      <c r="V323" s="533">
        <v>0</v>
      </c>
      <c r="W323" s="533">
        <v>0</v>
      </c>
      <c r="X323" s="533">
        <v>0</v>
      </c>
      <c r="Y323" s="533">
        <v>0</v>
      </c>
      <c r="Z323" s="533">
        <v>0</v>
      </c>
      <c r="AA323" s="533">
        <v>1080</v>
      </c>
      <c r="AB323" s="533">
        <v>360</v>
      </c>
      <c r="AC323" s="533">
        <v>720</v>
      </c>
      <c r="AD323" s="533">
        <v>0</v>
      </c>
      <c r="AE323" s="533">
        <v>0</v>
      </c>
      <c r="AF323" s="533">
        <v>0</v>
      </c>
      <c r="AG323" s="533">
        <v>0</v>
      </c>
      <c r="AH323" s="533">
        <v>0</v>
      </c>
      <c r="AI323" s="533">
        <v>0</v>
      </c>
      <c r="AJ323" s="533">
        <v>0</v>
      </c>
      <c r="AK323" s="533">
        <v>0</v>
      </c>
      <c r="AL323" s="533">
        <v>0</v>
      </c>
      <c r="AO323" s="530" t="s">
        <v>1065</v>
      </c>
      <c r="AP323" s="535">
        <f>AC322/1000</f>
        <v>0</v>
      </c>
      <c r="AQ323" s="532" t="s">
        <v>635</v>
      </c>
    </row>
    <row r="324" spans="1:43">
      <c r="AO324" s="530" t="s">
        <v>1066</v>
      </c>
      <c r="AP324" s="535">
        <f>AC323/1000</f>
        <v>0.72</v>
      </c>
      <c r="AQ324" s="532" t="s">
        <v>635</v>
      </c>
    </row>
    <row r="325" spans="1:43">
      <c r="A325" s="529" t="s">
        <v>589</v>
      </c>
    </row>
    <row r="326" spans="1:43">
      <c r="A326" s="529" t="s">
        <v>36</v>
      </c>
      <c r="B326" s="529" t="s">
        <v>590</v>
      </c>
    </row>
    <row r="328" spans="1:43">
      <c r="A328" s="529" t="s">
        <v>340</v>
      </c>
      <c r="B328" s="529" t="s">
        <v>576</v>
      </c>
    </row>
    <row r="329" spans="1:43">
      <c r="A329" s="529" t="s">
        <v>578</v>
      </c>
      <c r="B329" s="529" t="s">
        <v>298</v>
      </c>
    </row>
    <row r="330" spans="1:43">
      <c r="A330" s="529" t="s">
        <v>343</v>
      </c>
      <c r="B330" s="529" t="s">
        <v>194</v>
      </c>
    </row>
    <row r="332" spans="1:43">
      <c r="A332" s="532" t="s">
        <v>592</v>
      </c>
      <c r="B332" s="532" t="s">
        <v>611</v>
      </c>
      <c r="C332" s="532" t="s">
        <v>612</v>
      </c>
      <c r="D332" s="532" t="s">
        <v>613</v>
      </c>
      <c r="E332" s="532" t="s">
        <v>614</v>
      </c>
      <c r="F332" s="532" t="s">
        <v>615</v>
      </c>
      <c r="G332" s="532" t="s">
        <v>616</v>
      </c>
      <c r="H332" s="532" t="s">
        <v>617</v>
      </c>
      <c r="I332" s="532" t="s">
        <v>618</v>
      </c>
      <c r="J332" s="532" t="s">
        <v>619</v>
      </c>
      <c r="K332" s="532" t="s">
        <v>620</v>
      </c>
      <c r="L332" s="532" t="s">
        <v>621</v>
      </c>
      <c r="M332" s="532" t="s">
        <v>622</v>
      </c>
      <c r="N332" s="532" t="s">
        <v>623</v>
      </c>
      <c r="O332" s="532" t="s">
        <v>225</v>
      </c>
      <c r="P332" s="532" t="s">
        <v>624</v>
      </c>
      <c r="Q332" s="532" t="s">
        <v>625</v>
      </c>
      <c r="R332" s="532" t="s">
        <v>626</v>
      </c>
      <c r="S332" s="532" t="s">
        <v>227</v>
      </c>
      <c r="T332" s="532" t="s">
        <v>627</v>
      </c>
      <c r="U332" s="532" t="s">
        <v>628</v>
      </c>
      <c r="V332" s="532" t="s">
        <v>629</v>
      </c>
      <c r="W332" s="532" t="s">
        <v>630</v>
      </c>
      <c r="X332" s="532" t="s">
        <v>631</v>
      </c>
      <c r="Y332" s="532" t="s">
        <v>632</v>
      </c>
      <c r="Z332" s="532" t="s">
        <v>633</v>
      </c>
      <c r="AA332" s="532" t="s">
        <v>229</v>
      </c>
      <c r="AB332" s="532" t="s">
        <v>634</v>
      </c>
      <c r="AC332" s="532" t="s">
        <v>635</v>
      </c>
      <c r="AD332" s="532" t="s">
        <v>636</v>
      </c>
      <c r="AE332" s="532" t="s">
        <v>637</v>
      </c>
      <c r="AF332" s="532" t="s">
        <v>638</v>
      </c>
      <c r="AG332" s="532" t="s">
        <v>639</v>
      </c>
      <c r="AH332" s="532" t="s">
        <v>640</v>
      </c>
      <c r="AI332" s="532" t="s">
        <v>641</v>
      </c>
      <c r="AJ332" s="532" t="s">
        <v>642</v>
      </c>
      <c r="AK332" s="532" t="s">
        <v>643</v>
      </c>
      <c r="AL332" s="532" t="s">
        <v>644</v>
      </c>
      <c r="AP332" s="530" t="str">
        <f>B330</f>
        <v>Portugal</v>
      </c>
    </row>
    <row r="333" spans="1:43">
      <c r="A333" s="532" t="s">
        <v>583</v>
      </c>
      <c r="B333" s="533">
        <v>64380</v>
      </c>
      <c r="C333" s="533">
        <v>0</v>
      </c>
      <c r="D333" s="533">
        <v>0</v>
      </c>
      <c r="E333" s="533">
        <v>0</v>
      </c>
      <c r="F333" s="533">
        <v>0</v>
      </c>
      <c r="G333" s="534" t="s">
        <v>36</v>
      </c>
      <c r="H333" s="534" t="s">
        <v>36</v>
      </c>
      <c r="I333" s="534" t="s">
        <v>36</v>
      </c>
      <c r="J333" s="534" t="s">
        <v>36</v>
      </c>
      <c r="K333" s="533">
        <v>64380</v>
      </c>
      <c r="L333" s="533">
        <v>0</v>
      </c>
      <c r="M333" s="533">
        <v>0</v>
      </c>
      <c r="N333" s="533">
        <v>0</v>
      </c>
      <c r="O333" s="533">
        <v>0</v>
      </c>
      <c r="P333" s="533">
        <v>0</v>
      </c>
      <c r="Q333" s="533">
        <v>0</v>
      </c>
      <c r="R333" s="533">
        <v>0</v>
      </c>
      <c r="S333" s="533">
        <v>0</v>
      </c>
      <c r="T333" s="533">
        <v>0</v>
      </c>
      <c r="U333" s="533">
        <v>0</v>
      </c>
      <c r="V333" s="533">
        <v>0</v>
      </c>
      <c r="W333" s="533">
        <v>0</v>
      </c>
      <c r="X333" s="533">
        <v>980</v>
      </c>
      <c r="Y333" s="533">
        <v>980</v>
      </c>
      <c r="Z333" s="533">
        <v>0</v>
      </c>
      <c r="AA333" s="533">
        <v>63400</v>
      </c>
      <c r="AB333" s="533">
        <v>63701</v>
      </c>
      <c r="AC333" s="533">
        <v>0</v>
      </c>
      <c r="AD333" s="533">
        <v>0</v>
      </c>
      <c r="AE333" s="533">
        <v>0</v>
      </c>
      <c r="AF333" s="533">
        <v>0</v>
      </c>
      <c r="AG333" s="533">
        <v>0</v>
      </c>
      <c r="AH333" s="533">
        <v>0</v>
      </c>
      <c r="AI333" s="533">
        <v>0</v>
      </c>
      <c r="AJ333" s="533">
        <v>0</v>
      </c>
      <c r="AK333" s="533">
        <v>0</v>
      </c>
      <c r="AL333" s="533">
        <v>0</v>
      </c>
      <c r="AO333" s="530" t="str">
        <f>A337</f>
        <v>Transformation input in Autoproducer Electricity Plants</v>
      </c>
      <c r="AP333" s="530">
        <f>B337/1000</f>
        <v>0.16300000000000001</v>
      </c>
      <c r="AQ333" s="530" t="str">
        <f>B332</f>
        <v>Total petroleum products</v>
      </c>
    </row>
    <row r="334" spans="1:43">
      <c r="A334" s="532" t="s">
        <v>584</v>
      </c>
      <c r="B334" s="533">
        <v>56620</v>
      </c>
      <c r="C334" s="533">
        <v>0</v>
      </c>
      <c r="D334" s="533">
        <v>0</v>
      </c>
      <c r="E334" s="533">
        <v>0</v>
      </c>
      <c r="F334" s="533">
        <v>0</v>
      </c>
      <c r="G334" s="534" t="s">
        <v>36</v>
      </c>
      <c r="H334" s="534" t="s">
        <v>36</v>
      </c>
      <c r="I334" s="534" t="s">
        <v>36</v>
      </c>
      <c r="J334" s="534" t="s">
        <v>36</v>
      </c>
      <c r="K334" s="533">
        <v>56620</v>
      </c>
      <c r="L334" s="533">
        <v>0</v>
      </c>
      <c r="M334" s="533">
        <v>0</v>
      </c>
      <c r="N334" s="533">
        <v>0</v>
      </c>
      <c r="O334" s="533">
        <v>0</v>
      </c>
      <c r="P334" s="533">
        <v>0</v>
      </c>
      <c r="Q334" s="533">
        <v>0</v>
      </c>
      <c r="R334" s="533">
        <v>0</v>
      </c>
      <c r="S334" s="533">
        <v>0</v>
      </c>
      <c r="T334" s="533">
        <v>0</v>
      </c>
      <c r="U334" s="533">
        <v>0</v>
      </c>
      <c r="V334" s="533">
        <v>0</v>
      </c>
      <c r="W334" s="533">
        <v>0</v>
      </c>
      <c r="X334" s="533">
        <v>980</v>
      </c>
      <c r="Y334" s="533">
        <v>980</v>
      </c>
      <c r="Z334" s="533">
        <v>0</v>
      </c>
      <c r="AA334" s="533">
        <v>55640</v>
      </c>
      <c r="AB334" s="533">
        <v>55904</v>
      </c>
      <c r="AC334" s="533">
        <v>0</v>
      </c>
      <c r="AD334" s="533">
        <v>0</v>
      </c>
      <c r="AE334" s="533">
        <v>0</v>
      </c>
      <c r="AF334" s="533">
        <v>0</v>
      </c>
      <c r="AG334" s="533">
        <v>0</v>
      </c>
      <c r="AH334" s="533">
        <v>0</v>
      </c>
      <c r="AI334" s="533">
        <v>0</v>
      </c>
      <c r="AJ334" s="533">
        <v>0</v>
      </c>
      <c r="AK334" s="533">
        <v>0</v>
      </c>
      <c r="AL334" s="533">
        <v>0</v>
      </c>
      <c r="AO334" s="530" t="s">
        <v>1065</v>
      </c>
      <c r="AP334" s="530">
        <f>L337/1000</f>
        <v>0</v>
      </c>
      <c r="AQ334" s="532" t="s">
        <v>621</v>
      </c>
    </row>
    <row r="335" spans="1:43">
      <c r="A335" s="532" t="s">
        <v>585</v>
      </c>
      <c r="B335" s="533">
        <v>7760</v>
      </c>
      <c r="C335" s="533">
        <v>0</v>
      </c>
      <c r="D335" s="533">
        <v>0</v>
      </c>
      <c r="E335" s="533">
        <v>0</v>
      </c>
      <c r="F335" s="533">
        <v>0</v>
      </c>
      <c r="G335" s="534" t="s">
        <v>36</v>
      </c>
      <c r="H335" s="534" t="s">
        <v>36</v>
      </c>
      <c r="I335" s="534" t="s">
        <v>36</v>
      </c>
      <c r="J335" s="534" t="s">
        <v>36</v>
      </c>
      <c r="K335" s="533">
        <v>7760</v>
      </c>
      <c r="L335" s="533">
        <v>0</v>
      </c>
      <c r="M335" s="533">
        <v>0</v>
      </c>
      <c r="N335" s="533">
        <v>0</v>
      </c>
      <c r="O335" s="533">
        <v>0</v>
      </c>
      <c r="P335" s="533">
        <v>0</v>
      </c>
      <c r="Q335" s="533">
        <v>0</v>
      </c>
      <c r="R335" s="533">
        <v>0</v>
      </c>
      <c r="S335" s="533">
        <v>0</v>
      </c>
      <c r="T335" s="533">
        <v>0</v>
      </c>
      <c r="U335" s="533">
        <v>0</v>
      </c>
      <c r="V335" s="533">
        <v>0</v>
      </c>
      <c r="W335" s="533">
        <v>0</v>
      </c>
      <c r="X335" s="533">
        <v>0</v>
      </c>
      <c r="Y335" s="533">
        <v>0</v>
      </c>
      <c r="Z335" s="533">
        <v>0</v>
      </c>
      <c r="AA335" s="533">
        <v>7760</v>
      </c>
      <c r="AB335" s="533">
        <v>7797</v>
      </c>
      <c r="AC335" s="533">
        <v>0</v>
      </c>
      <c r="AD335" s="533">
        <v>0</v>
      </c>
      <c r="AE335" s="533">
        <v>0</v>
      </c>
      <c r="AF335" s="533">
        <v>0</v>
      </c>
      <c r="AG335" s="533">
        <v>0</v>
      </c>
      <c r="AH335" s="533">
        <v>0</v>
      </c>
      <c r="AI335" s="533">
        <v>0</v>
      </c>
      <c r="AJ335" s="533">
        <v>0</v>
      </c>
      <c r="AK335" s="533">
        <v>0</v>
      </c>
      <c r="AL335" s="533">
        <v>0</v>
      </c>
      <c r="AO335" s="530" t="s">
        <v>1066</v>
      </c>
      <c r="AP335" s="530">
        <f>L338/1000</f>
        <v>0</v>
      </c>
      <c r="AQ335" s="532" t="s">
        <v>621</v>
      </c>
    </row>
    <row r="336" spans="1:43">
      <c r="A336" s="532" t="s">
        <v>586</v>
      </c>
      <c r="B336" s="533">
        <v>10685</v>
      </c>
      <c r="C336" s="533">
        <v>0</v>
      </c>
      <c r="D336" s="533">
        <v>0</v>
      </c>
      <c r="E336" s="533">
        <v>0</v>
      </c>
      <c r="F336" s="533">
        <v>0</v>
      </c>
      <c r="G336" s="534" t="s">
        <v>36</v>
      </c>
      <c r="H336" s="534" t="s">
        <v>36</v>
      </c>
      <c r="I336" s="534" t="s">
        <v>36</v>
      </c>
      <c r="J336" s="534" t="s">
        <v>36</v>
      </c>
      <c r="K336" s="533">
        <v>10685</v>
      </c>
      <c r="L336" s="533">
        <v>0</v>
      </c>
      <c r="M336" s="533">
        <v>0</v>
      </c>
      <c r="N336" s="533">
        <v>0</v>
      </c>
      <c r="O336" s="533">
        <v>0</v>
      </c>
      <c r="P336" s="533">
        <v>0</v>
      </c>
      <c r="Q336" s="533">
        <v>0</v>
      </c>
      <c r="R336" s="533">
        <v>0</v>
      </c>
      <c r="S336" s="533">
        <v>0</v>
      </c>
      <c r="T336" s="533">
        <v>0</v>
      </c>
      <c r="U336" s="533">
        <v>0</v>
      </c>
      <c r="V336" s="533">
        <v>0</v>
      </c>
      <c r="W336" s="533">
        <v>0</v>
      </c>
      <c r="X336" s="533">
        <v>85</v>
      </c>
      <c r="Y336" s="533">
        <v>85</v>
      </c>
      <c r="Z336" s="533">
        <v>0</v>
      </c>
      <c r="AA336" s="533">
        <v>10600</v>
      </c>
      <c r="AB336" s="533">
        <v>10650</v>
      </c>
      <c r="AC336" s="533">
        <v>0</v>
      </c>
      <c r="AD336" s="533">
        <v>0</v>
      </c>
      <c r="AE336" s="533">
        <v>0</v>
      </c>
      <c r="AF336" s="533">
        <v>0</v>
      </c>
      <c r="AG336" s="533">
        <v>0</v>
      </c>
      <c r="AH336" s="533">
        <v>0</v>
      </c>
      <c r="AI336" s="533">
        <v>0</v>
      </c>
      <c r="AJ336" s="533">
        <v>0</v>
      </c>
      <c r="AK336" s="533">
        <v>0</v>
      </c>
      <c r="AL336" s="533">
        <v>0</v>
      </c>
      <c r="AO336" s="530" t="s">
        <v>1065</v>
      </c>
      <c r="AP336" s="535">
        <f>AB337/1000</f>
        <v>0.121</v>
      </c>
      <c r="AQ336" s="532" t="s">
        <v>634</v>
      </c>
    </row>
    <row r="337" spans="1:43">
      <c r="A337" s="532" t="s">
        <v>587</v>
      </c>
      <c r="B337" s="533">
        <v>163</v>
      </c>
      <c r="C337" s="533">
        <v>0</v>
      </c>
      <c r="D337" s="533">
        <v>0</v>
      </c>
      <c r="E337" s="533">
        <v>0</v>
      </c>
      <c r="F337" s="533">
        <v>0</v>
      </c>
      <c r="G337" s="534" t="s">
        <v>36</v>
      </c>
      <c r="H337" s="534" t="s">
        <v>36</v>
      </c>
      <c r="I337" s="534" t="s">
        <v>36</v>
      </c>
      <c r="J337" s="534" t="s">
        <v>36</v>
      </c>
      <c r="K337" s="533">
        <v>163</v>
      </c>
      <c r="L337" s="533">
        <v>0</v>
      </c>
      <c r="M337" s="533">
        <v>0</v>
      </c>
      <c r="N337" s="533">
        <v>0</v>
      </c>
      <c r="O337" s="533">
        <v>0</v>
      </c>
      <c r="P337" s="533">
        <v>0</v>
      </c>
      <c r="Q337" s="533">
        <v>0</v>
      </c>
      <c r="R337" s="533">
        <v>0</v>
      </c>
      <c r="S337" s="533">
        <v>0</v>
      </c>
      <c r="T337" s="533">
        <v>0</v>
      </c>
      <c r="U337" s="533">
        <v>0</v>
      </c>
      <c r="V337" s="533">
        <v>0</v>
      </c>
      <c r="W337" s="533">
        <v>0</v>
      </c>
      <c r="X337" s="533">
        <v>43</v>
      </c>
      <c r="Y337" s="533">
        <v>43</v>
      </c>
      <c r="Z337" s="533">
        <v>0</v>
      </c>
      <c r="AA337" s="533">
        <v>120</v>
      </c>
      <c r="AB337" s="533">
        <v>121</v>
      </c>
      <c r="AC337" s="533">
        <v>0</v>
      </c>
      <c r="AD337" s="533">
        <v>0</v>
      </c>
      <c r="AE337" s="533">
        <v>0</v>
      </c>
      <c r="AF337" s="533">
        <v>0</v>
      </c>
      <c r="AG337" s="533">
        <v>0</v>
      </c>
      <c r="AH337" s="533">
        <v>0</v>
      </c>
      <c r="AI337" s="533">
        <v>0</v>
      </c>
      <c r="AJ337" s="533">
        <v>0</v>
      </c>
      <c r="AK337" s="533">
        <v>0</v>
      </c>
      <c r="AL337" s="533">
        <v>0</v>
      </c>
      <c r="AO337" s="530" t="s">
        <v>1066</v>
      </c>
      <c r="AP337" s="535">
        <f>AB338/1000</f>
        <v>10.53</v>
      </c>
      <c r="AQ337" s="532" t="s">
        <v>634</v>
      </c>
    </row>
    <row r="338" spans="1:43">
      <c r="A338" s="532" t="s">
        <v>588</v>
      </c>
      <c r="B338" s="533">
        <v>10523</v>
      </c>
      <c r="C338" s="533">
        <v>0</v>
      </c>
      <c r="D338" s="533">
        <v>0</v>
      </c>
      <c r="E338" s="533">
        <v>0</v>
      </c>
      <c r="F338" s="533">
        <v>0</v>
      </c>
      <c r="G338" s="534" t="s">
        <v>36</v>
      </c>
      <c r="H338" s="534" t="s">
        <v>36</v>
      </c>
      <c r="I338" s="534" t="s">
        <v>36</v>
      </c>
      <c r="J338" s="534" t="s">
        <v>36</v>
      </c>
      <c r="K338" s="533">
        <v>10523</v>
      </c>
      <c r="L338" s="533">
        <v>0</v>
      </c>
      <c r="M338" s="533">
        <v>0</v>
      </c>
      <c r="N338" s="533">
        <v>0</v>
      </c>
      <c r="O338" s="533">
        <v>0</v>
      </c>
      <c r="P338" s="533">
        <v>0</v>
      </c>
      <c r="Q338" s="533">
        <v>0</v>
      </c>
      <c r="R338" s="533">
        <v>0</v>
      </c>
      <c r="S338" s="533">
        <v>0</v>
      </c>
      <c r="T338" s="533">
        <v>0</v>
      </c>
      <c r="U338" s="533">
        <v>0</v>
      </c>
      <c r="V338" s="533">
        <v>0</v>
      </c>
      <c r="W338" s="533">
        <v>0</v>
      </c>
      <c r="X338" s="533">
        <v>43</v>
      </c>
      <c r="Y338" s="533">
        <v>43</v>
      </c>
      <c r="Z338" s="533">
        <v>0</v>
      </c>
      <c r="AA338" s="533">
        <v>10480</v>
      </c>
      <c r="AB338" s="533">
        <v>10530</v>
      </c>
      <c r="AC338" s="533">
        <v>0</v>
      </c>
      <c r="AD338" s="533">
        <v>0</v>
      </c>
      <c r="AE338" s="533">
        <v>0</v>
      </c>
      <c r="AF338" s="533">
        <v>0</v>
      </c>
      <c r="AG338" s="533">
        <v>0</v>
      </c>
      <c r="AH338" s="533">
        <v>0</v>
      </c>
      <c r="AI338" s="533">
        <v>0</v>
      </c>
      <c r="AJ338" s="533">
        <v>0</v>
      </c>
      <c r="AK338" s="533">
        <v>0</v>
      </c>
      <c r="AL338" s="533">
        <v>0</v>
      </c>
      <c r="AO338" s="530" t="s">
        <v>1065</v>
      </c>
      <c r="AP338" s="535">
        <f>AC337/1000</f>
        <v>0</v>
      </c>
      <c r="AQ338" s="532" t="s">
        <v>635</v>
      </c>
    </row>
    <row r="339" spans="1:43">
      <c r="AO339" s="530" t="s">
        <v>1066</v>
      </c>
      <c r="AP339" s="535">
        <f>AC338/1000</f>
        <v>0</v>
      </c>
      <c r="AQ339" s="532" t="s">
        <v>635</v>
      </c>
    </row>
    <row r="340" spans="1:43">
      <c r="A340" s="529" t="s">
        <v>589</v>
      </c>
    </row>
    <row r="341" spans="1:43">
      <c r="A341" s="529" t="s">
        <v>36</v>
      </c>
      <c r="B341" s="529" t="s">
        <v>590</v>
      </c>
    </row>
    <row r="343" spans="1:43">
      <c r="A343" s="529" t="s">
        <v>340</v>
      </c>
      <c r="B343" s="529" t="s">
        <v>576</v>
      </c>
    </row>
    <row r="344" spans="1:43">
      <c r="A344" s="529" t="s">
        <v>578</v>
      </c>
      <c r="B344" s="529" t="s">
        <v>298</v>
      </c>
    </row>
    <row r="345" spans="1:43">
      <c r="A345" s="529" t="s">
        <v>343</v>
      </c>
      <c r="B345" s="529" t="s">
        <v>195</v>
      </c>
    </row>
    <row r="347" spans="1:43">
      <c r="A347" s="532" t="s">
        <v>592</v>
      </c>
      <c r="B347" s="532" t="s">
        <v>611</v>
      </c>
      <c r="C347" s="532" t="s">
        <v>612</v>
      </c>
      <c r="D347" s="532" t="s">
        <v>613</v>
      </c>
      <c r="E347" s="532" t="s">
        <v>614</v>
      </c>
      <c r="F347" s="532" t="s">
        <v>615</v>
      </c>
      <c r="G347" s="532" t="s">
        <v>616</v>
      </c>
      <c r="H347" s="532" t="s">
        <v>617</v>
      </c>
      <c r="I347" s="532" t="s">
        <v>618</v>
      </c>
      <c r="J347" s="532" t="s">
        <v>619</v>
      </c>
      <c r="K347" s="532" t="s">
        <v>620</v>
      </c>
      <c r="L347" s="532" t="s">
        <v>621</v>
      </c>
      <c r="M347" s="532" t="s">
        <v>622</v>
      </c>
      <c r="N347" s="532" t="s">
        <v>623</v>
      </c>
      <c r="O347" s="532" t="s">
        <v>225</v>
      </c>
      <c r="P347" s="532" t="s">
        <v>624</v>
      </c>
      <c r="Q347" s="532" t="s">
        <v>625</v>
      </c>
      <c r="R347" s="532" t="s">
        <v>626</v>
      </c>
      <c r="S347" s="532" t="s">
        <v>227</v>
      </c>
      <c r="T347" s="532" t="s">
        <v>627</v>
      </c>
      <c r="U347" s="532" t="s">
        <v>628</v>
      </c>
      <c r="V347" s="532" t="s">
        <v>629</v>
      </c>
      <c r="W347" s="532" t="s">
        <v>630</v>
      </c>
      <c r="X347" s="532" t="s">
        <v>631</v>
      </c>
      <c r="Y347" s="532" t="s">
        <v>632</v>
      </c>
      <c r="Z347" s="532" t="s">
        <v>633</v>
      </c>
      <c r="AA347" s="532" t="s">
        <v>229</v>
      </c>
      <c r="AB347" s="532" t="s">
        <v>634</v>
      </c>
      <c r="AC347" s="532" t="s">
        <v>635</v>
      </c>
      <c r="AD347" s="532" t="s">
        <v>636</v>
      </c>
      <c r="AE347" s="532" t="s">
        <v>637</v>
      </c>
      <c r="AF347" s="532" t="s">
        <v>638</v>
      </c>
      <c r="AG347" s="532" t="s">
        <v>639</v>
      </c>
      <c r="AH347" s="532" t="s">
        <v>640</v>
      </c>
      <c r="AI347" s="532" t="s">
        <v>641</v>
      </c>
      <c r="AJ347" s="532" t="s">
        <v>642</v>
      </c>
      <c r="AK347" s="532" t="s">
        <v>643</v>
      </c>
      <c r="AL347" s="532" t="s">
        <v>644</v>
      </c>
      <c r="AP347" s="530" t="str">
        <f>B345</f>
        <v>Romania</v>
      </c>
    </row>
    <row r="348" spans="1:43">
      <c r="A348" s="532" t="s">
        <v>583</v>
      </c>
      <c r="B348" s="533">
        <v>29923</v>
      </c>
      <c r="C348" s="533">
        <v>0</v>
      </c>
      <c r="D348" s="533">
        <v>0</v>
      </c>
      <c r="E348" s="533">
        <v>0</v>
      </c>
      <c r="F348" s="533">
        <v>0</v>
      </c>
      <c r="G348" s="534" t="s">
        <v>36</v>
      </c>
      <c r="H348" s="534" t="s">
        <v>36</v>
      </c>
      <c r="I348" s="534" t="s">
        <v>36</v>
      </c>
      <c r="J348" s="534" t="s">
        <v>36</v>
      </c>
      <c r="K348" s="533">
        <v>29923</v>
      </c>
      <c r="L348" s="533">
        <v>241</v>
      </c>
      <c r="M348" s="533">
        <v>241</v>
      </c>
      <c r="N348" s="533">
        <v>0</v>
      </c>
      <c r="O348" s="533">
        <v>0</v>
      </c>
      <c r="P348" s="533">
        <v>0</v>
      </c>
      <c r="Q348" s="533">
        <v>0</v>
      </c>
      <c r="R348" s="533">
        <v>0</v>
      </c>
      <c r="S348" s="533">
        <v>0</v>
      </c>
      <c r="T348" s="533">
        <v>0</v>
      </c>
      <c r="U348" s="533">
        <v>0</v>
      </c>
      <c r="V348" s="533">
        <v>0</v>
      </c>
      <c r="W348" s="533">
        <v>0</v>
      </c>
      <c r="X348" s="533">
        <v>43</v>
      </c>
      <c r="Y348" s="533">
        <v>43</v>
      </c>
      <c r="Z348" s="533">
        <v>0</v>
      </c>
      <c r="AA348" s="533">
        <v>29640</v>
      </c>
      <c r="AB348" s="533">
        <v>3974</v>
      </c>
      <c r="AC348" s="533">
        <v>25469</v>
      </c>
      <c r="AD348" s="533">
        <v>0</v>
      </c>
      <c r="AE348" s="533">
        <v>0</v>
      </c>
      <c r="AF348" s="533">
        <v>0</v>
      </c>
      <c r="AG348" s="533">
        <v>0</v>
      </c>
      <c r="AH348" s="533">
        <v>0</v>
      </c>
      <c r="AI348" s="533">
        <v>0</v>
      </c>
      <c r="AJ348" s="533">
        <v>0</v>
      </c>
      <c r="AK348" s="533">
        <v>0</v>
      </c>
      <c r="AL348" s="533">
        <v>0</v>
      </c>
      <c r="AO348" s="530" t="str">
        <f>A352</f>
        <v>Transformation input in Autoproducer Electricity Plants</v>
      </c>
      <c r="AP348" s="530">
        <f>B352/1000</f>
        <v>0.68300000000000005</v>
      </c>
      <c r="AQ348" s="530" t="str">
        <f>B347</f>
        <v>Total petroleum products</v>
      </c>
    </row>
    <row r="349" spans="1:43">
      <c r="A349" s="532" t="s">
        <v>584</v>
      </c>
      <c r="B349" s="533">
        <v>3040</v>
      </c>
      <c r="C349" s="533">
        <v>0</v>
      </c>
      <c r="D349" s="533">
        <v>0</v>
      </c>
      <c r="E349" s="533">
        <v>0</v>
      </c>
      <c r="F349" s="533">
        <v>0</v>
      </c>
      <c r="G349" s="534" t="s">
        <v>36</v>
      </c>
      <c r="H349" s="534" t="s">
        <v>36</v>
      </c>
      <c r="I349" s="534" t="s">
        <v>36</v>
      </c>
      <c r="J349" s="534" t="s">
        <v>36</v>
      </c>
      <c r="K349" s="533">
        <v>3040</v>
      </c>
      <c r="L349" s="533">
        <v>0</v>
      </c>
      <c r="M349" s="533">
        <v>0</v>
      </c>
      <c r="N349" s="533">
        <v>0</v>
      </c>
      <c r="O349" s="533">
        <v>0</v>
      </c>
      <c r="P349" s="533">
        <v>0</v>
      </c>
      <c r="Q349" s="533">
        <v>0</v>
      </c>
      <c r="R349" s="533">
        <v>0</v>
      </c>
      <c r="S349" s="533">
        <v>0</v>
      </c>
      <c r="T349" s="533">
        <v>0</v>
      </c>
      <c r="U349" s="533">
        <v>0</v>
      </c>
      <c r="V349" s="533">
        <v>0</v>
      </c>
      <c r="W349" s="533">
        <v>0</v>
      </c>
      <c r="X349" s="533">
        <v>0</v>
      </c>
      <c r="Y349" s="533">
        <v>0</v>
      </c>
      <c r="Z349" s="533">
        <v>0</v>
      </c>
      <c r="AA349" s="533">
        <v>3040</v>
      </c>
      <c r="AB349" s="533">
        <v>157</v>
      </c>
      <c r="AC349" s="533">
        <v>2865</v>
      </c>
      <c r="AD349" s="533">
        <v>0</v>
      </c>
      <c r="AE349" s="533">
        <v>0</v>
      </c>
      <c r="AF349" s="533">
        <v>0</v>
      </c>
      <c r="AG349" s="533">
        <v>0</v>
      </c>
      <c r="AH349" s="533">
        <v>0</v>
      </c>
      <c r="AI349" s="533">
        <v>0</v>
      </c>
      <c r="AJ349" s="533">
        <v>0</v>
      </c>
      <c r="AK349" s="533">
        <v>0</v>
      </c>
      <c r="AL349" s="533">
        <v>0</v>
      </c>
      <c r="AO349" s="530" t="s">
        <v>1065</v>
      </c>
      <c r="AP349" s="530">
        <f>L352/1000</f>
        <v>0</v>
      </c>
      <c r="AQ349" s="532" t="s">
        <v>621</v>
      </c>
    </row>
    <row r="350" spans="1:43">
      <c r="A350" s="532" t="s">
        <v>585</v>
      </c>
      <c r="B350" s="533">
        <v>26883</v>
      </c>
      <c r="C350" s="533">
        <v>0</v>
      </c>
      <c r="D350" s="533">
        <v>0</v>
      </c>
      <c r="E350" s="533">
        <v>0</v>
      </c>
      <c r="F350" s="533">
        <v>0</v>
      </c>
      <c r="G350" s="534" t="s">
        <v>36</v>
      </c>
      <c r="H350" s="534" t="s">
        <v>36</v>
      </c>
      <c r="I350" s="534" t="s">
        <v>36</v>
      </c>
      <c r="J350" s="534" t="s">
        <v>36</v>
      </c>
      <c r="K350" s="533">
        <v>26883</v>
      </c>
      <c r="L350" s="533">
        <v>241</v>
      </c>
      <c r="M350" s="533">
        <v>241</v>
      </c>
      <c r="N350" s="533">
        <v>0</v>
      </c>
      <c r="O350" s="533">
        <v>0</v>
      </c>
      <c r="P350" s="533">
        <v>0</v>
      </c>
      <c r="Q350" s="533">
        <v>0</v>
      </c>
      <c r="R350" s="533">
        <v>0</v>
      </c>
      <c r="S350" s="533">
        <v>0</v>
      </c>
      <c r="T350" s="533">
        <v>0</v>
      </c>
      <c r="U350" s="533">
        <v>0</v>
      </c>
      <c r="V350" s="533">
        <v>0</v>
      </c>
      <c r="W350" s="533">
        <v>0</v>
      </c>
      <c r="X350" s="533">
        <v>43</v>
      </c>
      <c r="Y350" s="533">
        <v>43</v>
      </c>
      <c r="Z350" s="533">
        <v>0</v>
      </c>
      <c r="AA350" s="533">
        <v>26600</v>
      </c>
      <c r="AB350" s="533">
        <v>3817</v>
      </c>
      <c r="AC350" s="533">
        <v>22604</v>
      </c>
      <c r="AD350" s="533">
        <v>0</v>
      </c>
      <c r="AE350" s="533">
        <v>0</v>
      </c>
      <c r="AF350" s="533">
        <v>0</v>
      </c>
      <c r="AG350" s="533">
        <v>0</v>
      </c>
      <c r="AH350" s="533">
        <v>0</v>
      </c>
      <c r="AI350" s="533">
        <v>0</v>
      </c>
      <c r="AJ350" s="533">
        <v>0</v>
      </c>
      <c r="AK350" s="533">
        <v>0</v>
      </c>
      <c r="AL350" s="533">
        <v>0</v>
      </c>
      <c r="AO350" s="530" t="s">
        <v>1066</v>
      </c>
      <c r="AP350" s="530">
        <f>L353/1000</f>
        <v>0.33700000000000002</v>
      </c>
      <c r="AQ350" s="532" t="s">
        <v>621</v>
      </c>
    </row>
    <row r="351" spans="1:43">
      <c r="A351" s="532" t="s">
        <v>586</v>
      </c>
      <c r="B351" s="533">
        <v>2500</v>
      </c>
      <c r="C351" s="533">
        <v>0</v>
      </c>
      <c r="D351" s="533">
        <v>0</v>
      </c>
      <c r="E351" s="533">
        <v>0</v>
      </c>
      <c r="F351" s="533">
        <v>0</v>
      </c>
      <c r="G351" s="534" t="s">
        <v>36</v>
      </c>
      <c r="H351" s="534" t="s">
        <v>36</v>
      </c>
      <c r="I351" s="534" t="s">
        <v>36</v>
      </c>
      <c r="J351" s="534" t="s">
        <v>36</v>
      </c>
      <c r="K351" s="533">
        <v>2500</v>
      </c>
      <c r="L351" s="533">
        <v>337</v>
      </c>
      <c r="M351" s="533">
        <v>337</v>
      </c>
      <c r="N351" s="533">
        <v>0</v>
      </c>
      <c r="O351" s="533">
        <v>0</v>
      </c>
      <c r="P351" s="533">
        <v>0</v>
      </c>
      <c r="Q351" s="533">
        <v>0</v>
      </c>
      <c r="R351" s="533">
        <v>0</v>
      </c>
      <c r="S351" s="533">
        <v>0</v>
      </c>
      <c r="T351" s="533">
        <v>0</v>
      </c>
      <c r="U351" s="533">
        <v>0</v>
      </c>
      <c r="V351" s="533">
        <v>0</v>
      </c>
      <c r="W351" s="533">
        <v>0</v>
      </c>
      <c r="X351" s="533">
        <v>43</v>
      </c>
      <c r="Y351" s="533">
        <v>43</v>
      </c>
      <c r="Z351" s="533">
        <v>0</v>
      </c>
      <c r="AA351" s="533">
        <v>2120</v>
      </c>
      <c r="AB351" s="533">
        <v>708</v>
      </c>
      <c r="AC351" s="533">
        <v>1393</v>
      </c>
      <c r="AD351" s="533">
        <v>0</v>
      </c>
      <c r="AE351" s="533">
        <v>0</v>
      </c>
      <c r="AF351" s="533">
        <v>0</v>
      </c>
      <c r="AG351" s="533">
        <v>0</v>
      </c>
      <c r="AH351" s="533">
        <v>0</v>
      </c>
      <c r="AI351" s="533">
        <v>0</v>
      </c>
      <c r="AJ351" s="533">
        <v>0</v>
      </c>
      <c r="AK351" s="533">
        <v>0</v>
      </c>
      <c r="AL351" s="533">
        <v>0</v>
      </c>
      <c r="AO351" s="530" t="s">
        <v>1065</v>
      </c>
      <c r="AP351" s="535">
        <f>AB352/1000</f>
        <v>7.9000000000000001E-2</v>
      </c>
      <c r="AQ351" s="532" t="s">
        <v>634</v>
      </c>
    </row>
    <row r="352" spans="1:43">
      <c r="A352" s="532" t="s">
        <v>587</v>
      </c>
      <c r="B352" s="533">
        <v>683</v>
      </c>
      <c r="C352" s="533">
        <v>0</v>
      </c>
      <c r="D352" s="533">
        <v>0</v>
      </c>
      <c r="E352" s="533">
        <v>0</v>
      </c>
      <c r="F352" s="533">
        <v>0</v>
      </c>
      <c r="G352" s="534" t="s">
        <v>36</v>
      </c>
      <c r="H352" s="534" t="s">
        <v>36</v>
      </c>
      <c r="I352" s="534" t="s">
        <v>36</v>
      </c>
      <c r="J352" s="534" t="s">
        <v>36</v>
      </c>
      <c r="K352" s="533">
        <v>683</v>
      </c>
      <c r="L352" s="533">
        <v>0</v>
      </c>
      <c r="M352" s="533">
        <v>0</v>
      </c>
      <c r="N352" s="533">
        <v>0</v>
      </c>
      <c r="O352" s="533">
        <v>0</v>
      </c>
      <c r="P352" s="533">
        <v>0</v>
      </c>
      <c r="Q352" s="533">
        <v>0</v>
      </c>
      <c r="R352" s="533">
        <v>0</v>
      </c>
      <c r="S352" s="533">
        <v>0</v>
      </c>
      <c r="T352" s="533">
        <v>0</v>
      </c>
      <c r="U352" s="533">
        <v>0</v>
      </c>
      <c r="V352" s="533">
        <v>0</v>
      </c>
      <c r="W352" s="533">
        <v>0</v>
      </c>
      <c r="X352" s="533">
        <v>43</v>
      </c>
      <c r="Y352" s="533">
        <v>43</v>
      </c>
      <c r="Z352" s="533">
        <v>0</v>
      </c>
      <c r="AA352" s="533">
        <v>640</v>
      </c>
      <c r="AB352" s="533">
        <v>79</v>
      </c>
      <c r="AC352" s="533">
        <v>557</v>
      </c>
      <c r="AD352" s="533">
        <v>0</v>
      </c>
      <c r="AE352" s="533">
        <v>0</v>
      </c>
      <c r="AF352" s="533">
        <v>0</v>
      </c>
      <c r="AG352" s="533">
        <v>0</v>
      </c>
      <c r="AH352" s="533">
        <v>0</v>
      </c>
      <c r="AI352" s="533">
        <v>0</v>
      </c>
      <c r="AJ352" s="533">
        <v>0</v>
      </c>
      <c r="AK352" s="533">
        <v>0</v>
      </c>
      <c r="AL352" s="533">
        <v>0</v>
      </c>
      <c r="AO352" s="530" t="s">
        <v>1066</v>
      </c>
      <c r="AP352" s="535">
        <f>AB353/1000</f>
        <v>0.63</v>
      </c>
      <c r="AQ352" s="532" t="s">
        <v>634</v>
      </c>
    </row>
    <row r="353" spans="1:43">
      <c r="A353" s="532" t="s">
        <v>588</v>
      </c>
      <c r="B353" s="533">
        <v>1817</v>
      </c>
      <c r="C353" s="533">
        <v>0</v>
      </c>
      <c r="D353" s="533">
        <v>0</v>
      </c>
      <c r="E353" s="533">
        <v>0</v>
      </c>
      <c r="F353" s="533">
        <v>0</v>
      </c>
      <c r="G353" s="534" t="s">
        <v>36</v>
      </c>
      <c r="H353" s="534" t="s">
        <v>36</v>
      </c>
      <c r="I353" s="534" t="s">
        <v>36</v>
      </c>
      <c r="J353" s="534" t="s">
        <v>36</v>
      </c>
      <c r="K353" s="533">
        <v>1817</v>
      </c>
      <c r="L353" s="533">
        <v>337</v>
      </c>
      <c r="M353" s="533">
        <v>337</v>
      </c>
      <c r="N353" s="533">
        <v>0</v>
      </c>
      <c r="O353" s="533">
        <v>0</v>
      </c>
      <c r="P353" s="533">
        <v>0</v>
      </c>
      <c r="Q353" s="533">
        <v>0</v>
      </c>
      <c r="R353" s="533">
        <v>0</v>
      </c>
      <c r="S353" s="533">
        <v>0</v>
      </c>
      <c r="T353" s="533">
        <v>0</v>
      </c>
      <c r="U353" s="533">
        <v>0</v>
      </c>
      <c r="V353" s="533">
        <v>0</v>
      </c>
      <c r="W353" s="533">
        <v>0</v>
      </c>
      <c r="X353" s="533">
        <v>0</v>
      </c>
      <c r="Y353" s="533">
        <v>0</v>
      </c>
      <c r="Z353" s="533">
        <v>0</v>
      </c>
      <c r="AA353" s="533">
        <v>1480</v>
      </c>
      <c r="AB353" s="533">
        <v>630</v>
      </c>
      <c r="AC353" s="533">
        <v>836</v>
      </c>
      <c r="AD353" s="533">
        <v>0</v>
      </c>
      <c r="AE353" s="533">
        <v>0</v>
      </c>
      <c r="AF353" s="533">
        <v>0</v>
      </c>
      <c r="AG353" s="533">
        <v>0</v>
      </c>
      <c r="AH353" s="533">
        <v>0</v>
      </c>
      <c r="AI353" s="533">
        <v>0</v>
      </c>
      <c r="AJ353" s="533">
        <v>0</v>
      </c>
      <c r="AK353" s="533">
        <v>0</v>
      </c>
      <c r="AL353" s="533">
        <v>0</v>
      </c>
      <c r="AO353" s="530" t="s">
        <v>1065</v>
      </c>
      <c r="AP353" s="535">
        <f>AC352/1000</f>
        <v>0.55700000000000005</v>
      </c>
      <c r="AQ353" s="532" t="s">
        <v>635</v>
      </c>
    </row>
    <row r="354" spans="1:43">
      <c r="AO354" s="530" t="s">
        <v>1066</v>
      </c>
      <c r="AP354" s="535">
        <f>AC353/1000</f>
        <v>0.83599999999999997</v>
      </c>
      <c r="AQ354" s="532" t="s">
        <v>635</v>
      </c>
    </row>
    <row r="355" spans="1:43">
      <c r="A355" s="529" t="s">
        <v>589</v>
      </c>
    </row>
    <row r="356" spans="1:43">
      <c r="A356" s="529" t="s">
        <v>36</v>
      </c>
      <c r="B356" s="529" t="s">
        <v>590</v>
      </c>
    </row>
    <row r="358" spans="1:43">
      <c r="A358" s="529" t="s">
        <v>340</v>
      </c>
      <c r="B358" s="529" t="s">
        <v>576</v>
      </c>
    </row>
    <row r="359" spans="1:43">
      <c r="A359" s="529" t="s">
        <v>578</v>
      </c>
      <c r="B359" s="529" t="s">
        <v>298</v>
      </c>
    </row>
    <row r="360" spans="1:43">
      <c r="A360" s="529" t="s">
        <v>343</v>
      </c>
      <c r="B360" s="529" t="s">
        <v>196</v>
      </c>
    </row>
    <row r="362" spans="1:43">
      <c r="A362" s="532" t="s">
        <v>592</v>
      </c>
      <c r="B362" s="532" t="s">
        <v>611</v>
      </c>
      <c r="C362" s="532" t="s">
        <v>612</v>
      </c>
      <c r="D362" s="532" t="s">
        <v>613</v>
      </c>
      <c r="E362" s="532" t="s">
        <v>614</v>
      </c>
      <c r="F362" s="532" t="s">
        <v>615</v>
      </c>
      <c r="G362" s="532" t="s">
        <v>616</v>
      </c>
      <c r="H362" s="532" t="s">
        <v>617</v>
      </c>
      <c r="I362" s="532" t="s">
        <v>618</v>
      </c>
      <c r="J362" s="532" t="s">
        <v>619</v>
      </c>
      <c r="K362" s="532" t="s">
        <v>620</v>
      </c>
      <c r="L362" s="532" t="s">
        <v>621</v>
      </c>
      <c r="M362" s="532" t="s">
        <v>622</v>
      </c>
      <c r="N362" s="532" t="s">
        <v>623</v>
      </c>
      <c r="O362" s="532" t="s">
        <v>225</v>
      </c>
      <c r="P362" s="532" t="s">
        <v>624</v>
      </c>
      <c r="Q362" s="532" t="s">
        <v>625</v>
      </c>
      <c r="R362" s="532" t="s">
        <v>626</v>
      </c>
      <c r="S362" s="532" t="s">
        <v>227</v>
      </c>
      <c r="T362" s="532" t="s">
        <v>627</v>
      </c>
      <c r="U362" s="532" t="s">
        <v>628</v>
      </c>
      <c r="V362" s="532" t="s">
        <v>629</v>
      </c>
      <c r="W362" s="532" t="s">
        <v>630</v>
      </c>
      <c r="X362" s="532" t="s">
        <v>631</v>
      </c>
      <c r="Y362" s="532" t="s">
        <v>632</v>
      </c>
      <c r="Z362" s="532" t="s">
        <v>633</v>
      </c>
      <c r="AA362" s="532" t="s">
        <v>229</v>
      </c>
      <c r="AB362" s="532" t="s">
        <v>634</v>
      </c>
      <c r="AC362" s="532" t="s">
        <v>635</v>
      </c>
      <c r="AD362" s="532" t="s">
        <v>636</v>
      </c>
      <c r="AE362" s="532" t="s">
        <v>637</v>
      </c>
      <c r="AF362" s="532" t="s">
        <v>638</v>
      </c>
      <c r="AG362" s="532" t="s">
        <v>639</v>
      </c>
      <c r="AH362" s="532" t="s">
        <v>640</v>
      </c>
      <c r="AI362" s="532" t="s">
        <v>641</v>
      </c>
      <c r="AJ362" s="532" t="s">
        <v>642</v>
      </c>
      <c r="AK362" s="532" t="s">
        <v>643</v>
      </c>
      <c r="AL362" s="532" t="s">
        <v>644</v>
      </c>
      <c r="AP362" s="530" t="str">
        <f>B360</f>
        <v>Slovenia</v>
      </c>
    </row>
    <row r="363" spans="1:43">
      <c r="A363" s="532" t="s">
        <v>583</v>
      </c>
      <c r="B363" s="533">
        <v>208</v>
      </c>
      <c r="C363" s="533">
        <v>0</v>
      </c>
      <c r="D363" s="533">
        <v>0</v>
      </c>
      <c r="E363" s="533">
        <v>0</v>
      </c>
      <c r="F363" s="533">
        <v>0</v>
      </c>
      <c r="G363" s="534" t="s">
        <v>36</v>
      </c>
      <c r="H363" s="534" t="s">
        <v>36</v>
      </c>
      <c r="I363" s="534" t="s">
        <v>36</v>
      </c>
      <c r="J363" s="534" t="s">
        <v>36</v>
      </c>
      <c r="K363" s="533">
        <v>208</v>
      </c>
      <c r="L363" s="533">
        <v>0</v>
      </c>
      <c r="M363" s="533">
        <v>0</v>
      </c>
      <c r="N363" s="533">
        <v>0</v>
      </c>
      <c r="O363" s="533">
        <v>0</v>
      </c>
      <c r="P363" s="533">
        <v>0</v>
      </c>
      <c r="Q363" s="533">
        <v>0</v>
      </c>
      <c r="R363" s="533">
        <v>0</v>
      </c>
      <c r="S363" s="533">
        <v>0</v>
      </c>
      <c r="T363" s="533">
        <v>0</v>
      </c>
      <c r="U363" s="533">
        <v>0</v>
      </c>
      <c r="V363" s="533">
        <v>0</v>
      </c>
      <c r="W363" s="533">
        <v>0</v>
      </c>
      <c r="X363" s="533">
        <v>128</v>
      </c>
      <c r="Y363" s="533">
        <v>0</v>
      </c>
      <c r="Z363" s="533">
        <v>128</v>
      </c>
      <c r="AA363" s="533">
        <v>80</v>
      </c>
      <c r="AB363" s="533">
        <v>80</v>
      </c>
      <c r="AC363" s="533">
        <v>0</v>
      </c>
      <c r="AD363" s="533">
        <v>0</v>
      </c>
      <c r="AE363" s="533">
        <v>0</v>
      </c>
      <c r="AF363" s="533">
        <v>0</v>
      </c>
      <c r="AG363" s="533">
        <v>0</v>
      </c>
      <c r="AH363" s="533">
        <v>0</v>
      </c>
      <c r="AI363" s="533">
        <v>0</v>
      </c>
      <c r="AJ363" s="533">
        <v>0</v>
      </c>
      <c r="AK363" s="533">
        <v>0</v>
      </c>
      <c r="AL363" s="533">
        <v>0</v>
      </c>
      <c r="AO363" s="530" t="str">
        <f>A367</f>
        <v>Transformation input in Autoproducer Electricity Plants</v>
      </c>
      <c r="AP363" s="530">
        <f>B367/1000</f>
        <v>0</v>
      </c>
      <c r="AQ363" s="530" t="str">
        <f>B362</f>
        <v>Total petroleum products</v>
      </c>
    </row>
    <row r="364" spans="1:43">
      <c r="A364" s="532" t="s">
        <v>584</v>
      </c>
      <c r="B364" s="533">
        <v>168</v>
      </c>
      <c r="C364" s="533">
        <v>0</v>
      </c>
      <c r="D364" s="533">
        <v>0</v>
      </c>
      <c r="E364" s="533">
        <v>0</v>
      </c>
      <c r="F364" s="533">
        <v>0</v>
      </c>
      <c r="G364" s="534" t="s">
        <v>36</v>
      </c>
      <c r="H364" s="534" t="s">
        <v>36</v>
      </c>
      <c r="I364" s="534" t="s">
        <v>36</v>
      </c>
      <c r="J364" s="534" t="s">
        <v>36</v>
      </c>
      <c r="K364" s="533">
        <v>168</v>
      </c>
      <c r="L364" s="533">
        <v>0</v>
      </c>
      <c r="M364" s="533">
        <v>0</v>
      </c>
      <c r="N364" s="533">
        <v>0</v>
      </c>
      <c r="O364" s="533">
        <v>0</v>
      </c>
      <c r="P364" s="533">
        <v>0</v>
      </c>
      <c r="Q364" s="533">
        <v>0</v>
      </c>
      <c r="R364" s="533">
        <v>0</v>
      </c>
      <c r="S364" s="533">
        <v>0</v>
      </c>
      <c r="T364" s="533">
        <v>0</v>
      </c>
      <c r="U364" s="533">
        <v>0</v>
      </c>
      <c r="V364" s="533">
        <v>0</v>
      </c>
      <c r="W364" s="533">
        <v>0</v>
      </c>
      <c r="X364" s="533">
        <v>128</v>
      </c>
      <c r="Y364" s="533">
        <v>0</v>
      </c>
      <c r="Z364" s="533">
        <v>128</v>
      </c>
      <c r="AA364" s="533">
        <v>40</v>
      </c>
      <c r="AB364" s="533">
        <v>40</v>
      </c>
      <c r="AC364" s="533">
        <v>0</v>
      </c>
      <c r="AD364" s="533">
        <v>0</v>
      </c>
      <c r="AE364" s="533">
        <v>0</v>
      </c>
      <c r="AF364" s="533">
        <v>0</v>
      </c>
      <c r="AG364" s="533">
        <v>0</v>
      </c>
      <c r="AH364" s="533">
        <v>0</v>
      </c>
      <c r="AI364" s="533">
        <v>0</v>
      </c>
      <c r="AJ364" s="533">
        <v>0</v>
      </c>
      <c r="AK364" s="533">
        <v>0</v>
      </c>
      <c r="AL364" s="533">
        <v>0</v>
      </c>
      <c r="AO364" s="530" t="s">
        <v>1065</v>
      </c>
      <c r="AP364" s="530">
        <f>L367/1000</f>
        <v>0</v>
      </c>
      <c r="AQ364" s="532" t="s">
        <v>621</v>
      </c>
    </row>
    <row r="365" spans="1:43">
      <c r="A365" s="532" t="s">
        <v>585</v>
      </c>
      <c r="B365" s="533">
        <v>40</v>
      </c>
      <c r="C365" s="533">
        <v>0</v>
      </c>
      <c r="D365" s="533">
        <v>0</v>
      </c>
      <c r="E365" s="533">
        <v>0</v>
      </c>
      <c r="F365" s="533">
        <v>0</v>
      </c>
      <c r="G365" s="534" t="s">
        <v>36</v>
      </c>
      <c r="H365" s="534" t="s">
        <v>36</v>
      </c>
      <c r="I365" s="534" t="s">
        <v>36</v>
      </c>
      <c r="J365" s="534" t="s">
        <v>36</v>
      </c>
      <c r="K365" s="533">
        <v>40</v>
      </c>
      <c r="L365" s="533">
        <v>0</v>
      </c>
      <c r="M365" s="533">
        <v>0</v>
      </c>
      <c r="N365" s="533">
        <v>0</v>
      </c>
      <c r="O365" s="533">
        <v>0</v>
      </c>
      <c r="P365" s="533">
        <v>0</v>
      </c>
      <c r="Q365" s="533">
        <v>0</v>
      </c>
      <c r="R365" s="533">
        <v>0</v>
      </c>
      <c r="S365" s="533">
        <v>0</v>
      </c>
      <c r="T365" s="533">
        <v>0</v>
      </c>
      <c r="U365" s="533">
        <v>0</v>
      </c>
      <c r="V365" s="533">
        <v>0</v>
      </c>
      <c r="W365" s="533">
        <v>0</v>
      </c>
      <c r="X365" s="533">
        <v>0</v>
      </c>
      <c r="Y365" s="533">
        <v>0</v>
      </c>
      <c r="Z365" s="533">
        <v>0</v>
      </c>
      <c r="AA365" s="533">
        <v>40</v>
      </c>
      <c r="AB365" s="533">
        <v>40</v>
      </c>
      <c r="AC365" s="533">
        <v>0</v>
      </c>
      <c r="AD365" s="533">
        <v>0</v>
      </c>
      <c r="AE365" s="533">
        <v>0</v>
      </c>
      <c r="AF365" s="533">
        <v>0</v>
      </c>
      <c r="AG365" s="533">
        <v>0</v>
      </c>
      <c r="AH365" s="533">
        <v>0</v>
      </c>
      <c r="AI365" s="533">
        <v>0</v>
      </c>
      <c r="AJ365" s="533">
        <v>0</v>
      </c>
      <c r="AK365" s="533">
        <v>0</v>
      </c>
      <c r="AL365" s="533">
        <v>0</v>
      </c>
      <c r="AO365" s="530" t="s">
        <v>1066</v>
      </c>
      <c r="AP365" s="530">
        <f>L368/1000</f>
        <v>0</v>
      </c>
      <c r="AQ365" s="532" t="s">
        <v>621</v>
      </c>
    </row>
    <row r="366" spans="1:43">
      <c r="A366" s="532" t="s">
        <v>586</v>
      </c>
      <c r="B366" s="533">
        <v>160</v>
      </c>
      <c r="C366" s="533">
        <v>0</v>
      </c>
      <c r="D366" s="533">
        <v>0</v>
      </c>
      <c r="E366" s="533">
        <v>0</v>
      </c>
      <c r="F366" s="533">
        <v>0</v>
      </c>
      <c r="G366" s="534" t="s">
        <v>36</v>
      </c>
      <c r="H366" s="534" t="s">
        <v>36</v>
      </c>
      <c r="I366" s="534" t="s">
        <v>36</v>
      </c>
      <c r="J366" s="534" t="s">
        <v>36</v>
      </c>
      <c r="K366" s="533">
        <v>160</v>
      </c>
      <c r="L366" s="533">
        <v>0</v>
      </c>
      <c r="M366" s="533">
        <v>0</v>
      </c>
      <c r="N366" s="533">
        <v>0</v>
      </c>
      <c r="O366" s="533">
        <v>0</v>
      </c>
      <c r="P366" s="533">
        <v>0</v>
      </c>
      <c r="Q366" s="533">
        <v>0</v>
      </c>
      <c r="R366" s="533">
        <v>0</v>
      </c>
      <c r="S366" s="533">
        <v>0</v>
      </c>
      <c r="T366" s="533">
        <v>0</v>
      </c>
      <c r="U366" s="533">
        <v>0</v>
      </c>
      <c r="V366" s="533">
        <v>0</v>
      </c>
      <c r="W366" s="533">
        <v>0</v>
      </c>
      <c r="X366" s="533">
        <v>0</v>
      </c>
      <c r="Y366" s="533">
        <v>0</v>
      </c>
      <c r="Z366" s="533">
        <v>0</v>
      </c>
      <c r="AA366" s="533">
        <v>160</v>
      </c>
      <c r="AB366" s="533">
        <v>160</v>
      </c>
      <c r="AC366" s="533">
        <v>0</v>
      </c>
      <c r="AD366" s="533">
        <v>0</v>
      </c>
      <c r="AE366" s="533">
        <v>0</v>
      </c>
      <c r="AF366" s="533">
        <v>0</v>
      </c>
      <c r="AG366" s="533">
        <v>0</v>
      </c>
      <c r="AH366" s="533">
        <v>0</v>
      </c>
      <c r="AI366" s="533">
        <v>0</v>
      </c>
      <c r="AJ366" s="533">
        <v>0</v>
      </c>
      <c r="AK366" s="533">
        <v>0</v>
      </c>
      <c r="AL366" s="533">
        <v>0</v>
      </c>
      <c r="AO366" s="530" t="s">
        <v>1065</v>
      </c>
      <c r="AP366" s="535">
        <f>AB367/1000</f>
        <v>0</v>
      </c>
      <c r="AQ366" s="532" t="s">
        <v>634</v>
      </c>
    </row>
    <row r="367" spans="1:43">
      <c r="A367" s="532" t="s">
        <v>587</v>
      </c>
      <c r="B367" s="533">
        <v>0</v>
      </c>
      <c r="C367" s="533">
        <v>0</v>
      </c>
      <c r="D367" s="533">
        <v>0</v>
      </c>
      <c r="E367" s="533">
        <v>0</v>
      </c>
      <c r="F367" s="533">
        <v>0</v>
      </c>
      <c r="G367" s="534" t="s">
        <v>36</v>
      </c>
      <c r="H367" s="534" t="s">
        <v>36</v>
      </c>
      <c r="I367" s="534" t="s">
        <v>36</v>
      </c>
      <c r="J367" s="534" t="s">
        <v>36</v>
      </c>
      <c r="K367" s="533">
        <v>0</v>
      </c>
      <c r="L367" s="533">
        <v>0</v>
      </c>
      <c r="M367" s="533">
        <v>0</v>
      </c>
      <c r="N367" s="533">
        <v>0</v>
      </c>
      <c r="O367" s="533">
        <v>0</v>
      </c>
      <c r="P367" s="533">
        <v>0</v>
      </c>
      <c r="Q367" s="533">
        <v>0</v>
      </c>
      <c r="R367" s="533">
        <v>0</v>
      </c>
      <c r="S367" s="533">
        <v>0</v>
      </c>
      <c r="T367" s="533">
        <v>0</v>
      </c>
      <c r="U367" s="533">
        <v>0</v>
      </c>
      <c r="V367" s="533">
        <v>0</v>
      </c>
      <c r="W367" s="533">
        <v>0</v>
      </c>
      <c r="X367" s="533">
        <v>0</v>
      </c>
      <c r="Y367" s="533">
        <v>0</v>
      </c>
      <c r="Z367" s="533">
        <v>0</v>
      </c>
      <c r="AA367" s="533">
        <v>0</v>
      </c>
      <c r="AB367" s="533">
        <v>0</v>
      </c>
      <c r="AC367" s="533">
        <v>0</v>
      </c>
      <c r="AD367" s="533">
        <v>0</v>
      </c>
      <c r="AE367" s="533">
        <v>0</v>
      </c>
      <c r="AF367" s="533">
        <v>0</v>
      </c>
      <c r="AG367" s="533">
        <v>0</v>
      </c>
      <c r="AH367" s="533">
        <v>0</v>
      </c>
      <c r="AI367" s="533">
        <v>0</v>
      </c>
      <c r="AJ367" s="533">
        <v>0</v>
      </c>
      <c r="AK367" s="533">
        <v>0</v>
      </c>
      <c r="AL367" s="533">
        <v>0</v>
      </c>
      <c r="AO367" s="530" t="s">
        <v>1066</v>
      </c>
      <c r="AP367" s="535">
        <f>AB368/1000</f>
        <v>0.16</v>
      </c>
      <c r="AQ367" s="532" t="s">
        <v>634</v>
      </c>
    </row>
    <row r="368" spans="1:43">
      <c r="A368" s="532" t="s">
        <v>588</v>
      </c>
      <c r="B368" s="533">
        <v>160</v>
      </c>
      <c r="C368" s="533">
        <v>0</v>
      </c>
      <c r="D368" s="533">
        <v>0</v>
      </c>
      <c r="E368" s="533">
        <v>0</v>
      </c>
      <c r="F368" s="533">
        <v>0</v>
      </c>
      <c r="G368" s="534" t="s">
        <v>36</v>
      </c>
      <c r="H368" s="534" t="s">
        <v>36</v>
      </c>
      <c r="I368" s="534" t="s">
        <v>36</v>
      </c>
      <c r="J368" s="534" t="s">
        <v>36</v>
      </c>
      <c r="K368" s="533">
        <v>160</v>
      </c>
      <c r="L368" s="533">
        <v>0</v>
      </c>
      <c r="M368" s="533">
        <v>0</v>
      </c>
      <c r="N368" s="533">
        <v>0</v>
      </c>
      <c r="O368" s="533">
        <v>0</v>
      </c>
      <c r="P368" s="533">
        <v>0</v>
      </c>
      <c r="Q368" s="533">
        <v>0</v>
      </c>
      <c r="R368" s="533">
        <v>0</v>
      </c>
      <c r="S368" s="533">
        <v>0</v>
      </c>
      <c r="T368" s="533">
        <v>0</v>
      </c>
      <c r="U368" s="533">
        <v>0</v>
      </c>
      <c r="V368" s="533">
        <v>0</v>
      </c>
      <c r="W368" s="533">
        <v>0</v>
      </c>
      <c r="X368" s="533">
        <v>0</v>
      </c>
      <c r="Y368" s="533">
        <v>0</v>
      </c>
      <c r="Z368" s="533">
        <v>0</v>
      </c>
      <c r="AA368" s="533">
        <v>160</v>
      </c>
      <c r="AB368" s="533">
        <v>160</v>
      </c>
      <c r="AC368" s="533">
        <v>0</v>
      </c>
      <c r="AD368" s="533">
        <v>0</v>
      </c>
      <c r="AE368" s="533">
        <v>0</v>
      </c>
      <c r="AF368" s="533">
        <v>0</v>
      </c>
      <c r="AG368" s="533">
        <v>0</v>
      </c>
      <c r="AH368" s="533">
        <v>0</v>
      </c>
      <c r="AI368" s="533">
        <v>0</v>
      </c>
      <c r="AJ368" s="533">
        <v>0</v>
      </c>
      <c r="AK368" s="533">
        <v>0</v>
      </c>
      <c r="AL368" s="533">
        <v>0</v>
      </c>
      <c r="AO368" s="530" t="s">
        <v>1065</v>
      </c>
      <c r="AP368" s="535">
        <f>AC367/1000</f>
        <v>0</v>
      </c>
      <c r="AQ368" s="532" t="s">
        <v>635</v>
      </c>
    </row>
    <row r="369" spans="1:43">
      <c r="AO369" s="530" t="s">
        <v>1066</v>
      </c>
      <c r="AP369" s="535">
        <f>AC368/1000</f>
        <v>0</v>
      </c>
      <c r="AQ369" s="532" t="s">
        <v>635</v>
      </c>
    </row>
    <row r="370" spans="1:43">
      <c r="A370" s="529" t="s">
        <v>589</v>
      </c>
    </row>
    <row r="371" spans="1:43">
      <c r="A371" s="529" t="s">
        <v>36</v>
      </c>
      <c r="B371" s="529" t="s">
        <v>590</v>
      </c>
    </row>
    <row r="373" spans="1:43">
      <c r="A373" s="529" t="s">
        <v>340</v>
      </c>
      <c r="B373" s="529" t="s">
        <v>576</v>
      </c>
    </row>
    <row r="374" spans="1:43">
      <c r="A374" s="529" t="s">
        <v>578</v>
      </c>
      <c r="B374" s="529" t="s">
        <v>298</v>
      </c>
    </row>
    <row r="375" spans="1:43">
      <c r="A375" s="529" t="s">
        <v>343</v>
      </c>
      <c r="B375" s="529" t="s">
        <v>197</v>
      </c>
    </row>
    <row r="377" spans="1:43">
      <c r="A377" s="532" t="s">
        <v>592</v>
      </c>
      <c r="B377" s="532" t="s">
        <v>611</v>
      </c>
      <c r="C377" s="532" t="s">
        <v>612</v>
      </c>
      <c r="D377" s="532" t="s">
        <v>613</v>
      </c>
      <c r="E377" s="532" t="s">
        <v>614</v>
      </c>
      <c r="F377" s="532" t="s">
        <v>615</v>
      </c>
      <c r="G377" s="532" t="s">
        <v>616</v>
      </c>
      <c r="H377" s="532" t="s">
        <v>617</v>
      </c>
      <c r="I377" s="532" t="s">
        <v>618</v>
      </c>
      <c r="J377" s="532" t="s">
        <v>619</v>
      </c>
      <c r="K377" s="532" t="s">
        <v>620</v>
      </c>
      <c r="L377" s="532" t="s">
        <v>621</v>
      </c>
      <c r="M377" s="532" t="s">
        <v>622</v>
      </c>
      <c r="N377" s="532" t="s">
        <v>623</v>
      </c>
      <c r="O377" s="532" t="s">
        <v>225</v>
      </c>
      <c r="P377" s="532" t="s">
        <v>624</v>
      </c>
      <c r="Q377" s="532" t="s">
        <v>625</v>
      </c>
      <c r="R377" s="532" t="s">
        <v>626</v>
      </c>
      <c r="S377" s="532" t="s">
        <v>227</v>
      </c>
      <c r="T377" s="532" t="s">
        <v>627</v>
      </c>
      <c r="U377" s="532" t="s">
        <v>628</v>
      </c>
      <c r="V377" s="532" t="s">
        <v>629</v>
      </c>
      <c r="W377" s="532" t="s">
        <v>630</v>
      </c>
      <c r="X377" s="532" t="s">
        <v>631</v>
      </c>
      <c r="Y377" s="532" t="s">
        <v>632</v>
      </c>
      <c r="Z377" s="532" t="s">
        <v>633</v>
      </c>
      <c r="AA377" s="532" t="s">
        <v>229</v>
      </c>
      <c r="AB377" s="532" t="s">
        <v>634</v>
      </c>
      <c r="AC377" s="532" t="s">
        <v>635</v>
      </c>
      <c r="AD377" s="532" t="s">
        <v>636</v>
      </c>
      <c r="AE377" s="532" t="s">
        <v>637</v>
      </c>
      <c r="AF377" s="532" t="s">
        <v>638</v>
      </c>
      <c r="AG377" s="532" t="s">
        <v>639</v>
      </c>
      <c r="AH377" s="532" t="s">
        <v>640</v>
      </c>
      <c r="AI377" s="532" t="s">
        <v>641</v>
      </c>
      <c r="AJ377" s="532" t="s">
        <v>642</v>
      </c>
      <c r="AK377" s="532" t="s">
        <v>643</v>
      </c>
      <c r="AL377" s="532" t="s">
        <v>644</v>
      </c>
      <c r="AP377" s="530" t="str">
        <f>B375</f>
        <v>Slovakia</v>
      </c>
    </row>
    <row r="378" spans="1:43">
      <c r="A378" s="532" t="s">
        <v>583</v>
      </c>
      <c r="B378" s="533">
        <v>320</v>
      </c>
      <c r="C378" s="533">
        <v>0</v>
      </c>
      <c r="D378" s="533">
        <v>0</v>
      </c>
      <c r="E378" s="533">
        <v>0</v>
      </c>
      <c r="F378" s="533">
        <v>0</v>
      </c>
      <c r="G378" s="534" t="s">
        <v>36</v>
      </c>
      <c r="H378" s="534" t="s">
        <v>36</v>
      </c>
      <c r="I378" s="534" t="s">
        <v>36</v>
      </c>
      <c r="J378" s="534" t="s">
        <v>36</v>
      </c>
      <c r="K378" s="533">
        <v>320</v>
      </c>
      <c r="L378" s="533">
        <v>0</v>
      </c>
      <c r="M378" s="533">
        <v>0</v>
      </c>
      <c r="N378" s="533">
        <v>0</v>
      </c>
      <c r="O378" s="533">
        <v>0</v>
      </c>
      <c r="P378" s="533">
        <v>0</v>
      </c>
      <c r="Q378" s="533">
        <v>0</v>
      </c>
      <c r="R378" s="533">
        <v>0</v>
      </c>
      <c r="S378" s="533">
        <v>0</v>
      </c>
      <c r="T378" s="533">
        <v>0</v>
      </c>
      <c r="U378" s="533">
        <v>0</v>
      </c>
      <c r="V378" s="533">
        <v>0</v>
      </c>
      <c r="W378" s="533">
        <v>0</v>
      </c>
      <c r="X378" s="533">
        <v>0</v>
      </c>
      <c r="Y378" s="533">
        <v>0</v>
      </c>
      <c r="Z378" s="533">
        <v>0</v>
      </c>
      <c r="AA378" s="533">
        <v>320</v>
      </c>
      <c r="AB378" s="533">
        <v>323</v>
      </c>
      <c r="AC378" s="533">
        <v>0</v>
      </c>
      <c r="AD378" s="533">
        <v>0</v>
      </c>
      <c r="AE378" s="533">
        <v>0</v>
      </c>
      <c r="AF378" s="533">
        <v>0</v>
      </c>
      <c r="AG378" s="533">
        <v>0</v>
      </c>
      <c r="AH378" s="533">
        <v>0</v>
      </c>
      <c r="AI378" s="533">
        <v>0</v>
      </c>
      <c r="AJ378" s="533">
        <v>0</v>
      </c>
      <c r="AK378" s="533">
        <v>0</v>
      </c>
      <c r="AL378" s="533">
        <v>0</v>
      </c>
      <c r="AO378" s="530" t="str">
        <f>A382</f>
        <v>Transformation input in Autoproducer Electricity Plants</v>
      </c>
      <c r="AP378" s="530">
        <f>B382/1000</f>
        <v>0</v>
      </c>
      <c r="AQ378" s="530" t="str">
        <f>B377</f>
        <v>Total petroleum products</v>
      </c>
    </row>
    <row r="379" spans="1:43">
      <c r="A379" s="532" t="s">
        <v>584</v>
      </c>
      <c r="B379" s="533">
        <v>120</v>
      </c>
      <c r="C379" s="533">
        <v>0</v>
      </c>
      <c r="D379" s="533">
        <v>0</v>
      </c>
      <c r="E379" s="533">
        <v>0</v>
      </c>
      <c r="F379" s="533">
        <v>0</v>
      </c>
      <c r="G379" s="534" t="s">
        <v>36</v>
      </c>
      <c r="H379" s="534" t="s">
        <v>36</v>
      </c>
      <c r="I379" s="534" t="s">
        <v>36</v>
      </c>
      <c r="J379" s="534" t="s">
        <v>36</v>
      </c>
      <c r="K379" s="533">
        <v>120</v>
      </c>
      <c r="L379" s="533">
        <v>0</v>
      </c>
      <c r="M379" s="533">
        <v>0</v>
      </c>
      <c r="N379" s="533">
        <v>0</v>
      </c>
      <c r="O379" s="533">
        <v>0</v>
      </c>
      <c r="P379" s="533">
        <v>0</v>
      </c>
      <c r="Q379" s="533">
        <v>0</v>
      </c>
      <c r="R379" s="533">
        <v>0</v>
      </c>
      <c r="S379" s="533">
        <v>0</v>
      </c>
      <c r="T379" s="533">
        <v>0</v>
      </c>
      <c r="U379" s="533">
        <v>0</v>
      </c>
      <c r="V379" s="533">
        <v>0</v>
      </c>
      <c r="W379" s="533">
        <v>0</v>
      </c>
      <c r="X379" s="533">
        <v>0</v>
      </c>
      <c r="Y379" s="533">
        <v>0</v>
      </c>
      <c r="Z379" s="533">
        <v>0</v>
      </c>
      <c r="AA379" s="533">
        <v>120</v>
      </c>
      <c r="AB379" s="533">
        <v>121</v>
      </c>
      <c r="AC379" s="533">
        <v>0</v>
      </c>
      <c r="AD379" s="533">
        <v>0</v>
      </c>
      <c r="AE379" s="533">
        <v>0</v>
      </c>
      <c r="AF379" s="533">
        <v>0</v>
      </c>
      <c r="AG379" s="533">
        <v>0</v>
      </c>
      <c r="AH379" s="533">
        <v>0</v>
      </c>
      <c r="AI379" s="533">
        <v>0</v>
      </c>
      <c r="AJ379" s="533">
        <v>0</v>
      </c>
      <c r="AK379" s="533">
        <v>0</v>
      </c>
      <c r="AL379" s="533">
        <v>0</v>
      </c>
      <c r="AO379" s="530" t="s">
        <v>1065</v>
      </c>
      <c r="AP379" s="530">
        <f>L382/1000</f>
        <v>0</v>
      </c>
      <c r="AQ379" s="532" t="s">
        <v>621</v>
      </c>
    </row>
    <row r="380" spans="1:43">
      <c r="A380" s="532" t="s">
        <v>585</v>
      </c>
      <c r="B380" s="533">
        <v>200</v>
      </c>
      <c r="C380" s="533">
        <v>0</v>
      </c>
      <c r="D380" s="533">
        <v>0</v>
      </c>
      <c r="E380" s="533">
        <v>0</v>
      </c>
      <c r="F380" s="533">
        <v>0</v>
      </c>
      <c r="G380" s="534" t="s">
        <v>36</v>
      </c>
      <c r="H380" s="534" t="s">
        <v>36</v>
      </c>
      <c r="I380" s="534" t="s">
        <v>36</v>
      </c>
      <c r="J380" s="534" t="s">
        <v>36</v>
      </c>
      <c r="K380" s="533">
        <v>200</v>
      </c>
      <c r="L380" s="533">
        <v>0</v>
      </c>
      <c r="M380" s="533">
        <v>0</v>
      </c>
      <c r="N380" s="533">
        <v>0</v>
      </c>
      <c r="O380" s="533">
        <v>0</v>
      </c>
      <c r="P380" s="533">
        <v>0</v>
      </c>
      <c r="Q380" s="533">
        <v>0</v>
      </c>
      <c r="R380" s="533">
        <v>0</v>
      </c>
      <c r="S380" s="533">
        <v>0</v>
      </c>
      <c r="T380" s="533">
        <v>0</v>
      </c>
      <c r="U380" s="533">
        <v>0</v>
      </c>
      <c r="V380" s="533">
        <v>0</v>
      </c>
      <c r="W380" s="533">
        <v>0</v>
      </c>
      <c r="X380" s="533">
        <v>0</v>
      </c>
      <c r="Y380" s="533">
        <v>0</v>
      </c>
      <c r="Z380" s="533">
        <v>0</v>
      </c>
      <c r="AA380" s="533">
        <v>200</v>
      </c>
      <c r="AB380" s="533">
        <v>202</v>
      </c>
      <c r="AC380" s="533">
        <v>0</v>
      </c>
      <c r="AD380" s="533">
        <v>0</v>
      </c>
      <c r="AE380" s="533">
        <v>0</v>
      </c>
      <c r="AF380" s="533">
        <v>0</v>
      </c>
      <c r="AG380" s="533">
        <v>0</v>
      </c>
      <c r="AH380" s="533">
        <v>0</v>
      </c>
      <c r="AI380" s="533">
        <v>0</v>
      </c>
      <c r="AJ380" s="533">
        <v>0</v>
      </c>
      <c r="AK380" s="533">
        <v>0</v>
      </c>
      <c r="AL380" s="533">
        <v>0</v>
      </c>
      <c r="AO380" s="530" t="s">
        <v>1066</v>
      </c>
      <c r="AP380" s="530">
        <f>L383/1000</f>
        <v>9.9000000000000005E-2</v>
      </c>
      <c r="AQ380" s="532" t="s">
        <v>621</v>
      </c>
    </row>
    <row r="381" spans="1:43">
      <c r="A381" s="532" t="s">
        <v>586</v>
      </c>
      <c r="B381" s="533">
        <v>3819</v>
      </c>
      <c r="C381" s="533">
        <v>0</v>
      </c>
      <c r="D381" s="533">
        <v>0</v>
      </c>
      <c r="E381" s="533">
        <v>0</v>
      </c>
      <c r="F381" s="533">
        <v>0</v>
      </c>
      <c r="G381" s="534" t="s">
        <v>36</v>
      </c>
      <c r="H381" s="534" t="s">
        <v>36</v>
      </c>
      <c r="I381" s="534" t="s">
        <v>36</v>
      </c>
      <c r="J381" s="534" t="s">
        <v>36</v>
      </c>
      <c r="K381" s="533">
        <v>3819</v>
      </c>
      <c r="L381" s="533">
        <v>99</v>
      </c>
      <c r="M381" s="533">
        <v>99</v>
      </c>
      <c r="N381" s="533">
        <v>0</v>
      </c>
      <c r="O381" s="533">
        <v>0</v>
      </c>
      <c r="P381" s="533">
        <v>0</v>
      </c>
      <c r="Q381" s="533">
        <v>0</v>
      </c>
      <c r="R381" s="533">
        <v>0</v>
      </c>
      <c r="S381" s="533">
        <v>0</v>
      </c>
      <c r="T381" s="533">
        <v>0</v>
      </c>
      <c r="U381" s="533">
        <v>0</v>
      </c>
      <c r="V381" s="533">
        <v>0</v>
      </c>
      <c r="W381" s="533">
        <v>0</v>
      </c>
      <c r="X381" s="533">
        <v>0</v>
      </c>
      <c r="Y381" s="533">
        <v>0</v>
      </c>
      <c r="Z381" s="533">
        <v>0</v>
      </c>
      <c r="AA381" s="533">
        <v>3720</v>
      </c>
      <c r="AB381" s="533">
        <v>3756</v>
      </c>
      <c r="AC381" s="533">
        <v>0</v>
      </c>
      <c r="AD381" s="533">
        <v>0</v>
      </c>
      <c r="AE381" s="533">
        <v>0</v>
      </c>
      <c r="AF381" s="533">
        <v>0</v>
      </c>
      <c r="AG381" s="533">
        <v>0</v>
      </c>
      <c r="AH381" s="533">
        <v>0</v>
      </c>
      <c r="AI381" s="533">
        <v>0</v>
      </c>
      <c r="AJ381" s="533">
        <v>0</v>
      </c>
      <c r="AK381" s="533">
        <v>0</v>
      </c>
      <c r="AL381" s="533">
        <v>0</v>
      </c>
      <c r="AO381" s="530" t="s">
        <v>1065</v>
      </c>
      <c r="AP381" s="535">
        <f>AB382/1000</f>
        <v>0</v>
      </c>
      <c r="AQ381" s="532" t="s">
        <v>634</v>
      </c>
    </row>
    <row r="382" spans="1:43">
      <c r="A382" s="532" t="s">
        <v>587</v>
      </c>
      <c r="B382" s="533">
        <v>0</v>
      </c>
      <c r="C382" s="533">
        <v>0</v>
      </c>
      <c r="D382" s="533">
        <v>0</v>
      </c>
      <c r="E382" s="533">
        <v>0</v>
      </c>
      <c r="F382" s="533">
        <v>0</v>
      </c>
      <c r="G382" s="534" t="s">
        <v>36</v>
      </c>
      <c r="H382" s="534" t="s">
        <v>36</v>
      </c>
      <c r="I382" s="534" t="s">
        <v>36</v>
      </c>
      <c r="J382" s="534" t="s">
        <v>36</v>
      </c>
      <c r="K382" s="533">
        <v>0</v>
      </c>
      <c r="L382" s="533">
        <v>0</v>
      </c>
      <c r="M382" s="533">
        <v>0</v>
      </c>
      <c r="N382" s="533">
        <v>0</v>
      </c>
      <c r="O382" s="533">
        <v>0</v>
      </c>
      <c r="P382" s="533">
        <v>0</v>
      </c>
      <c r="Q382" s="533">
        <v>0</v>
      </c>
      <c r="R382" s="533">
        <v>0</v>
      </c>
      <c r="S382" s="533">
        <v>0</v>
      </c>
      <c r="T382" s="533">
        <v>0</v>
      </c>
      <c r="U382" s="533">
        <v>0</v>
      </c>
      <c r="V382" s="533">
        <v>0</v>
      </c>
      <c r="W382" s="533">
        <v>0</v>
      </c>
      <c r="X382" s="533">
        <v>0</v>
      </c>
      <c r="Y382" s="533">
        <v>0</v>
      </c>
      <c r="Z382" s="533">
        <v>0</v>
      </c>
      <c r="AA382" s="533">
        <v>0</v>
      </c>
      <c r="AB382" s="533">
        <v>0</v>
      </c>
      <c r="AC382" s="533">
        <v>0</v>
      </c>
      <c r="AD382" s="533">
        <v>0</v>
      </c>
      <c r="AE382" s="533">
        <v>0</v>
      </c>
      <c r="AF382" s="533">
        <v>0</v>
      </c>
      <c r="AG382" s="533">
        <v>0</v>
      </c>
      <c r="AH382" s="533">
        <v>0</v>
      </c>
      <c r="AI382" s="533">
        <v>0</v>
      </c>
      <c r="AJ382" s="533">
        <v>0</v>
      </c>
      <c r="AK382" s="533">
        <v>0</v>
      </c>
      <c r="AL382" s="533">
        <v>0</v>
      </c>
      <c r="AO382" s="530" t="s">
        <v>1066</v>
      </c>
      <c r="AP382" s="535">
        <f>AB383/1000</f>
        <v>3.7559999999999998</v>
      </c>
      <c r="AQ382" s="532" t="s">
        <v>634</v>
      </c>
    </row>
    <row r="383" spans="1:43">
      <c r="A383" s="532" t="s">
        <v>588</v>
      </c>
      <c r="B383" s="533">
        <v>3819</v>
      </c>
      <c r="C383" s="533">
        <v>0</v>
      </c>
      <c r="D383" s="533">
        <v>0</v>
      </c>
      <c r="E383" s="533">
        <v>0</v>
      </c>
      <c r="F383" s="533">
        <v>0</v>
      </c>
      <c r="G383" s="534" t="s">
        <v>36</v>
      </c>
      <c r="H383" s="534" t="s">
        <v>36</v>
      </c>
      <c r="I383" s="534" t="s">
        <v>36</v>
      </c>
      <c r="J383" s="534" t="s">
        <v>36</v>
      </c>
      <c r="K383" s="533">
        <v>3819</v>
      </c>
      <c r="L383" s="533">
        <v>99</v>
      </c>
      <c r="M383" s="533">
        <v>99</v>
      </c>
      <c r="N383" s="533">
        <v>0</v>
      </c>
      <c r="O383" s="533">
        <v>0</v>
      </c>
      <c r="P383" s="533">
        <v>0</v>
      </c>
      <c r="Q383" s="533">
        <v>0</v>
      </c>
      <c r="R383" s="533">
        <v>0</v>
      </c>
      <c r="S383" s="533">
        <v>0</v>
      </c>
      <c r="T383" s="533">
        <v>0</v>
      </c>
      <c r="U383" s="533">
        <v>0</v>
      </c>
      <c r="V383" s="533">
        <v>0</v>
      </c>
      <c r="W383" s="533">
        <v>0</v>
      </c>
      <c r="X383" s="533">
        <v>0</v>
      </c>
      <c r="Y383" s="533">
        <v>0</v>
      </c>
      <c r="Z383" s="533">
        <v>0</v>
      </c>
      <c r="AA383" s="533">
        <v>3720</v>
      </c>
      <c r="AB383" s="533">
        <v>3756</v>
      </c>
      <c r="AC383" s="533">
        <v>0</v>
      </c>
      <c r="AD383" s="533">
        <v>0</v>
      </c>
      <c r="AE383" s="533">
        <v>0</v>
      </c>
      <c r="AF383" s="533">
        <v>0</v>
      </c>
      <c r="AG383" s="533">
        <v>0</v>
      </c>
      <c r="AH383" s="533">
        <v>0</v>
      </c>
      <c r="AI383" s="533">
        <v>0</v>
      </c>
      <c r="AJ383" s="533">
        <v>0</v>
      </c>
      <c r="AK383" s="533">
        <v>0</v>
      </c>
      <c r="AL383" s="533">
        <v>0</v>
      </c>
      <c r="AO383" s="530" t="s">
        <v>1065</v>
      </c>
      <c r="AP383" s="535">
        <f>AC382/1000</f>
        <v>0</v>
      </c>
      <c r="AQ383" s="532" t="s">
        <v>635</v>
      </c>
    </row>
    <row r="384" spans="1:43">
      <c r="AO384" s="530" t="s">
        <v>1066</v>
      </c>
      <c r="AP384" s="535">
        <f>AC383/1000</f>
        <v>0</v>
      </c>
      <c r="AQ384" s="532" t="s">
        <v>635</v>
      </c>
    </row>
    <row r="385" spans="1:43">
      <c r="A385" s="529" t="s">
        <v>589</v>
      </c>
    </row>
    <row r="386" spans="1:43">
      <c r="A386" s="529" t="s">
        <v>36</v>
      </c>
      <c r="B386" s="529" t="s">
        <v>590</v>
      </c>
    </row>
    <row r="388" spans="1:43">
      <c r="A388" s="529" t="s">
        <v>340</v>
      </c>
      <c r="B388" s="529" t="s">
        <v>576</v>
      </c>
    </row>
    <row r="389" spans="1:43">
      <c r="A389" s="529" t="s">
        <v>578</v>
      </c>
      <c r="B389" s="529" t="s">
        <v>298</v>
      </c>
    </row>
    <row r="390" spans="1:43">
      <c r="A390" s="529" t="s">
        <v>343</v>
      </c>
      <c r="B390" s="529" t="s">
        <v>198</v>
      </c>
    </row>
    <row r="392" spans="1:43">
      <c r="A392" s="532" t="s">
        <v>592</v>
      </c>
      <c r="B392" s="532" t="s">
        <v>611</v>
      </c>
      <c r="C392" s="532" t="s">
        <v>612</v>
      </c>
      <c r="D392" s="532" t="s">
        <v>613</v>
      </c>
      <c r="E392" s="532" t="s">
        <v>614</v>
      </c>
      <c r="F392" s="532" t="s">
        <v>615</v>
      </c>
      <c r="G392" s="532" t="s">
        <v>616</v>
      </c>
      <c r="H392" s="532" t="s">
        <v>617</v>
      </c>
      <c r="I392" s="532" t="s">
        <v>618</v>
      </c>
      <c r="J392" s="532" t="s">
        <v>619</v>
      </c>
      <c r="K392" s="532" t="s">
        <v>620</v>
      </c>
      <c r="L392" s="532" t="s">
        <v>621</v>
      </c>
      <c r="M392" s="532" t="s">
        <v>622</v>
      </c>
      <c r="N392" s="532" t="s">
        <v>623</v>
      </c>
      <c r="O392" s="532" t="s">
        <v>225</v>
      </c>
      <c r="P392" s="532" t="s">
        <v>624</v>
      </c>
      <c r="Q392" s="532" t="s">
        <v>625</v>
      </c>
      <c r="R392" s="532" t="s">
        <v>626</v>
      </c>
      <c r="S392" s="532" t="s">
        <v>227</v>
      </c>
      <c r="T392" s="532" t="s">
        <v>627</v>
      </c>
      <c r="U392" s="532" t="s">
        <v>628</v>
      </c>
      <c r="V392" s="532" t="s">
        <v>629</v>
      </c>
      <c r="W392" s="532" t="s">
        <v>630</v>
      </c>
      <c r="X392" s="532" t="s">
        <v>631</v>
      </c>
      <c r="Y392" s="532" t="s">
        <v>632</v>
      </c>
      <c r="Z392" s="532" t="s">
        <v>633</v>
      </c>
      <c r="AA392" s="532" t="s">
        <v>229</v>
      </c>
      <c r="AB392" s="532" t="s">
        <v>634</v>
      </c>
      <c r="AC392" s="532" t="s">
        <v>635</v>
      </c>
      <c r="AD392" s="532" t="s">
        <v>636</v>
      </c>
      <c r="AE392" s="532" t="s">
        <v>637</v>
      </c>
      <c r="AF392" s="532" t="s">
        <v>638</v>
      </c>
      <c r="AG392" s="532" t="s">
        <v>639</v>
      </c>
      <c r="AH392" s="532" t="s">
        <v>640</v>
      </c>
      <c r="AI392" s="532" t="s">
        <v>641</v>
      </c>
      <c r="AJ392" s="532" t="s">
        <v>642</v>
      </c>
      <c r="AK392" s="532" t="s">
        <v>643</v>
      </c>
      <c r="AL392" s="532" t="s">
        <v>644</v>
      </c>
      <c r="AP392" s="530" t="str">
        <f>B390</f>
        <v>Finland</v>
      </c>
    </row>
    <row r="393" spans="1:43">
      <c r="A393" s="532" t="s">
        <v>583</v>
      </c>
      <c r="B393" s="533">
        <v>1358</v>
      </c>
      <c r="C393" s="533">
        <v>0</v>
      </c>
      <c r="D393" s="533">
        <v>0</v>
      </c>
      <c r="E393" s="533">
        <v>0</v>
      </c>
      <c r="F393" s="533">
        <v>0</v>
      </c>
      <c r="G393" s="534" t="s">
        <v>36</v>
      </c>
      <c r="H393" s="534" t="s">
        <v>36</v>
      </c>
      <c r="I393" s="534" t="s">
        <v>36</v>
      </c>
      <c r="J393" s="534" t="s">
        <v>36</v>
      </c>
      <c r="K393" s="533">
        <v>1358</v>
      </c>
      <c r="L393" s="533">
        <v>110</v>
      </c>
      <c r="M393" s="533">
        <v>110</v>
      </c>
      <c r="N393" s="533">
        <v>0</v>
      </c>
      <c r="O393" s="533">
        <v>0</v>
      </c>
      <c r="P393" s="533">
        <v>0</v>
      </c>
      <c r="Q393" s="533">
        <v>0</v>
      </c>
      <c r="R393" s="533">
        <v>0</v>
      </c>
      <c r="S393" s="533">
        <v>0</v>
      </c>
      <c r="T393" s="533">
        <v>0</v>
      </c>
      <c r="U393" s="533">
        <v>0</v>
      </c>
      <c r="V393" s="533">
        <v>0</v>
      </c>
      <c r="W393" s="533">
        <v>0</v>
      </c>
      <c r="X393" s="533">
        <v>128</v>
      </c>
      <c r="Y393" s="533">
        <v>0</v>
      </c>
      <c r="Z393" s="533">
        <v>128</v>
      </c>
      <c r="AA393" s="533">
        <v>1120</v>
      </c>
      <c r="AB393" s="533">
        <v>1151</v>
      </c>
      <c r="AC393" s="533">
        <v>0</v>
      </c>
      <c r="AD393" s="533">
        <v>0</v>
      </c>
      <c r="AE393" s="533">
        <v>0</v>
      </c>
      <c r="AF393" s="533">
        <v>0</v>
      </c>
      <c r="AG393" s="533">
        <v>0</v>
      </c>
      <c r="AH393" s="533">
        <v>0</v>
      </c>
      <c r="AI393" s="533">
        <v>0</v>
      </c>
      <c r="AJ393" s="533">
        <v>0</v>
      </c>
      <c r="AK393" s="533">
        <v>0</v>
      </c>
      <c r="AL393" s="533">
        <v>0</v>
      </c>
      <c r="AO393" s="530" t="str">
        <f>A397</f>
        <v>Transformation input in Autoproducer Electricity Plants</v>
      </c>
      <c r="AP393" s="530">
        <f>B397/1000</f>
        <v>0.36</v>
      </c>
      <c r="AQ393" s="530" t="str">
        <f>B392</f>
        <v>Total petroleum products</v>
      </c>
    </row>
    <row r="394" spans="1:43">
      <c r="A394" s="532" t="s">
        <v>584</v>
      </c>
      <c r="B394" s="533">
        <v>523</v>
      </c>
      <c r="C394" s="533">
        <v>0</v>
      </c>
      <c r="D394" s="533">
        <v>0</v>
      </c>
      <c r="E394" s="533">
        <v>0</v>
      </c>
      <c r="F394" s="533">
        <v>0</v>
      </c>
      <c r="G394" s="534" t="s">
        <v>36</v>
      </c>
      <c r="H394" s="534" t="s">
        <v>36</v>
      </c>
      <c r="I394" s="534" t="s">
        <v>36</v>
      </c>
      <c r="J394" s="534" t="s">
        <v>36</v>
      </c>
      <c r="K394" s="533">
        <v>523</v>
      </c>
      <c r="L394" s="533">
        <v>0</v>
      </c>
      <c r="M394" s="533">
        <v>0</v>
      </c>
      <c r="N394" s="533">
        <v>0</v>
      </c>
      <c r="O394" s="533">
        <v>0</v>
      </c>
      <c r="P394" s="533">
        <v>0</v>
      </c>
      <c r="Q394" s="533">
        <v>0</v>
      </c>
      <c r="R394" s="533">
        <v>0</v>
      </c>
      <c r="S394" s="533">
        <v>0</v>
      </c>
      <c r="T394" s="533">
        <v>0</v>
      </c>
      <c r="U394" s="533">
        <v>0</v>
      </c>
      <c r="V394" s="533">
        <v>0</v>
      </c>
      <c r="W394" s="533">
        <v>0</v>
      </c>
      <c r="X394" s="533">
        <v>43</v>
      </c>
      <c r="Y394" s="533">
        <v>0</v>
      </c>
      <c r="Z394" s="533">
        <v>43</v>
      </c>
      <c r="AA394" s="533">
        <v>480</v>
      </c>
      <c r="AB394" s="533">
        <v>493</v>
      </c>
      <c r="AC394" s="533">
        <v>0</v>
      </c>
      <c r="AD394" s="533">
        <v>0</v>
      </c>
      <c r="AE394" s="533">
        <v>0</v>
      </c>
      <c r="AF394" s="533">
        <v>0</v>
      </c>
      <c r="AG394" s="533">
        <v>0</v>
      </c>
      <c r="AH394" s="533">
        <v>0</v>
      </c>
      <c r="AI394" s="533">
        <v>0</v>
      </c>
      <c r="AJ394" s="533">
        <v>0</v>
      </c>
      <c r="AK394" s="533">
        <v>0</v>
      </c>
      <c r="AL394" s="533">
        <v>0</v>
      </c>
      <c r="AO394" s="530" t="s">
        <v>1065</v>
      </c>
      <c r="AP394" s="530">
        <f>L397/1000</f>
        <v>0</v>
      </c>
      <c r="AQ394" s="532" t="s">
        <v>621</v>
      </c>
    </row>
    <row r="395" spans="1:43">
      <c r="A395" s="532" t="s">
        <v>585</v>
      </c>
      <c r="B395" s="533">
        <v>835</v>
      </c>
      <c r="C395" s="533">
        <v>0</v>
      </c>
      <c r="D395" s="533">
        <v>0</v>
      </c>
      <c r="E395" s="533">
        <v>0</v>
      </c>
      <c r="F395" s="533">
        <v>0</v>
      </c>
      <c r="G395" s="534" t="s">
        <v>36</v>
      </c>
      <c r="H395" s="534" t="s">
        <v>36</v>
      </c>
      <c r="I395" s="534" t="s">
        <v>36</v>
      </c>
      <c r="J395" s="534" t="s">
        <v>36</v>
      </c>
      <c r="K395" s="533">
        <v>835</v>
      </c>
      <c r="L395" s="533">
        <v>110</v>
      </c>
      <c r="M395" s="533">
        <v>110</v>
      </c>
      <c r="N395" s="533">
        <v>0</v>
      </c>
      <c r="O395" s="533">
        <v>0</v>
      </c>
      <c r="P395" s="533">
        <v>0</v>
      </c>
      <c r="Q395" s="533">
        <v>0</v>
      </c>
      <c r="R395" s="533">
        <v>0</v>
      </c>
      <c r="S395" s="533">
        <v>0</v>
      </c>
      <c r="T395" s="533">
        <v>0</v>
      </c>
      <c r="U395" s="533">
        <v>0</v>
      </c>
      <c r="V395" s="533">
        <v>0</v>
      </c>
      <c r="W395" s="533">
        <v>0</v>
      </c>
      <c r="X395" s="533">
        <v>85</v>
      </c>
      <c r="Y395" s="533">
        <v>0</v>
      </c>
      <c r="Z395" s="533">
        <v>85</v>
      </c>
      <c r="AA395" s="533">
        <v>640</v>
      </c>
      <c r="AB395" s="533">
        <v>658</v>
      </c>
      <c r="AC395" s="533">
        <v>0</v>
      </c>
      <c r="AD395" s="533">
        <v>0</v>
      </c>
      <c r="AE395" s="533">
        <v>0</v>
      </c>
      <c r="AF395" s="533">
        <v>0</v>
      </c>
      <c r="AG395" s="533">
        <v>0</v>
      </c>
      <c r="AH395" s="533">
        <v>0</v>
      </c>
      <c r="AI395" s="533">
        <v>0</v>
      </c>
      <c r="AJ395" s="533">
        <v>0</v>
      </c>
      <c r="AK395" s="533">
        <v>0</v>
      </c>
      <c r="AL395" s="533">
        <v>0</v>
      </c>
      <c r="AO395" s="530" t="s">
        <v>1066</v>
      </c>
      <c r="AP395" s="530">
        <f>L398/1000</f>
        <v>0</v>
      </c>
      <c r="AQ395" s="532" t="s">
        <v>621</v>
      </c>
    </row>
    <row r="396" spans="1:43">
      <c r="A396" s="532" t="s">
        <v>586</v>
      </c>
      <c r="B396" s="533">
        <v>2723</v>
      </c>
      <c r="C396" s="533">
        <v>0</v>
      </c>
      <c r="D396" s="533">
        <v>0</v>
      </c>
      <c r="E396" s="533">
        <v>0</v>
      </c>
      <c r="F396" s="533">
        <v>0</v>
      </c>
      <c r="G396" s="534" t="s">
        <v>36</v>
      </c>
      <c r="H396" s="534" t="s">
        <v>36</v>
      </c>
      <c r="I396" s="534" t="s">
        <v>36</v>
      </c>
      <c r="J396" s="534" t="s">
        <v>36</v>
      </c>
      <c r="K396" s="533">
        <v>2723</v>
      </c>
      <c r="L396" s="533">
        <v>0</v>
      </c>
      <c r="M396" s="533">
        <v>0</v>
      </c>
      <c r="N396" s="533">
        <v>0</v>
      </c>
      <c r="O396" s="533">
        <v>0</v>
      </c>
      <c r="P396" s="533">
        <v>0</v>
      </c>
      <c r="Q396" s="533">
        <v>0</v>
      </c>
      <c r="R396" s="533">
        <v>0</v>
      </c>
      <c r="S396" s="533">
        <v>0</v>
      </c>
      <c r="T396" s="533">
        <v>0</v>
      </c>
      <c r="U396" s="533">
        <v>0</v>
      </c>
      <c r="V396" s="533">
        <v>0</v>
      </c>
      <c r="W396" s="533">
        <v>0</v>
      </c>
      <c r="X396" s="533">
        <v>43</v>
      </c>
      <c r="Y396" s="533">
        <v>0</v>
      </c>
      <c r="Z396" s="533">
        <v>43</v>
      </c>
      <c r="AA396" s="533">
        <v>2680</v>
      </c>
      <c r="AB396" s="533">
        <v>2754</v>
      </c>
      <c r="AC396" s="533">
        <v>0</v>
      </c>
      <c r="AD396" s="533">
        <v>0</v>
      </c>
      <c r="AE396" s="533">
        <v>0</v>
      </c>
      <c r="AF396" s="533">
        <v>0</v>
      </c>
      <c r="AG396" s="533">
        <v>0</v>
      </c>
      <c r="AH396" s="533">
        <v>0</v>
      </c>
      <c r="AI396" s="533">
        <v>0</v>
      </c>
      <c r="AJ396" s="533">
        <v>0</v>
      </c>
      <c r="AK396" s="533">
        <v>0</v>
      </c>
      <c r="AL396" s="533">
        <v>0</v>
      </c>
      <c r="AO396" s="530" t="s">
        <v>1065</v>
      </c>
      <c r="AP396" s="535">
        <f>AB397/1000</f>
        <v>0.37</v>
      </c>
      <c r="AQ396" s="532" t="s">
        <v>634</v>
      </c>
    </row>
    <row r="397" spans="1:43">
      <c r="A397" s="532" t="s">
        <v>587</v>
      </c>
      <c r="B397" s="533">
        <v>360</v>
      </c>
      <c r="C397" s="533">
        <v>0</v>
      </c>
      <c r="D397" s="533">
        <v>0</v>
      </c>
      <c r="E397" s="533">
        <v>0</v>
      </c>
      <c r="F397" s="533">
        <v>0</v>
      </c>
      <c r="G397" s="534" t="s">
        <v>36</v>
      </c>
      <c r="H397" s="534" t="s">
        <v>36</v>
      </c>
      <c r="I397" s="534" t="s">
        <v>36</v>
      </c>
      <c r="J397" s="534" t="s">
        <v>36</v>
      </c>
      <c r="K397" s="533">
        <v>360</v>
      </c>
      <c r="L397" s="533">
        <v>0</v>
      </c>
      <c r="M397" s="533">
        <v>0</v>
      </c>
      <c r="N397" s="533">
        <v>0</v>
      </c>
      <c r="O397" s="533">
        <v>0</v>
      </c>
      <c r="P397" s="533">
        <v>0</v>
      </c>
      <c r="Q397" s="533">
        <v>0</v>
      </c>
      <c r="R397" s="533">
        <v>0</v>
      </c>
      <c r="S397" s="533">
        <v>0</v>
      </c>
      <c r="T397" s="533">
        <v>0</v>
      </c>
      <c r="U397" s="533">
        <v>0</v>
      </c>
      <c r="V397" s="533">
        <v>0</v>
      </c>
      <c r="W397" s="533">
        <v>0</v>
      </c>
      <c r="X397" s="533">
        <v>0</v>
      </c>
      <c r="Y397" s="533">
        <v>0</v>
      </c>
      <c r="Z397" s="533">
        <v>0</v>
      </c>
      <c r="AA397" s="533">
        <v>360</v>
      </c>
      <c r="AB397" s="533">
        <v>370</v>
      </c>
      <c r="AC397" s="533">
        <v>0</v>
      </c>
      <c r="AD397" s="533">
        <v>0</v>
      </c>
      <c r="AE397" s="533">
        <v>0</v>
      </c>
      <c r="AF397" s="533">
        <v>0</v>
      </c>
      <c r="AG397" s="533">
        <v>0</v>
      </c>
      <c r="AH397" s="533">
        <v>0</v>
      </c>
      <c r="AI397" s="533">
        <v>0</v>
      </c>
      <c r="AJ397" s="533">
        <v>0</v>
      </c>
      <c r="AK397" s="533">
        <v>0</v>
      </c>
      <c r="AL397" s="533">
        <v>0</v>
      </c>
      <c r="AO397" s="530" t="s">
        <v>1066</v>
      </c>
      <c r="AP397" s="535">
        <f>AB398/1000</f>
        <v>2.3839999999999999</v>
      </c>
      <c r="AQ397" s="532" t="s">
        <v>634</v>
      </c>
    </row>
    <row r="398" spans="1:43">
      <c r="A398" s="532" t="s">
        <v>588</v>
      </c>
      <c r="B398" s="533">
        <v>2363</v>
      </c>
      <c r="C398" s="533">
        <v>0</v>
      </c>
      <c r="D398" s="533">
        <v>0</v>
      </c>
      <c r="E398" s="533">
        <v>0</v>
      </c>
      <c r="F398" s="533">
        <v>0</v>
      </c>
      <c r="G398" s="534" t="s">
        <v>36</v>
      </c>
      <c r="H398" s="534" t="s">
        <v>36</v>
      </c>
      <c r="I398" s="534" t="s">
        <v>36</v>
      </c>
      <c r="J398" s="534" t="s">
        <v>36</v>
      </c>
      <c r="K398" s="533">
        <v>2363</v>
      </c>
      <c r="L398" s="533">
        <v>0</v>
      </c>
      <c r="M398" s="533">
        <v>0</v>
      </c>
      <c r="N398" s="533">
        <v>0</v>
      </c>
      <c r="O398" s="533">
        <v>0</v>
      </c>
      <c r="P398" s="533">
        <v>0</v>
      </c>
      <c r="Q398" s="533">
        <v>0</v>
      </c>
      <c r="R398" s="533">
        <v>0</v>
      </c>
      <c r="S398" s="533">
        <v>0</v>
      </c>
      <c r="T398" s="533">
        <v>0</v>
      </c>
      <c r="U398" s="533">
        <v>0</v>
      </c>
      <c r="V398" s="533">
        <v>0</v>
      </c>
      <c r="W398" s="533">
        <v>0</v>
      </c>
      <c r="X398" s="533">
        <v>43</v>
      </c>
      <c r="Y398" s="533">
        <v>0</v>
      </c>
      <c r="Z398" s="533">
        <v>43</v>
      </c>
      <c r="AA398" s="533">
        <v>2320</v>
      </c>
      <c r="AB398" s="533">
        <v>2384</v>
      </c>
      <c r="AC398" s="533">
        <v>0</v>
      </c>
      <c r="AD398" s="533">
        <v>0</v>
      </c>
      <c r="AE398" s="533">
        <v>0</v>
      </c>
      <c r="AF398" s="533">
        <v>0</v>
      </c>
      <c r="AG398" s="533">
        <v>0</v>
      </c>
      <c r="AH398" s="533">
        <v>0</v>
      </c>
      <c r="AI398" s="533">
        <v>0</v>
      </c>
      <c r="AJ398" s="533">
        <v>0</v>
      </c>
      <c r="AK398" s="533">
        <v>0</v>
      </c>
      <c r="AL398" s="533">
        <v>0</v>
      </c>
      <c r="AO398" s="530" t="s">
        <v>1065</v>
      </c>
      <c r="AP398" s="535">
        <f>AC397/1000</f>
        <v>0</v>
      </c>
      <c r="AQ398" s="532" t="s">
        <v>635</v>
      </c>
    </row>
    <row r="399" spans="1:43">
      <c r="AO399" s="530" t="s">
        <v>1066</v>
      </c>
      <c r="AP399" s="535">
        <f>AC398/1000</f>
        <v>0</v>
      </c>
      <c r="AQ399" s="532" t="s">
        <v>635</v>
      </c>
    </row>
    <row r="400" spans="1:43">
      <c r="A400" s="529" t="s">
        <v>589</v>
      </c>
    </row>
    <row r="401" spans="1:43">
      <c r="A401" s="529" t="s">
        <v>36</v>
      </c>
      <c r="B401" s="529" t="s">
        <v>590</v>
      </c>
    </row>
    <row r="403" spans="1:43">
      <c r="A403" s="529" t="s">
        <v>340</v>
      </c>
      <c r="B403" s="529" t="s">
        <v>576</v>
      </c>
    </row>
    <row r="404" spans="1:43">
      <c r="A404" s="529" t="s">
        <v>578</v>
      </c>
      <c r="B404" s="529" t="s">
        <v>298</v>
      </c>
    </row>
    <row r="405" spans="1:43">
      <c r="A405" s="529" t="s">
        <v>343</v>
      </c>
      <c r="B405" s="529" t="s">
        <v>199</v>
      </c>
    </row>
    <row r="407" spans="1:43">
      <c r="A407" s="532" t="s">
        <v>592</v>
      </c>
      <c r="B407" s="532" t="s">
        <v>611</v>
      </c>
      <c r="C407" s="532" t="s">
        <v>612</v>
      </c>
      <c r="D407" s="532" t="s">
        <v>613</v>
      </c>
      <c r="E407" s="532" t="s">
        <v>614</v>
      </c>
      <c r="F407" s="532" t="s">
        <v>615</v>
      </c>
      <c r="G407" s="532" t="s">
        <v>616</v>
      </c>
      <c r="H407" s="532" t="s">
        <v>617</v>
      </c>
      <c r="I407" s="532" t="s">
        <v>618</v>
      </c>
      <c r="J407" s="532" t="s">
        <v>619</v>
      </c>
      <c r="K407" s="532" t="s">
        <v>620</v>
      </c>
      <c r="L407" s="532" t="s">
        <v>621</v>
      </c>
      <c r="M407" s="532" t="s">
        <v>622</v>
      </c>
      <c r="N407" s="532" t="s">
        <v>623</v>
      </c>
      <c r="O407" s="532" t="s">
        <v>225</v>
      </c>
      <c r="P407" s="532" t="s">
        <v>624</v>
      </c>
      <c r="Q407" s="532" t="s">
        <v>625</v>
      </c>
      <c r="R407" s="532" t="s">
        <v>626</v>
      </c>
      <c r="S407" s="532" t="s">
        <v>227</v>
      </c>
      <c r="T407" s="532" t="s">
        <v>627</v>
      </c>
      <c r="U407" s="532" t="s">
        <v>628</v>
      </c>
      <c r="V407" s="532" t="s">
        <v>629</v>
      </c>
      <c r="W407" s="532" t="s">
        <v>630</v>
      </c>
      <c r="X407" s="532" t="s">
        <v>631</v>
      </c>
      <c r="Y407" s="532" t="s">
        <v>632</v>
      </c>
      <c r="Z407" s="532" t="s">
        <v>633</v>
      </c>
      <c r="AA407" s="532" t="s">
        <v>229</v>
      </c>
      <c r="AB407" s="532" t="s">
        <v>634</v>
      </c>
      <c r="AC407" s="532" t="s">
        <v>635</v>
      </c>
      <c r="AD407" s="532" t="s">
        <v>636</v>
      </c>
      <c r="AE407" s="532" t="s">
        <v>637</v>
      </c>
      <c r="AF407" s="532" t="s">
        <v>638</v>
      </c>
      <c r="AG407" s="532" t="s">
        <v>639</v>
      </c>
      <c r="AH407" s="532" t="s">
        <v>640</v>
      </c>
      <c r="AI407" s="532" t="s">
        <v>641</v>
      </c>
      <c r="AJ407" s="532" t="s">
        <v>642</v>
      </c>
      <c r="AK407" s="532" t="s">
        <v>643</v>
      </c>
      <c r="AL407" s="532" t="s">
        <v>644</v>
      </c>
      <c r="AP407" s="530" t="str">
        <f>B405</f>
        <v>Sweden</v>
      </c>
    </row>
    <row r="408" spans="1:43">
      <c r="A408" s="532" t="s">
        <v>583</v>
      </c>
      <c r="B408" s="533">
        <v>10059</v>
      </c>
      <c r="C408" s="533">
        <v>0</v>
      </c>
      <c r="D408" s="533">
        <v>0</v>
      </c>
      <c r="E408" s="533">
        <v>0</v>
      </c>
      <c r="F408" s="533">
        <v>0</v>
      </c>
      <c r="G408" s="534" t="s">
        <v>36</v>
      </c>
      <c r="H408" s="534" t="s">
        <v>36</v>
      </c>
      <c r="I408" s="534" t="s">
        <v>36</v>
      </c>
      <c r="J408" s="534" t="s">
        <v>36</v>
      </c>
      <c r="K408" s="533">
        <v>10059</v>
      </c>
      <c r="L408" s="533">
        <v>0</v>
      </c>
      <c r="M408" s="533">
        <v>0</v>
      </c>
      <c r="N408" s="533">
        <v>0</v>
      </c>
      <c r="O408" s="533">
        <v>230</v>
      </c>
      <c r="P408" s="533">
        <v>0</v>
      </c>
      <c r="Q408" s="533">
        <v>0</v>
      </c>
      <c r="R408" s="533">
        <v>0</v>
      </c>
      <c r="S408" s="533">
        <v>0</v>
      </c>
      <c r="T408" s="533">
        <v>0</v>
      </c>
      <c r="U408" s="533">
        <v>0</v>
      </c>
      <c r="V408" s="533">
        <v>0</v>
      </c>
      <c r="W408" s="533">
        <v>0</v>
      </c>
      <c r="X408" s="533">
        <v>1789</v>
      </c>
      <c r="Y408" s="533">
        <v>0</v>
      </c>
      <c r="Z408" s="533">
        <v>1789</v>
      </c>
      <c r="AA408" s="533">
        <v>8040</v>
      </c>
      <c r="AB408" s="533">
        <v>8040</v>
      </c>
      <c r="AC408" s="533">
        <v>0</v>
      </c>
      <c r="AD408" s="533">
        <v>0</v>
      </c>
      <c r="AE408" s="533">
        <v>0</v>
      </c>
      <c r="AF408" s="533">
        <v>0</v>
      </c>
      <c r="AG408" s="533">
        <v>0</v>
      </c>
      <c r="AH408" s="533">
        <v>0</v>
      </c>
      <c r="AI408" s="533">
        <v>0</v>
      </c>
      <c r="AJ408" s="533">
        <v>0</v>
      </c>
      <c r="AK408" s="533">
        <v>0</v>
      </c>
      <c r="AL408" s="533">
        <v>0</v>
      </c>
      <c r="AO408" s="530" t="str">
        <f>A412</f>
        <v>Transformation input in Autoproducer Electricity Plants</v>
      </c>
      <c r="AP408" s="530">
        <f>B412/1000</f>
        <v>0.04</v>
      </c>
      <c r="AQ408" s="530" t="str">
        <f>B407</f>
        <v>Total petroleum products</v>
      </c>
    </row>
    <row r="409" spans="1:43">
      <c r="A409" s="532" t="s">
        <v>584</v>
      </c>
      <c r="B409" s="533">
        <v>1543</v>
      </c>
      <c r="C409" s="533">
        <v>0</v>
      </c>
      <c r="D409" s="533">
        <v>0</v>
      </c>
      <c r="E409" s="533">
        <v>0</v>
      </c>
      <c r="F409" s="533">
        <v>0</v>
      </c>
      <c r="G409" s="534" t="s">
        <v>36</v>
      </c>
      <c r="H409" s="534" t="s">
        <v>36</v>
      </c>
      <c r="I409" s="534" t="s">
        <v>36</v>
      </c>
      <c r="J409" s="534" t="s">
        <v>36</v>
      </c>
      <c r="K409" s="533">
        <v>1543</v>
      </c>
      <c r="L409" s="533">
        <v>0</v>
      </c>
      <c r="M409" s="533">
        <v>0</v>
      </c>
      <c r="N409" s="533">
        <v>0</v>
      </c>
      <c r="O409" s="533">
        <v>0</v>
      </c>
      <c r="P409" s="533">
        <v>0</v>
      </c>
      <c r="Q409" s="533">
        <v>0</v>
      </c>
      <c r="R409" s="533">
        <v>0</v>
      </c>
      <c r="S409" s="533">
        <v>0</v>
      </c>
      <c r="T409" s="533">
        <v>0</v>
      </c>
      <c r="U409" s="533">
        <v>0</v>
      </c>
      <c r="V409" s="533">
        <v>0</v>
      </c>
      <c r="W409" s="533">
        <v>0</v>
      </c>
      <c r="X409" s="533">
        <v>383</v>
      </c>
      <c r="Y409" s="533">
        <v>0</v>
      </c>
      <c r="Z409" s="533">
        <v>383</v>
      </c>
      <c r="AA409" s="533">
        <v>1160</v>
      </c>
      <c r="AB409" s="533">
        <v>1160</v>
      </c>
      <c r="AC409" s="533">
        <v>0</v>
      </c>
      <c r="AD409" s="533">
        <v>0</v>
      </c>
      <c r="AE409" s="533">
        <v>0</v>
      </c>
      <c r="AF409" s="533">
        <v>0</v>
      </c>
      <c r="AG409" s="533">
        <v>0</v>
      </c>
      <c r="AH409" s="533">
        <v>0</v>
      </c>
      <c r="AI409" s="533">
        <v>0</v>
      </c>
      <c r="AJ409" s="533">
        <v>0</v>
      </c>
      <c r="AK409" s="533">
        <v>0</v>
      </c>
      <c r="AL409" s="533">
        <v>0</v>
      </c>
      <c r="AO409" s="530" t="s">
        <v>1065</v>
      </c>
      <c r="AP409" s="530">
        <f>L412/1000</f>
        <v>0</v>
      </c>
      <c r="AQ409" s="532" t="s">
        <v>621</v>
      </c>
    </row>
    <row r="410" spans="1:43">
      <c r="A410" s="532" t="s">
        <v>585</v>
      </c>
      <c r="B410" s="533">
        <v>8516</v>
      </c>
      <c r="C410" s="533">
        <v>0</v>
      </c>
      <c r="D410" s="533">
        <v>0</v>
      </c>
      <c r="E410" s="533">
        <v>0</v>
      </c>
      <c r="F410" s="533">
        <v>0</v>
      </c>
      <c r="G410" s="534" t="s">
        <v>36</v>
      </c>
      <c r="H410" s="534" t="s">
        <v>36</v>
      </c>
      <c r="I410" s="534" t="s">
        <v>36</v>
      </c>
      <c r="J410" s="534" t="s">
        <v>36</v>
      </c>
      <c r="K410" s="533">
        <v>8516</v>
      </c>
      <c r="L410" s="533">
        <v>0</v>
      </c>
      <c r="M410" s="533">
        <v>0</v>
      </c>
      <c r="N410" s="533">
        <v>0</v>
      </c>
      <c r="O410" s="533">
        <v>230</v>
      </c>
      <c r="P410" s="533">
        <v>0</v>
      </c>
      <c r="Q410" s="533">
        <v>0</v>
      </c>
      <c r="R410" s="533">
        <v>0</v>
      </c>
      <c r="S410" s="533">
        <v>0</v>
      </c>
      <c r="T410" s="533">
        <v>0</v>
      </c>
      <c r="U410" s="533">
        <v>0</v>
      </c>
      <c r="V410" s="533">
        <v>0</v>
      </c>
      <c r="W410" s="533">
        <v>0</v>
      </c>
      <c r="X410" s="533">
        <v>1406</v>
      </c>
      <c r="Y410" s="533">
        <v>0</v>
      </c>
      <c r="Z410" s="533">
        <v>1406</v>
      </c>
      <c r="AA410" s="533">
        <v>6880</v>
      </c>
      <c r="AB410" s="533">
        <v>6880</v>
      </c>
      <c r="AC410" s="533">
        <v>0</v>
      </c>
      <c r="AD410" s="533">
        <v>0</v>
      </c>
      <c r="AE410" s="533">
        <v>0</v>
      </c>
      <c r="AF410" s="533">
        <v>0</v>
      </c>
      <c r="AG410" s="533">
        <v>0</v>
      </c>
      <c r="AH410" s="533">
        <v>0</v>
      </c>
      <c r="AI410" s="533">
        <v>0</v>
      </c>
      <c r="AJ410" s="533">
        <v>0</v>
      </c>
      <c r="AK410" s="533">
        <v>0</v>
      </c>
      <c r="AL410" s="533">
        <v>0</v>
      </c>
      <c r="AO410" s="530" t="s">
        <v>1066</v>
      </c>
      <c r="AP410" s="530">
        <f>L413/1000</f>
        <v>0</v>
      </c>
      <c r="AQ410" s="532" t="s">
        <v>621</v>
      </c>
    </row>
    <row r="411" spans="1:43">
      <c r="A411" s="532" t="s">
        <v>586</v>
      </c>
      <c r="B411" s="533">
        <v>3200</v>
      </c>
      <c r="C411" s="533">
        <v>0</v>
      </c>
      <c r="D411" s="533">
        <v>0</v>
      </c>
      <c r="E411" s="533">
        <v>0</v>
      </c>
      <c r="F411" s="533">
        <v>0</v>
      </c>
      <c r="G411" s="534" t="s">
        <v>36</v>
      </c>
      <c r="H411" s="534" t="s">
        <v>36</v>
      </c>
      <c r="I411" s="534" t="s">
        <v>36</v>
      </c>
      <c r="J411" s="534" t="s">
        <v>36</v>
      </c>
      <c r="K411" s="533">
        <v>3200</v>
      </c>
      <c r="L411" s="533">
        <v>0</v>
      </c>
      <c r="M411" s="533">
        <v>0</v>
      </c>
      <c r="N411" s="533">
        <v>0</v>
      </c>
      <c r="O411" s="533">
        <v>0</v>
      </c>
      <c r="P411" s="533">
        <v>0</v>
      </c>
      <c r="Q411" s="533">
        <v>0</v>
      </c>
      <c r="R411" s="533">
        <v>0</v>
      </c>
      <c r="S411" s="533">
        <v>0</v>
      </c>
      <c r="T411" s="533">
        <v>0</v>
      </c>
      <c r="U411" s="533">
        <v>0</v>
      </c>
      <c r="V411" s="533">
        <v>0</v>
      </c>
      <c r="W411" s="533">
        <v>0</v>
      </c>
      <c r="X411" s="533">
        <v>0</v>
      </c>
      <c r="Y411" s="533">
        <v>0</v>
      </c>
      <c r="Z411" s="533">
        <v>0</v>
      </c>
      <c r="AA411" s="533">
        <v>3200</v>
      </c>
      <c r="AB411" s="533">
        <v>3200</v>
      </c>
      <c r="AC411" s="533">
        <v>0</v>
      </c>
      <c r="AD411" s="533">
        <v>0</v>
      </c>
      <c r="AE411" s="533">
        <v>0</v>
      </c>
      <c r="AF411" s="533">
        <v>0</v>
      </c>
      <c r="AG411" s="533">
        <v>0</v>
      </c>
      <c r="AH411" s="533">
        <v>0</v>
      </c>
      <c r="AI411" s="533">
        <v>0</v>
      </c>
      <c r="AJ411" s="533">
        <v>0</v>
      </c>
      <c r="AK411" s="533">
        <v>0</v>
      </c>
      <c r="AL411" s="533">
        <v>0</v>
      </c>
      <c r="AO411" s="530" t="s">
        <v>1065</v>
      </c>
      <c r="AP411" s="535">
        <f>AB412/1000</f>
        <v>0.04</v>
      </c>
      <c r="AQ411" s="532" t="s">
        <v>634</v>
      </c>
    </row>
    <row r="412" spans="1:43">
      <c r="A412" s="532" t="s">
        <v>587</v>
      </c>
      <c r="B412" s="533">
        <v>40</v>
      </c>
      <c r="C412" s="533">
        <v>0</v>
      </c>
      <c r="D412" s="533">
        <v>0</v>
      </c>
      <c r="E412" s="533">
        <v>0</v>
      </c>
      <c r="F412" s="533">
        <v>0</v>
      </c>
      <c r="G412" s="534" t="s">
        <v>36</v>
      </c>
      <c r="H412" s="534" t="s">
        <v>36</v>
      </c>
      <c r="I412" s="534" t="s">
        <v>36</v>
      </c>
      <c r="J412" s="534" t="s">
        <v>36</v>
      </c>
      <c r="K412" s="533">
        <v>40</v>
      </c>
      <c r="L412" s="533">
        <v>0</v>
      </c>
      <c r="M412" s="533">
        <v>0</v>
      </c>
      <c r="N412" s="533">
        <v>0</v>
      </c>
      <c r="O412" s="533">
        <v>0</v>
      </c>
      <c r="P412" s="533">
        <v>0</v>
      </c>
      <c r="Q412" s="533">
        <v>0</v>
      </c>
      <c r="R412" s="533">
        <v>0</v>
      </c>
      <c r="S412" s="533">
        <v>0</v>
      </c>
      <c r="T412" s="533">
        <v>0</v>
      </c>
      <c r="U412" s="533">
        <v>0</v>
      </c>
      <c r="V412" s="533">
        <v>0</v>
      </c>
      <c r="W412" s="533">
        <v>0</v>
      </c>
      <c r="X412" s="533">
        <v>0</v>
      </c>
      <c r="Y412" s="533">
        <v>0</v>
      </c>
      <c r="Z412" s="533">
        <v>0</v>
      </c>
      <c r="AA412" s="533">
        <v>40</v>
      </c>
      <c r="AB412" s="533">
        <v>40</v>
      </c>
      <c r="AC412" s="533">
        <v>0</v>
      </c>
      <c r="AD412" s="533">
        <v>0</v>
      </c>
      <c r="AE412" s="533">
        <v>0</v>
      </c>
      <c r="AF412" s="533">
        <v>0</v>
      </c>
      <c r="AG412" s="533">
        <v>0</v>
      </c>
      <c r="AH412" s="533">
        <v>0</v>
      </c>
      <c r="AI412" s="533">
        <v>0</v>
      </c>
      <c r="AJ412" s="533">
        <v>0</v>
      </c>
      <c r="AK412" s="533">
        <v>0</v>
      </c>
      <c r="AL412" s="533">
        <v>0</v>
      </c>
      <c r="AO412" s="530" t="s">
        <v>1066</v>
      </c>
      <c r="AP412" s="535">
        <f>AB413/1000</f>
        <v>3.16</v>
      </c>
      <c r="AQ412" s="532" t="s">
        <v>634</v>
      </c>
    </row>
    <row r="413" spans="1:43">
      <c r="A413" s="532" t="s">
        <v>588</v>
      </c>
      <c r="B413" s="533">
        <v>3160</v>
      </c>
      <c r="C413" s="533">
        <v>0</v>
      </c>
      <c r="D413" s="533">
        <v>0</v>
      </c>
      <c r="E413" s="533">
        <v>0</v>
      </c>
      <c r="F413" s="533">
        <v>0</v>
      </c>
      <c r="G413" s="534" t="s">
        <v>36</v>
      </c>
      <c r="H413" s="534" t="s">
        <v>36</v>
      </c>
      <c r="I413" s="534" t="s">
        <v>36</v>
      </c>
      <c r="J413" s="534" t="s">
        <v>36</v>
      </c>
      <c r="K413" s="533">
        <v>3160</v>
      </c>
      <c r="L413" s="533">
        <v>0</v>
      </c>
      <c r="M413" s="533">
        <v>0</v>
      </c>
      <c r="N413" s="533">
        <v>0</v>
      </c>
      <c r="O413" s="533">
        <v>0</v>
      </c>
      <c r="P413" s="533">
        <v>0</v>
      </c>
      <c r="Q413" s="533">
        <v>0</v>
      </c>
      <c r="R413" s="533">
        <v>0</v>
      </c>
      <c r="S413" s="533">
        <v>0</v>
      </c>
      <c r="T413" s="533">
        <v>0</v>
      </c>
      <c r="U413" s="533">
        <v>0</v>
      </c>
      <c r="V413" s="533">
        <v>0</v>
      </c>
      <c r="W413" s="533">
        <v>0</v>
      </c>
      <c r="X413" s="533">
        <v>0</v>
      </c>
      <c r="Y413" s="533">
        <v>0</v>
      </c>
      <c r="Z413" s="533">
        <v>0</v>
      </c>
      <c r="AA413" s="533">
        <v>3160</v>
      </c>
      <c r="AB413" s="533">
        <v>3160</v>
      </c>
      <c r="AC413" s="533">
        <v>0</v>
      </c>
      <c r="AD413" s="533">
        <v>0</v>
      </c>
      <c r="AE413" s="533">
        <v>0</v>
      </c>
      <c r="AF413" s="533">
        <v>0</v>
      </c>
      <c r="AG413" s="533">
        <v>0</v>
      </c>
      <c r="AH413" s="533">
        <v>0</v>
      </c>
      <c r="AI413" s="533">
        <v>0</v>
      </c>
      <c r="AJ413" s="533">
        <v>0</v>
      </c>
      <c r="AK413" s="533">
        <v>0</v>
      </c>
      <c r="AL413" s="533">
        <v>0</v>
      </c>
      <c r="AO413" s="530" t="s">
        <v>1065</v>
      </c>
      <c r="AP413" s="535">
        <f>AC412/1000</f>
        <v>0</v>
      </c>
      <c r="AQ413" s="532" t="s">
        <v>635</v>
      </c>
    </row>
    <row r="414" spans="1:43">
      <c r="AO414" s="530" t="s">
        <v>1066</v>
      </c>
      <c r="AP414" s="535">
        <f>AC413/1000</f>
        <v>0</v>
      </c>
      <c r="AQ414" s="532" t="s">
        <v>635</v>
      </c>
    </row>
    <row r="415" spans="1:43">
      <c r="A415" s="529" t="s">
        <v>589</v>
      </c>
    </row>
    <row r="416" spans="1:43">
      <c r="A416" s="529" t="s">
        <v>36</v>
      </c>
      <c r="B416" s="529" t="s">
        <v>590</v>
      </c>
    </row>
    <row r="418" spans="1:43">
      <c r="A418" s="529" t="s">
        <v>340</v>
      </c>
      <c r="B418" s="529" t="s">
        <v>576</v>
      </c>
    </row>
    <row r="419" spans="1:43">
      <c r="A419" s="529" t="s">
        <v>578</v>
      </c>
      <c r="B419" s="529" t="s">
        <v>298</v>
      </c>
    </row>
    <row r="420" spans="1:43">
      <c r="A420" s="529" t="s">
        <v>343</v>
      </c>
      <c r="B420" s="529" t="s">
        <v>221</v>
      </c>
    </row>
    <row r="422" spans="1:43">
      <c r="A422" s="532" t="s">
        <v>592</v>
      </c>
      <c r="B422" s="532" t="s">
        <v>611</v>
      </c>
      <c r="C422" s="532" t="s">
        <v>612</v>
      </c>
      <c r="D422" s="532" t="s">
        <v>613</v>
      </c>
      <c r="E422" s="532" t="s">
        <v>614</v>
      </c>
      <c r="F422" s="532" t="s">
        <v>615</v>
      </c>
      <c r="G422" s="532" t="s">
        <v>616</v>
      </c>
      <c r="H422" s="532" t="s">
        <v>617</v>
      </c>
      <c r="I422" s="532" t="s">
        <v>618</v>
      </c>
      <c r="J422" s="532" t="s">
        <v>619</v>
      </c>
      <c r="K422" s="532" t="s">
        <v>620</v>
      </c>
      <c r="L422" s="532" t="s">
        <v>621</v>
      </c>
      <c r="M422" s="532" t="s">
        <v>622</v>
      </c>
      <c r="N422" s="532" t="s">
        <v>623</v>
      </c>
      <c r="O422" s="532" t="s">
        <v>225</v>
      </c>
      <c r="P422" s="532" t="s">
        <v>624</v>
      </c>
      <c r="Q422" s="532" t="s">
        <v>625</v>
      </c>
      <c r="R422" s="532" t="s">
        <v>626</v>
      </c>
      <c r="S422" s="532" t="s">
        <v>227</v>
      </c>
      <c r="T422" s="532" t="s">
        <v>627</v>
      </c>
      <c r="U422" s="532" t="s">
        <v>628</v>
      </c>
      <c r="V422" s="532" t="s">
        <v>629</v>
      </c>
      <c r="W422" s="532" t="s">
        <v>630</v>
      </c>
      <c r="X422" s="532" t="s">
        <v>631</v>
      </c>
      <c r="Y422" s="532" t="s">
        <v>632</v>
      </c>
      <c r="Z422" s="532" t="s">
        <v>633</v>
      </c>
      <c r="AA422" s="532" t="s">
        <v>229</v>
      </c>
      <c r="AB422" s="532" t="s">
        <v>634</v>
      </c>
      <c r="AC422" s="532" t="s">
        <v>635</v>
      </c>
      <c r="AD422" s="532" t="s">
        <v>636</v>
      </c>
      <c r="AE422" s="532" t="s">
        <v>637</v>
      </c>
      <c r="AF422" s="532" t="s">
        <v>638</v>
      </c>
      <c r="AG422" s="532" t="s">
        <v>639</v>
      </c>
      <c r="AH422" s="532" t="s">
        <v>640</v>
      </c>
      <c r="AI422" s="532" t="s">
        <v>641</v>
      </c>
      <c r="AJ422" s="532" t="s">
        <v>642</v>
      </c>
      <c r="AK422" s="532" t="s">
        <v>643</v>
      </c>
      <c r="AL422" s="532" t="s">
        <v>644</v>
      </c>
      <c r="AP422" s="530" t="str">
        <f>B420</f>
        <v>United Kingdom</v>
      </c>
    </row>
    <row r="423" spans="1:43">
      <c r="A423" s="532" t="s">
        <v>583</v>
      </c>
      <c r="B423" s="533">
        <v>31876</v>
      </c>
      <c r="C423" s="533">
        <v>0</v>
      </c>
      <c r="D423" s="533">
        <v>0</v>
      </c>
      <c r="E423" s="533">
        <v>0</v>
      </c>
      <c r="F423" s="533">
        <v>0</v>
      </c>
      <c r="G423" s="534" t="s">
        <v>36</v>
      </c>
      <c r="H423" s="534" t="s">
        <v>36</v>
      </c>
      <c r="I423" s="534" t="s">
        <v>36</v>
      </c>
      <c r="J423" s="534" t="s">
        <v>36</v>
      </c>
      <c r="K423" s="533">
        <v>31876</v>
      </c>
      <c r="L423" s="533">
        <v>0</v>
      </c>
      <c r="M423" s="533">
        <v>0</v>
      </c>
      <c r="N423" s="533">
        <v>0</v>
      </c>
      <c r="O423" s="533">
        <v>0</v>
      </c>
      <c r="P423" s="533">
        <v>0</v>
      </c>
      <c r="Q423" s="533">
        <v>0</v>
      </c>
      <c r="R423" s="533">
        <v>0</v>
      </c>
      <c r="S423" s="533">
        <v>0</v>
      </c>
      <c r="T423" s="533">
        <v>0</v>
      </c>
      <c r="U423" s="533">
        <v>0</v>
      </c>
      <c r="V423" s="533">
        <v>0</v>
      </c>
      <c r="W423" s="533">
        <v>0</v>
      </c>
      <c r="X423" s="533">
        <v>2556</v>
      </c>
      <c r="Y423" s="533">
        <v>0</v>
      </c>
      <c r="Z423" s="533">
        <v>2556</v>
      </c>
      <c r="AA423" s="533">
        <v>29320</v>
      </c>
      <c r="AB423" s="533">
        <v>30291</v>
      </c>
      <c r="AC423" s="533">
        <v>0</v>
      </c>
      <c r="AD423" s="533">
        <v>0</v>
      </c>
      <c r="AE423" s="533">
        <v>0</v>
      </c>
      <c r="AF423" s="533">
        <v>0</v>
      </c>
      <c r="AG423" s="533">
        <v>0</v>
      </c>
      <c r="AH423" s="533">
        <v>0</v>
      </c>
      <c r="AI423" s="533">
        <v>0</v>
      </c>
      <c r="AJ423" s="533">
        <v>0</v>
      </c>
      <c r="AK423" s="533">
        <v>0</v>
      </c>
      <c r="AL423" s="533">
        <v>0</v>
      </c>
      <c r="AO423" s="530" t="str">
        <f>A427</f>
        <v>Transformation input in Autoproducer Electricity Plants</v>
      </c>
      <c r="AP423" s="530">
        <f>B427/1000</f>
        <v>0.68</v>
      </c>
      <c r="AQ423" s="530" t="str">
        <f>B422</f>
        <v>Total petroleum products</v>
      </c>
    </row>
    <row r="424" spans="1:43">
      <c r="A424" s="532" t="s">
        <v>584</v>
      </c>
      <c r="B424" s="533">
        <v>31876</v>
      </c>
      <c r="C424" s="533">
        <v>0</v>
      </c>
      <c r="D424" s="533">
        <v>0</v>
      </c>
      <c r="E424" s="533">
        <v>0</v>
      </c>
      <c r="F424" s="533">
        <v>0</v>
      </c>
      <c r="G424" s="534" t="s">
        <v>36</v>
      </c>
      <c r="H424" s="534" t="s">
        <v>36</v>
      </c>
      <c r="I424" s="534" t="s">
        <v>36</v>
      </c>
      <c r="J424" s="534" t="s">
        <v>36</v>
      </c>
      <c r="K424" s="533">
        <v>31876</v>
      </c>
      <c r="L424" s="533">
        <v>0</v>
      </c>
      <c r="M424" s="533">
        <v>0</v>
      </c>
      <c r="N424" s="533">
        <v>0</v>
      </c>
      <c r="O424" s="533">
        <v>0</v>
      </c>
      <c r="P424" s="533">
        <v>0</v>
      </c>
      <c r="Q424" s="533">
        <v>0</v>
      </c>
      <c r="R424" s="533">
        <v>0</v>
      </c>
      <c r="S424" s="533">
        <v>0</v>
      </c>
      <c r="T424" s="533">
        <v>0</v>
      </c>
      <c r="U424" s="533">
        <v>0</v>
      </c>
      <c r="V424" s="533">
        <v>0</v>
      </c>
      <c r="W424" s="533">
        <v>0</v>
      </c>
      <c r="X424" s="533">
        <v>2556</v>
      </c>
      <c r="Y424" s="533">
        <v>0</v>
      </c>
      <c r="Z424" s="533">
        <v>2556</v>
      </c>
      <c r="AA424" s="533">
        <v>29320</v>
      </c>
      <c r="AB424" s="533">
        <v>30291</v>
      </c>
      <c r="AC424" s="533">
        <v>0</v>
      </c>
      <c r="AD424" s="533">
        <v>0</v>
      </c>
      <c r="AE424" s="533">
        <v>0</v>
      </c>
      <c r="AF424" s="533">
        <v>0</v>
      </c>
      <c r="AG424" s="533">
        <v>0</v>
      </c>
      <c r="AH424" s="533">
        <v>0</v>
      </c>
      <c r="AI424" s="533">
        <v>0</v>
      </c>
      <c r="AJ424" s="533">
        <v>0</v>
      </c>
      <c r="AK424" s="533">
        <v>0</v>
      </c>
      <c r="AL424" s="533">
        <v>0</v>
      </c>
      <c r="AO424" s="530" t="s">
        <v>1065</v>
      </c>
      <c r="AP424" s="530">
        <f>L427/1000</f>
        <v>0</v>
      </c>
      <c r="AQ424" s="532" t="s">
        <v>621</v>
      </c>
    </row>
    <row r="425" spans="1:43">
      <c r="A425" s="532" t="s">
        <v>585</v>
      </c>
      <c r="B425" s="533">
        <v>0</v>
      </c>
      <c r="C425" s="533">
        <v>0</v>
      </c>
      <c r="D425" s="533">
        <v>0</v>
      </c>
      <c r="E425" s="533">
        <v>0</v>
      </c>
      <c r="F425" s="533">
        <v>0</v>
      </c>
      <c r="G425" s="534" t="s">
        <v>36</v>
      </c>
      <c r="H425" s="534" t="s">
        <v>36</v>
      </c>
      <c r="I425" s="534" t="s">
        <v>36</v>
      </c>
      <c r="J425" s="534" t="s">
        <v>36</v>
      </c>
      <c r="K425" s="533">
        <v>0</v>
      </c>
      <c r="L425" s="533">
        <v>0</v>
      </c>
      <c r="M425" s="533">
        <v>0</v>
      </c>
      <c r="N425" s="533">
        <v>0</v>
      </c>
      <c r="O425" s="533">
        <v>0</v>
      </c>
      <c r="P425" s="533">
        <v>0</v>
      </c>
      <c r="Q425" s="533">
        <v>0</v>
      </c>
      <c r="R425" s="533">
        <v>0</v>
      </c>
      <c r="S425" s="533">
        <v>0</v>
      </c>
      <c r="T425" s="533">
        <v>0</v>
      </c>
      <c r="U425" s="533">
        <v>0</v>
      </c>
      <c r="V425" s="533">
        <v>0</v>
      </c>
      <c r="W425" s="533">
        <v>0</v>
      </c>
      <c r="X425" s="533">
        <v>0</v>
      </c>
      <c r="Y425" s="533">
        <v>0</v>
      </c>
      <c r="Z425" s="533">
        <v>0</v>
      </c>
      <c r="AA425" s="533">
        <v>0</v>
      </c>
      <c r="AB425" s="533">
        <v>0</v>
      </c>
      <c r="AC425" s="533">
        <v>0</v>
      </c>
      <c r="AD425" s="533">
        <v>0</v>
      </c>
      <c r="AE425" s="533">
        <v>0</v>
      </c>
      <c r="AF425" s="533">
        <v>0</v>
      </c>
      <c r="AG425" s="533">
        <v>0</v>
      </c>
      <c r="AH425" s="533">
        <v>0</v>
      </c>
      <c r="AI425" s="533">
        <v>0</v>
      </c>
      <c r="AJ425" s="533">
        <v>0</v>
      </c>
      <c r="AK425" s="533">
        <v>0</v>
      </c>
      <c r="AL425" s="533">
        <v>0</v>
      </c>
      <c r="AO425" s="530" t="s">
        <v>1066</v>
      </c>
      <c r="AP425" s="530">
        <f>L428/1000</f>
        <v>0</v>
      </c>
      <c r="AQ425" s="532" t="s">
        <v>621</v>
      </c>
    </row>
    <row r="426" spans="1:43">
      <c r="A426" s="532" t="s">
        <v>586</v>
      </c>
      <c r="B426" s="533">
        <v>10001</v>
      </c>
      <c r="C426" s="533">
        <v>0</v>
      </c>
      <c r="D426" s="533">
        <v>0</v>
      </c>
      <c r="E426" s="533">
        <v>0</v>
      </c>
      <c r="F426" s="533">
        <v>0</v>
      </c>
      <c r="G426" s="534" t="s">
        <v>36</v>
      </c>
      <c r="H426" s="534" t="s">
        <v>36</v>
      </c>
      <c r="I426" s="534" t="s">
        <v>36</v>
      </c>
      <c r="J426" s="534" t="s">
        <v>36</v>
      </c>
      <c r="K426" s="533">
        <v>10001</v>
      </c>
      <c r="L426" s="533">
        <v>0</v>
      </c>
      <c r="M426" s="533">
        <v>0</v>
      </c>
      <c r="N426" s="533">
        <v>0</v>
      </c>
      <c r="O426" s="533">
        <v>0</v>
      </c>
      <c r="P426" s="533">
        <v>0</v>
      </c>
      <c r="Q426" s="533">
        <v>0</v>
      </c>
      <c r="R426" s="533">
        <v>0</v>
      </c>
      <c r="S426" s="533">
        <v>0</v>
      </c>
      <c r="T426" s="533">
        <v>0</v>
      </c>
      <c r="U426" s="533">
        <v>0</v>
      </c>
      <c r="V426" s="533">
        <v>0</v>
      </c>
      <c r="W426" s="533">
        <v>0</v>
      </c>
      <c r="X426" s="533">
        <v>1321</v>
      </c>
      <c r="Y426" s="533">
        <v>0</v>
      </c>
      <c r="Z426" s="533">
        <v>1321</v>
      </c>
      <c r="AA426" s="533">
        <v>8680</v>
      </c>
      <c r="AB426" s="533">
        <v>8968</v>
      </c>
      <c r="AC426" s="533">
        <v>0</v>
      </c>
      <c r="AD426" s="533">
        <v>0</v>
      </c>
      <c r="AE426" s="533">
        <v>0</v>
      </c>
      <c r="AF426" s="533">
        <v>0</v>
      </c>
      <c r="AG426" s="533">
        <v>0</v>
      </c>
      <c r="AH426" s="533">
        <v>0</v>
      </c>
      <c r="AI426" s="533">
        <v>0</v>
      </c>
      <c r="AJ426" s="533">
        <v>0</v>
      </c>
      <c r="AK426" s="533">
        <v>0</v>
      </c>
      <c r="AL426" s="533">
        <v>0</v>
      </c>
      <c r="AO426" s="530" t="s">
        <v>1065</v>
      </c>
      <c r="AP426" s="535">
        <f>AB427/1000</f>
        <v>0.70299999999999996</v>
      </c>
      <c r="AQ426" s="532" t="s">
        <v>634</v>
      </c>
    </row>
    <row r="427" spans="1:43">
      <c r="A427" s="532" t="s">
        <v>587</v>
      </c>
      <c r="B427" s="533">
        <v>680</v>
      </c>
      <c r="C427" s="533">
        <v>0</v>
      </c>
      <c r="D427" s="533">
        <v>0</v>
      </c>
      <c r="E427" s="533">
        <v>0</v>
      </c>
      <c r="F427" s="533">
        <v>0</v>
      </c>
      <c r="G427" s="534" t="s">
        <v>36</v>
      </c>
      <c r="H427" s="534" t="s">
        <v>36</v>
      </c>
      <c r="I427" s="534" t="s">
        <v>36</v>
      </c>
      <c r="J427" s="534" t="s">
        <v>36</v>
      </c>
      <c r="K427" s="533">
        <v>680</v>
      </c>
      <c r="L427" s="533">
        <v>0</v>
      </c>
      <c r="M427" s="533">
        <v>0</v>
      </c>
      <c r="N427" s="533">
        <v>0</v>
      </c>
      <c r="O427" s="533">
        <v>0</v>
      </c>
      <c r="P427" s="533">
        <v>0</v>
      </c>
      <c r="Q427" s="533">
        <v>0</v>
      </c>
      <c r="R427" s="533">
        <v>0</v>
      </c>
      <c r="S427" s="533">
        <v>0</v>
      </c>
      <c r="T427" s="533">
        <v>0</v>
      </c>
      <c r="U427" s="533">
        <v>0</v>
      </c>
      <c r="V427" s="533">
        <v>0</v>
      </c>
      <c r="W427" s="533">
        <v>0</v>
      </c>
      <c r="X427" s="533">
        <v>0</v>
      </c>
      <c r="Y427" s="533">
        <v>0</v>
      </c>
      <c r="Z427" s="533">
        <v>0</v>
      </c>
      <c r="AA427" s="533">
        <v>680</v>
      </c>
      <c r="AB427" s="533">
        <v>703</v>
      </c>
      <c r="AC427" s="533">
        <v>0</v>
      </c>
      <c r="AD427" s="533">
        <v>0</v>
      </c>
      <c r="AE427" s="533">
        <v>0</v>
      </c>
      <c r="AF427" s="533">
        <v>0</v>
      </c>
      <c r="AG427" s="533">
        <v>0</v>
      </c>
      <c r="AH427" s="533">
        <v>0</v>
      </c>
      <c r="AI427" s="533">
        <v>0</v>
      </c>
      <c r="AJ427" s="533">
        <v>0</v>
      </c>
      <c r="AK427" s="533">
        <v>0</v>
      </c>
      <c r="AL427" s="533">
        <v>0</v>
      </c>
      <c r="AO427" s="530" t="s">
        <v>1066</v>
      </c>
      <c r="AP427" s="535">
        <f>AB428/1000</f>
        <v>8.2650000000000006</v>
      </c>
      <c r="AQ427" s="532" t="s">
        <v>634</v>
      </c>
    </row>
    <row r="428" spans="1:43">
      <c r="A428" s="532" t="s">
        <v>588</v>
      </c>
      <c r="B428" s="533">
        <v>9321</v>
      </c>
      <c r="C428" s="533">
        <v>0</v>
      </c>
      <c r="D428" s="533">
        <v>0</v>
      </c>
      <c r="E428" s="533">
        <v>0</v>
      </c>
      <c r="F428" s="533">
        <v>0</v>
      </c>
      <c r="G428" s="534" t="s">
        <v>36</v>
      </c>
      <c r="H428" s="534" t="s">
        <v>36</v>
      </c>
      <c r="I428" s="534" t="s">
        <v>36</v>
      </c>
      <c r="J428" s="534" t="s">
        <v>36</v>
      </c>
      <c r="K428" s="533">
        <v>9321</v>
      </c>
      <c r="L428" s="533">
        <v>0</v>
      </c>
      <c r="M428" s="533">
        <v>0</v>
      </c>
      <c r="N428" s="533">
        <v>0</v>
      </c>
      <c r="O428" s="533">
        <v>0</v>
      </c>
      <c r="P428" s="533">
        <v>0</v>
      </c>
      <c r="Q428" s="533">
        <v>0</v>
      </c>
      <c r="R428" s="533">
        <v>0</v>
      </c>
      <c r="S428" s="533">
        <v>0</v>
      </c>
      <c r="T428" s="533">
        <v>0</v>
      </c>
      <c r="U428" s="533">
        <v>0</v>
      </c>
      <c r="V428" s="533">
        <v>0</v>
      </c>
      <c r="W428" s="533">
        <v>0</v>
      </c>
      <c r="X428" s="533">
        <v>1321</v>
      </c>
      <c r="Y428" s="533">
        <v>0</v>
      </c>
      <c r="Z428" s="533">
        <v>1321</v>
      </c>
      <c r="AA428" s="533">
        <v>8000</v>
      </c>
      <c r="AB428" s="533">
        <v>8265</v>
      </c>
      <c r="AC428" s="533">
        <v>0</v>
      </c>
      <c r="AD428" s="533">
        <v>0</v>
      </c>
      <c r="AE428" s="533">
        <v>0</v>
      </c>
      <c r="AF428" s="533">
        <v>0</v>
      </c>
      <c r="AG428" s="533">
        <v>0</v>
      </c>
      <c r="AH428" s="533">
        <v>0</v>
      </c>
      <c r="AI428" s="533">
        <v>0</v>
      </c>
      <c r="AJ428" s="533">
        <v>0</v>
      </c>
      <c r="AK428" s="533">
        <v>0</v>
      </c>
      <c r="AL428" s="533">
        <v>0</v>
      </c>
      <c r="AO428" s="530" t="s">
        <v>1065</v>
      </c>
      <c r="AP428" s="535">
        <f>AC427/1000</f>
        <v>0</v>
      </c>
      <c r="AQ428" s="532" t="s">
        <v>635</v>
      </c>
    </row>
    <row r="429" spans="1:43">
      <c r="AO429" s="530" t="s">
        <v>1066</v>
      </c>
      <c r="AP429" s="535">
        <f>AC428/1000</f>
        <v>0</v>
      </c>
      <c r="AQ429" s="532" t="s">
        <v>635</v>
      </c>
    </row>
    <row r="430" spans="1:43">
      <c r="A430" s="529" t="s">
        <v>589</v>
      </c>
    </row>
    <row r="431" spans="1:43">
      <c r="A431" s="529" t="s">
        <v>36</v>
      </c>
      <c r="B431" s="529" t="s">
        <v>590</v>
      </c>
    </row>
    <row r="433" spans="1:43">
      <c r="A433" s="529" t="s">
        <v>340</v>
      </c>
      <c r="B433" s="529" t="s">
        <v>576</v>
      </c>
    </row>
    <row r="434" spans="1:43">
      <c r="A434" s="529" t="s">
        <v>578</v>
      </c>
      <c r="B434" s="529" t="s">
        <v>298</v>
      </c>
    </row>
    <row r="435" spans="1:43">
      <c r="A435" s="529" t="s">
        <v>343</v>
      </c>
      <c r="B435" s="529" t="s">
        <v>179</v>
      </c>
    </row>
    <row r="437" spans="1:43">
      <c r="A437" s="532" t="s">
        <v>592</v>
      </c>
      <c r="B437" s="532" t="s">
        <v>611</v>
      </c>
      <c r="C437" s="532" t="s">
        <v>612</v>
      </c>
      <c r="D437" s="532" t="s">
        <v>613</v>
      </c>
      <c r="E437" s="532" t="s">
        <v>614</v>
      </c>
      <c r="F437" s="532" t="s">
        <v>615</v>
      </c>
      <c r="G437" s="532" t="s">
        <v>616</v>
      </c>
      <c r="H437" s="532" t="s">
        <v>617</v>
      </c>
      <c r="I437" s="532" t="s">
        <v>618</v>
      </c>
      <c r="J437" s="532" t="s">
        <v>619</v>
      </c>
      <c r="K437" s="532" t="s">
        <v>620</v>
      </c>
      <c r="L437" s="532" t="s">
        <v>621</v>
      </c>
      <c r="M437" s="532" t="s">
        <v>622</v>
      </c>
      <c r="N437" s="532" t="s">
        <v>623</v>
      </c>
      <c r="O437" s="532" t="s">
        <v>225</v>
      </c>
      <c r="P437" s="532" t="s">
        <v>624</v>
      </c>
      <c r="Q437" s="532" t="s">
        <v>625</v>
      </c>
      <c r="R437" s="532" t="s">
        <v>626</v>
      </c>
      <c r="S437" s="532" t="s">
        <v>227</v>
      </c>
      <c r="T437" s="532" t="s">
        <v>627</v>
      </c>
      <c r="U437" s="532" t="s">
        <v>628</v>
      </c>
      <c r="V437" s="532" t="s">
        <v>629</v>
      </c>
      <c r="W437" s="532" t="s">
        <v>630</v>
      </c>
      <c r="X437" s="532" t="s">
        <v>631</v>
      </c>
      <c r="Y437" s="532" t="s">
        <v>632</v>
      </c>
      <c r="Z437" s="532" t="s">
        <v>633</v>
      </c>
      <c r="AA437" s="532" t="s">
        <v>229</v>
      </c>
      <c r="AB437" s="532" t="s">
        <v>634</v>
      </c>
      <c r="AC437" s="532" t="s">
        <v>635</v>
      </c>
      <c r="AD437" s="532" t="s">
        <v>636</v>
      </c>
      <c r="AE437" s="532" t="s">
        <v>637</v>
      </c>
      <c r="AF437" s="532" t="s">
        <v>638</v>
      </c>
      <c r="AG437" s="532" t="s">
        <v>639</v>
      </c>
      <c r="AH437" s="532" t="s">
        <v>640</v>
      </c>
      <c r="AI437" s="532" t="s">
        <v>641</v>
      </c>
      <c r="AJ437" s="532" t="s">
        <v>642</v>
      </c>
      <c r="AK437" s="532" t="s">
        <v>643</v>
      </c>
      <c r="AL437" s="532" t="s">
        <v>644</v>
      </c>
      <c r="AP437" s="530" t="str">
        <f>B435</f>
        <v>Iceland</v>
      </c>
    </row>
    <row r="438" spans="1:43">
      <c r="A438" s="532" t="s">
        <v>583</v>
      </c>
      <c r="B438" s="533">
        <v>43</v>
      </c>
      <c r="C438" s="534" t="s">
        <v>36</v>
      </c>
      <c r="D438" s="534" t="s">
        <v>36</v>
      </c>
      <c r="E438" s="534" t="s">
        <v>36</v>
      </c>
      <c r="F438" s="534" t="s">
        <v>36</v>
      </c>
      <c r="G438" s="534" t="s">
        <v>36</v>
      </c>
      <c r="H438" s="534" t="s">
        <v>36</v>
      </c>
      <c r="I438" s="534" t="s">
        <v>36</v>
      </c>
      <c r="J438" s="534" t="s">
        <v>36</v>
      </c>
      <c r="K438" s="533">
        <v>43</v>
      </c>
      <c r="L438" s="534" t="s">
        <v>36</v>
      </c>
      <c r="M438" s="534" t="s">
        <v>36</v>
      </c>
      <c r="N438" s="534" t="s">
        <v>36</v>
      </c>
      <c r="O438" s="534" t="s">
        <v>36</v>
      </c>
      <c r="P438" s="534" t="s">
        <v>36</v>
      </c>
      <c r="Q438" s="534" t="s">
        <v>36</v>
      </c>
      <c r="R438" s="534" t="s">
        <v>36</v>
      </c>
      <c r="S438" s="534" t="s">
        <v>36</v>
      </c>
      <c r="T438" s="534" t="s">
        <v>36</v>
      </c>
      <c r="U438" s="534" t="s">
        <v>36</v>
      </c>
      <c r="V438" s="534" t="s">
        <v>36</v>
      </c>
      <c r="W438" s="534" t="s">
        <v>36</v>
      </c>
      <c r="X438" s="533">
        <v>43</v>
      </c>
      <c r="Y438" s="533">
        <v>43</v>
      </c>
      <c r="Z438" s="534" t="s">
        <v>36</v>
      </c>
      <c r="AA438" s="533">
        <v>0</v>
      </c>
      <c r="AB438" s="534" t="s">
        <v>36</v>
      </c>
      <c r="AC438" s="534" t="s">
        <v>36</v>
      </c>
      <c r="AD438" s="534" t="s">
        <v>36</v>
      </c>
      <c r="AE438" s="534" t="s">
        <v>36</v>
      </c>
      <c r="AF438" s="534" t="s">
        <v>36</v>
      </c>
      <c r="AG438" s="534" t="s">
        <v>36</v>
      </c>
      <c r="AH438" s="534" t="s">
        <v>36</v>
      </c>
      <c r="AI438" s="534" t="s">
        <v>36</v>
      </c>
      <c r="AJ438" s="534" t="s">
        <v>36</v>
      </c>
      <c r="AK438" s="534" t="s">
        <v>36</v>
      </c>
      <c r="AL438" s="534" t="s">
        <v>36</v>
      </c>
      <c r="AO438" s="530" t="str">
        <f>A442</f>
        <v>Transformation input in Autoproducer Electricity Plants</v>
      </c>
      <c r="AP438" s="530">
        <f>B442/1000</f>
        <v>0</v>
      </c>
      <c r="AQ438" s="530" t="str">
        <f>B437</f>
        <v>Total petroleum products</v>
      </c>
    </row>
    <row r="439" spans="1:43">
      <c r="A439" s="532" t="s">
        <v>584</v>
      </c>
      <c r="B439" s="533">
        <v>43</v>
      </c>
      <c r="C439" s="534" t="s">
        <v>36</v>
      </c>
      <c r="D439" s="534" t="s">
        <v>36</v>
      </c>
      <c r="E439" s="534" t="s">
        <v>36</v>
      </c>
      <c r="F439" s="534" t="s">
        <v>36</v>
      </c>
      <c r="G439" s="534" t="s">
        <v>36</v>
      </c>
      <c r="H439" s="534" t="s">
        <v>36</v>
      </c>
      <c r="I439" s="534" t="s">
        <v>36</v>
      </c>
      <c r="J439" s="534" t="s">
        <v>36</v>
      </c>
      <c r="K439" s="533">
        <v>43</v>
      </c>
      <c r="L439" s="534" t="s">
        <v>36</v>
      </c>
      <c r="M439" s="534" t="s">
        <v>36</v>
      </c>
      <c r="N439" s="534" t="s">
        <v>36</v>
      </c>
      <c r="O439" s="534" t="s">
        <v>36</v>
      </c>
      <c r="P439" s="534" t="s">
        <v>36</v>
      </c>
      <c r="Q439" s="534" t="s">
        <v>36</v>
      </c>
      <c r="R439" s="534" t="s">
        <v>36</v>
      </c>
      <c r="S439" s="534" t="s">
        <v>36</v>
      </c>
      <c r="T439" s="534" t="s">
        <v>36</v>
      </c>
      <c r="U439" s="534" t="s">
        <v>36</v>
      </c>
      <c r="V439" s="534" t="s">
        <v>36</v>
      </c>
      <c r="W439" s="534" t="s">
        <v>36</v>
      </c>
      <c r="X439" s="533">
        <v>43</v>
      </c>
      <c r="Y439" s="533">
        <v>43</v>
      </c>
      <c r="Z439" s="534" t="s">
        <v>36</v>
      </c>
      <c r="AA439" s="533">
        <v>0</v>
      </c>
      <c r="AB439" s="534" t="s">
        <v>36</v>
      </c>
      <c r="AC439" s="534" t="s">
        <v>36</v>
      </c>
      <c r="AD439" s="534" t="s">
        <v>36</v>
      </c>
      <c r="AE439" s="534" t="s">
        <v>36</v>
      </c>
      <c r="AF439" s="534" t="s">
        <v>36</v>
      </c>
      <c r="AG439" s="534" t="s">
        <v>36</v>
      </c>
      <c r="AH439" s="534" t="s">
        <v>36</v>
      </c>
      <c r="AI439" s="534" t="s">
        <v>36</v>
      </c>
      <c r="AJ439" s="534" t="s">
        <v>36</v>
      </c>
      <c r="AK439" s="534" t="s">
        <v>36</v>
      </c>
      <c r="AL439" s="534" t="s">
        <v>36</v>
      </c>
      <c r="AO439" s="530" t="s">
        <v>1065</v>
      </c>
      <c r="AP439" s="530" t="e">
        <f>L442/1000</f>
        <v>#VALUE!</v>
      </c>
      <c r="AQ439" s="532" t="s">
        <v>621</v>
      </c>
    </row>
    <row r="440" spans="1:43">
      <c r="A440" s="532" t="s">
        <v>585</v>
      </c>
      <c r="B440" s="533">
        <v>0</v>
      </c>
      <c r="C440" s="534" t="s">
        <v>36</v>
      </c>
      <c r="D440" s="534" t="s">
        <v>36</v>
      </c>
      <c r="E440" s="534" t="s">
        <v>36</v>
      </c>
      <c r="F440" s="534" t="s">
        <v>36</v>
      </c>
      <c r="G440" s="534" t="s">
        <v>36</v>
      </c>
      <c r="H440" s="534" t="s">
        <v>36</v>
      </c>
      <c r="I440" s="534" t="s">
        <v>36</v>
      </c>
      <c r="J440" s="534" t="s">
        <v>36</v>
      </c>
      <c r="K440" s="533">
        <v>0</v>
      </c>
      <c r="L440" s="534" t="s">
        <v>36</v>
      </c>
      <c r="M440" s="534" t="s">
        <v>36</v>
      </c>
      <c r="N440" s="534" t="s">
        <v>36</v>
      </c>
      <c r="O440" s="534" t="s">
        <v>36</v>
      </c>
      <c r="P440" s="534" t="s">
        <v>36</v>
      </c>
      <c r="Q440" s="534" t="s">
        <v>36</v>
      </c>
      <c r="R440" s="534" t="s">
        <v>36</v>
      </c>
      <c r="S440" s="534" t="s">
        <v>36</v>
      </c>
      <c r="T440" s="534" t="s">
        <v>36</v>
      </c>
      <c r="U440" s="534" t="s">
        <v>36</v>
      </c>
      <c r="V440" s="534" t="s">
        <v>36</v>
      </c>
      <c r="W440" s="534" t="s">
        <v>36</v>
      </c>
      <c r="X440" s="533">
        <v>0</v>
      </c>
      <c r="Y440" s="534" t="s">
        <v>36</v>
      </c>
      <c r="Z440" s="534" t="s">
        <v>36</v>
      </c>
      <c r="AA440" s="533">
        <v>0</v>
      </c>
      <c r="AB440" s="534" t="s">
        <v>36</v>
      </c>
      <c r="AC440" s="534" t="s">
        <v>36</v>
      </c>
      <c r="AD440" s="534" t="s">
        <v>36</v>
      </c>
      <c r="AE440" s="534" t="s">
        <v>36</v>
      </c>
      <c r="AF440" s="534" t="s">
        <v>36</v>
      </c>
      <c r="AG440" s="534" t="s">
        <v>36</v>
      </c>
      <c r="AH440" s="534" t="s">
        <v>36</v>
      </c>
      <c r="AI440" s="534" t="s">
        <v>36</v>
      </c>
      <c r="AJ440" s="534" t="s">
        <v>36</v>
      </c>
      <c r="AK440" s="534" t="s">
        <v>36</v>
      </c>
      <c r="AL440" s="534" t="s">
        <v>36</v>
      </c>
      <c r="AO440" s="530" t="s">
        <v>1066</v>
      </c>
      <c r="AP440" s="530" t="e">
        <f>L443/1000</f>
        <v>#VALUE!</v>
      </c>
      <c r="AQ440" s="532" t="s">
        <v>621</v>
      </c>
    </row>
    <row r="441" spans="1:43">
      <c r="A441" s="532" t="s">
        <v>586</v>
      </c>
      <c r="B441" s="533">
        <v>0</v>
      </c>
      <c r="C441" s="534" t="s">
        <v>36</v>
      </c>
      <c r="D441" s="534" t="s">
        <v>36</v>
      </c>
      <c r="E441" s="534" t="s">
        <v>36</v>
      </c>
      <c r="F441" s="534" t="s">
        <v>36</v>
      </c>
      <c r="G441" s="534" t="s">
        <v>36</v>
      </c>
      <c r="H441" s="534" t="s">
        <v>36</v>
      </c>
      <c r="I441" s="534" t="s">
        <v>36</v>
      </c>
      <c r="J441" s="534" t="s">
        <v>36</v>
      </c>
      <c r="K441" s="533">
        <v>0</v>
      </c>
      <c r="L441" s="534" t="s">
        <v>36</v>
      </c>
      <c r="M441" s="534" t="s">
        <v>36</v>
      </c>
      <c r="N441" s="534" t="s">
        <v>36</v>
      </c>
      <c r="O441" s="534" t="s">
        <v>36</v>
      </c>
      <c r="P441" s="534" t="s">
        <v>36</v>
      </c>
      <c r="Q441" s="534" t="s">
        <v>36</v>
      </c>
      <c r="R441" s="534" t="s">
        <v>36</v>
      </c>
      <c r="S441" s="534" t="s">
        <v>36</v>
      </c>
      <c r="T441" s="534" t="s">
        <v>36</v>
      </c>
      <c r="U441" s="534" t="s">
        <v>36</v>
      </c>
      <c r="V441" s="534" t="s">
        <v>36</v>
      </c>
      <c r="W441" s="534" t="s">
        <v>36</v>
      </c>
      <c r="X441" s="533">
        <v>0</v>
      </c>
      <c r="Y441" s="534" t="s">
        <v>36</v>
      </c>
      <c r="Z441" s="534" t="s">
        <v>36</v>
      </c>
      <c r="AA441" s="533">
        <v>0</v>
      </c>
      <c r="AB441" s="534" t="s">
        <v>36</v>
      </c>
      <c r="AC441" s="534" t="s">
        <v>36</v>
      </c>
      <c r="AD441" s="534" t="s">
        <v>36</v>
      </c>
      <c r="AE441" s="534" t="s">
        <v>36</v>
      </c>
      <c r="AF441" s="534" t="s">
        <v>36</v>
      </c>
      <c r="AG441" s="534" t="s">
        <v>36</v>
      </c>
      <c r="AH441" s="534" t="s">
        <v>36</v>
      </c>
      <c r="AI441" s="534" t="s">
        <v>36</v>
      </c>
      <c r="AJ441" s="534" t="s">
        <v>36</v>
      </c>
      <c r="AK441" s="534" t="s">
        <v>36</v>
      </c>
      <c r="AL441" s="534" t="s">
        <v>36</v>
      </c>
      <c r="AO441" s="530" t="s">
        <v>1065</v>
      </c>
      <c r="AP441" s="535" t="e">
        <f>AB442/1000</f>
        <v>#VALUE!</v>
      </c>
      <c r="AQ441" s="532" t="s">
        <v>634</v>
      </c>
    </row>
    <row r="442" spans="1:43">
      <c r="A442" s="532" t="s">
        <v>587</v>
      </c>
      <c r="B442" s="533">
        <v>0</v>
      </c>
      <c r="C442" s="534" t="s">
        <v>36</v>
      </c>
      <c r="D442" s="534" t="s">
        <v>36</v>
      </c>
      <c r="E442" s="534" t="s">
        <v>36</v>
      </c>
      <c r="F442" s="534" t="s">
        <v>36</v>
      </c>
      <c r="G442" s="534" t="s">
        <v>36</v>
      </c>
      <c r="H442" s="534" t="s">
        <v>36</v>
      </c>
      <c r="I442" s="534" t="s">
        <v>36</v>
      </c>
      <c r="J442" s="534" t="s">
        <v>36</v>
      </c>
      <c r="K442" s="533">
        <v>0</v>
      </c>
      <c r="L442" s="534" t="s">
        <v>36</v>
      </c>
      <c r="M442" s="534" t="s">
        <v>36</v>
      </c>
      <c r="N442" s="534" t="s">
        <v>36</v>
      </c>
      <c r="O442" s="534" t="s">
        <v>36</v>
      </c>
      <c r="P442" s="534" t="s">
        <v>36</v>
      </c>
      <c r="Q442" s="534" t="s">
        <v>36</v>
      </c>
      <c r="R442" s="534" t="s">
        <v>36</v>
      </c>
      <c r="S442" s="534" t="s">
        <v>36</v>
      </c>
      <c r="T442" s="534" t="s">
        <v>36</v>
      </c>
      <c r="U442" s="534" t="s">
        <v>36</v>
      </c>
      <c r="V442" s="534" t="s">
        <v>36</v>
      </c>
      <c r="W442" s="534" t="s">
        <v>36</v>
      </c>
      <c r="X442" s="533">
        <v>0</v>
      </c>
      <c r="Y442" s="534" t="s">
        <v>36</v>
      </c>
      <c r="Z442" s="534" t="s">
        <v>36</v>
      </c>
      <c r="AA442" s="533">
        <v>0</v>
      </c>
      <c r="AB442" s="534" t="s">
        <v>36</v>
      </c>
      <c r="AC442" s="534" t="s">
        <v>36</v>
      </c>
      <c r="AD442" s="534" t="s">
        <v>36</v>
      </c>
      <c r="AE442" s="534" t="s">
        <v>36</v>
      </c>
      <c r="AF442" s="534" t="s">
        <v>36</v>
      </c>
      <c r="AG442" s="534" t="s">
        <v>36</v>
      </c>
      <c r="AH442" s="534" t="s">
        <v>36</v>
      </c>
      <c r="AI442" s="534" t="s">
        <v>36</v>
      </c>
      <c r="AJ442" s="534" t="s">
        <v>36</v>
      </c>
      <c r="AK442" s="534" t="s">
        <v>36</v>
      </c>
      <c r="AL442" s="534" t="s">
        <v>36</v>
      </c>
      <c r="AO442" s="530" t="s">
        <v>1066</v>
      </c>
      <c r="AP442" s="535" t="e">
        <f>AB443/1000</f>
        <v>#VALUE!</v>
      </c>
      <c r="AQ442" s="532" t="s">
        <v>634</v>
      </c>
    </row>
    <row r="443" spans="1:43">
      <c r="A443" s="532" t="s">
        <v>588</v>
      </c>
      <c r="B443" s="533">
        <v>0</v>
      </c>
      <c r="C443" s="534" t="s">
        <v>36</v>
      </c>
      <c r="D443" s="534" t="s">
        <v>36</v>
      </c>
      <c r="E443" s="534" t="s">
        <v>36</v>
      </c>
      <c r="F443" s="534" t="s">
        <v>36</v>
      </c>
      <c r="G443" s="534" t="s">
        <v>36</v>
      </c>
      <c r="H443" s="534" t="s">
        <v>36</v>
      </c>
      <c r="I443" s="534" t="s">
        <v>36</v>
      </c>
      <c r="J443" s="534" t="s">
        <v>36</v>
      </c>
      <c r="K443" s="533">
        <v>0</v>
      </c>
      <c r="L443" s="534" t="s">
        <v>36</v>
      </c>
      <c r="M443" s="534" t="s">
        <v>36</v>
      </c>
      <c r="N443" s="534" t="s">
        <v>36</v>
      </c>
      <c r="O443" s="534" t="s">
        <v>36</v>
      </c>
      <c r="P443" s="534" t="s">
        <v>36</v>
      </c>
      <c r="Q443" s="534" t="s">
        <v>36</v>
      </c>
      <c r="R443" s="534" t="s">
        <v>36</v>
      </c>
      <c r="S443" s="534" t="s">
        <v>36</v>
      </c>
      <c r="T443" s="534" t="s">
        <v>36</v>
      </c>
      <c r="U443" s="534" t="s">
        <v>36</v>
      </c>
      <c r="V443" s="534" t="s">
        <v>36</v>
      </c>
      <c r="W443" s="534" t="s">
        <v>36</v>
      </c>
      <c r="X443" s="533">
        <v>0</v>
      </c>
      <c r="Y443" s="534" t="s">
        <v>36</v>
      </c>
      <c r="Z443" s="534" t="s">
        <v>36</v>
      </c>
      <c r="AA443" s="533">
        <v>0</v>
      </c>
      <c r="AB443" s="534" t="s">
        <v>36</v>
      </c>
      <c r="AC443" s="534" t="s">
        <v>36</v>
      </c>
      <c r="AD443" s="534" t="s">
        <v>36</v>
      </c>
      <c r="AE443" s="534" t="s">
        <v>36</v>
      </c>
      <c r="AF443" s="534" t="s">
        <v>36</v>
      </c>
      <c r="AG443" s="534" t="s">
        <v>36</v>
      </c>
      <c r="AH443" s="534" t="s">
        <v>36</v>
      </c>
      <c r="AI443" s="534" t="s">
        <v>36</v>
      </c>
      <c r="AJ443" s="534" t="s">
        <v>36</v>
      </c>
      <c r="AK443" s="534" t="s">
        <v>36</v>
      </c>
      <c r="AL443" s="534" t="s">
        <v>36</v>
      </c>
      <c r="AO443" s="530" t="s">
        <v>1065</v>
      </c>
      <c r="AP443" s="535" t="e">
        <f>AC442/1000</f>
        <v>#VALUE!</v>
      </c>
      <c r="AQ443" s="532" t="s">
        <v>635</v>
      </c>
    </row>
    <row r="444" spans="1:43">
      <c r="AO444" s="530" t="s">
        <v>1066</v>
      </c>
      <c r="AP444" s="535" t="e">
        <f>AC443/1000</f>
        <v>#VALUE!</v>
      </c>
      <c r="AQ444" s="532" t="s">
        <v>635</v>
      </c>
    </row>
    <row r="445" spans="1:43">
      <c r="A445" s="529" t="s">
        <v>589</v>
      </c>
    </row>
    <row r="446" spans="1:43">
      <c r="A446" s="529" t="s">
        <v>36</v>
      </c>
      <c r="B446" s="529" t="s">
        <v>590</v>
      </c>
    </row>
    <row r="448" spans="1:43">
      <c r="A448" s="529" t="s">
        <v>340</v>
      </c>
      <c r="B448" s="529" t="s">
        <v>576</v>
      </c>
    </row>
    <row r="449" spans="1:43">
      <c r="A449" s="529" t="s">
        <v>578</v>
      </c>
      <c r="B449" s="529" t="s">
        <v>298</v>
      </c>
    </row>
    <row r="450" spans="1:43">
      <c r="A450" s="529" t="s">
        <v>343</v>
      </c>
      <c r="B450" s="529" t="s">
        <v>178</v>
      </c>
    </row>
    <row r="452" spans="1:43">
      <c r="A452" s="532" t="s">
        <v>592</v>
      </c>
      <c r="B452" s="532" t="s">
        <v>611</v>
      </c>
      <c r="C452" s="532" t="s">
        <v>612</v>
      </c>
      <c r="D452" s="532" t="s">
        <v>613</v>
      </c>
      <c r="E452" s="532" t="s">
        <v>614</v>
      </c>
      <c r="F452" s="532" t="s">
        <v>615</v>
      </c>
      <c r="G452" s="532" t="s">
        <v>616</v>
      </c>
      <c r="H452" s="532" t="s">
        <v>617</v>
      </c>
      <c r="I452" s="532" t="s">
        <v>618</v>
      </c>
      <c r="J452" s="532" t="s">
        <v>619</v>
      </c>
      <c r="K452" s="532" t="s">
        <v>620</v>
      </c>
      <c r="L452" s="532" t="s">
        <v>621</v>
      </c>
      <c r="M452" s="532" t="s">
        <v>622</v>
      </c>
      <c r="N452" s="532" t="s">
        <v>623</v>
      </c>
      <c r="O452" s="532" t="s">
        <v>225</v>
      </c>
      <c r="P452" s="532" t="s">
        <v>624</v>
      </c>
      <c r="Q452" s="532" t="s">
        <v>625</v>
      </c>
      <c r="R452" s="532" t="s">
        <v>626</v>
      </c>
      <c r="S452" s="532" t="s">
        <v>227</v>
      </c>
      <c r="T452" s="532" t="s">
        <v>627</v>
      </c>
      <c r="U452" s="532" t="s">
        <v>628</v>
      </c>
      <c r="V452" s="532" t="s">
        <v>629</v>
      </c>
      <c r="W452" s="532" t="s">
        <v>630</v>
      </c>
      <c r="X452" s="532" t="s">
        <v>631</v>
      </c>
      <c r="Y452" s="532" t="s">
        <v>632</v>
      </c>
      <c r="Z452" s="532" t="s">
        <v>633</v>
      </c>
      <c r="AA452" s="532" t="s">
        <v>229</v>
      </c>
      <c r="AB452" s="532" t="s">
        <v>634</v>
      </c>
      <c r="AC452" s="532" t="s">
        <v>635</v>
      </c>
      <c r="AD452" s="532" t="s">
        <v>636</v>
      </c>
      <c r="AE452" s="532" t="s">
        <v>637</v>
      </c>
      <c r="AF452" s="532" t="s">
        <v>638</v>
      </c>
      <c r="AG452" s="532" t="s">
        <v>639</v>
      </c>
      <c r="AH452" s="532" t="s">
        <v>640</v>
      </c>
      <c r="AI452" s="532" t="s">
        <v>641</v>
      </c>
      <c r="AJ452" s="532" t="s">
        <v>642</v>
      </c>
      <c r="AK452" s="532" t="s">
        <v>643</v>
      </c>
      <c r="AL452" s="532" t="s">
        <v>644</v>
      </c>
      <c r="AP452" s="530" t="str">
        <f>B450</f>
        <v>Norway</v>
      </c>
    </row>
    <row r="453" spans="1:43">
      <c r="A453" s="532" t="s">
        <v>583</v>
      </c>
      <c r="B453" s="533">
        <v>0</v>
      </c>
      <c r="C453" s="533">
        <v>0</v>
      </c>
      <c r="D453" s="533">
        <v>0</v>
      </c>
      <c r="E453" s="533">
        <v>0</v>
      </c>
      <c r="F453" s="533">
        <v>0</v>
      </c>
      <c r="G453" s="534" t="s">
        <v>36</v>
      </c>
      <c r="H453" s="534" t="s">
        <v>36</v>
      </c>
      <c r="I453" s="534" t="s">
        <v>36</v>
      </c>
      <c r="J453" s="534" t="s">
        <v>36</v>
      </c>
      <c r="K453" s="533">
        <v>0</v>
      </c>
      <c r="L453" s="533">
        <v>0</v>
      </c>
      <c r="M453" s="533">
        <v>0</v>
      </c>
      <c r="N453" s="533">
        <v>0</v>
      </c>
      <c r="O453" s="533">
        <v>0</v>
      </c>
      <c r="P453" s="533">
        <v>0</v>
      </c>
      <c r="Q453" s="533">
        <v>0</v>
      </c>
      <c r="R453" s="533">
        <v>0</v>
      </c>
      <c r="S453" s="533">
        <v>0</v>
      </c>
      <c r="T453" s="533">
        <v>0</v>
      </c>
      <c r="U453" s="533">
        <v>0</v>
      </c>
      <c r="V453" s="533">
        <v>0</v>
      </c>
      <c r="W453" s="533">
        <v>0</v>
      </c>
      <c r="X453" s="533">
        <v>0</v>
      </c>
      <c r="Y453" s="533">
        <v>0</v>
      </c>
      <c r="Z453" s="533">
        <v>0</v>
      </c>
      <c r="AA453" s="533">
        <v>0</v>
      </c>
      <c r="AB453" s="533">
        <v>0</v>
      </c>
      <c r="AC453" s="533">
        <v>0</v>
      </c>
      <c r="AD453" s="533">
        <v>0</v>
      </c>
      <c r="AE453" s="533">
        <v>0</v>
      </c>
      <c r="AF453" s="533">
        <v>0</v>
      </c>
      <c r="AG453" s="533">
        <v>0</v>
      </c>
      <c r="AH453" s="533">
        <v>0</v>
      </c>
      <c r="AI453" s="533">
        <v>0</v>
      </c>
      <c r="AJ453" s="533">
        <v>0</v>
      </c>
      <c r="AK453" s="533">
        <v>0</v>
      </c>
      <c r="AL453" s="533">
        <v>0</v>
      </c>
      <c r="AO453" s="530" t="str">
        <f>A457</f>
        <v>Transformation input in Autoproducer Electricity Plants</v>
      </c>
      <c r="AP453" s="530">
        <f>B457/1000</f>
        <v>8.5000000000000006E-2</v>
      </c>
      <c r="AQ453" s="530" t="str">
        <f>B452</f>
        <v>Total petroleum products</v>
      </c>
    </row>
    <row r="454" spans="1:43">
      <c r="A454" s="532" t="s">
        <v>584</v>
      </c>
      <c r="B454" s="533">
        <v>0</v>
      </c>
      <c r="C454" s="533">
        <v>0</v>
      </c>
      <c r="D454" s="533">
        <v>0</v>
      </c>
      <c r="E454" s="533">
        <v>0</v>
      </c>
      <c r="F454" s="533">
        <v>0</v>
      </c>
      <c r="G454" s="534" t="s">
        <v>36</v>
      </c>
      <c r="H454" s="534" t="s">
        <v>36</v>
      </c>
      <c r="I454" s="534" t="s">
        <v>36</v>
      </c>
      <c r="J454" s="534" t="s">
        <v>36</v>
      </c>
      <c r="K454" s="533">
        <v>0</v>
      </c>
      <c r="L454" s="533">
        <v>0</v>
      </c>
      <c r="M454" s="533">
        <v>0</v>
      </c>
      <c r="N454" s="533">
        <v>0</v>
      </c>
      <c r="O454" s="533">
        <v>0</v>
      </c>
      <c r="P454" s="533">
        <v>0</v>
      </c>
      <c r="Q454" s="533">
        <v>0</v>
      </c>
      <c r="R454" s="533">
        <v>0</v>
      </c>
      <c r="S454" s="533">
        <v>0</v>
      </c>
      <c r="T454" s="533">
        <v>0</v>
      </c>
      <c r="U454" s="533">
        <v>0</v>
      </c>
      <c r="V454" s="533">
        <v>0</v>
      </c>
      <c r="W454" s="533">
        <v>0</v>
      </c>
      <c r="X454" s="533">
        <v>0</v>
      </c>
      <c r="Y454" s="533">
        <v>0</v>
      </c>
      <c r="Z454" s="533">
        <v>0</v>
      </c>
      <c r="AA454" s="533">
        <v>0</v>
      </c>
      <c r="AB454" s="533">
        <v>0</v>
      </c>
      <c r="AC454" s="533">
        <v>0</v>
      </c>
      <c r="AD454" s="533">
        <v>0</v>
      </c>
      <c r="AE454" s="533">
        <v>0</v>
      </c>
      <c r="AF454" s="533">
        <v>0</v>
      </c>
      <c r="AG454" s="533">
        <v>0</v>
      </c>
      <c r="AH454" s="533">
        <v>0</v>
      </c>
      <c r="AI454" s="533">
        <v>0</v>
      </c>
      <c r="AJ454" s="533">
        <v>0</v>
      </c>
      <c r="AK454" s="533">
        <v>0</v>
      </c>
      <c r="AL454" s="533">
        <v>0</v>
      </c>
      <c r="AO454" s="530" t="s">
        <v>1065</v>
      </c>
      <c r="AP454" s="530">
        <f>L457/1000</f>
        <v>0</v>
      </c>
      <c r="AQ454" s="532" t="s">
        <v>621</v>
      </c>
    </row>
    <row r="455" spans="1:43">
      <c r="A455" s="532" t="s">
        <v>585</v>
      </c>
      <c r="B455" s="533">
        <v>0</v>
      </c>
      <c r="C455" s="533">
        <v>0</v>
      </c>
      <c r="D455" s="533">
        <v>0</v>
      </c>
      <c r="E455" s="533">
        <v>0</v>
      </c>
      <c r="F455" s="533">
        <v>0</v>
      </c>
      <c r="G455" s="534" t="s">
        <v>36</v>
      </c>
      <c r="H455" s="534" t="s">
        <v>36</v>
      </c>
      <c r="I455" s="534" t="s">
        <v>36</v>
      </c>
      <c r="J455" s="534" t="s">
        <v>36</v>
      </c>
      <c r="K455" s="533">
        <v>0</v>
      </c>
      <c r="L455" s="533">
        <v>0</v>
      </c>
      <c r="M455" s="533">
        <v>0</v>
      </c>
      <c r="N455" s="533">
        <v>0</v>
      </c>
      <c r="O455" s="533">
        <v>0</v>
      </c>
      <c r="P455" s="533">
        <v>0</v>
      </c>
      <c r="Q455" s="533">
        <v>0</v>
      </c>
      <c r="R455" s="533">
        <v>0</v>
      </c>
      <c r="S455" s="533">
        <v>0</v>
      </c>
      <c r="T455" s="533">
        <v>0</v>
      </c>
      <c r="U455" s="533">
        <v>0</v>
      </c>
      <c r="V455" s="533">
        <v>0</v>
      </c>
      <c r="W455" s="533">
        <v>0</v>
      </c>
      <c r="X455" s="533">
        <v>0</v>
      </c>
      <c r="Y455" s="533">
        <v>0</v>
      </c>
      <c r="Z455" s="533">
        <v>0</v>
      </c>
      <c r="AA455" s="533">
        <v>0</v>
      </c>
      <c r="AB455" s="533">
        <v>0</v>
      </c>
      <c r="AC455" s="533">
        <v>0</v>
      </c>
      <c r="AD455" s="533">
        <v>0</v>
      </c>
      <c r="AE455" s="533">
        <v>0</v>
      </c>
      <c r="AF455" s="533">
        <v>0</v>
      </c>
      <c r="AG455" s="533">
        <v>0</v>
      </c>
      <c r="AH455" s="533">
        <v>0</v>
      </c>
      <c r="AI455" s="533">
        <v>0</v>
      </c>
      <c r="AJ455" s="533">
        <v>0</v>
      </c>
      <c r="AK455" s="533">
        <v>0</v>
      </c>
      <c r="AL455" s="533">
        <v>0</v>
      </c>
      <c r="AO455" s="530" t="s">
        <v>1066</v>
      </c>
      <c r="AP455" s="530">
        <f>L458/1000</f>
        <v>0</v>
      </c>
      <c r="AQ455" s="532" t="s">
        <v>621</v>
      </c>
    </row>
    <row r="456" spans="1:43">
      <c r="A456" s="532" t="s">
        <v>586</v>
      </c>
      <c r="B456" s="533">
        <v>85</v>
      </c>
      <c r="C456" s="533">
        <v>0</v>
      </c>
      <c r="D456" s="533">
        <v>0</v>
      </c>
      <c r="E456" s="533">
        <v>0</v>
      </c>
      <c r="F456" s="533">
        <v>0</v>
      </c>
      <c r="G456" s="534" t="s">
        <v>36</v>
      </c>
      <c r="H456" s="534" t="s">
        <v>36</v>
      </c>
      <c r="I456" s="534" t="s">
        <v>36</v>
      </c>
      <c r="J456" s="534" t="s">
        <v>36</v>
      </c>
      <c r="K456" s="533">
        <v>85</v>
      </c>
      <c r="L456" s="533">
        <v>0</v>
      </c>
      <c r="M456" s="533">
        <v>0</v>
      </c>
      <c r="N456" s="533">
        <v>0</v>
      </c>
      <c r="O456" s="533">
        <v>0</v>
      </c>
      <c r="P456" s="533">
        <v>0</v>
      </c>
      <c r="Q456" s="533">
        <v>0</v>
      </c>
      <c r="R456" s="533">
        <v>0</v>
      </c>
      <c r="S456" s="533">
        <v>0</v>
      </c>
      <c r="T456" s="533">
        <v>0</v>
      </c>
      <c r="U456" s="533">
        <v>0</v>
      </c>
      <c r="V456" s="533">
        <v>0</v>
      </c>
      <c r="W456" s="533">
        <v>0</v>
      </c>
      <c r="X456" s="533">
        <v>85</v>
      </c>
      <c r="Y456" s="533">
        <v>0</v>
      </c>
      <c r="Z456" s="533">
        <v>86</v>
      </c>
      <c r="AA456" s="533">
        <v>0</v>
      </c>
      <c r="AB456" s="533">
        <v>0</v>
      </c>
      <c r="AC456" s="533">
        <v>0</v>
      </c>
      <c r="AD456" s="533">
        <v>0</v>
      </c>
      <c r="AE456" s="533">
        <v>0</v>
      </c>
      <c r="AF456" s="533">
        <v>0</v>
      </c>
      <c r="AG456" s="533">
        <v>0</v>
      </c>
      <c r="AH456" s="533">
        <v>0</v>
      </c>
      <c r="AI456" s="533">
        <v>0</v>
      </c>
      <c r="AJ456" s="533">
        <v>0</v>
      </c>
      <c r="AK456" s="533">
        <v>0</v>
      </c>
      <c r="AL456" s="533">
        <v>0</v>
      </c>
      <c r="AO456" s="530" t="s">
        <v>1065</v>
      </c>
      <c r="AP456" s="535">
        <f>AB457/1000</f>
        <v>0</v>
      </c>
      <c r="AQ456" s="532" t="s">
        <v>634</v>
      </c>
    </row>
    <row r="457" spans="1:43">
      <c r="A457" s="532" t="s">
        <v>587</v>
      </c>
      <c r="B457" s="533">
        <v>85</v>
      </c>
      <c r="C457" s="533">
        <v>0</v>
      </c>
      <c r="D457" s="533">
        <v>0</v>
      </c>
      <c r="E457" s="533">
        <v>0</v>
      </c>
      <c r="F457" s="533">
        <v>0</v>
      </c>
      <c r="G457" s="534" t="s">
        <v>36</v>
      </c>
      <c r="H457" s="534" t="s">
        <v>36</v>
      </c>
      <c r="I457" s="534" t="s">
        <v>36</v>
      </c>
      <c r="J457" s="534" t="s">
        <v>36</v>
      </c>
      <c r="K457" s="533">
        <v>85</v>
      </c>
      <c r="L457" s="533">
        <v>0</v>
      </c>
      <c r="M457" s="533">
        <v>0</v>
      </c>
      <c r="N457" s="533">
        <v>0</v>
      </c>
      <c r="O457" s="533">
        <v>0</v>
      </c>
      <c r="P457" s="533">
        <v>0</v>
      </c>
      <c r="Q457" s="533">
        <v>0</v>
      </c>
      <c r="R457" s="533">
        <v>0</v>
      </c>
      <c r="S457" s="533">
        <v>0</v>
      </c>
      <c r="T457" s="533">
        <v>0</v>
      </c>
      <c r="U457" s="533">
        <v>0</v>
      </c>
      <c r="V457" s="533">
        <v>0</v>
      </c>
      <c r="W457" s="533">
        <v>0</v>
      </c>
      <c r="X457" s="533">
        <v>85</v>
      </c>
      <c r="Y457" s="533">
        <v>0</v>
      </c>
      <c r="Z457" s="533">
        <v>86</v>
      </c>
      <c r="AA457" s="533">
        <v>0</v>
      </c>
      <c r="AB457" s="533">
        <v>0</v>
      </c>
      <c r="AC457" s="533">
        <v>0</v>
      </c>
      <c r="AD457" s="533">
        <v>0</v>
      </c>
      <c r="AE457" s="533">
        <v>0</v>
      </c>
      <c r="AF457" s="533">
        <v>0</v>
      </c>
      <c r="AG457" s="533">
        <v>0</v>
      </c>
      <c r="AH457" s="533">
        <v>0</v>
      </c>
      <c r="AI457" s="533">
        <v>0</v>
      </c>
      <c r="AJ457" s="533">
        <v>0</v>
      </c>
      <c r="AK457" s="533">
        <v>0</v>
      </c>
      <c r="AL457" s="533">
        <v>0</v>
      </c>
      <c r="AO457" s="530" t="s">
        <v>1066</v>
      </c>
      <c r="AP457" s="535">
        <f>AB458/1000</f>
        <v>0</v>
      </c>
      <c r="AQ457" s="532" t="s">
        <v>634</v>
      </c>
    </row>
    <row r="458" spans="1:43">
      <c r="A458" s="532" t="s">
        <v>588</v>
      </c>
      <c r="B458" s="533">
        <v>0</v>
      </c>
      <c r="C458" s="533">
        <v>0</v>
      </c>
      <c r="D458" s="533">
        <v>0</v>
      </c>
      <c r="E458" s="533">
        <v>0</v>
      </c>
      <c r="F458" s="533">
        <v>0</v>
      </c>
      <c r="G458" s="534" t="s">
        <v>36</v>
      </c>
      <c r="H458" s="534" t="s">
        <v>36</v>
      </c>
      <c r="I458" s="534" t="s">
        <v>36</v>
      </c>
      <c r="J458" s="534" t="s">
        <v>36</v>
      </c>
      <c r="K458" s="533">
        <v>0</v>
      </c>
      <c r="L458" s="533">
        <v>0</v>
      </c>
      <c r="M458" s="533">
        <v>0</v>
      </c>
      <c r="N458" s="533">
        <v>0</v>
      </c>
      <c r="O458" s="533">
        <v>0</v>
      </c>
      <c r="P458" s="533">
        <v>0</v>
      </c>
      <c r="Q458" s="533">
        <v>0</v>
      </c>
      <c r="R458" s="533">
        <v>0</v>
      </c>
      <c r="S458" s="533">
        <v>0</v>
      </c>
      <c r="T458" s="533">
        <v>0</v>
      </c>
      <c r="U458" s="533">
        <v>0</v>
      </c>
      <c r="V458" s="533">
        <v>0</v>
      </c>
      <c r="W458" s="533">
        <v>0</v>
      </c>
      <c r="X458" s="533">
        <v>0</v>
      </c>
      <c r="Y458" s="533">
        <v>0</v>
      </c>
      <c r="Z458" s="533">
        <v>0</v>
      </c>
      <c r="AA458" s="533">
        <v>0</v>
      </c>
      <c r="AB458" s="533">
        <v>0</v>
      </c>
      <c r="AC458" s="533">
        <v>0</v>
      </c>
      <c r="AD458" s="533">
        <v>0</v>
      </c>
      <c r="AE458" s="533">
        <v>0</v>
      </c>
      <c r="AF458" s="533">
        <v>0</v>
      </c>
      <c r="AG458" s="533">
        <v>0</v>
      </c>
      <c r="AH458" s="533">
        <v>0</v>
      </c>
      <c r="AI458" s="533">
        <v>0</v>
      </c>
      <c r="AJ458" s="533">
        <v>0</v>
      </c>
      <c r="AK458" s="533">
        <v>0</v>
      </c>
      <c r="AL458" s="533">
        <v>0</v>
      </c>
      <c r="AO458" s="530" t="s">
        <v>1065</v>
      </c>
      <c r="AP458" s="535">
        <f>AC457/1000</f>
        <v>0</v>
      </c>
      <c r="AQ458" s="532" t="s">
        <v>635</v>
      </c>
    </row>
    <row r="459" spans="1:43">
      <c r="AO459" s="530" t="s">
        <v>1066</v>
      </c>
      <c r="AP459" s="535">
        <f>AC458/1000</f>
        <v>0</v>
      </c>
      <c r="AQ459" s="532" t="s">
        <v>635</v>
      </c>
    </row>
    <row r="460" spans="1:43">
      <c r="A460" s="529" t="s">
        <v>589</v>
      </c>
    </row>
    <row r="461" spans="1:43">
      <c r="A461" s="529" t="s">
        <v>36</v>
      </c>
      <c r="B461" s="529" t="s">
        <v>590</v>
      </c>
    </row>
    <row r="463" spans="1:43">
      <c r="A463" s="529" t="s">
        <v>340</v>
      </c>
      <c r="B463" s="529" t="s">
        <v>576</v>
      </c>
    </row>
    <row r="464" spans="1:43">
      <c r="A464" s="529" t="s">
        <v>578</v>
      </c>
      <c r="B464" s="529" t="s">
        <v>298</v>
      </c>
    </row>
    <row r="465" spans="1:43">
      <c r="A465" s="529" t="s">
        <v>343</v>
      </c>
      <c r="B465" s="529" t="s">
        <v>222</v>
      </c>
    </row>
    <row r="467" spans="1:43">
      <c r="A467" s="532" t="s">
        <v>592</v>
      </c>
      <c r="B467" s="532" t="s">
        <v>611</v>
      </c>
      <c r="C467" s="532" t="s">
        <v>612</v>
      </c>
      <c r="D467" s="532" t="s">
        <v>613</v>
      </c>
      <c r="E467" s="532" t="s">
        <v>614</v>
      </c>
      <c r="F467" s="532" t="s">
        <v>615</v>
      </c>
      <c r="G467" s="532" t="s">
        <v>616</v>
      </c>
      <c r="H467" s="532" t="s">
        <v>617</v>
      </c>
      <c r="I467" s="532" t="s">
        <v>618</v>
      </c>
      <c r="J467" s="532" t="s">
        <v>619</v>
      </c>
      <c r="K467" s="532" t="s">
        <v>620</v>
      </c>
      <c r="L467" s="532" t="s">
        <v>621</v>
      </c>
      <c r="M467" s="532" t="s">
        <v>622</v>
      </c>
      <c r="N467" s="532" t="s">
        <v>623</v>
      </c>
      <c r="O467" s="532" t="s">
        <v>225</v>
      </c>
      <c r="P467" s="532" t="s">
        <v>624</v>
      </c>
      <c r="Q467" s="532" t="s">
        <v>625</v>
      </c>
      <c r="R467" s="532" t="s">
        <v>626</v>
      </c>
      <c r="S467" s="532" t="s">
        <v>227</v>
      </c>
      <c r="T467" s="532" t="s">
        <v>627</v>
      </c>
      <c r="U467" s="532" t="s">
        <v>628</v>
      </c>
      <c r="V467" s="532" t="s">
        <v>629</v>
      </c>
      <c r="W467" s="532" t="s">
        <v>630</v>
      </c>
      <c r="X467" s="532" t="s">
        <v>631</v>
      </c>
      <c r="Y467" s="532" t="s">
        <v>632</v>
      </c>
      <c r="Z467" s="532" t="s">
        <v>633</v>
      </c>
      <c r="AA467" s="532" t="s">
        <v>229</v>
      </c>
      <c r="AB467" s="532" t="s">
        <v>634</v>
      </c>
      <c r="AC467" s="532" t="s">
        <v>635</v>
      </c>
      <c r="AD467" s="532" t="s">
        <v>636</v>
      </c>
      <c r="AE467" s="532" t="s">
        <v>637</v>
      </c>
      <c r="AF467" s="532" t="s">
        <v>638</v>
      </c>
      <c r="AG467" s="532" t="s">
        <v>639</v>
      </c>
      <c r="AH467" s="532" t="s">
        <v>640</v>
      </c>
      <c r="AI467" s="532" t="s">
        <v>641</v>
      </c>
      <c r="AJ467" s="532" t="s">
        <v>642</v>
      </c>
      <c r="AK467" s="532" t="s">
        <v>643</v>
      </c>
      <c r="AL467" s="532" t="s">
        <v>644</v>
      </c>
      <c r="AP467" s="530" t="str">
        <f>B465</f>
        <v>Switzerland</v>
      </c>
    </row>
    <row r="468" spans="1:43">
      <c r="A468" s="532" t="s">
        <v>583</v>
      </c>
      <c r="B468" s="533">
        <v>85</v>
      </c>
      <c r="C468" s="533">
        <v>0</v>
      </c>
      <c r="D468" s="533">
        <v>0</v>
      </c>
      <c r="E468" s="533">
        <v>0</v>
      </c>
      <c r="F468" s="533">
        <v>0</v>
      </c>
      <c r="G468" s="534" t="s">
        <v>36</v>
      </c>
      <c r="H468" s="534" t="s">
        <v>36</v>
      </c>
      <c r="I468" s="534" t="s">
        <v>36</v>
      </c>
      <c r="J468" s="534" t="s">
        <v>36</v>
      </c>
      <c r="K468" s="533">
        <v>85</v>
      </c>
      <c r="L468" s="533">
        <v>0</v>
      </c>
      <c r="M468" s="533">
        <v>0</v>
      </c>
      <c r="N468" s="533">
        <v>0</v>
      </c>
      <c r="O468" s="533">
        <v>0</v>
      </c>
      <c r="P468" s="533">
        <v>0</v>
      </c>
      <c r="Q468" s="533">
        <v>0</v>
      </c>
      <c r="R468" s="533">
        <v>0</v>
      </c>
      <c r="S468" s="533">
        <v>0</v>
      </c>
      <c r="T468" s="533">
        <v>0</v>
      </c>
      <c r="U468" s="533">
        <v>0</v>
      </c>
      <c r="V468" s="533">
        <v>0</v>
      </c>
      <c r="W468" s="533">
        <v>0</v>
      </c>
      <c r="X468" s="533">
        <v>85</v>
      </c>
      <c r="Y468" s="533">
        <v>0</v>
      </c>
      <c r="Z468" s="533">
        <v>85</v>
      </c>
      <c r="AA468" s="533">
        <v>0</v>
      </c>
      <c r="AB468" s="533">
        <v>0</v>
      </c>
      <c r="AC468" s="533">
        <v>0</v>
      </c>
      <c r="AD468" s="533">
        <v>0</v>
      </c>
      <c r="AE468" s="533">
        <v>0</v>
      </c>
      <c r="AF468" s="533">
        <v>0</v>
      </c>
      <c r="AG468" s="533">
        <v>0</v>
      </c>
      <c r="AH468" s="533">
        <v>0</v>
      </c>
      <c r="AI468" s="533">
        <v>0</v>
      </c>
      <c r="AJ468" s="533">
        <v>0</v>
      </c>
      <c r="AK468" s="533">
        <v>0</v>
      </c>
      <c r="AL468" s="533">
        <v>0</v>
      </c>
      <c r="AO468" s="530" t="str">
        <f>A472</f>
        <v>Transformation input in Autoproducer Electricity Plants</v>
      </c>
      <c r="AP468" s="530">
        <f>B472/1000</f>
        <v>0.42599999999999999</v>
      </c>
      <c r="AQ468" s="530" t="str">
        <f>B467</f>
        <v>Total petroleum products</v>
      </c>
    </row>
    <row r="469" spans="1:43">
      <c r="A469" s="532" t="s">
        <v>584</v>
      </c>
      <c r="B469" s="533">
        <v>0</v>
      </c>
      <c r="C469" s="533">
        <v>0</v>
      </c>
      <c r="D469" s="533">
        <v>0</v>
      </c>
      <c r="E469" s="533">
        <v>0</v>
      </c>
      <c r="F469" s="533">
        <v>0</v>
      </c>
      <c r="G469" s="534" t="s">
        <v>36</v>
      </c>
      <c r="H469" s="534" t="s">
        <v>36</v>
      </c>
      <c r="I469" s="534" t="s">
        <v>36</v>
      </c>
      <c r="J469" s="534" t="s">
        <v>36</v>
      </c>
      <c r="K469" s="533">
        <v>0</v>
      </c>
      <c r="L469" s="533">
        <v>0</v>
      </c>
      <c r="M469" s="533">
        <v>0</v>
      </c>
      <c r="N469" s="533">
        <v>0</v>
      </c>
      <c r="O469" s="533">
        <v>0</v>
      </c>
      <c r="P469" s="533">
        <v>0</v>
      </c>
      <c r="Q469" s="533">
        <v>0</v>
      </c>
      <c r="R469" s="533">
        <v>0</v>
      </c>
      <c r="S469" s="533">
        <v>0</v>
      </c>
      <c r="T469" s="533">
        <v>0</v>
      </c>
      <c r="U469" s="533">
        <v>0</v>
      </c>
      <c r="V469" s="533">
        <v>0</v>
      </c>
      <c r="W469" s="533">
        <v>0</v>
      </c>
      <c r="X469" s="533">
        <v>0</v>
      </c>
      <c r="Y469" s="533">
        <v>0</v>
      </c>
      <c r="Z469" s="533">
        <v>0</v>
      </c>
      <c r="AA469" s="533">
        <v>0</v>
      </c>
      <c r="AB469" s="533">
        <v>0</v>
      </c>
      <c r="AC469" s="533">
        <v>0</v>
      </c>
      <c r="AD469" s="533">
        <v>0</v>
      </c>
      <c r="AE469" s="533">
        <v>0</v>
      </c>
      <c r="AF469" s="533">
        <v>0</v>
      </c>
      <c r="AG469" s="533">
        <v>0</v>
      </c>
      <c r="AH469" s="533">
        <v>0</v>
      </c>
      <c r="AI469" s="533">
        <v>0</v>
      </c>
      <c r="AJ469" s="533">
        <v>0</v>
      </c>
      <c r="AK469" s="533">
        <v>0</v>
      </c>
      <c r="AL469" s="533">
        <v>0</v>
      </c>
      <c r="AO469" s="530" t="s">
        <v>1065</v>
      </c>
      <c r="AP469" s="530">
        <f>L472/1000</f>
        <v>0</v>
      </c>
      <c r="AQ469" s="532" t="s">
        <v>621</v>
      </c>
    </row>
    <row r="470" spans="1:43">
      <c r="A470" s="532" t="s">
        <v>585</v>
      </c>
      <c r="B470" s="533">
        <v>85</v>
      </c>
      <c r="C470" s="533">
        <v>0</v>
      </c>
      <c r="D470" s="533">
        <v>0</v>
      </c>
      <c r="E470" s="533">
        <v>0</v>
      </c>
      <c r="F470" s="533">
        <v>0</v>
      </c>
      <c r="G470" s="534" t="s">
        <v>36</v>
      </c>
      <c r="H470" s="534" t="s">
        <v>36</v>
      </c>
      <c r="I470" s="534" t="s">
        <v>36</v>
      </c>
      <c r="J470" s="534" t="s">
        <v>36</v>
      </c>
      <c r="K470" s="533">
        <v>85</v>
      </c>
      <c r="L470" s="533">
        <v>0</v>
      </c>
      <c r="M470" s="533">
        <v>0</v>
      </c>
      <c r="N470" s="533">
        <v>0</v>
      </c>
      <c r="O470" s="533">
        <v>0</v>
      </c>
      <c r="P470" s="533">
        <v>0</v>
      </c>
      <c r="Q470" s="533">
        <v>0</v>
      </c>
      <c r="R470" s="533">
        <v>0</v>
      </c>
      <c r="S470" s="533">
        <v>0</v>
      </c>
      <c r="T470" s="533">
        <v>0</v>
      </c>
      <c r="U470" s="533">
        <v>0</v>
      </c>
      <c r="V470" s="533">
        <v>0</v>
      </c>
      <c r="W470" s="533">
        <v>0</v>
      </c>
      <c r="X470" s="533">
        <v>85</v>
      </c>
      <c r="Y470" s="533">
        <v>0</v>
      </c>
      <c r="Z470" s="533">
        <v>85</v>
      </c>
      <c r="AA470" s="533">
        <v>0</v>
      </c>
      <c r="AB470" s="533">
        <v>0</v>
      </c>
      <c r="AC470" s="533">
        <v>0</v>
      </c>
      <c r="AD470" s="533">
        <v>0</v>
      </c>
      <c r="AE470" s="533">
        <v>0</v>
      </c>
      <c r="AF470" s="533">
        <v>0</v>
      </c>
      <c r="AG470" s="533">
        <v>0</v>
      </c>
      <c r="AH470" s="533">
        <v>0</v>
      </c>
      <c r="AI470" s="533">
        <v>0</v>
      </c>
      <c r="AJ470" s="533">
        <v>0</v>
      </c>
      <c r="AK470" s="533">
        <v>0</v>
      </c>
      <c r="AL470" s="533">
        <v>0</v>
      </c>
      <c r="AO470" s="530" t="s">
        <v>1066</v>
      </c>
      <c r="AP470" s="530">
        <f>L473/1000</f>
        <v>0</v>
      </c>
      <c r="AQ470" s="532" t="s">
        <v>621</v>
      </c>
    </row>
    <row r="471" spans="1:43">
      <c r="A471" s="532" t="s">
        <v>586</v>
      </c>
      <c r="B471" s="533">
        <v>1263</v>
      </c>
      <c r="C471" s="533">
        <v>0</v>
      </c>
      <c r="D471" s="533">
        <v>0</v>
      </c>
      <c r="E471" s="533">
        <v>0</v>
      </c>
      <c r="F471" s="533">
        <v>0</v>
      </c>
      <c r="G471" s="534" t="s">
        <v>36</v>
      </c>
      <c r="H471" s="534" t="s">
        <v>36</v>
      </c>
      <c r="I471" s="534" t="s">
        <v>36</v>
      </c>
      <c r="J471" s="534" t="s">
        <v>36</v>
      </c>
      <c r="K471" s="533">
        <v>1263</v>
      </c>
      <c r="L471" s="533">
        <v>0</v>
      </c>
      <c r="M471" s="533">
        <v>0</v>
      </c>
      <c r="N471" s="533">
        <v>0</v>
      </c>
      <c r="O471" s="533">
        <v>46</v>
      </c>
      <c r="P471" s="533">
        <v>0</v>
      </c>
      <c r="Q471" s="533">
        <v>0</v>
      </c>
      <c r="R471" s="533">
        <v>0</v>
      </c>
      <c r="S471" s="533">
        <v>0</v>
      </c>
      <c r="T471" s="533">
        <v>0</v>
      </c>
      <c r="U471" s="533">
        <v>0</v>
      </c>
      <c r="V471" s="533">
        <v>0</v>
      </c>
      <c r="W471" s="533">
        <v>0</v>
      </c>
      <c r="X471" s="533">
        <v>937</v>
      </c>
      <c r="Y471" s="533">
        <v>0</v>
      </c>
      <c r="Z471" s="533">
        <v>937</v>
      </c>
      <c r="AA471" s="533">
        <v>280</v>
      </c>
      <c r="AB471" s="533">
        <v>288</v>
      </c>
      <c r="AC471" s="533">
        <v>0</v>
      </c>
      <c r="AD471" s="533">
        <v>0</v>
      </c>
      <c r="AE471" s="533">
        <v>0</v>
      </c>
      <c r="AF471" s="533">
        <v>0</v>
      </c>
      <c r="AG471" s="533">
        <v>0</v>
      </c>
      <c r="AH471" s="533">
        <v>0</v>
      </c>
      <c r="AI471" s="533">
        <v>0</v>
      </c>
      <c r="AJ471" s="533">
        <v>0</v>
      </c>
      <c r="AK471" s="533">
        <v>0</v>
      </c>
      <c r="AL471" s="533">
        <v>0</v>
      </c>
      <c r="AO471" s="530" t="s">
        <v>1065</v>
      </c>
      <c r="AP471" s="535">
        <f>AB472/1000</f>
        <v>0</v>
      </c>
      <c r="AQ471" s="532" t="s">
        <v>634</v>
      </c>
    </row>
    <row r="472" spans="1:43">
      <c r="A472" s="532" t="s">
        <v>587</v>
      </c>
      <c r="B472" s="533">
        <v>426</v>
      </c>
      <c r="C472" s="533">
        <v>0</v>
      </c>
      <c r="D472" s="533">
        <v>0</v>
      </c>
      <c r="E472" s="533">
        <v>0</v>
      </c>
      <c r="F472" s="533">
        <v>0</v>
      </c>
      <c r="G472" s="534" t="s">
        <v>36</v>
      </c>
      <c r="H472" s="534" t="s">
        <v>36</v>
      </c>
      <c r="I472" s="534" t="s">
        <v>36</v>
      </c>
      <c r="J472" s="534" t="s">
        <v>36</v>
      </c>
      <c r="K472" s="533">
        <v>426</v>
      </c>
      <c r="L472" s="533">
        <v>0</v>
      </c>
      <c r="M472" s="533">
        <v>0</v>
      </c>
      <c r="N472" s="533">
        <v>0</v>
      </c>
      <c r="O472" s="533">
        <v>0</v>
      </c>
      <c r="P472" s="533">
        <v>0</v>
      </c>
      <c r="Q472" s="533">
        <v>0</v>
      </c>
      <c r="R472" s="533">
        <v>0</v>
      </c>
      <c r="S472" s="533">
        <v>0</v>
      </c>
      <c r="T472" s="533">
        <v>0</v>
      </c>
      <c r="U472" s="533">
        <v>0</v>
      </c>
      <c r="V472" s="533">
        <v>0</v>
      </c>
      <c r="W472" s="533">
        <v>0</v>
      </c>
      <c r="X472" s="533">
        <v>426</v>
      </c>
      <c r="Y472" s="533">
        <v>0</v>
      </c>
      <c r="Z472" s="533">
        <v>426</v>
      </c>
      <c r="AA472" s="533">
        <v>0</v>
      </c>
      <c r="AB472" s="533">
        <v>0</v>
      </c>
      <c r="AC472" s="533">
        <v>0</v>
      </c>
      <c r="AD472" s="533">
        <v>0</v>
      </c>
      <c r="AE472" s="533">
        <v>0</v>
      </c>
      <c r="AF472" s="533">
        <v>0</v>
      </c>
      <c r="AG472" s="533">
        <v>0</v>
      </c>
      <c r="AH472" s="533">
        <v>0</v>
      </c>
      <c r="AI472" s="533">
        <v>0</v>
      </c>
      <c r="AJ472" s="533">
        <v>0</v>
      </c>
      <c r="AK472" s="533">
        <v>0</v>
      </c>
      <c r="AL472" s="533">
        <v>0</v>
      </c>
      <c r="AO472" s="530" t="s">
        <v>1066</v>
      </c>
      <c r="AP472" s="535">
        <f>AB473/1000</f>
        <v>0.28799999999999998</v>
      </c>
      <c r="AQ472" s="532" t="s">
        <v>634</v>
      </c>
    </row>
    <row r="473" spans="1:43">
      <c r="A473" s="532" t="s">
        <v>588</v>
      </c>
      <c r="B473" s="533">
        <v>837</v>
      </c>
      <c r="C473" s="533">
        <v>0</v>
      </c>
      <c r="D473" s="533">
        <v>0</v>
      </c>
      <c r="E473" s="533">
        <v>0</v>
      </c>
      <c r="F473" s="533">
        <v>0</v>
      </c>
      <c r="G473" s="534" t="s">
        <v>36</v>
      </c>
      <c r="H473" s="534" t="s">
        <v>36</v>
      </c>
      <c r="I473" s="534" t="s">
        <v>36</v>
      </c>
      <c r="J473" s="534" t="s">
        <v>36</v>
      </c>
      <c r="K473" s="533">
        <v>837</v>
      </c>
      <c r="L473" s="533">
        <v>0</v>
      </c>
      <c r="M473" s="533">
        <v>0</v>
      </c>
      <c r="N473" s="533">
        <v>0</v>
      </c>
      <c r="O473" s="533">
        <v>46</v>
      </c>
      <c r="P473" s="533">
        <v>0</v>
      </c>
      <c r="Q473" s="533">
        <v>0</v>
      </c>
      <c r="R473" s="533">
        <v>0</v>
      </c>
      <c r="S473" s="533">
        <v>0</v>
      </c>
      <c r="T473" s="533">
        <v>0</v>
      </c>
      <c r="U473" s="533">
        <v>0</v>
      </c>
      <c r="V473" s="533">
        <v>0</v>
      </c>
      <c r="W473" s="533">
        <v>0</v>
      </c>
      <c r="X473" s="533">
        <v>511</v>
      </c>
      <c r="Y473" s="533">
        <v>0</v>
      </c>
      <c r="Z473" s="533">
        <v>511</v>
      </c>
      <c r="AA473" s="533">
        <v>280</v>
      </c>
      <c r="AB473" s="533">
        <v>288</v>
      </c>
      <c r="AC473" s="533">
        <v>0</v>
      </c>
      <c r="AD473" s="533">
        <v>0</v>
      </c>
      <c r="AE473" s="533">
        <v>0</v>
      </c>
      <c r="AF473" s="533">
        <v>0</v>
      </c>
      <c r="AG473" s="533">
        <v>0</v>
      </c>
      <c r="AH473" s="533">
        <v>0</v>
      </c>
      <c r="AI473" s="533">
        <v>0</v>
      </c>
      <c r="AJ473" s="533">
        <v>0</v>
      </c>
      <c r="AK473" s="533">
        <v>0</v>
      </c>
      <c r="AL473" s="533">
        <v>0</v>
      </c>
      <c r="AO473" s="530" t="s">
        <v>1065</v>
      </c>
      <c r="AP473" s="535">
        <f>AC472/1000</f>
        <v>0</v>
      </c>
      <c r="AQ473" s="532" t="s">
        <v>635</v>
      </c>
    </row>
    <row r="474" spans="1:43">
      <c r="AO474" s="530" t="s">
        <v>1066</v>
      </c>
      <c r="AP474" s="535">
        <f>AC473/1000</f>
        <v>0</v>
      </c>
      <c r="AQ474" s="532" t="s">
        <v>635</v>
      </c>
    </row>
    <row r="475" spans="1:43">
      <c r="A475" s="529" t="s">
        <v>589</v>
      </c>
    </row>
    <row r="476" spans="1:43">
      <c r="A476" s="529" t="s">
        <v>36</v>
      </c>
      <c r="B476" s="529" t="s">
        <v>590</v>
      </c>
    </row>
    <row r="478" spans="1:43">
      <c r="A478" s="529" t="s">
        <v>340</v>
      </c>
      <c r="B478" s="529" t="s">
        <v>576</v>
      </c>
    </row>
    <row r="479" spans="1:43">
      <c r="A479" s="529" t="s">
        <v>578</v>
      </c>
      <c r="B479" s="529" t="s">
        <v>298</v>
      </c>
    </row>
    <row r="480" spans="1:43">
      <c r="A480" s="529" t="s">
        <v>343</v>
      </c>
      <c r="B480" s="529" t="s">
        <v>299</v>
      </c>
    </row>
    <row r="482" spans="1:43">
      <c r="A482" s="532" t="s">
        <v>592</v>
      </c>
      <c r="B482" s="532" t="s">
        <v>611</v>
      </c>
      <c r="C482" s="532" t="s">
        <v>612</v>
      </c>
      <c r="D482" s="532" t="s">
        <v>613</v>
      </c>
      <c r="E482" s="532" t="s">
        <v>614</v>
      </c>
      <c r="F482" s="532" t="s">
        <v>615</v>
      </c>
      <c r="G482" s="532" t="s">
        <v>616</v>
      </c>
      <c r="H482" s="532" t="s">
        <v>617</v>
      </c>
      <c r="I482" s="532" t="s">
        <v>618</v>
      </c>
      <c r="J482" s="532" t="s">
        <v>619</v>
      </c>
      <c r="K482" s="532" t="s">
        <v>620</v>
      </c>
      <c r="L482" s="532" t="s">
        <v>621</v>
      </c>
      <c r="M482" s="532" t="s">
        <v>622</v>
      </c>
      <c r="N482" s="532" t="s">
        <v>623</v>
      </c>
      <c r="O482" s="532" t="s">
        <v>225</v>
      </c>
      <c r="P482" s="532" t="s">
        <v>624</v>
      </c>
      <c r="Q482" s="532" t="s">
        <v>625</v>
      </c>
      <c r="R482" s="532" t="s">
        <v>626</v>
      </c>
      <c r="S482" s="532" t="s">
        <v>227</v>
      </c>
      <c r="T482" s="532" t="s">
        <v>627</v>
      </c>
      <c r="U482" s="532" t="s">
        <v>628</v>
      </c>
      <c r="V482" s="532" t="s">
        <v>629</v>
      </c>
      <c r="W482" s="532" t="s">
        <v>630</v>
      </c>
      <c r="X482" s="532" t="s">
        <v>631</v>
      </c>
      <c r="Y482" s="532" t="s">
        <v>632</v>
      </c>
      <c r="Z482" s="532" t="s">
        <v>633</v>
      </c>
      <c r="AA482" s="532" t="s">
        <v>229</v>
      </c>
      <c r="AB482" s="532" t="s">
        <v>634</v>
      </c>
      <c r="AC482" s="532" t="s">
        <v>635</v>
      </c>
      <c r="AD482" s="532" t="s">
        <v>636</v>
      </c>
      <c r="AE482" s="532" t="s">
        <v>637</v>
      </c>
      <c r="AF482" s="532" t="s">
        <v>638</v>
      </c>
      <c r="AG482" s="532" t="s">
        <v>639</v>
      </c>
      <c r="AH482" s="532" t="s">
        <v>640</v>
      </c>
      <c r="AI482" s="532" t="s">
        <v>641</v>
      </c>
      <c r="AJ482" s="532" t="s">
        <v>642</v>
      </c>
      <c r="AK482" s="532" t="s">
        <v>643</v>
      </c>
      <c r="AL482" s="532" t="s">
        <v>644</v>
      </c>
      <c r="AP482" s="530" t="str">
        <f>B480</f>
        <v>Croatia</v>
      </c>
    </row>
    <row r="483" spans="1:43">
      <c r="A483" s="532" t="s">
        <v>583</v>
      </c>
      <c r="B483" s="533">
        <v>18053</v>
      </c>
      <c r="C483" s="533">
        <v>0</v>
      </c>
      <c r="D483" s="533">
        <v>0</v>
      </c>
      <c r="E483" s="533">
        <v>0</v>
      </c>
      <c r="F483" s="533">
        <v>0</v>
      </c>
      <c r="G483" s="534" t="s">
        <v>36</v>
      </c>
      <c r="H483" s="534" t="s">
        <v>36</v>
      </c>
      <c r="I483" s="534" t="s">
        <v>36</v>
      </c>
      <c r="J483" s="534" t="s">
        <v>36</v>
      </c>
      <c r="K483" s="533">
        <v>18053</v>
      </c>
      <c r="L483" s="533">
        <v>0</v>
      </c>
      <c r="M483" s="533">
        <v>0</v>
      </c>
      <c r="N483" s="533">
        <v>0</v>
      </c>
      <c r="O483" s="533">
        <v>0</v>
      </c>
      <c r="P483" s="533">
        <v>0</v>
      </c>
      <c r="Q483" s="533">
        <v>0</v>
      </c>
      <c r="R483" s="533">
        <v>0</v>
      </c>
      <c r="S483" s="533">
        <v>0</v>
      </c>
      <c r="T483" s="533">
        <v>0</v>
      </c>
      <c r="U483" s="533">
        <v>0</v>
      </c>
      <c r="V483" s="533">
        <v>0</v>
      </c>
      <c r="W483" s="533">
        <v>0</v>
      </c>
      <c r="X483" s="533">
        <v>213</v>
      </c>
      <c r="Y483" s="533">
        <v>0</v>
      </c>
      <c r="Z483" s="533">
        <v>213</v>
      </c>
      <c r="AA483" s="533">
        <v>17840</v>
      </c>
      <c r="AB483" s="533">
        <v>2880</v>
      </c>
      <c r="AC483" s="533">
        <v>14960</v>
      </c>
      <c r="AD483" s="533">
        <v>0</v>
      </c>
      <c r="AE483" s="533">
        <v>0</v>
      </c>
      <c r="AF483" s="533">
        <v>0</v>
      </c>
      <c r="AG483" s="533">
        <v>0</v>
      </c>
      <c r="AH483" s="533">
        <v>0</v>
      </c>
      <c r="AI483" s="533">
        <v>0</v>
      </c>
      <c r="AJ483" s="533">
        <v>0</v>
      </c>
      <c r="AK483" s="533">
        <v>0</v>
      </c>
      <c r="AL483" s="533">
        <v>0</v>
      </c>
      <c r="AO483" s="530" t="str">
        <f>A487</f>
        <v>Transformation input in Autoproducer Electricity Plants</v>
      </c>
      <c r="AP483" s="530">
        <f>B487/1000</f>
        <v>0</v>
      </c>
      <c r="AQ483" s="530" t="str">
        <f>B482</f>
        <v>Total petroleum products</v>
      </c>
    </row>
    <row r="484" spans="1:43">
      <c r="A484" s="532" t="s">
        <v>584</v>
      </c>
      <c r="B484" s="533">
        <v>11488</v>
      </c>
      <c r="C484" s="533">
        <v>0</v>
      </c>
      <c r="D484" s="533">
        <v>0</v>
      </c>
      <c r="E484" s="533">
        <v>0</v>
      </c>
      <c r="F484" s="533">
        <v>0</v>
      </c>
      <c r="G484" s="534" t="s">
        <v>36</v>
      </c>
      <c r="H484" s="534" t="s">
        <v>36</v>
      </c>
      <c r="I484" s="534" t="s">
        <v>36</v>
      </c>
      <c r="J484" s="534" t="s">
        <v>36</v>
      </c>
      <c r="K484" s="533">
        <v>11488</v>
      </c>
      <c r="L484" s="533">
        <v>0</v>
      </c>
      <c r="M484" s="533">
        <v>0</v>
      </c>
      <c r="N484" s="533">
        <v>0</v>
      </c>
      <c r="O484" s="533">
        <v>0</v>
      </c>
      <c r="P484" s="533">
        <v>0</v>
      </c>
      <c r="Q484" s="533">
        <v>0</v>
      </c>
      <c r="R484" s="533">
        <v>0</v>
      </c>
      <c r="S484" s="533">
        <v>0</v>
      </c>
      <c r="T484" s="533">
        <v>0</v>
      </c>
      <c r="U484" s="533">
        <v>0</v>
      </c>
      <c r="V484" s="533">
        <v>0</v>
      </c>
      <c r="W484" s="533">
        <v>0</v>
      </c>
      <c r="X484" s="533">
        <v>128</v>
      </c>
      <c r="Y484" s="533">
        <v>0</v>
      </c>
      <c r="Z484" s="533">
        <v>128</v>
      </c>
      <c r="AA484" s="533">
        <v>11360</v>
      </c>
      <c r="AB484" s="533">
        <v>1680</v>
      </c>
      <c r="AC484" s="533">
        <v>9680</v>
      </c>
      <c r="AD484" s="533">
        <v>0</v>
      </c>
      <c r="AE484" s="533">
        <v>0</v>
      </c>
      <c r="AF484" s="533">
        <v>0</v>
      </c>
      <c r="AG484" s="533">
        <v>0</v>
      </c>
      <c r="AH484" s="533">
        <v>0</v>
      </c>
      <c r="AI484" s="533">
        <v>0</v>
      </c>
      <c r="AJ484" s="533">
        <v>0</v>
      </c>
      <c r="AK484" s="533">
        <v>0</v>
      </c>
      <c r="AL484" s="533">
        <v>0</v>
      </c>
      <c r="AO484" s="530" t="s">
        <v>1065</v>
      </c>
      <c r="AP484" s="530">
        <f>L487/1000</f>
        <v>0</v>
      </c>
      <c r="AQ484" s="532" t="s">
        <v>621</v>
      </c>
    </row>
    <row r="485" spans="1:43">
      <c r="A485" s="532" t="s">
        <v>585</v>
      </c>
      <c r="B485" s="533">
        <v>6565</v>
      </c>
      <c r="C485" s="533">
        <v>0</v>
      </c>
      <c r="D485" s="533">
        <v>0</v>
      </c>
      <c r="E485" s="533">
        <v>0</v>
      </c>
      <c r="F485" s="533">
        <v>0</v>
      </c>
      <c r="G485" s="534" t="s">
        <v>36</v>
      </c>
      <c r="H485" s="534" t="s">
        <v>36</v>
      </c>
      <c r="I485" s="534" t="s">
        <v>36</v>
      </c>
      <c r="J485" s="534" t="s">
        <v>36</v>
      </c>
      <c r="K485" s="533">
        <v>6565</v>
      </c>
      <c r="L485" s="533">
        <v>0</v>
      </c>
      <c r="M485" s="533">
        <v>0</v>
      </c>
      <c r="N485" s="533">
        <v>0</v>
      </c>
      <c r="O485" s="533">
        <v>0</v>
      </c>
      <c r="P485" s="533">
        <v>0</v>
      </c>
      <c r="Q485" s="533">
        <v>0</v>
      </c>
      <c r="R485" s="533">
        <v>0</v>
      </c>
      <c r="S485" s="533">
        <v>0</v>
      </c>
      <c r="T485" s="533">
        <v>0</v>
      </c>
      <c r="U485" s="533">
        <v>0</v>
      </c>
      <c r="V485" s="533">
        <v>0</v>
      </c>
      <c r="W485" s="533">
        <v>0</v>
      </c>
      <c r="X485" s="533">
        <v>85</v>
      </c>
      <c r="Y485" s="533">
        <v>0</v>
      </c>
      <c r="Z485" s="533">
        <v>85</v>
      </c>
      <c r="AA485" s="533">
        <v>6480</v>
      </c>
      <c r="AB485" s="533">
        <v>1200</v>
      </c>
      <c r="AC485" s="533">
        <v>5280</v>
      </c>
      <c r="AD485" s="533">
        <v>0</v>
      </c>
      <c r="AE485" s="533">
        <v>0</v>
      </c>
      <c r="AF485" s="533">
        <v>0</v>
      </c>
      <c r="AG485" s="533">
        <v>0</v>
      </c>
      <c r="AH485" s="533">
        <v>0</v>
      </c>
      <c r="AI485" s="533">
        <v>0</v>
      </c>
      <c r="AJ485" s="533">
        <v>0</v>
      </c>
      <c r="AK485" s="533">
        <v>0</v>
      </c>
      <c r="AL485" s="533">
        <v>0</v>
      </c>
      <c r="AO485" s="530" t="s">
        <v>1066</v>
      </c>
      <c r="AP485" s="530">
        <f>L488/1000</f>
        <v>0</v>
      </c>
      <c r="AQ485" s="532" t="s">
        <v>621</v>
      </c>
    </row>
    <row r="486" spans="1:43">
      <c r="A486" s="532" t="s">
        <v>586</v>
      </c>
      <c r="B486" s="533">
        <v>726</v>
      </c>
      <c r="C486" s="533">
        <v>0</v>
      </c>
      <c r="D486" s="533">
        <v>0</v>
      </c>
      <c r="E486" s="533">
        <v>0</v>
      </c>
      <c r="F486" s="533">
        <v>0</v>
      </c>
      <c r="G486" s="534" t="s">
        <v>36</v>
      </c>
      <c r="H486" s="534" t="s">
        <v>36</v>
      </c>
      <c r="I486" s="534" t="s">
        <v>36</v>
      </c>
      <c r="J486" s="534" t="s">
        <v>36</v>
      </c>
      <c r="K486" s="533">
        <v>726</v>
      </c>
      <c r="L486" s="533">
        <v>0</v>
      </c>
      <c r="M486" s="533">
        <v>0</v>
      </c>
      <c r="N486" s="533">
        <v>0</v>
      </c>
      <c r="O486" s="533">
        <v>46</v>
      </c>
      <c r="P486" s="533">
        <v>0</v>
      </c>
      <c r="Q486" s="533">
        <v>0</v>
      </c>
      <c r="R486" s="533">
        <v>0</v>
      </c>
      <c r="S486" s="533">
        <v>0</v>
      </c>
      <c r="T486" s="533">
        <v>0</v>
      </c>
      <c r="U486" s="533">
        <v>0</v>
      </c>
      <c r="V486" s="533">
        <v>0</v>
      </c>
      <c r="W486" s="533">
        <v>0</v>
      </c>
      <c r="X486" s="533">
        <v>0</v>
      </c>
      <c r="Y486" s="533">
        <v>0</v>
      </c>
      <c r="Z486" s="533">
        <v>0</v>
      </c>
      <c r="AA486" s="533">
        <v>680</v>
      </c>
      <c r="AB486" s="533">
        <v>0</v>
      </c>
      <c r="AC486" s="533">
        <v>680</v>
      </c>
      <c r="AD486" s="533">
        <v>0</v>
      </c>
      <c r="AE486" s="533">
        <v>0</v>
      </c>
      <c r="AF486" s="533">
        <v>0</v>
      </c>
      <c r="AG486" s="533">
        <v>0</v>
      </c>
      <c r="AH486" s="533">
        <v>0</v>
      </c>
      <c r="AI486" s="533">
        <v>0</v>
      </c>
      <c r="AJ486" s="533">
        <v>0</v>
      </c>
      <c r="AK486" s="533">
        <v>0</v>
      </c>
      <c r="AL486" s="533">
        <v>0</v>
      </c>
      <c r="AO486" s="530" t="s">
        <v>1065</v>
      </c>
      <c r="AP486" s="535">
        <f>AB487/1000</f>
        <v>0</v>
      </c>
      <c r="AQ486" s="532" t="s">
        <v>634</v>
      </c>
    </row>
    <row r="487" spans="1:43">
      <c r="A487" s="532" t="s">
        <v>587</v>
      </c>
      <c r="B487" s="533">
        <v>0</v>
      </c>
      <c r="C487" s="533">
        <v>0</v>
      </c>
      <c r="D487" s="533">
        <v>0</v>
      </c>
      <c r="E487" s="533">
        <v>0</v>
      </c>
      <c r="F487" s="533">
        <v>0</v>
      </c>
      <c r="G487" s="534" t="s">
        <v>36</v>
      </c>
      <c r="H487" s="534" t="s">
        <v>36</v>
      </c>
      <c r="I487" s="534" t="s">
        <v>36</v>
      </c>
      <c r="J487" s="534" t="s">
        <v>36</v>
      </c>
      <c r="K487" s="533">
        <v>0</v>
      </c>
      <c r="L487" s="533">
        <v>0</v>
      </c>
      <c r="M487" s="533">
        <v>0</v>
      </c>
      <c r="N487" s="533">
        <v>0</v>
      </c>
      <c r="O487" s="533">
        <v>0</v>
      </c>
      <c r="P487" s="533">
        <v>0</v>
      </c>
      <c r="Q487" s="533">
        <v>0</v>
      </c>
      <c r="R487" s="533">
        <v>0</v>
      </c>
      <c r="S487" s="533">
        <v>0</v>
      </c>
      <c r="T487" s="533">
        <v>0</v>
      </c>
      <c r="U487" s="533">
        <v>0</v>
      </c>
      <c r="V487" s="533">
        <v>0</v>
      </c>
      <c r="W487" s="533">
        <v>0</v>
      </c>
      <c r="X487" s="533">
        <v>0</v>
      </c>
      <c r="Y487" s="533">
        <v>0</v>
      </c>
      <c r="Z487" s="533">
        <v>0</v>
      </c>
      <c r="AA487" s="533">
        <v>0</v>
      </c>
      <c r="AB487" s="533">
        <v>0</v>
      </c>
      <c r="AC487" s="533">
        <v>0</v>
      </c>
      <c r="AD487" s="533">
        <v>0</v>
      </c>
      <c r="AE487" s="533">
        <v>0</v>
      </c>
      <c r="AF487" s="533">
        <v>0</v>
      </c>
      <c r="AG487" s="533">
        <v>0</v>
      </c>
      <c r="AH487" s="533">
        <v>0</v>
      </c>
      <c r="AI487" s="533">
        <v>0</v>
      </c>
      <c r="AJ487" s="533">
        <v>0</v>
      </c>
      <c r="AK487" s="533">
        <v>0</v>
      </c>
      <c r="AL487" s="533">
        <v>0</v>
      </c>
      <c r="AO487" s="530" t="s">
        <v>1066</v>
      </c>
      <c r="AP487" s="535">
        <f>AB488/1000</f>
        <v>0</v>
      </c>
      <c r="AQ487" s="532" t="s">
        <v>634</v>
      </c>
    </row>
    <row r="488" spans="1:43">
      <c r="A488" s="532" t="s">
        <v>588</v>
      </c>
      <c r="B488" s="533">
        <v>726</v>
      </c>
      <c r="C488" s="533">
        <v>0</v>
      </c>
      <c r="D488" s="533">
        <v>0</v>
      </c>
      <c r="E488" s="533">
        <v>0</v>
      </c>
      <c r="F488" s="533">
        <v>0</v>
      </c>
      <c r="G488" s="534" t="s">
        <v>36</v>
      </c>
      <c r="H488" s="534" t="s">
        <v>36</v>
      </c>
      <c r="I488" s="534" t="s">
        <v>36</v>
      </c>
      <c r="J488" s="534" t="s">
        <v>36</v>
      </c>
      <c r="K488" s="533">
        <v>726</v>
      </c>
      <c r="L488" s="533">
        <v>0</v>
      </c>
      <c r="M488" s="533">
        <v>0</v>
      </c>
      <c r="N488" s="533">
        <v>0</v>
      </c>
      <c r="O488" s="533">
        <v>46</v>
      </c>
      <c r="P488" s="533">
        <v>0</v>
      </c>
      <c r="Q488" s="533">
        <v>0</v>
      </c>
      <c r="R488" s="533">
        <v>0</v>
      </c>
      <c r="S488" s="533">
        <v>0</v>
      </c>
      <c r="T488" s="533">
        <v>0</v>
      </c>
      <c r="U488" s="533">
        <v>0</v>
      </c>
      <c r="V488" s="533">
        <v>0</v>
      </c>
      <c r="W488" s="533">
        <v>0</v>
      </c>
      <c r="X488" s="533">
        <v>0</v>
      </c>
      <c r="Y488" s="533">
        <v>0</v>
      </c>
      <c r="Z488" s="533">
        <v>0</v>
      </c>
      <c r="AA488" s="533">
        <v>680</v>
      </c>
      <c r="AB488" s="533">
        <v>0</v>
      </c>
      <c r="AC488" s="533">
        <v>680</v>
      </c>
      <c r="AD488" s="533">
        <v>0</v>
      </c>
      <c r="AE488" s="533">
        <v>0</v>
      </c>
      <c r="AF488" s="533">
        <v>0</v>
      </c>
      <c r="AG488" s="533">
        <v>0</v>
      </c>
      <c r="AH488" s="533">
        <v>0</v>
      </c>
      <c r="AI488" s="533">
        <v>0</v>
      </c>
      <c r="AJ488" s="533">
        <v>0</v>
      </c>
      <c r="AK488" s="533">
        <v>0</v>
      </c>
      <c r="AL488" s="533">
        <v>0</v>
      </c>
      <c r="AO488" s="530" t="s">
        <v>1065</v>
      </c>
      <c r="AP488" s="535">
        <f>AC487/1000</f>
        <v>0</v>
      </c>
      <c r="AQ488" s="532" t="s">
        <v>635</v>
      </c>
    </row>
    <row r="489" spans="1:43">
      <c r="AO489" s="530" t="s">
        <v>1066</v>
      </c>
      <c r="AP489" s="535">
        <f>AC488/1000</f>
        <v>0.68</v>
      </c>
      <c r="AQ489" s="532" t="s">
        <v>635</v>
      </c>
    </row>
    <row r="490" spans="1:43">
      <c r="A490" s="529" t="s">
        <v>589</v>
      </c>
    </row>
    <row r="491" spans="1:43">
      <c r="A491" s="529" t="s">
        <v>36</v>
      </c>
      <c r="B491" s="529" t="s">
        <v>590</v>
      </c>
    </row>
    <row r="493" spans="1:43">
      <c r="A493" s="529" t="s">
        <v>340</v>
      </c>
      <c r="B493" s="529" t="s">
        <v>576</v>
      </c>
    </row>
    <row r="494" spans="1:43">
      <c r="A494" s="529" t="s">
        <v>578</v>
      </c>
      <c r="B494" s="529" t="s">
        <v>298</v>
      </c>
    </row>
    <row r="495" spans="1:43">
      <c r="A495" s="529" t="s">
        <v>343</v>
      </c>
      <c r="B495" s="529" t="s">
        <v>582</v>
      </c>
    </row>
    <row r="497" spans="1:43">
      <c r="A497" s="532" t="s">
        <v>592</v>
      </c>
      <c r="B497" s="532" t="s">
        <v>611</v>
      </c>
      <c r="C497" s="532" t="s">
        <v>612</v>
      </c>
      <c r="D497" s="532" t="s">
        <v>613</v>
      </c>
      <c r="E497" s="532" t="s">
        <v>614</v>
      </c>
      <c r="F497" s="532" t="s">
        <v>615</v>
      </c>
      <c r="G497" s="532" t="s">
        <v>616</v>
      </c>
      <c r="H497" s="532" t="s">
        <v>617</v>
      </c>
      <c r="I497" s="532" t="s">
        <v>618</v>
      </c>
      <c r="J497" s="532" t="s">
        <v>619</v>
      </c>
      <c r="K497" s="532" t="s">
        <v>620</v>
      </c>
      <c r="L497" s="532" t="s">
        <v>621</v>
      </c>
      <c r="M497" s="532" t="s">
        <v>622</v>
      </c>
      <c r="N497" s="532" t="s">
        <v>623</v>
      </c>
      <c r="O497" s="532" t="s">
        <v>225</v>
      </c>
      <c r="P497" s="532" t="s">
        <v>624</v>
      </c>
      <c r="Q497" s="532" t="s">
        <v>625</v>
      </c>
      <c r="R497" s="532" t="s">
        <v>626</v>
      </c>
      <c r="S497" s="532" t="s">
        <v>227</v>
      </c>
      <c r="T497" s="532" t="s">
        <v>627</v>
      </c>
      <c r="U497" s="532" t="s">
        <v>628</v>
      </c>
      <c r="V497" s="532" t="s">
        <v>629</v>
      </c>
      <c r="W497" s="532" t="s">
        <v>630</v>
      </c>
      <c r="X497" s="532" t="s">
        <v>631</v>
      </c>
      <c r="Y497" s="532" t="s">
        <v>632</v>
      </c>
      <c r="Z497" s="532" t="s">
        <v>633</v>
      </c>
      <c r="AA497" s="532" t="s">
        <v>229</v>
      </c>
      <c r="AB497" s="532" t="s">
        <v>634</v>
      </c>
      <c r="AC497" s="532" t="s">
        <v>635</v>
      </c>
      <c r="AD497" s="532" t="s">
        <v>636</v>
      </c>
      <c r="AE497" s="532" t="s">
        <v>637</v>
      </c>
      <c r="AF497" s="532" t="s">
        <v>638</v>
      </c>
      <c r="AG497" s="532" t="s">
        <v>639</v>
      </c>
      <c r="AH497" s="532" t="s">
        <v>640</v>
      </c>
      <c r="AI497" s="532" t="s">
        <v>641</v>
      </c>
      <c r="AJ497" s="532" t="s">
        <v>642</v>
      </c>
      <c r="AK497" s="532" t="s">
        <v>643</v>
      </c>
      <c r="AL497" s="532" t="s">
        <v>644</v>
      </c>
      <c r="AP497" s="530" t="str">
        <f>B495</f>
        <v>Former Yugoslav Republic of Macedonia, the</v>
      </c>
    </row>
    <row r="498" spans="1:43">
      <c r="A498" s="532" t="s">
        <v>583</v>
      </c>
      <c r="B498" s="533">
        <v>160</v>
      </c>
      <c r="C498" s="533">
        <v>0</v>
      </c>
      <c r="D498" s="533">
        <v>0</v>
      </c>
      <c r="E498" s="533">
        <v>0</v>
      </c>
      <c r="F498" s="533">
        <v>0</v>
      </c>
      <c r="G498" s="534" t="s">
        <v>36</v>
      </c>
      <c r="H498" s="534" t="s">
        <v>36</v>
      </c>
      <c r="I498" s="534" t="s">
        <v>36</v>
      </c>
      <c r="J498" s="534" t="s">
        <v>36</v>
      </c>
      <c r="K498" s="533">
        <v>160</v>
      </c>
      <c r="L498" s="533">
        <v>0</v>
      </c>
      <c r="M498" s="533">
        <v>0</v>
      </c>
      <c r="N498" s="533">
        <v>0</v>
      </c>
      <c r="O498" s="533">
        <v>0</v>
      </c>
      <c r="P498" s="533">
        <v>0</v>
      </c>
      <c r="Q498" s="533">
        <v>0</v>
      </c>
      <c r="R498" s="533">
        <v>0</v>
      </c>
      <c r="S498" s="533">
        <v>0</v>
      </c>
      <c r="T498" s="533">
        <v>0</v>
      </c>
      <c r="U498" s="533">
        <v>0</v>
      </c>
      <c r="V498" s="533">
        <v>0</v>
      </c>
      <c r="W498" s="533">
        <v>0</v>
      </c>
      <c r="X498" s="533">
        <v>0</v>
      </c>
      <c r="Y498" s="533">
        <v>0</v>
      </c>
      <c r="Z498" s="533">
        <v>0</v>
      </c>
      <c r="AA498" s="533">
        <v>160</v>
      </c>
      <c r="AB498" s="533">
        <v>164</v>
      </c>
      <c r="AC498" s="533">
        <v>0</v>
      </c>
      <c r="AD498" s="533">
        <v>0</v>
      </c>
      <c r="AE498" s="533">
        <v>0</v>
      </c>
      <c r="AF498" s="533">
        <v>0</v>
      </c>
      <c r="AG498" s="533">
        <v>0</v>
      </c>
      <c r="AH498" s="533">
        <v>0</v>
      </c>
      <c r="AI498" s="533">
        <v>0</v>
      </c>
      <c r="AJ498" s="533">
        <v>0</v>
      </c>
      <c r="AK498" s="533">
        <v>0</v>
      </c>
      <c r="AL498" s="533">
        <v>0</v>
      </c>
      <c r="AO498" s="530" t="str">
        <f>A502</f>
        <v>Transformation input in Autoproducer Electricity Plants</v>
      </c>
      <c r="AP498" s="530">
        <f>B502/1000</f>
        <v>0</v>
      </c>
      <c r="AQ498" s="530" t="str">
        <f>B497</f>
        <v>Total petroleum products</v>
      </c>
    </row>
    <row r="499" spans="1:43">
      <c r="A499" s="532" t="s">
        <v>584</v>
      </c>
      <c r="B499" s="533">
        <v>160</v>
      </c>
      <c r="C499" s="533">
        <v>0</v>
      </c>
      <c r="D499" s="533">
        <v>0</v>
      </c>
      <c r="E499" s="533">
        <v>0</v>
      </c>
      <c r="F499" s="533">
        <v>0</v>
      </c>
      <c r="G499" s="534" t="s">
        <v>36</v>
      </c>
      <c r="H499" s="534" t="s">
        <v>36</v>
      </c>
      <c r="I499" s="534" t="s">
        <v>36</v>
      </c>
      <c r="J499" s="534" t="s">
        <v>36</v>
      </c>
      <c r="K499" s="533">
        <v>160</v>
      </c>
      <c r="L499" s="533">
        <v>0</v>
      </c>
      <c r="M499" s="533">
        <v>0</v>
      </c>
      <c r="N499" s="533">
        <v>0</v>
      </c>
      <c r="O499" s="533">
        <v>0</v>
      </c>
      <c r="P499" s="533">
        <v>0</v>
      </c>
      <c r="Q499" s="533">
        <v>0</v>
      </c>
      <c r="R499" s="533">
        <v>0</v>
      </c>
      <c r="S499" s="533">
        <v>0</v>
      </c>
      <c r="T499" s="533">
        <v>0</v>
      </c>
      <c r="U499" s="533">
        <v>0</v>
      </c>
      <c r="V499" s="533">
        <v>0</v>
      </c>
      <c r="W499" s="533">
        <v>0</v>
      </c>
      <c r="X499" s="533">
        <v>0</v>
      </c>
      <c r="Y499" s="533">
        <v>0</v>
      </c>
      <c r="Z499" s="533">
        <v>0</v>
      </c>
      <c r="AA499" s="533">
        <v>160</v>
      </c>
      <c r="AB499" s="533">
        <v>164</v>
      </c>
      <c r="AC499" s="533">
        <v>0</v>
      </c>
      <c r="AD499" s="533">
        <v>0</v>
      </c>
      <c r="AE499" s="533">
        <v>0</v>
      </c>
      <c r="AF499" s="533">
        <v>0</v>
      </c>
      <c r="AG499" s="533">
        <v>0</v>
      </c>
      <c r="AH499" s="533">
        <v>0</v>
      </c>
      <c r="AI499" s="533">
        <v>0</v>
      </c>
      <c r="AJ499" s="533">
        <v>0</v>
      </c>
      <c r="AK499" s="533">
        <v>0</v>
      </c>
      <c r="AL499" s="533">
        <v>0</v>
      </c>
      <c r="AO499" s="530" t="s">
        <v>1065</v>
      </c>
      <c r="AP499" s="530">
        <f>L502/1000</f>
        <v>0</v>
      </c>
      <c r="AQ499" s="532" t="s">
        <v>621</v>
      </c>
    </row>
    <row r="500" spans="1:43">
      <c r="A500" s="532" t="s">
        <v>585</v>
      </c>
      <c r="B500" s="533">
        <v>0</v>
      </c>
      <c r="C500" s="533">
        <v>0</v>
      </c>
      <c r="D500" s="533">
        <v>0</v>
      </c>
      <c r="E500" s="533">
        <v>0</v>
      </c>
      <c r="F500" s="533">
        <v>0</v>
      </c>
      <c r="G500" s="534" t="s">
        <v>36</v>
      </c>
      <c r="H500" s="534" t="s">
        <v>36</v>
      </c>
      <c r="I500" s="534" t="s">
        <v>36</v>
      </c>
      <c r="J500" s="534" t="s">
        <v>36</v>
      </c>
      <c r="K500" s="533">
        <v>0</v>
      </c>
      <c r="L500" s="533">
        <v>0</v>
      </c>
      <c r="M500" s="533">
        <v>0</v>
      </c>
      <c r="N500" s="533">
        <v>0</v>
      </c>
      <c r="O500" s="533">
        <v>0</v>
      </c>
      <c r="P500" s="533">
        <v>0</v>
      </c>
      <c r="Q500" s="533">
        <v>0</v>
      </c>
      <c r="R500" s="533">
        <v>0</v>
      </c>
      <c r="S500" s="533">
        <v>0</v>
      </c>
      <c r="T500" s="533">
        <v>0</v>
      </c>
      <c r="U500" s="533">
        <v>0</v>
      </c>
      <c r="V500" s="533">
        <v>0</v>
      </c>
      <c r="W500" s="533">
        <v>0</v>
      </c>
      <c r="X500" s="533">
        <v>0</v>
      </c>
      <c r="Y500" s="533">
        <v>0</v>
      </c>
      <c r="Z500" s="533">
        <v>0</v>
      </c>
      <c r="AA500" s="533">
        <v>0</v>
      </c>
      <c r="AB500" s="533">
        <v>0</v>
      </c>
      <c r="AC500" s="533">
        <v>0</v>
      </c>
      <c r="AD500" s="533">
        <v>0</v>
      </c>
      <c r="AE500" s="533">
        <v>0</v>
      </c>
      <c r="AF500" s="533">
        <v>0</v>
      </c>
      <c r="AG500" s="533">
        <v>0</v>
      </c>
      <c r="AH500" s="533">
        <v>0</v>
      </c>
      <c r="AI500" s="533">
        <v>0</v>
      </c>
      <c r="AJ500" s="533">
        <v>0</v>
      </c>
      <c r="AK500" s="533">
        <v>0</v>
      </c>
      <c r="AL500" s="533">
        <v>0</v>
      </c>
      <c r="AO500" s="530" t="s">
        <v>1066</v>
      </c>
      <c r="AP500" s="530">
        <f>L503/1000</f>
        <v>0.121</v>
      </c>
      <c r="AQ500" s="532" t="s">
        <v>621</v>
      </c>
    </row>
    <row r="501" spans="1:43">
      <c r="A501" s="532" t="s">
        <v>586</v>
      </c>
      <c r="B501" s="533">
        <v>441</v>
      </c>
      <c r="C501" s="533">
        <v>0</v>
      </c>
      <c r="D501" s="533">
        <v>0</v>
      </c>
      <c r="E501" s="533">
        <v>0</v>
      </c>
      <c r="F501" s="533">
        <v>0</v>
      </c>
      <c r="G501" s="534" t="s">
        <v>36</v>
      </c>
      <c r="H501" s="534" t="s">
        <v>36</v>
      </c>
      <c r="I501" s="534" t="s">
        <v>36</v>
      </c>
      <c r="J501" s="534" t="s">
        <v>36</v>
      </c>
      <c r="K501" s="533">
        <v>441</v>
      </c>
      <c r="L501" s="533">
        <v>121</v>
      </c>
      <c r="M501" s="533">
        <v>121</v>
      </c>
      <c r="N501" s="533">
        <v>0</v>
      </c>
      <c r="O501" s="533">
        <v>0</v>
      </c>
      <c r="P501" s="533">
        <v>0</v>
      </c>
      <c r="Q501" s="533">
        <v>0</v>
      </c>
      <c r="R501" s="533">
        <v>0</v>
      </c>
      <c r="S501" s="533">
        <v>0</v>
      </c>
      <c r="T501" s="533">
        <v>0</v>
      </c>
      <c r="U501" s="533">
        <v>0</v>
      </c>
      <c r="V501" s="533">
        <v>0</v>
      </c>
      <c r="W501" s="533">
        <v>0</v>
      </c>
      <c r="X501" s="533">
        <v>0</v>
      </c>
      <c r="Y501" s="533">
        <v>0</v>
      </c>
      <c r="Z501" s="533">
        <v>0</v>
      </c>
      <c r="AA501" s="533">
        <v>320</v>
      </c>
      <c r="AB501" s="533">
        <v>327</v>
      </c>
      <c r="AC501" s="533">
        <v>0</v>
      </c>
      <c r="AD501" s="533">
        <v>0</v>
      </c>
      <c r="AE501" s="533">
        <v>0</v>
      </c>
      <c r="AF501" s="533">
        <v>0</v>
      </c>
      <c r="AG501" s="533">
        <v>0</v>
      </c>
      <c r="AH501" s="533">
        <v>0</v>
      </c>
      <c r="AI501" s="533">
        <v>0</v>
      </c>
      <c r="AJ501" s="533">
        <v>0</v>
      </c>
      <c r="AK501" s="533">
        <v>0</v>
      </c>
      <c r="AL501" s="533">
        <v>0</v>
      </c>
      <c r="AO501" s="530" t="s">
        <v>1065</v>
      </c>
      <c r="AP501" s="535">
        <f>AB502/1000</f>
        <v>0</v>
      </c>
      <c r="AQ501" s="532" t="s">
        <v>634</v>
      </c>
    </row>
    <row r="502" spans="1:43">
      <c r="A502" s="532" t="s">
        <v>587</v>
      </c>
      <c r="B502" s="533">
        <v>0</v>
      </c>
      <c r="C502" s="533">
        <v>0</v>
      </c>
      <c r="D502" s="533">
        <v>0</v>
      </c>
      <c r="E502" s="533">
        <v>0</v>
      </c>
      <c r="F502" s="533">
        <v>0</v>
      </c>
      <c r="G502" s="534" t="s">
        <v>36</v>
      </c>
      <c r="H502" s="534" t="s">
        <v>36</v>
      </c>
      <c r="I502" s="534" t="s">
        <v>36</v>
      </c>
      <c r="J502" s="534" t="s">
        <v>36</v>
      </c>
      <c r="K502" s="533">
        <v>0</v>
      </c>
      <c r="L502" s="533">
        <v>0</v>
      </c>
      <c r="M502" s="533">
        <v>0</v>
      </c>
      <c r="N502" s="533">
        <v>0</v>
      </c>
      <c r="O502" s="533">
        <v>0</v>
      </c>
      <c r="P502" s="533">
        <v>0</v>
      </c>
      <c r="Q502" s="533">
        <v>0</v>
      </c>
      <c r="R502" s="533">
        <v>0</v>
      </c>
      <c r="S502" s="533">
        <v>0</v>
      </c>
      <c r="T502" s="533">
        <v>0</v>
      </c>
      <c r="U502" s="533">
        <v>0</v>
      </c>
      <c r="V502" s="533">
        <v>0</v>
      </c>
      <c r="W502" s="533">
        <v>0</v>
      </c>
      <c r="X502" s="533">
        <v>0</v>
      </c>
      <c r="Y502" s="533">
        <v>0</v>
      </c>
      <c r="Z502" s="533">
        <v>0</v>
      </c>
      <c r="AA502" s="533">
        <v>0</v>
      </c>
      <c r="AB502" s="533">
        <v>0</v>
      </c>
      <c r="AC502" s="533">
        <v>0</v>
      </c>
      <c r="AD502" s="533">
        <v>0</v>
      </c>
      <c r="AE502" s="533">
        <v>0</v>
      </c>
      <c r="AF502" s="533">
        <v>0</v>
      </c>
      <c r="AG502" s="533">
        <v>0</v>
      </c>
      <c r="AH502" s="533">
        <v>0</v>
      </c>
      <c r="AI502" s="533">
        <v>0</v>
      </c>
      <c r="AJ502" s="533">
        <v>0</v>
      </c>
      <c r="AK502" s="533">
        <v>0</v>
      </c>
      <c r="AL502" s="533">
        <v>0</v>
      </c>
      <c r="AO502" s="530" t="s">
        <v>1066</v>
      </c>
      <c r="AP502" s="535">
        <f>AB503/1000</f>
        <v>0.32700000000000001</v>
      </c>
      <c r="AQ502" s="532" t="s">
        <v>634</v>
      </c>
    </row>
    <row r="503" spans="1:43">
      <c r="A503" s="532" t="s">
        <v>588</v>
      </c>
      <c r="B503" s="533">
        <v>441</v>
      </c>
      <c r="C503" s="533">
        <v>0</v>
      </c>
      <c r="D503" s="533">
        <v>0</v>
      </c>
      <c r="E503" s="533">
        <v>0</v>
      </c>
      <c r="F503" s="533">
        <v>0</v>
      </c>
      <c r="G503" s="534" t="s">
        <v>36</v>
      </c>
      <c r="H503" s="534" t="s">
        <v>36</v>
      </c>
      <c r="I503" s="534" t="s">
        <v>36</v>
      </c>
      <c r="J503" s="534" t="s">
        <v>36</v>
      </c>
      <c r="K503" s="533">
        <v>441</v>
      </c>
      <c r="L503" s="533">
        <v>121</v>
      </c>
      <c r="M503" s="533">
        <v>121</v>
      </c>
      <c r="N503" s="533">
        <v>0</v>
      </c>
      <c r="O503" s="533">
        <v>0</v>
      </c>
      <c r="P503" s="533">
        <v>0</v>
      </c>
      <c r="Q503" s="533">
        <v>0</v>
      </c>
      <c r="R503" s="533">
        <v>0</v>
      </c>
      <c r="S503" s="533">
        <v>0</v>
      </c>
      <c r="T503" s="533">
        <v>0</v>
      </c>
      <c r="U503" s="533">
        <v>0</v>
      </c>
      <c r="V503" s="533">
        <v>0</v>
      </c>
      <c r="W503" s="533">
        <v>0</v>
      </c>
      <c r="X503" s="533">
        <v>0</v>
      </c>
      <c r="Y503" s="533">
        <v>0</v>
      </c>
      <c r="Z503" s="533">
        <v>0</v>
      </c>
      <c r="AA503" s="533">
        <v>320</v>
      </c>
      <c r="AB503" s="533">
        <v>327</v>
      </c>
      <c r="AC503" s="533">
        <v>0</v>
      </c>
      <c r="AD503" s="533">
        <v>0</v>
      </c>
      <c r="AE503" s="533">
        <v>0</v>
      </c>
      <c r="AF503" s="533">
        <v>0</v>
      </c>
      <c r="AG503" s="533">
        <v>0</v>
      </c>
      <c r="AH503" s="533">
        <v>0</v>
      </c>
      <c r="AI503" s="533">
        <v>0</v>
      </c>
      <c r="AJ503" s="533">
        <v>0</v>
      </c>
      <c r="AK503" s="533">
        <v>0</v>
      </c>
      <c r="AL503" s="533">
        <v>0</v>
      </c>
      <c r="AO503" s="530" t="s">
        <v>1065</v>
      </c>
      <c r="AP503" s="535">
        <f>AC502/1000</f>
        <v>0</v>
      </c>
      <c r="AQ503" s="532" t="s">
        <v>635</v>
      </c>
    </row>
    <row r="504" spans="1:43">
      <c r="AO504" s="530" t="s">
        <v>1066</v>
      </c>
      <c r="AP504" s="535">
        <f>AC503/1000</f>
        <v>0</v>
      </c>
      <c r="AQ504" s="532" t="s">
        <v>635</v>
      </c>
    </row>
    <row r="505" spans="1:43">
      <c r="A505" s="529" t="s">
        <v>589</v>
      </c>
    </row>
    <row r="506" spans="1:43">
      <c r="A506" s="529" t="s">
        <v>36</v>
      </c>
      <c r="B506" s="529" t="s">
        <v>590</v>
      </c>
    </row>
    <row r="508" spans="1:43">
      <c r="A508" s="529" t="s">
        <v>340</v>
      </c>
      <c r="B508" s="529" t="s">
        <v>576</v>
      </c>
    </row>
    <row r="509" spans="1:43">
      <c r="A509" s="529" t="s">
        <v>578</v>
      </c>
      <c r="B509" s="529" t="s">
        <v>298</v>
      </c>
    </row>
    <row r="510" spans="1:43">
      <c r="A510" s="529" t="s">
        <v>343</v>
      </c>
      <c r="B510" s="529" t="s">
        <v>300</v>
      </c>
    </row>
    <row r="512" spans="1:43">
      <c r="A512" s="532" t="s">
        <v>592</v>
      </c>
      <c r="B512" s="532" t="s">
        <v>611</v>
      </c>
      <c r="C512" s="532" t="s">
        <v>612</v>
      </c>
      <c r="D512" s="532" t="s">
        <v>613</v>
      </c>
      <c r="E512" s="532" t="s">
        <v>614</v>
      </c>
      <c r="F512" s="532" t="s">
        <v>615</v>
      </c>
      <c r="G512" s="532" t="s">
        <v>616</v>
      </c>
      <c r="H512" s="532" t="s">
        <v>617</v>
      </c>
      <c r="I512" s="532" t="s">
        <v>618</v>
      </c>
      <c r="J512" s="532" t="s">
        <v>619</v>
      </c>
      <c r="K512" s="532" t="s">
        <v>620</v>
      </c>
      <c r="L512" s="532" t="s">
        <v>621</v>
      </c>
      <c r="M512" s="532" t="s">
        <v>622</v>
      </c>
      <c r="N512" s="532" t="s">
        <v>623</v>
      </c>
      <c r="O512" s="532" t="s">
        <v>225</v>
      </c>
      <c r="P512" s="532" t="s">
        <v>624</v>
      </c>
      <c r="Q512" s="532" t="s">
        <v>625</v>
      </c>
      <c r="R512" s="532" t="s">
        <v>626</v>
      </c>
      <c r="S512" s="532" t="s">
        <v>227</v>
      </c>
      <c r="T512" s="532" t="s">
        <v>627</v>
      </c>
      <c r="U512" s="532" t="s">
        <v>628</v>
      </c>
      <c r="V512" s="532" t="s">
        <v>629</v>
      </c>
      <c r="W512" s="532" t="s">
        <v>630</v>
      </c>
      <c r="X512" s="532" t="s">
        <v>631</v>
      </c>
      <c r="Y512" s="532" t="s">
        <v>632</v>
      </c>
      <c r="Z512" s="532" t="s">
        <v>633</v>
      </c>
      <c r="AA512" s="532" t="s">
        <v>229</v>
      </c>
      <c r="AB512" s="532" t="s">
        <v>634</v>
      </c>
      <c r="AC512" s="532" t="s">
        <v>635</v>
      </c>
      <c r="AD512" s="532" t="s">
        <v>636</v>
      </c>
      <c r="AE512" s="532" t="s">
        <v>637</v>
      </c>
      <c r="AF512" s="532" t="s">
        <v>638</v>
      </c>
      <c r="AG512" s="532" t="s">
        <v>639</v>
      </c>
      <c r="AH512" s="532" t="s">
        <v>640</v>
      </c>
      <c r="AI512" s="532" t="s">
        <v>641</v>
      </c>
      <c r="AJ512" s="532" t="s">
        <v>642</v>
      </c>
      <c r="AK512" s="532" t="s">
        <v>643</v>
      </c>
      <c r="AL512" s="532" t="s">
        <v>644</v>
      </c>
      <c r="AP512" s="530" t="str">
        <f>B510</f>
        <v>Turkey</v>
      </c>
    </row>
    <row r="513" spans="1:43">
      <c r="A513" s="532" t="s">
        <v>583</v>
      </c>
      <c r="B513" s="533">
        <v>24128</v>
      </c>
      <c r="C513" s="533">
        <v>0</v>
      </c>
      <c r="D513" s="533">
        <v>0</v>
      </c>
      <c r="E513" s="533">
        <v>0</v>
      </c>
      <c r="F513" s="533">
        <v>0</v>
      </c>
      <c r="G513" s="534" t="s">
        <v>36</v>
      </c>
      <c r="H513" s="534" t="s">
        <v>36</v>
      </c>
      <c r="I513" s="534" t="s">
        <v>36</v>
      </c>
      <c r="J513" s="534" t="s">
        <v>36</v>
      </c>
      <c r="K513" s="533">
        <v>24128</v>
      </c>
      <c r="L513" s="533">
        <v>0</v>
      </c>
      <c r="M513" s="533">
        <v>0</v>
      </c>
      <c r="N513" s="533">
        <v>0</v>
      </c>
      <c r="O513" s="533">
        <v>0</v>
      </c>
      <c r="P513" s="533">
        <v>0</v>
      </c>
      <c r="Q513" s="533">
        <v>0</v>
      </c>
      <c r="R513" s="533">
        <v>0</v>
      </c>
      <c r="S513" s="533">
        <v>0</v>
      </c>
      <c r="T513" s="533">
        <v>0</v>
      </c>
      <c r="U513" s="533">
        <v>0</v>
      </c>
      <c r="V513" s="533">
        <v>0</v>
      </c>
      <c r="W513" s="533">
        <v>88</v>
      </c>
      <c r="X513" s="533">
        <v>0</v>
      </c>
      <c r="Y513" s="533">
        <v>0</v>
      </c>
      <c r="Z513" s="533">
        <v>0</v>
      </c>
      <c r="AA513" s="533">
        <v>24040</v>
      </c>
      <c r="AB513" s="533">
        <v>0</v>
      </c>
      <c r="AC513" s="533">
        <v>24040</v>
      </c>
      <c r="AD513" s="533">
        <v>0</v>
      </c>
      <c r="AE513" s="533">
        <v>0</v>
      </c>
      <c r="AF513" s="533">
        <v>0</v>
      </c>
      <c r="AG513" s="533">
        <v>0</v>
      </c>
      <c r="AH513" s="533">
        <v>0</v>
      </c>
      <c r="AI513" s="533">
        <v>0</v>
      </c>
      <c r="AJ513" s="533">
        <v>0</v>
      </c>
      <c r="AK513" s="533">
        <v>0</v>
      </c>
      <c r="AL513" s="533">
        <v>0</v>
      </c>
      <c r="AO513" s="530" t="str">
        <f>A517</f>
        <v>Transformation input in Autoproducer Electricity Plants</v>
      </c>
      <c r="AP513" s="530">
        <f>B517/1000</f>
        <v>17.747</v>
      </c>
      <c r="AQ513" s="530" t="str">
        <f>B512</f>
        <v>Total petroleum products</v>
      </c>
    </row>
    <row r="514" spans="1:43">
      <c r="A514" s="532" t="s">
        <v>584</v>
      </c>
      <c r="B514" s="533">
        <v>23644</v>
      </c>
      <c r="C514" s="533">
        <v>0</v>
      </c>
      <c r="D514" s="533">
        <v>0</v>
      </c>
      <c r="E514" s="533">
        <v>0</v>
      </c>
      <c r="F514" s="533">
        <v>0</v>
      </c>
      <c r="G514" s="534" t="s">
        <v>36</v>
      </c>
      <c r="H514" s="534" t="s">
        <v>36</v>
      </c>
      <c r="I514" s="534" t="s">
        <v>36</v>
      </c>
      <c r="J514" s="534" t="s">
        <v>36</v>
      </c>
      <c r="K514" s="533">
        <v>23644</v>
      </c>
      <c r="L514" s="533">
        <v>0</v>
      </c>
      <c r="M514" s="533">
        <v>0</v>
      </c>
      <c r="N514" s="533">
        <v>0</v>
      </c>
      <c r="O514" s="533">
        <v>0</v>
      </c>
      <c r="P514" s="533">
        <v>0</v>
      </c>
      <c r="Q514" s="533">
        <v>0</v>
      </c>
      <c r="R514" s="533">
        <v>0</v>
      </c>
      <c r="S514" s="533">
        <v>0</v>
      </c>
      <c r="T514" s="533">
        <v>0</v>
      </c>
      <c r="U514" s="533">
        <v>0</v>
      </c>
      <c r="V514" s="533">
        <v>0</v>
      </c>
      <c r="W514" s="533">
        <v>44</v>
      </c>
      <c r="X514" s="533">
        <v>0</v>
      </c>
      <c r="Y514" s="533">
        <v>0</v>
      </c>
      <c r="Z514" s="533">
        <v>0</v>
      </c>
      <c r="AA514" s="533">
        <v>23600</v>
      </c>
      <c r="AB514" s="533">
        <v>0</v>
      </c>
      <c r="AC514" s="533">
        <v>23600</v>
      </c>
      <c r="AD514" s="533">
        <v>0</v>
      </c>
      <c r="AE514" s="533">
        <v>0</v>
      </c>
      <c r="AF514" s="533">
        <v>0</v>
      </c>
      <c r="AG514" s="533">
        <v>0</v>
      </c>
      <c r="AH514" s="533">
        <v>0</v>
      </c>
      <c r="AI514" s="533">
        <v>0</v>
      </c>
      <c r="AJ514" s="533">
        <v>0</v>
      </c>
      <c r="AK514" s="533">
        <v>0</v>
      </c>
      <c r="AL514" s="533">
        <v>0</v>
      </c>
      <c r="AO514" s="530" t="s">
        <v>1065</v>
      </c>
      <c r="AP514" s="530">
        <f>L517/1000</f>
        <v>0</v>
      </c>
      <c r="AQ514" s="532" t="s">
        <v>621</v>
      </c>
    </row>
    <row r="515" spans="1:43">
      <c r="A515" s="532" t="s">
        <v>585</v>
      </c>
      <c r="B515" s="533">
        <v>484</v>
      </c>
      <c r="C515" s="533">
        <v>0</v>
      </c>
      <c r="D515" s="533">
        <v>0</v>
      </c>
      <c r="E515" s="533">
        <v>0</v>
      </c>
      <c r="F515" s="533">
        <v>0</v>
      </c>
      <c r="G515" s="534" t="s">
        <v>36</v>
      </c>
      <c r="H515" s="534" t="s">
        <v>36</v>
      </c>
      <c r="I515" s="534" t="s">
        <v>36</v>
      </c>
      <c r="J515" s="534" t="s">
        <v>36</v>
      </c>
      <c r="K515" s="533">
        <v>484</v>
      </c>
      <c r="L515" s="533">
        <v>0</v>
      </c>
      <c r="M515" s="533">
        <v>0</v>
      </c>
      <c r="N515" s="533">
        <v>0</v>
      </c>
      <c r="O515" s="533">
        <v>0</v>
      </c>
      <c r="P515" s="533">
        <v>0</v>
      </c>
      <c r="Q515" s="533">
        <v>0</v>
      </c>
      <c r="R515" s="533">
        <v>0</v>
      </c>
      <c r="S515" s="533">
        <v>0</v>
      </c>
      <c r="T515" s="533">
        <v>0</v>
      </c>
      <c r="U515" s="533">
        <v>0</v>
      </c>
      <c r="V515" s="533">
        <v>0</v>
      </c>
      <c r="W515" s="533">
        <v>44</v>
      </c>
      <c r="X515" s="533">
        <v>0</v>
      </c>
      <c r="Y515" s="533">
        <v>0</v>
      </c>
      <c r="Z515" s="533">
        <v>0</v>
      </c>
      <c r="AA515" s="533">
        <v>440</v>
      </c>
      <c r="AB515" s="533">
        <v>0</v>
      </c>
      <c r="AC515" s="533">
        <v>440</v>
      </c>
      <c r="AD515" s="533">
        <v>0</v>
      </c>
      <c r="AE515" s="533">
        <v>0</v>
      </c>
      <c r="AF515" s="533">
        <v>0</v>
      </c>
      <c r="AG515" s="533">
        <v>0</v>
      </c>
      <c r="AH515" s="533">
        <v>0</v>
      </c>
      <c r="AI515" s="533">
        <v>0</v>
      </c>
      <c r="AJ515" s="533">
        <v>0</v>
      </c>
      <c r="AK515" s="533">
        <v>0</v>
      </c>
      <c r="AL515" s="533">
        <v>0</v>
      </c>
      <c r="AO515" s="530" t="s">
        <v>1066</v>
      </c>
      <c r="AP515" s="530">
        <f>L518/1000</f>
        <v>0</v>
      </c>
      <c r="AQ515" s="532" t="s">
        <v>621</v>
      </c>
    </row>
    <row r="516" spans="1:43">
      <c r="A516" s="532" t="s">
        <v>586</v>
      </c>
      <c r="B516" s="533">
        <v>26427</v>
      </c>
      <c r="C516" s="533">
        <v>0</v>
      </c>
      <c r="D516" s="533">
        <v>0</v>
      </c>
      <c r="E516" s="533">
        <v>0</v>
      </c>
      <c r="F516" s="533">
        <v>0</v>
      </c>
      <c r="G516" s="534" t="s">
        <v>36</v>
      </c>
      <c r="H516" s="534" t="s">
        <v>36</v>
      </c>
      <c r="I516" s="534" t="s">
        <v>36</v>
      </c>
      <c r="J516" s="534" t="s">
        <v>36</v>
      </c>
      <c r="K516" s="533">
        <v>26427</v>
      </c>
      <c r="L516" s="533">
        <v>0</v>
      </c>
      <c r="M516" s="533">
        <v>0</v>
      </c>
      <c r="N516" s="533">
        <v>0</v>
      </c>
      <c r="O516" s="533">
        <v>184</v>
      </c>
      <c r="P516" s="533">
        <v>0</v>
      </c>
      <c r="Q516" s="533">
        <v>0</v>
      </c>
      <c r="R516" s="533">
        <v>0</v>
      </c>
      <c r="S516" s="533">
        <v>0</v>
      </c>
      <c r="T516" s="533">
        <v>0</v>
      </c>
      <c r="U516" s="533">
        <v>0</v>
      </c>
      <c r="V516" s="533">
        <v>0</v>
      </c>
      <c r="W516" s="533">
        <v>3080</v>
      </c>
      <c r="X516" s="533">
        <v>43</v>
      </c>
      <c r="Y516" s="533">
        <v>43</v>
      </c>
      <c r="Z516" s="533">
        <v>0</v>
      </c>
      <c r="AA516" s="533">
        <v>23120</v>
      </c>
      <c r="AB516" s="533">
        <v>0</v>
      </c>
      <c r="AC516" s="533">
        <v>23120</v>
      </c>
      <c r="AD516" s="533">
        <v>0</v>
      </c>
      <c r="AE516" s="533">
        <v>0</v>
      </c>
      <c r="AF516" s="533">
        <v>0</v>
      </c>
      <c r="AG516" s="533">
        <v>0</v>
      </c>
      <c r="AH516" s="533">
        <v>0</v>
      </c>
      <c r="AI516" s="533">
        <v>0</v>
      </c>
      <c r="AJ516" s="533">
        <v>0</v>
      </c>
      <c r="AK516" s="533">
        <v>0</v>
      </c>
      <c r="AL516" s="533">
        <v>0</v>
      </c>
      <c r="AO516" s="530" t="s">
        <v>1065</v>
      </c>
      <c r="AP516" s="535">
        <f>AB517/1000</f>
        <v>0</v>
      </c>
      <c r="AQ516" s="532" t="s">
        <v>634</v>
      </c>
    </row>
    <row r="517" spans="1:43">
      <c r="A517" s="532" t="s">
        <v>587</v>
      </c>
      <c r="B517" s="533">
        <v>17747</v>
      </c>
      <c r="C517" s="533">
        <v>0</v>
      </c>
      <c r="D517" s="533">
        <v>0</v>
      </c>
      <c r="E517" s="533">
        <v>0</v>
      </c>
      <c r="F517" s="533">
        <v>0</v>
      </c>
      <c r="G517" s="534" t="s">
        <v>36</v>
      </c>
      <c r="H517" s="534" t="s">
        <v>36</v>
      </c>
      <c r="I517" s="534" t="s">
        <v>36</v>
      </c>
      <c r="J517" s="534" t="s">
        <v>36</v>
      </c>
      <c r="K517" s="533">
        <v>17747</v>
      </c>
      <c r="L517" s="533">
        <v>0</v>
      </c>
      <c r="M517" s="533">
        <v>0</v>
      </c>
      <c r="N517" s="533">
        <v>0</v>
      </c>
      <c r="O517" s="533">
        <v>0</v>
      </c>
      <c r="P517" s="533">
        <v>0</v>
      </c>
      <c r="Q517" s="533">
        <v>0</v>
      </c>
      <c r="R517" s="533">
        <v>0</v>
      </c>
      <c r="S517" s="533">
        <v>0</v>
      </c>
      <c r="T517" s="533">
        <v>0</v>
      </c>
      <c r="U517" s="533">
        <v>0</v>
      </c>
      <c r="V517" s="533">
        <v>0</v>
      </c>
      <c r="W517" s="533">
        <v>1584</v>
      </c>
      <c r="X517" s="533">
        <v>43</v>
      </c>
      <c r="Y517" s="533">
        <v>43</v>
      </c>
      <c r="Z517" s="533">
        <v>0</v>
      </c>
      <c r="AA517" s="533">
        <v>16120</v>
      </c>
      <c r="AB517" s="533">
        <v>0</v>
      </c>
      <c r="AC517" s="533">
        <v>16120</v>
      </c>
      <c r="AD517" s="533">
        <v>0</v>
      </c>
      <c r="AE517" s="533">
        <v>0</v>
      </c>
      <c r="AF517" s="533">
        <v>0</v>
      </c>
      <c r="AG517" s="533">
        <v>0</v>
      </c>
      <c r="AH517" s="533">
        <v>0</v>
      </c>
      <c r="AI517" s="533">
        <v>0</v>
      </c>
      <c r="AJ517" s="533">
        <v>0</v>
      </c>
      <c r="AK517" s="533">
        <v>0</v>
      </c>
      <c r="AL517" s="533">
        <v>0</v>
      </c>
      <c r="AO517" s="530" t="s">
        <v>1066</v>
      </c>
      <c r="AP517" s="535">
        <f>AB518/1000</f>
        <v>0</v>
      </c>
      <c r="AQ517" s="532" t="s">
        <v>634</v>
      </c>
    </row>
    <row r="518" spans="1:43">
      <c r="A518" s="532" t="s">
        <v>588</v>
      </c>
      <c r="B518" s="533">
        <v>8680</v>
      </c>
      <c r="C518" s="533">
        <v>0</v>
      </c>
      <c r="D518" s="533">
        <v>0</v>
      </c>
      <c r="E518" s="533">
        <v>0</v>
      </c>
      <c r="F518" s="533">
        <v>0</v>
      </c>
      <c r="G518" s="534" t="s">
        <v>36</v>
      </c>
      <c r="H518" s="534" t="s">
        <v>36</v>
      </c>
      <c r="I518" s="534" t="s">
        <v>36</v>
      </c>
      <c r="J518" s="534" t="s">
        <v>36</v>
      </c>
      <c r="K518" s="533">
        <v>8680</v>
      </c>
      <c r="L518" s="533">
        <v>0</v>
      </c>
      <c r="M518" s="533">
        <v>0</v>
      </c>
      <c r="N518" s="533">
        <v>0</v>
      </c>
      <c r="O518" s="533">
        <v>184</v>
      </c>
      <c r="P518" s="533">
        <v>0</v>
      </c>
      <c r="Q518" s="533">
        <v>0</v>
      </c>
      <c r="R518" s="533">
        <v>0</v>
      </c>
      <c r="S518" s="533">
        <v>0</v>
      </c>
      <c r="T518" s="533">
        <v>0</v>
      </c>
      <c r="U518" s="533">
        <v>0</v>
      </c>
      <c r="V518" s="533">
        <v>0</v>
      </c>
      <c r="W518" s="533">
        <v>1496</v>
      </c>
      <c r="X518" s="533">
        <v>0</v>
      </c>
      <c r="Y518" s="533">
        <v>0</v>
      </c>
      <c r="Z518" s="533">
        <v>0</v>
      </c>
      <c r="AA518" s="533">
        <v>7000</v>
      </c>
      <c r="AB518" s="533">
        <v>0</v>
      </c>
      <c r="AC518" s="533">
        <v>7000</v>
      </c>
      <c r="AD518" s="533">
        <v>0</v>
      </c>
      <c r="AE518" s="533">
        <v>0</v>
      </c>
      <c r="AF518" s="533">
        <v>0</v>
      </c>
      <c r="AG518" s="533">
        <v>0</v>
      </c>
      <c r="AH518" s="533">
        <v>0</v>
      </c>
      <c r="AI518" s="533">
        <v>0</v>
      </c>
      <c r="AJ518" s="533">
        <v>0</v>
      </c>
      <c r="AK518" s="533">
        <v>0</v>
      </c>
      <c r="AL518" s="533">
        <v>0</v>
      </c>
      <c r="AO518" s="530" t="s">
        <v>1065</v>
      </c>
      <c r="AP518" s="535">
        <f>AC517/1000</f>
        <v>16.12</v>
      </c>
      <c r="AQ518" s="532" t="s">
        <v>635</v>
      </c>
    </row>
    <row r="519" spans="1:43">
      <c r="AO519" s="530" t="s">
        <v>1066</v>
      </c>
      <c r="AP519" s="535">
        <f>AC518/1000</f>
        <v>7</v>
      </c>
      <c r="AQ519" s="532" t="s">
        <v>635</v>
      </c>
    </row>
    <row r="520" spans="1:43">
      <c r="A520" s="529" t="s">
        <v>589</v>
      </c>
    </row>
    <row r="521" spans="1:43">
      <c r="A521" s="529" t="s">
        <v>36</v>
      </c>
      <c r="B521" s="529"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AT167"/>
  <sheetViews>
    <sheetView zoomScale="90" zoomScaleNormal="90" workbookViewId="0">
      <selection activeCell="P64" sqref="P64"/>
    </sheetView>
  </sheetViews>
  <sheetFormatPr defaultRowHeight="12.75"/>
  <cols>
    <col min="2" max="2" width="18.5703125" customWidth="1"/>
    <col min="3" max="3" width="11.5703125" customWidth="1"/>
  </cols>
  <sheetData>
    <row r="1" spans="1:46">
      <c r="B1" t="s">
        <v>398</v>
      </c>
    </row>
    <row r="2" spans="1:46">
      <c r="B2" t="s">
        <v>417</v>
      </c>
    </row>
    <row r="3" spans="1:46">
      <c r="C3" t="s">
        <v>407</v>
      </c>
      <c r="J3" t="s">
        <v>408</v>
      </c>
      <c r="K3" s="495"/>
    </row>
    <row r="4" spans="1:46" ht="15">
      <c r="B4" s="158" t="s">
        <v>425</v>
      </c>
      <c r="C4" s="158"/>
      <c r="D4" s="158"/>
      <c r="E4" s="158"/>
      <c r="F4" s="158"/>
      <c r="G4" s="158"/>
      <c r="H4" s="158"/>
      <c r="I4" s="158"/>
      <c r="J4" s="158"/>
      <c r="K4" s="723"/>
      <c r="P4" s="677"/>
    </row>
    <row r="5" spans="1:46" s="31" customFormat="1" ht="39" thickBot="1">
      <c r="B5" s="34"/>
      <c r="C5" s="148" t="s">
        <v>309</v>
      </c>
      <c r="D5" s="148" t="s">
        <v>92</v>
      </c>
      <c r="E5" s="148" t="s">
        <v>307</v>
      </c>
      <c r="F5" s="148" t="s">
        <v>71</v>
      </c>
      <c r="G5" s="711" t="s">
        <v>1306</v>
      </c>
      <c r="H5" s="148" t="s">
        <v>97</v>
      </c>
      <c r="I5" s="148" t="s">
        <v>316</v>
      </c>
      <c r="J5" s="711" t="s">
        <v>1341</v>
      </c>
      <c r="K5" s="724"/>
      <c r="L5" s="486"/>
      <c r="P5" s="678"/>
      <c r="Q5"/>
      <c r="R5"/>
      <c r="S5"/>
      <c r="T5"/>
      <c r="U5"/>
      <c r="V5"/>
      <c r="W5"/>
      <c r="X5"/>
      <c r="Y5"/>
      <c r="Z5"/>
      <c r="AA5"/>
      <c r="AB5"/>
      <c r="AC5"/>
      <c r="AD5"/>
      <c r="AE5"/>
      <c r="AF5"/>
      <c r="AG5"/>
      <c r="AH5"/>
      <c r="AI5"/>
      <c r="AJ5"/>
      <c r="AK5"/>
      <c r="AL5"/>
      <c r="AM5"/>
      <c r="AN5"/>
      <c r="AO5"/>
      <c r="AP5"/>
      <c r="AQ5"/>
      <c r="AR5"/>
      <c r="AS5"/>
      <c r="AT5"/>
    </row>
    <row r="6" spans="1:46" s="31" customFormat="1" ht="14.45" customHeight="1">
      <c r="A6" s="681" t="s">
        <v>56</v>
      </c>
      <c r="B6" s="149" t="s">
        <v>172</v>
      </c>
      <c r="C6" s="688">
        <f>'Autoproducers Calculations'!E$264</f>
        <v>0</v>
      </c>
      <c r="D6" s="686"/>
      <c r="E6" s="686"/>
      <c r="F6" s="686"/>
      <c r="G6" s="686">
        <v>0</v>
      </c>
      <c r="H6" s="687"/>
      <c r="I6" s="687"/>
      <c r="J6" s="687">
        <f>'Autoproducers Calculations'!E$303</f>
        <v>0</v>
      </c>
      <c r="K6" s="57"/>
      <c r="L6" s="95">
        <f>J6/SUM(J6:J9)</f>
        <v>0</v>
      </c>
      <c r="M6" s="31" t="e">
        <f t="shared" ref="M6:M37" si="0">J6/SUM(C6:I6)</f>
        <v>#DIV/0!</v>
      </c>
      <c r="P6" s="678"/>
      <c r="Q6" s="69"/>
      <c r="R6"/>
      <c r="S6"/>
      <c r="T6"/>
      <c r="U6"/>
      <c r="V6"/>
      <c r="W6"/>
      <c r="X6"/>
      <c r="Y6"/>
      <c r="Z6"/>
      <c r="AA6"/>
      <c r="AB6"/>
      <c r="AC6"/>
      <c r="AD6"/>
      <c r="AE6"/>
      <c r="AF6"/>
      <c r="AG6"/>
      <c r="AH6"/>
      <c r="AI6"/>
      <c r="AJ6"/>
      <c r="AK6"/>
      <c r="AL6"/>
      <c r="AM6"/>
      <c r="AN6"/>
      <c r="AO6"/>
      <c r="AP6"/>
      <c r="AQ6"/>
      <c r="AR6"/>
      <c r="AS6"/>
      <c r="AT6"/>
    </row>
    <row r="7" spans="1:46" s="31" customFormat="1" ht="14.45" customHeight="1">
      <c r="B7" s="149" t="s">
        <v>158</v>
      </c>
      <c r="C7" s="688">
        <f>'Autoproducers Calculations'!E$263</f>
        <v>1.0048319999999999</v>
      </c>
      <c r="D7" s="686">
        <v>0</v>
      </c>
      <c r="E7" s="686">
        <f>'Autoproducers Calculations'!E$278</f>
        <v>0</v>
      </c>
      <c r="F7" s="686">
        <f>'Autoproducers Calculations'!E$283</f>
        <v>7.136876368181027</v>
      </c>
      <c r="G7" s="686"/>
      <c r="H7" s="687">
        <f>'Autoproducers Calculations'!E$270</f>
        <v>1.353</v>
      </c>
      <c r="I7" s="687">
        <f>'Autoproducers Calculations'!E$274</f>
        <v>0</v>
      </c>
      <c r="J7" s="687">
        <f>'Autoproducers Calculations'!E$304</f>
        <v>6.0305037369578471</v>
      </c>
      <c r="K7" s="57"/>
      <c r="L7" s="95">
        <f>J7/SUM(J6:J9)</f>
        <v>0.15589058734202271</v>
      </c>
      <c r="M7" s="31">
        <f t="shared" si="0"/>
        <v>0.63514365087478264</v>
      </c>
      <c r="P7" s="679"/>
      <c r="Q7"/>
      <c r="R7"/>
      <c r="S7"/>
      <c r="T7"/>
      <c r="U7"/>
      <c r="V7"/>
      <c r="W7"/>
      <c r="X7"/>
      <c r="Y7"/>
      <c r="Z7"/>
      <c r="AA7"/>
      <c r="AB7"/>
      <c r="AC7"/>
      <c r="AD7"/>
      <c r="AE7"/>
      <c r="AF7"/>
      <c r="AG7"/>
      <c r="AH7"/>
      <c r="AI7"/>
      <c r="AJ7"/>
      <c r="AK7"/>
      <c r="AL7"/>
      <c r="AM7"/>
      <c r="AN7"/>
      <c r="AO7"/>
      <c r="AP7"/>
      <c r="AQ7"/>
      <c r="AR7"/>
      <c r="AS7"/>
      <c r="AT7"/>
    </row>
    <row r="8" spans="1:46" s="31" customFormat="1" ht="14.45" customHeight="1">
      <c r="B8" s="149" t="s">
        <v>244</v>
      </c>
      <c r="C8" s="688">
        <f>'Autoproducers Calculations'!E$266</f>
        <v>2.9226456789972728</v>
      </c>
      <c r="D8" s="686"/>
      <c r="E8" s="686"/>
      <c r="F8" s="686">
        <f>'Autoproducers Calculations'!E$285</f>
        <v>10.9887450909146</v>
      </c>
      <c r="G8" s="686"/>
      <c r="H8" s="687">
        <f>'Autoproducers Calculations'!E$268</f>
        <v>16.437000000000001</v>
      </c>
      <c r="I8" s="687">
        <f>'Autoproducers Calculations'!E$273</f>
        <v>5.8688291042501728E-2</v>
      </c>
      <c r="J8" s="687">
        <f>'Autoproducers Calculations'!E$305</f>
        <v>19.312863207212718</v>
      </c>
      <c r="K8" s="57"/>
      <c r="L8" s="95">
        <f>J8/SUM(J6:J9)</f>
        <v>0.49924412950406499</v>
      </c>
      <c r="M8" s="31">
        <f t="shared" si="0"/>
        <v>0.63514365087478264</v>
      </c>
      <c r="P8" s="679"/>
      <c r="Q8"/>
      <c r="R8"/>
      <c r="S8"/>
      <c r="T8"/>
      <c r="U8"/>
      <c r="V8"/>
      <c r="W8"/>
      <c r="X8"/>
      <c r="Y8"/>
      <c r="Z8"/>
      <c r="AA8"/>
      <c r="AB8"/>
      <c r="AC8"/>
      <c r="AD8"/>
      <c r="AE8"/>
      <c r="AF8"/>
      <c r="AG8"/>
      <c r="AH8"/>
      <c r="AI8"/>
      <c r="AJ8"/>
      <c r="AK8"/>
      <c r="AL8"/>
      <c r="AM8"/>
      <c r="AN8"/>
      <c r="AO8"/>
      <c r="AP8"/>
      <c r="AQ8"/>
      <c r="AR8"/>
      <c r="AS8"/>
      <c r="AT8"/>
    </row>
    <row r="9" spans="1:46" s="31" customFormat="1" ht="14.45" customHeight="1">
      <c r="B9" s="149" t="s">
        <v>397</v>
      </c>
      <c r="C9" s="688">
        <f>'Autoproducers Calculations'!E$265</f>
        <v>0</v>
      </c>
      <c r="D9" s="720"/>
      <c r="E9" s="686">
        <f>'Autoproducers Calculations'!E$277</f>
        <v>7.3300759400801496E-2</v>
      </c>
      <c r="F9" s="686">
        <f>'Autoproducers Calculations'!E$287</f>
        <v>10.776144381809504</v>
      </c>
      <c r="G9" s="686"/>
      <c r="H9" s="687">
        <f>'Autoproducers Calculations'!E$269</f>
        <v>9.0539999999999985</v>
      </c>
      <c r="I9" s="687">
        <f>'Autoproducers Calculations'!E$272</f>
        <v>1.101</v>
      </c>
      <c r="J9" s="687">
        <f>'Autoproducers Calculations'!E$306</f>
        <v>13.340839971587403</v>
      </c>
      <c r="K9" s="57"/>
      <c r="L9" s="95">
        <f>J9/SUM(J6:J9)</f>
        <v>0.34486528315391229</v>
      </c>
      <c r="M9" s="31">
        <f t="shared" si="0"/>
        <v>0.63514365087478275</v>
      </c>
      <c r="P9" s="679"/>
      <c r="Q9"/>
      <c r="R9"/>
      <c r="S9"/>
      <c r="T9"/>
      <c r="U9"/>
      <c r="V9"/>
      <c r="W9"/>
      <c r="X9"/>
      <c r="Y9"/>
      <c r="Z9"/>
      <c r="AA9"/>
      <c r="AB9"/>
      <c r="AC9"/>
      <c r="AD9"/>
      <c r="AE9"/>
      <c r="AF9"/>
      <c r="AG9"/>
      <c r="AH9"/>
      <c r="AI9"/>
      <c r="AJ9"/>
      <c r="AK9"/>
      <c r="AL9"/>
      <c r="AM9"/>
      <c r="AN9"/>
      <c r="AO9"/>
      <c r="AP9"/>
      <c r="AQ9"/>
      <c r="AR9"/>
      <c r="AS9"/>
      <c r="AT9"/>
    </row>
    <row r="10" spans="1:46" s="31" customFormat="1" ht="14.45" customHeight="1">
      <c r="A10" s="154" t="s">
        <v>39</v>
      </c>
      <c r="B10" s="153" t="s">
        <v>172</v>
      </c>
      <c r="C10" s="689">
        <f>'Autoproducers Calculations'!F$264</f>
        <v>1.626201857751405</v>
      </c>
      <c r="D10" s="686"/>
      <c r="E10" s="690"/>
      <c r="F10" s="690"/>
      <c r="G10" s="690">
        <v>0</v>
      </c>
      <c r="H10" s="691"/>
      <c r="I10" s="691"/>
      <c r="J10" s="691">
        <f>'Autoproducers Calculations'!F$303</f>
        <v>1.2547754400534175</v>
      </c>
      <c r="K10" s="57"/>
      <c r="L10" s="95">
        <f>J10/SUM(J10:J13)</f>
        <v>0.20641476342977527</v>
      </c>
      <c r="M10" s="31">
        <f t="shared" si="0"/>
        <v>0.77159882340094643</v>
      </c>
      <c r="P10" s="679"/>
      <c r="Q10"/>
      <c r="R10"/>
      <c r="S10"/>
      <c r="T10"/>
      <c r="U10"/>
      <c r="V10"/>
      <c r="W10"/>
      <c r="X10"/>
      <c r="Y10"/>
      <c r="Z10"/>
      <c r="AA10"/>
      <c r="AB10"/>
      <c r="AC10"/>
      <c r="AD10"/>
      <c r="AE10"/>
      <c r="AF10"/>
      <c r="AG10"/>
      <c r="AH10"/>
      <c r="AI10"/>
      <c r="AJ10"/>
      <c r="AK10"/>
      <c r="AL10"/>
      <c r="AM10"/>
      <c r="AN10"/>
      <c r="AO10"/>
      <c r="AP10"/>
      <c r="AQ10"/>
      <c r="AR10"/>
      <c r="AS10"/>
      <c r="AT10"/>
    </row>
    <row r="11" spans="1:46" s="31" customFormat="1" ht="14.45" customHeight="1">
      <c r="B11" s="149" t="s">
        <v>158</v>
      </c>
      <c r="C11" s="688">
        <f>'Autoproducers Calculations'!F$263</f>
        <v>0.293076</v>
      </c>
      <c r="D11" s="686">
        <v>0</v>
      </c>
      <c r="E11" s="686">
        <f>'Autoproducers Calculations'!F$278</f>
        <v>0</v>
      </c>
      <c r="F11" s="686">
        <f>'Autoproducers Calculations'!F$283</f>
        <v>1.8807582943685057</v>
      </c>
      <c r="G11" s="686"/>
      <c r="H11" s="687">
        <f>'Autoproducers Calculations'!F$270</f>
        <v>0</v>
      </c>
      <c r="I11" s="687">
        <f>'Autoproducers Calculations'!F$274</f>
        <v>0.39505223929500577</v>
      </c>
      <c r="J11" s="687">
        <f>'Autoproducers Calculations'!F$304</f>
        <v>1.9821498268253015</v>
      </c>
      <c r="K11" s="57"/>
      <c r="L11" s="95">
        <f>J11/SUM(J10:J13)</f>
        <v>0.3260702867830253</v>
      </c>
      <c r="M11" s="31">
        <f t="shared" si="0"/>
        <v>0.77159882340094654</v>
      </c>
      <c r="P11" s="679"/>
      <c r="Q11"/>
      <c r="R11"/>
      <c r="S11"/>
      <c r="T11"/>
      <c r="U11"/>
      <c r="V11"/>
      <c r="W11"/>
      <c r="X11"/>
      <c r="Y11"/>
      <c r="Z11"/>
      <c r="AA11"/>
      <c r="AB11"/>
      <c r="AC11"/>
      <c r="AD11"/>
      <c r="AE11"/>
      <c r="AF11"/>
      <c r="AG11"/>
      <c r="AH11"/>
      <c r="AI11"/>
      <c r="AJ11"/>
      <c r="AK11"/>
      <c r="AL11"/>
      <c r="AM11"/>
      <c r="AN11"/>
      <c r="AO11"/>
      <c r="AP11"/>
      <c r="AQ11"/>
      <c r="AR11"/>
      <c r="AS11"/>
      <c r="AT11"/>
    </row>
    <row r="12" spans="1:46" s="31" customFormat="1" ht="14.45" customHeight="1">
      <c r="B12" s="149" t="s">
        <v>244</v>
      </c>
      <c r="C12" s="688">
        <f>'Autoproducers Calculations'!F$266</f>
        <v>0</v>
      </c>
      <c r="D12" s="686"/>
      <c r="E12" s="686"/>
      <c r="F12" s="686">
        <f>'Autoproducers Calculations'!F$285</f>
        <v>0.95085612043859935</v>
      </c>
      <c r="G12" s="686"/>
      <c r="H12" s="687">
        <f>'Autoproducers Calculations'!F$268</f>
        <v>1.7999171544349994</v>
      </c>
      <c r="I12" s="687">
        <f>'Autoproducers Calculations'!F$273</f>
        <v>0</v>
      </c>
      <c r="J12" s="687">
        <f>'Autoproducers Calculations'!F$305</f>
        <v>2.122493422335237</v>
      </c>
      <c r="K12" s="57"/>
      <c r="L12" s="95">
        <f>J12/SUM(J10:J13)</f>
        <v>0.34915727840029359</v>
      </c>
      <c r="M12" s="31">
        <f t="shared" si="0"/>
        <v>0.77159882340094643</v>
      </c>
      <c r="P12" s="679"/>
      <c r="Q12"/>
      <c r="R12"/>
      <c r="S12"/>
      <c r="T12"/>
      <c r="U12"/>
      <c r="V12"/>
      <c r="W12"/>
      <c r="X12"/>
      <c r="Y12"/>
      <c r="Z12"/>
      <c r="AA12"/>
      <c r="AB12"/>
      <c r="AC12"/>
      <c r="AD12"/>
      <c r="AE12"/>
      <c r="AF12"/>
      <c r="AG12"/>
      <c r="AH12"/>
      <c r="AI12"/>
      <c r="AJ12"/>
      <c r="AK12"/>
      <c r="AL12"/>
      <c r="AM12"/>
      <c r="AN12"/>
      <c r="AO12"/>
      <c r="AP12"/>
      <c r="AQ12"/>
      <c r="AR12"/>
      <c r="AS12"/>
      <c r="AT12"/>
    </row>
    <row r="13" spans="1:46" s="31" customFormat="1" ht="14.45" customHeight="1">
      <c r="B13" s="149" t="s">
        <v>397</v>
      </c>
      <c r="C13" s="688">
        <f>'Autoproducers Calculations'!F$265</f>
        <v>0</v>
      </c>
      <c r="D13" s="720"/>
      <c r="E13" s="686">
        <f>'Autoproducers Calculations'!F$277</f>
        <v>0</v>
      </c>
      <c r="F13" s="686">
        <f>'Autoproducers Calculations'!F$287</f>
        <v>0.93245978093034154</v>
      </c>
      <c r="G13" s="686"/>
      <c r="H13" s="687">
        <f>'Autoproducers Calculations'!F$269</f>
        <v>0</v>
      </c>
      <c r="I13" s="687">
        <f>'Autoproducers Calculations'!F$272</f>
        <v>0</v>
      </c>
      <c r="J13" s="687">
        <f>'Autoproducers Calculations'!F$306</f>
        <v>0.71948486983455595</v>
      </c>
      <c r="K13" s="57"/>
      <c r="L13" s="95">
        <f>J13/SUM(J10:J13)</f>
        <v>0.11835767138690581</v>
      </c>
      <c r="M13" s="31">
        <f t="shared" si="0"/>
        <v>0.77159882340094654</v>
      </c>
      <c r="P13" s="679"/>
      <c r="Q13"/>
      <c r="R13"/>
      <c r="S13"/>
      <c r="T13"/>
      <c r="U13"/>
      <c r="V13"/>
      <c r="W13"/>
      <c r="X13"/>
      <c r="Y13"/>
      <c r="Z13"/>
      <c r="AA13"/>
      <c r="AB13"/>
      <c r="AC13"/>
      <c r="AD13"/>
      <c r="AE13"/>
      <c r="AF13"/>
      <c r="AG13"/>
      <c r="AH13"/>
      <c r="AI13"/>
      <c r="AJ13"/>
      <c r="AK13"/>
      <c r="AL13"/>
      <c r="AM13"/>
      <c r="AN13"/>
      <c r="AO13"/>
      <c r="AP13"/>
      <c r="AQ13"/>
      <c r="AR13"/>
      <c r="AS13"/>
      <c r="AT13"/>
    </row>
    <row r="14" spans="1:46" s="31" customFormat="1" ht="14.45" customHeight="1">
      <c r="A14" s="154" t="s">
        <v>40</v>
      </c>
      <c r="B14" s="153" t="s">
        <v>172</v>
      </c>
      <c r="C14" s="689">
        <f>'Autoproducers Calculations'!G$264</f>
        <v>1.0009999999999999</v>
      </c>
      <c r="D14" s="686"/>
      <c r="E14" s="690"/>
      <c r="F14" s="690"/>
      <c r="G14" s="690">
        <v>0</v>
      </c>
      <c r="H14" s="691"/>
      <c r="I14" s="691"/>
      <c r="J14" s="691">
        <f>'Autoproducers Calculations'!G$303</f>
        <v>0.65036568220867563</v>
      </c>
      <c r="K14" s="57"/>
      <c r="L14" s="95">
        <f>J14/SUM(J14:J17)</f>
        <v>6.4563001882987858E-2</v>
      </c>
      <c r="M14" s="31">
        <f t="shared" si="0"/>
        <v>0.64971596624243322</v>
      </c>
      <c r="P14" s="679"/>
      <c r="Q14"/>
      <c r="R14"/>
      <c r="S14"/>
      <c r="T14"/>
      <c r="U14"/>
      <c r="V14"/>
      <c r="W14"/>
      <c r="X14"/>
      <c r="Y14"/>
      <c r="Z14"/>
      <c r="AA14"/>
      <c r="AB14"/>
      <c r="AC14"/>
      <c r="AD14"/>
      <c r="AE14"/>
      <c r="AF14"/>
      <c r="AG14"/>
      <c r="AH14"/>
      <c r="AI14"/>
      <c r="AJ14"/>
      <c r="AK14"/>
      <c r="AL14"/>
      <c r="AM14"/>
      <c r="AN14"/>
      <c r="AO14"/>
      <c r="AP14"/>
      <c r="AQ14"/>
      <c r="AR14"/>
      <c r="AS14"/>
      <c r="AT14"/>
    </row>
    <row r="15" spans="1:46" s="31" customFormat="1" ht="14.45" customHeight="1">
      <c r="B15" s="149" t="s">
        <v>158</v>
      </c>
      <c r="C15" s="688">
        <f>'Autoproducers Calculations'!G$263</f>
        <v>2.7770000000000001</v>
      </c>
      <c r="D15" s="686">
        <v>0</v>
      </c>
      <c r="E15" s="686">
        <f>'Autoproducers Calculations'!G$278</f>
        <v>0</v>
      </c>
      <c r="F15" s="686">
        <f>'Autoproducers Calculations'!G$283</f>
        <v>2.2515694075033585</v>
      </c>
      <c r="G15" s="686"/>
      <c r="H15" s="687">
        <f>'Autoproducers Calculations'!G$270</f>
        <v>0</v>
      </c>
      <c r="I15" s="687">
        <f>'Autoproducers Calculations'!G$274</f>
        <v>0</v>
      </c>
      <c r="J15" s="687">
        <f>'Autoproducers Calculations'!G$304</f>
        <v>3.267141831413185</v>
      </c>
      <c r="K15" s="57"/>
      <c r="L15" s="95">
        <f>J15/SUM(J14:J17)</f>
        <v>0.32433520092445006</v>
      </c>
      <c r="M15" s="31">
        <f t="shared" si="0"/>
        <v>0.64971596624243333</v>
      </c>
      <c r="P15" s="679"/>
      <c r="Q15"/>
      <c r="R15"/>
      <c r="S15"/>
      <c r="T15"/>
      <c r="U15"/>
      <c r="V15"/>
      <c r="W15"/>
      <c r="X15"/>
      <c r="Y15"/>
      <c r="Z15"/>
      <c r="AA15"/>
      <c r="AB15"/>
      <c r="AC15"/>
      <c r="AD15"/>
      <c r="AE15"/>
      <c r="AF15"/>
      <c r="AG15"/>
      <c r="AH15"/>
      <c r="AI15"/>
      <c r="AJ15"/>
      <c r="AK15"/>
      <c r="AL15"/>
      <c r="AM15"/>
      <c r="AN15"/>
      <c r="AO15"/>
      <c r="AP15"/>
      <c r="AQ15"/>
      <c r="AR15"/>
      <c r="AS15"/>
      <c r="AT15"/>
    </row>
    <row r="16" spans="1:46" s="31" customFormat="1" ht="14.45" customHeight="1">
      <c r="B16" s="149" t="s">
        <v>244</v>
      </c>
      <c r="C16" s="688">
        <f>'Autoproducers Calculations'!G$266</f>
        <v>0</v>
      </c>
      <c r="D16" s="686"/>
      <c r="E16" s="686"/>
      <c r="F16" s="686">
        <f>'Autoproducers Calculations'!G$285</f>
        <v>1.375963060715335</v>
      </c>
      <c r="G16" s="686"/>
      <c r="H16" s="687">
        <f>'Autoproducers Calculations'!G$268</f>
        <v>0</v>
      </c>
      <c r="I16" s="687">
        <f>'Autoproducers Calculations'!G$273</f>
        <v>0</v>
      </c>
      <c r="J16" s="687">
        <f>'Autoproducers Calculations'!G$305</f>
        <v>0.89398516950655993</v>
      </c>
      <c r="K16" s="57"/>
      <c r="L16" s="95">
        <f>J16/SUM(J14:J17)</f>
        <v>8.8747558121764172E-2</v>
      </c>
      <c r="M16" s="31">
        <f t="shared" si="0"/>
        <v>0.64971596624243333</v>
      </c>
      <c r="P16" s="679"/>
      <c r="Q16"/>
      <c r="R16"/>
      <c r="S16"/>
      <c r="T16"/>
      <c r="U16"/>
      <c r="V16"/>
      <c r="W16"/>
      <c r="X16"/>
      <c r="Y16"/>
      <c r="Z16"/>
      <c r="AA16"/>
      <c r="AB16"/>
      <c r="AC16"/>
      <c r="AD16"/>
      <c r="AE16"/>
      <c r="AF16"/>
      <c r="AG16"/>
      <c r="AH16"/>
      <c r="AI16"/>
      <c r="AJ16"/>
      <c r="AK16"/>
      <c r="AL16"/>
      <c r="AM16"/>
      <c r="AN16"/>
      <c r="AO16"/>
      <c r="AP16"/>
      <c r="AQ16"/>
      <c r="AR16"/>
      <c r="AS16"/>
      <c r="AT16"/>
    </row>
    <row r="17" spans="1:46" s="31" customFormat="1" ht="14.45" customHeight="1">
      <c r="B17" s="149" t="s">
        <v>397</v>
      </c>
      <c r="C17" s="688">
        <f>'Autoproducers Calculations'!G$265</f>
        <v>2.6079668123090367</v>
      </c>
      <c r="D17" s="720"/>
      <c r="E17" s="686">
        <f>'Autoproducers Calculations'!G$277</f>
        <v>4.141394318873683</v>
      </c>
      <c r="F17" s="686">
        <f>'Autoproducers Calculations'!G$287</f>
        <v>1.3493421208363712</v>
      </c>
      <c r="G17" s="686"/>
      <c r="H17" s="687">
        <f>'Autoproducers Calculations'!G$269</f>
        <v>0</v>
      </c>
      <c r="I17" s="687">
        <f>'Autoproducers Calculations'!G$272</f>
        <v>0</v>
      </c>
      <c r="J17" s="687">
        <f>'Autoproducers Calculations'!G$306</f>
        <v>5.2618568086963213</v>
      </c>
      <c r="K17" s="57"/>
      <c r="L17" s="95">
        <f>J17/SUM(J14:J17)</f>
        <v>0.52235423907079781</v>
      </c>
      <c r="M17" s="31">
        <f t="shared" si="0"/>
        <v>0.64971596624243333</v>
      </c>
      <c r="P17" s="679"/>
      <c r="Q17"/>
      <c r="R17"/>
      <c r="S17"/>
      <c r="T17"/>
      <c r="U17"/>
      <c r="V17"/>
      <c r="W17"/>
      <c r="X17"/>
      <c r="Y17"/>
      <c r="Z17"/>
      <c r="AA17"/>
      <c r="AB17"/>
      <c r="AC17"/>
      <c r="AD17"/>
      <c r="AE17"/>
      <c r="AF17"/>
      <c r="AG17"/>
      <c r="AH17"/>
      <c r="AI17"/>
      <c r="AJ17"/>
      <c r="AK17"/>
      <c r="AL17"/>
      <c r="AM17"/>
      <c r="AN17"/>
      <c r="AO17"/>
      <c r="AP17"/>
      <c r="AQ17"/>
      <c r="AR17"/>
      <c r="AS17"/>
      <c r="AT17"/>
    </row>
    <row r="18" spans="1:46" s="31" customFormat="1" ht="14.45" customHeight="1">
      <c r="A18" s="154" t="s">
        <v>49</v>
      </c>
      <c r="B18" s="153" t="s">
        <v>172</v>
      </c>
      <c r="C18" s="689">
        <f>'Autoproducers Calculations'!H$264</f>
        <v>0</v>
      </c>
      <c r="D18" s="686"/>
      <c r="E18" s="690"/>
      <c r="F18" s="690"/>
      <c r="G18" s="690">
        <v>0</v>
      </c>
      <c r="H18" s="691"/>
      <c r="I18" s="691"/>
      <c r="J18" s="691">
        <f>'Autoproducers Calculations'!H$303</f>
        <v>0</v>
      </c>
      <c r="K18" s="57"/>
      <c r="L18" s="95" t="e">
        <f>J18/SUM(J18:J21)</f>
        <v>#DIV/0!</v>
      </c>
      <c r="M18" s="31" t="e">
        <f t="shared" si="0"/>
        <v>#DIV/0!</v>
      </c>
      <c r="P18" s="679"/>
      <c r="Q18"/>
      <c r="R18"/>
      <c r="S18"/>
      <c r="T18"/>
      <c r="U18"/>
      <c r="V18"/>
      <c r="W18"/>
      <c r="X18"/>
      <c r="Y18"/>
      <c r="Z18"/>
      <c r="AA18"/>
      <c r="AB18"/>
      <c r="AC18"/>
      <c r="AD18"/>
      <c r="AE18"/>
      <c r="AF18"/>
      <c r="AG18"/>
      <c r="AH18"/>
      <c r="AI18"/>
      <c r="AJ18"/>
      <c r="AK18"/>
      <c r="AL18"/>
      <c r="AM18"/>
      <c r="AN18"/>
      <c r="AO18"/>
      <c r="AP18"/>
      <c r="AQ18"/>
      <c r="AR18"/>
      <c r="AS18"/>
      <c r="AT18"/>
    </row>
    <row r="19" spans="1:46" s="31" customFormat="1" ht="14.45" customHeight="1">
      <c r="B19" s="149" t="s">
        <v>158</v>
      </c>
      <c r="C19" s="688">
        <f>'Autoproducers Calculations'!H$263</f>
        <v>0</v>
      </c>
      <c r="D19" s="686">
        <v>0</v>
      </c>
      <c r="E19" s="686">
        <f>'Autoproducers Calculations'!H$278</f>
        <v>0</v>
      </c>
      <c r="F19" s="686">
        <f>'Autoproducers Calculations'!H$283</f>
        <v>0</v>
      </c>
      <c r="G19" s="686"/>
      <c r="H19" s="687">
        <f>'Autoproducers Calculations'!H$270</f>
        <v>0</v>
      </c>
      <c r="I19" s="687">
        <f>'Autoproducers Calculations'!H$274</f>
        <v>0</v>
      </c>
      <c r="J19" s="687">
        <f>'Autoproducers Calculations'!H$304</f>
        <v>0</v>
      </c>
      <c r="K19" s="57"/>
      <c r="L19" s="95" t="e">
        <f>J19/SUM(J18:J21)</f>
        <v>#DIV/0!</v>
      </c>
      <c r="M19" s="31" t="e">
        <f t="shared" si="0"/>
        <v>#DIV/0!</v>
      </c>
      <c r="P19" s="679"/>
      <c r="Q19"/>
      <c r="R19"/>
      <c r="S19"/>
      <c r="T19"/>
      <c r="U19"/>
      <c r="V19"/>
      <c r="W19"/>
      <c r="X19"/>
      <c r="Y19"/>
      <c r="Z19"/>
      <c r="AA19"/>
      <c r="AB19"/>
      <c r="AC19"/>
      <c r="AD19"/>
      <c r="AE19"/>
      <c r="AF19"/>
      <c r="AG19"/>
      <c r="AH19"/>
      <c r="AI19"/>
      <c r="AJ19"/>
      <c r="AK19"/>
      <c r="AL19"/>
      <c r="AM19"/>
      <c r="AN19"/>
      <c r="AO19"/>
      <c r="AP19"/>
      <c r="AQ19"/>
      <c r="AR19"/>
      <c r="AS19"/>
      <c r="AT19"/>
    </row>
    <row r="20" spans="1:46" s="31" customFormat="1" ht="14.45" customHeight="1">
      <c r="B20" s="149" t="s">
        <v>244</v>
      </c>
      <c r="C20" s="688">
        <f>'Autoproducers Calculations'!H$266</f>
        <v>0</v>
      </c>
      <c r="D20" s="686"/>
      <c r="E20" s="686"/>
      <c r="F20" s="686">
        <f>'Autoproducers Calculations'!H$285</f>
        <v>0</v>
      </c>
      <c r="G20" s="686"/>
      <c r="H20" s="687">
        <f>'Autoproducers Calculations'!H$268</f>
        <v>0</v>
      </c>
      <c r="I20" s="687">
        <f>'Autoproducers Calculations'!H$273</f>
        <v>0</v>
      </c>
      <c r="J20" s="687">
        <f>'Autoproducers Calculations'!H$305</f>
        <v>0</v>
      </c>
      <c r="K20" s="57"/>
      <c r="L20" s="95" t="e">
        <f>J20/SUM(J18:J21)</f>
        <v>#DIV/0!</v>
      </c>
      <c r="M20" s="31" t="e">
        <f t="shared" si="0"/>
        <v>#DIV/0!</v>
      </c>
      <c r="P20" s="679"/>
      <c r="Q20"/>
      <c r="R20"/>
      <c r="S20"/>
      <c r="T20"/>
      <c r="U20"/>
      <c r="V20"/>
      <c r="W20"/>
      <c r="X20"/>
      <c r="Y20"/>
      <c r="Z20"/>
      <c r="AA20"/>
      <c r="AB20"/>
      <c r="AC20"/>
      <c r="AD20"/>
      <c r="AE20"/>
      <c r="AF20"/>
      <c r="AG20"/>
      <c r="AH20"/>
      <c r="AI20"/>
      <c r="AJ20"/>
      <c r="AK20"/>
      <c r="AL20"/>
      <c r="AM20"/>
      <c r="AN20"/>
      <c r="AO20"/>
      <c r="AP20"/>
      <c r="AQ20"/>
      <c r="AR20"/>
      <c r="AS20"/>
      <c r="AT20"/>
    </row>
    <row r="21" spans="1:46" s="31" customFormat="1" ht="14.45" customHeight="1">
      <c r="B21" s="149" t="s">
        <v>397</v>
      </c>
      <c r="C21" s="688">
        <f>'Autoproducers Calculations'!H$265</f>
        <v>0</v>
      </c>
      <c r="D21" s="720"/>
      <c r="E21" s="686">
        <f>'Autoproducers Calculations'!H$277</f>
        <v>0</v>
      </c>
      <c r="F21" s="686">
        <f>'Autoproducers Calculations'!H$287</f>
        <v>0</v>
      </c>
      <c r="G21" s="686"/>
      <c r="H21" s="687">
        <f>'Autoproducers Calculations'!H$269</f>
        <v>0</v>
      </c>
      <c r="I21" s="687">
        <f>'Autoproducers Calculations'!H$272</f>
        <v>0</v>
      </c>
      <c r="J21" s="687">
        <f>'Autoproducers Calculations'!H$306</f>
        <v>0</v>
      </c>
      <c r="K21" s="57"/>
      <c r="L21" s="95" t="e">
        <f>J21/SUM(J18:J21)</f>
        <v>#DIV/0!</v>
      </c>
      <c r="M21" s="31" t="e">
        <f t="shared" si="0"/>
        <v>#DIV/0!</v>
      </c>
      <c r="P21" s="679"/>
      <c r="Q21"/>
      <c r="R21"/>
      <c r="S21"/>
      <c r="T21"/>
      <c r="U21"/>
      <c r="V21"/>
      <c r="W21"/>
      <c r="X21"/>
      <c r="Y21"/>
      <c r="Z21"/>
      <c r="AA21"/>
      <c r="AB21"/>
      <c r="AC21"/>
      <c r="AD21"/>
      <c r="AE21"/>
      <c r="AF21"/>
      <c r="AG21"/>
      <c r="AH21"/>
      <c r="AI21"/>
      <c r="AJ21"/>
      <c r="AK21"/>
      <c r="AL21"/>
      <c r="AM21"/>
      <c r="AN21"/>
      <c r="AO21"/>
      <c r="AP21"/>
      <c r="AQ21"/>
      <c r="AR21"/>
      <c r="AS21"/>
      <c r="AT21"/>
    </row>
    <row r="22" spans="1:46" s="31" customFormat="1" ht="14.45" customHeight="1">
      <c r="A22" s="154" t="s">
        <v>41</v>
      </c>
      <c r="B22" s="153" t="s">
        <v>172</v>
      </c>
      <c r="C22" s="689">
        <f>'Autoproducers Calculations'!I$264</f>
        <v>0.97555251314754088</v>
      </c>
      <c r="D22" s="686"/>
      <c r="E22" s="690"/>
      <c r="F22" s="690"/>
      <c r="G22" s="690">
        <v>0</v>
      </c>
      <c r="H22" s="691"/>
      <c r="I22" s="691"/>
      <c r="J22" s="691">
        <f>'Autoproducers Calculations'!I$303</f>
        <v>0.64118494849057295</v>
      </c>
      <c r="K22" s="57"/>
      <c r="L22" s="95">
        <f>J22/SUM(J22:J25)</f>
        <v>1.8500251927714068E-2</v>
      </c>
      <c r="M22" s="31">
        <f t="shared" si="0"/>
        <v>0.65725313588895573</v>
      </c>
      <c r="P22" s="679"/>
      <c r="Q22"/>
      <c r="R22"/>
      <c r="S22"/>
      <c r="T22"/>
      <c r="U22"/>
      <c r="V22"/>
      <c r="W22"/>
      <c r="X22"/>
      <c r="Y22"/>
      <c r="Z22"/>
      <c r="AA22"/>
      <c r="AB22"/>
      <c r="AC22"/>
      <c r="AD22"/>
      <c r="AE22"/>
      <c r="AF22"/>
      <c r="AG22"/>
      <c r="AH22"/>
      <c r="AI22"/>
      <c r="AJ22"/>
      <c r="AK22"/>
      <c r="AL22"/>
      <c r="AM22"/>
      <c r="AN22"/>
      <c r="AO22"/>
      <c r="AP22"/>
      <c r="AQ22"/>
      <c r="AR22"/>
      <c r="AS22"/>
      <c r="AT22"/>
    </row>
    <row r="23" spans="1:46" s="31" customFormat="1" ht="14.45" customHeight="1">
      <c r="B23" s="149" t="s">
        <v>158</v>
      </c>
      <c r="C23" s="688">
        <f>'Autoproducers Calculations'!I$263</f>
        <v>36.299556000000003</v>
      </c>
      <c r="D23" s="686">
        <v>0</v>
      </c>
      <c r="E23" s="686">
        <f>'Autoproducers Calculations'!I$278</f>
        <v>0</v>
      </c>
      <c r="F23" s="686">
        <f>'Autoproducers Calculations'!I$283</f>
        <v>0.27686603225613809</v>
      </c>
      <c r="G23" s="686"/>
      <c r="H23" s="687">
        <f>'Autoproducers Calculations'!I$270</f>
        <v>0</v>
      </c>
      <c r="I23" s="687">
        <f>'Autoproducers Calculations'!I$274</f>
        <v>0.15564691403861283</v>
      </c>
      <c r="J23" s="687">
        <f>'Autoproducers Calculations'!I$304</f>
        <v>24.142267502641555</v>
      </c>
      <c r="K23" s="57"/>
      <c r="L23" s="95">
        <f>J23/SUM(J22:J25)</f>
        <v>0.69658221384730434</v>
      </c>
      <c r="M23" s="31">
        <f t="shared" si="0"/>
        <v>0.65725313588895573</v>
      </c>
      <c r="P23" s="679"/>
      <c r="Q23"/>
      <c r="R23"/>
      <c r="S23"/>
      <c r="T23"/>
      <c r="U23"/>
      <c r="V23"/>
      <c r="W23"/>
      <c r="X23"/>
      <c r="Y23"/>
      <c r="Z23"/>
      <c r="AA23"/>
      <c r="AB23"/>
      <c r="AC23"/>
      <c r="AD23"/>
      <c r="AE23"/>
      <c r="AF23"/>
      <c r="AG23"/>
      <c r="AH23"/>
      <c r="AI23"/>
      <c r="AJ23"/>
      <c r="AK23"/>
      <c r="AL23"/>
      <c r="AM23"/>
      <c r="AN23"/>
      <c r="AO23"/>
      <c r="AP23"/>
      <c r="AQ23"/>
      <c r="AR23"/>
      <c r="AS23"/>
      <c r="AT23"/>
    </row>
    <row r="24" spans="1:46" s="31" customFormat="1" ht="14.45" customHeight="1">
      <c r="B24" s="149" t="s">
        <v>244</v>
      </c>
      <c r="C24" s="688">
        <f>'Autoproducers Calculations'!I$266</f>
        <v>0</v>
      </c>
      <c r="D24" s="686"/>
      <c r="E24" s="686"/>
      <c r="F24" s="686">
        <f>'Autoproducers Calculations'!I$285</f>
        <v>0.12248202789084091</v>
      </c>
      <c r="G24" s="686"/>
      <c r="H24" s="687">
        <f>'Autoproducers Calculations'!I$268</f>
        <v>9.7530000000000001</v>
      </c>
      <c r="I24" s="687">
        <f>'Autoproducers Calculations'!I$273</f>
        <v>0</v>
      </c>
      <c r="J24" s="687">
        <f>'Autoproducers Calculations'!I$305</f>
        <v>6.490691531246279</v>
      </c>
      <c r="K24" s="57"/>
      <c r="L24" s="95">
        <f>J24/SUM(J22:J25)</f>
        <v>0.1872773663758294</v>
      </c>
      <c r="M24" s="31">
        <f t="shared" si="0"/>
        <v>0.65725313588895573</v>
      </c>
      <c r="P24" s="679"/>
      <c r="Q24"/>
      <c r="R24"/>
      <c r="S24"/>
      <c r="T24"/>
      <c r="U24"/>
      <c r="V24"/>
      <c r="W24"/>
      <c r="X24"/>
      <c r="Y24"/>
      <c r="Z24"/>
      <c r="AA24"/>
      <c r="AB24"/>
      <c r="AC24"/>
      <c r="AD24"/>
      <c r="AE24"/>
      <c r="AF24"/>
      <c r="AG24"/>
      <c r="AH24"/>
      <c r="AI24"/>
      <c r="AJ24"/>
      <c r="AK24"/>
      <c r="AL24"/>
      <c r="AM24"/>
      <c r="AN24"/>
      <c r="AO24"/>
      <c r="AP24"/>
      <c r="AQ24"/>
      <c r="AR24"/>
      <c r="AS24"/>
      <c r="AT24"/>
    </row>
    <row r="25" spans="1:46" s="31" customFormat="1" ht="14.45" customHeight="1">
      <c r="B25" s="149" t="s">
        <v>397</v>
      </c>
      <c r="C25" s="688">
        <f>'Autoproducers Calculations'!I$265</f>
        <v>0</v>
      </c>
      <c r="D25" s="720"/>
      <c r="E25" s="686">
        <f>'Autoproducers Calculations'!I$277</f>
        <v>0</v>
      </c>
      <c r="F25" s="686">
        <f>'Autoproducers Calculations'!I$287</f>
        <v>0.1201123518480549</v>
      </c>
      <c r="G25" s="686"/>
      <c r="H25" s="687">
        <f>'Autoproducers Calculations'!I$269</f>
        <v>5.0056343517952318</v>
      </c>
      <c r="I25" s="687">
        <f>'Autoproducers Calculations'!I$272</f>
        <v>2.3E-2</v>
      </c>
      <c r="J25" s="687">
        <f>'Autoproducers Calculations'!I$306</f>
        <v>3.3840299168674739</v>
      </c>
      <c r="K25" s="57"/>
      <c r="L25" s="95">
        <f>J25/SUM(J22:J25)</f>
        <v>9.7640167849152207E-2</v>
      </c>
      <c r="M25" s="31">
        <f t="shared" si="0"/>
        <v>0.65725313588895584</v>
      </c>
      <c r="P25" s="679"/>
      <c r="Q25"/>
      <c r="R25"/>
      <c r="S25"/>
      <c r="T25"/>
      <c r="U25"/>
      <c r="V25"/>
      <c r="W25"/>
      <c r="X25"/>
      <c r="Y25"/>
      <c r="Z25"/>
      <c r="AA25"/>
      <c r="AB25"/>
      <c r="AC25"/>
      <c r="AD25"/>
      <c r="AE25"/>
      <c r="AF25"/>
      <c r="AG25"/>
      <c r="AH25"/>
      <c r="AI25"/>
      <c r="AJ25"/>
      <c r="AK25"/>
      <c r="AL25"/>
      <c r="AM25"/>
      <c r="AN25"/>
      <c r="AO25"/>
      <c r="AP25"/>
      <c r="AQ25"/>
      <c r="AR25"/>
      <c r="AS25"/>
      <c r="AT25"/>
    </row>
    <row r="26" spans="1:46">
      <c r="A26" s="154" t="s">
        <v>43</v>
      </c>
      <c r="B26" s="153" t="s">
        <v>172</v>
      </c>
      <c r="C26" s="689">
        <f>'Autoproducers Calculations'!J$264</f>
        <v>0</v>
      </c>
      <c r="D26" s="686"/>
      <c r="E26" s="690"/>
      <c r="F26" s="690"/>
      <c r="G26" s="690">
        <v>0</v>
      </c>
      <c r="H26" s="691"/>
      <c r="I26" s="691"/>
      <c r="J26" s="691">
        <f>'Autoproducers Calculations'!J$303</f>
        <v>0</v>
      </c>
      <c r="K26" s="57"/>
      <c r="L26" s="95">
        <f>J26/SUM(J26:J29)</f>
        <v>0</v>
      </c>
      <c r="M26" s="31" t="e">
        <f t="shared" si="0"/>
        <v>#DIV/0!</v>
      </c>
      <c r="O26" s="31"/>
      <c r="P26" s="679"/>
    </row>
    <row r="27" spans="1:46">
      <c r="A27" s="31"/>
      <c r="B27" s="149" t="s">
        <v>158</v>
      </c>
      <c r="C27" s="688">
        <f>'Autoproducers Calculations'!J$263</f>
        <v>8.8770431737229103</v>
      </c>
      <c r="D27" s="686">
        <v>0</v>
      </c>
      <c r="E27" s="686">
        <f>'Autoproducers Calculations'!J$278</f>
        <v>0</v>
      </c>
      <c r="F27" s="686">
        <f>'Autoproducers Calculations'!J$283</f>
        <v>35.518833373537653</v>
      </c>
      <c r="G27" s="686"/>
      <c r="H27" s="687">
        <f>'Autoproducers Calculations'!J$270</f>
        <v>0</v>
      </c>
      <c r="I27" s="687">
        <f>'Autoproducers Calculations'!J$274</f>
        <v>0</v>
      </c>
      <c r="J27" s="687">
        <f>'Autoproducers Calculations'!J$304</f>
        <v>35.674031401924417</v>
      </c>
      <c r="K27" s="57"/>
      <c r="L27" s="95">
        <f>J27/SUM(J26:J29)</f>
        <v>0.31737205643088362</v>
      </c>
      <c r="M27" s="31">
        <f t="shared" si="0"/>
        <v>0.80354380127957348</v>
      </c>
      <c r="O27" s="31"/>
      <c r="P27" s="679"/>
    </row>
    <row r="28" spans="1:46">
      <c r="A28" s="31"/>
      <c r="B28" s="149" t="s">
        <v>244</v>
      </c>
      <c r="C28" s="688">
        <f>'Autoproducers Calculations'!J$266</f>
        <v>0</v>
      </c>
      <c r="D28" s="686"/>
      <c r="E28" s="686"/>
      <c r="F28" s="686">
        <f>'Autoproducers Calculations'!J$285</f>
        <v>38.913135201652139</v>
      </c>
      <c r="G28" s="686"/>
      <c r="H28" s="687">
        <f>'Autoproducers Calculations'!J$268</f>
        <v>0</v>
      </c>
      <c r="I28" s="687">
        <f>'Autoproducers Calculations'!J$273</f>
        <v>0</v>
      </c>
      <c r="J28" s="687">
        <f>'Autoproducers Calculations'!J$305</f>
        <v>31.268408579641545</v>
      </c>
      <c r="K28" s="57"/>
      <c r="L28" s="95">
        <f>J28/SUM(J26:J29)</f>
        <v>0.27817767553197231</v>
      </c>
      <c r="M28" s="31">
        <f t="shared" si="0"/>
        <v>0.80354380127957359</v>
      </c>
      <c r="O28" s="31"/>
      <c r="P28" s="679"/>
    </row>
    <row r="29" spans="1:46">
      <c r="A29" s="31"/>
      <c r="B29" s="149" t="s">
        <v>397</v>
      </c>
      <c r="C29" s="688">
        <f>'Autoproducers Calculations'!J$265</f>
        <v>0</v>
      </c>
      <c r="D29" s="720"/>
      <c r="E29" s="686">
        <f>'Autoproducers Calculations'!J$277</f>
        <v>0</v>
      </c>
      <c r="F29" s="686">
        <f>'Autoproducers Calculations'!J$287</f>
        <v>38.160277612461755</v>
      </c>
      <c r="G29" s="686"/>
      <c r="H29" s="687">
        <f>'Autoproducers Calculations'!J$269</f>
        <v>18.416613154838295</v>
      </c>
      <c r="I29" s="687">
        <f>'Autoproducers Calculations'!J$272</f>
        <v>0</v>
      </c>
      <c r="J29" s="687">
        <f>'Autoproducers Calculations'!J$306</f>
        <v>45.462009871735489</v>
      </c>
      <c r="K29" s="57"/>
      <c r="L29" s="95">
        <f>J29/SUM(J26:J29)</f>
        <v>0.40445026803714401</v>
      </c>
      <c r="M29" s="31">
        <f t="shared" si="0"/>
        <v>0.80354380127957348</v>
      </c>
      <c r="O29" s="31"/>
      <c r="P29" s="679"/>
    </row>
    <row r="30" spans="1:46" s="31" customFormat="1" ht="14.45" customHeight="1">
      <c r="A30" s="154" t="s">
        <v>42</v>
      </c>
      <c r="B30" s="153" t="s">
        <v>172</v>
      </c>
      <c r="C30" s="689">
        <f>'Autoproducers Calculations'!K$264</f>
        <v>0</v>
      </c>
      <c r="D30" s="686"/>
      <c r="E30" s="690"/>
      <c r="F30" s="690"/>
      <c r="G30" s="690">
        <v>0</v>
      </c>
      <c r="H30" s="691"/>
      <c r="I30" s="691"/>
      <c r="J30" s="691">
        <f>'Autoproducers Calculations'!K$303</f>
        <v>0</v>
      </c>
      <c r="K30" s="57"/>
      <c r="L30" s="95">
        <f>J30/SUM(J30:J33)</f>
        <v>0</v>
      </c>
      <c r="M30" s="31" t="e">
        <f t="shared" si="0"/>
        <v>#DIV/0!</v>
      </c>
      <c r="P30" s="679"/>
      <c r="Q30"/>
      <c r="R30"/>
      <c r="S30"/>
      <c r="T30"/>
      <c r="U30"/>
      <c r="V30"/>
      <c r="W30"/>
      <c r="X30"/>
      <c r="Y30"/>
      <c r="Z30"/>
      <c r="AA30"/>
      <c r="AB30"/>
      <c r="AC30"/>
      <c r="AD30"/>
      <c r="AE30"/>
      <c r="AF30"/>
      <c r="AG30"/>
      <c r="AH30"/>
      <c r="AI30"/>
      <c r="AJ30"/>
      <c r="AK30"/>
      <c r="AL30"/>
      <c r="AM30"/>
      <c r="AN30"/>
      <c r="AO30"/>
      <c r="AP30"/>
      <c r="AQ30"/>
      <c r="AR30"/>
      <c r="AS30"/>
      <c r="AT30"/>
    </row>
    <row r="31" spans="1:46" s="31" customFormat="1" ht="14.45" customHeight="1">
      <c r="B31" s="149" t="s">
        <v>158</v>
      </c>
      <c r="C31" s="688">
        <f>'Autoproducers Calculations'!K$263</f>
        <v>2.7582295088755593E-2</v>
      </c>
      <c r="D31" s="686">
        <v>0</v>
      </c>
      <c r="E31" s="686">
        <f>'Autoproducers Calculations'!K$278</f>
        <v>0</v>
      </c>
      <c r="F31" s="686">
        <f>'Autoproducers Calculations'!K$283</f>
        <v>2.1955406171508747</v>
      </c>
      <c r="G31" s="686"/>
      <c r="H31" s="687">
        <f>'Autoproducers Calculations'!K$270</f>
        <v>0</v>
      </c>
      <c r="I31" s="687">
        <f>'Autoproducers Calculations'!K$274</f>
        <v>0</v>
      </c>
      <c r="J31" s="687">
        <f>'Autoproducers Calculations'!K$304</f>
        <v>1.8661052938959657</v>
      </c>
      <c r="K31" s="57"/>
      <c r="L31" s="95">
        <f>J31/SUM(J30:J33)</f>
        <v>0.29576077756167884</v>
      </c>
      <c r="M31" s="31">
        <f t="shared" si="0"/>
        <v>0.8394071617101927</v>
      </c>
      <c r="P31" s="679"/>
      <c r="Q31"/>
      <c r="R31"/>
      <c r="S31"/>
      <c r="T31"/>
      <c r="U31"/>
      <c r="V31"/>
      <c r="W31"/>
      <c r="X31"/>
      <c r="Y31"/>
      <c r="Z31"/>
      <c r="AA31"/>
      <c r="AB31"/>
      <c r="AC31"/>
      <c r="AD31"/>
      <c r="AE31"/>
      <c r="AF31"/>
      <c r="AG31"/>
      <c r="AH31"/>
      <c r="AI31"/>
      <c r="AJ31"/>
      <c r="AK31"/>
      <c r="AL31"/>
      <c r="AM31"/>
      <c r="AN31"/>
      <c r="AO31"/>
      <c r="AP31"/>
      <c r="AQ31"/>
      <c r="AR31"/>
      <c r="AS31"/>
      <c r="AT31"/>
    </row>
    <row r="32" spans="1:46" s="31" customFormat="1" ht="14.45" customHeight="1">
      <c r="B32" s="149" t="s">
        <v>244</v>
      </c>
      <c r="C32" s="688">
        <f>'Autoproducers Calculations'!K$266</f>
        <v>0</v>
      </c>
      <c r="D32" s="686"/>
      <c r="E32" s="686"/>
      <c r="F32" s="686">
        <f>'Autoproducers Calculations'!K$285</f>
        <v>1.5090595800000002</v>
      </c>
      <c r="G32" s="686"/>
      <c r="H32" s="687">
        <f>'Autoproducers Calculations'!K$268</f>
        <v>0</v>
      </c>
      <c r="I32" s="687">
        <f>'Autoproducers Calculations'!K$273</f>
        <v>0</v>
      </c>
      <c r="J32" s="687">
        <f>'Autoproducers Calculations'!K$305</f>
        <v>1.2667154188993757</v>
      </c>
      <c r="K32" s="57"/>
      <c r="L32" s="95">
        <f>J32/SUM(J30:J33)</f>
        <v>0.20076291432670534</v>
      </c>
      <c r="M32" s="31">
        <f t="shared" si="0"/>
        <v>0.8394071617101927</v>
      </c>
      <c r="P32" s="679"/>
      <c r="Q32"/>
      <c r="R32"/>
      <c r="S32"/>
      <c r="T32"/>
      <c r="U32"/>
      <c r="V32"/>
      <c r="W32"/>
      <c r="X32"/>
      <c r="Y32"/>
      <c r="Z32"/>
      <c r="AA32"/>
      <c r="AB32"/>
      <c r="AC32"/>
      <c r="AD32"/>
      <c r="AE32"/>
      <c r="AF32"/>
      <c r="AG32"/>
      <c r="AH32"/>
      <c r="AI32"/>
      <c r="AJ32"/>
      <c r="AK32"/>
      <c r="AL32"/>
      <c r="AM32"/>
      <c r="AN32"/>
      <c r="AO32"/>
      <c r="AP32"/>
      <c r="AQ32"/>
      <c r="AR32"/>
      <c r="AS32"/>
      <c r="AT32"/>
    </row>
    <row r="33" spans="1:46" s="31" customFormat="1" ht="14.45" customHeight="1">
      <c r="B33" s="149" t="s">
        <v>397</v>
      </c>
      <c r="C33" s="688">
        <f>'Autoproducers Calculations'!K$265</f>
        <v>0</v>
      </c>
      <c r="D33" s="720"/>
      <c r="E33" s="686">
        <f>'Autoproducers Calculations'!K$277</f>
        <v>0</v>
      </c>
      <c r="F33" s="686">
        <f>'Autoproducers Calculations'!K$287</f>
        <v>3.7012810458916312</v>
      </c>
      <c r="G33" s="686"/>
      <c r="H33" s="687">
        <f>'Autoproducers Calculations'!K$269</f>
        <v>3.3596479732168505E-2</v>
      </c>
      <c r="I33" s="687">
        <f>'Autoproducers Calculations'!K$272</f>
        <v>4.956517688881662E-2</v>
      </c>
      <c r="J33" s="687">
        <f>'Autoproducers Calculations'!K$306</f>
        <v>3.1766883075709664</v>
      </c>
      <c r="K33" s="57"/>
      <c r="L33" s="95">
        <f>J33/SUM(J30:J33)</f>
        <v>0.50347630811161581</v>
      </c>
      <c r="M33" s="31">
        <f t="shared" si="0"/>
        <v>0.8394071617101927</v>
      </c>
      <c r="P33" s="679"/>
      <c r="Q33"/>
      <c r="R33"/>
      <c r="S33"/>
      <c r="T33"/>
      <c r="U33"/>
      <c r="V33"/>
      <c r="W33"/>
      <c r="X33"/>
      <c r="Y33"/>
      <c r="Z33"/>
      <c r="AA33"/>
      <c r="AB33"/>
      <c r="AC33"/>
      <c r="AD33"/>
      <c r="AE33"/>
      <c r="AF33"/>
      <c r="AG33"/>
      <c r="AH33"/>
      <c r="AI33"/>
      <c r="AJ33"/>
      <c r="AK33"/>
      <c r="AL33"/>
      <c r="AM33"/>
      <c r="AN33"/>
      <c r="AO33"/>
      <c r="AP33"/>
      <c r="AQ33"/>
      <c r="AR33"/>
      <c r="AS33"/>
      <c r="AT33"/>
    </row>
    <row r="34" spans="1:46" s="31" customFormat="1" ht="14.45" customHeight="1">
      <c r="A34" s="154" t="s">
        <v>44</v>
      </c>
      <c r="B34" s="153" t="s">
        <v>172</v>
      </c>
      <c r="C34" s="689">
        <f>'Autoproducers Calculations'!L$264</f>
        <v>0</v>
      </c>
      <c r="D34" s="686"/>
      <c r="E34" s="690"/>
      <c r="F34" s="690"/>
      <c r="G34" s="690">
        <v>0</v>
      </c>
      <c r="H34" s="691"/>
      <c r="I34" s="691"/>
      <c r="J34" s="691">
        <f>'Autoproducers Calculations'!L$303</f>
        <v>0</v>
      </c>
      <c r="K34" s="57"/>
      <c r="L34" s="95">
        <f>J34/SUM(J34:J37)</f>
        <v>0</v>
      </c>
      <c r="M34" s="31" t="e">
        <f t="shared" si="0"/>
        <v>#DIV/0!</v>
      </c>
    </row>
    <row r="35" spans="1:46" s="31" customFormat="1" ht="14.45" customHeight="1">
      <c r="B35" s="149" t="s">
        <v>158</v>
      </c>
      <c r="C35" s="688">
        <f>'Autoproducers Calculations'!L$263</f>
        <v>0</v>
      </c>
      <c r="D35" s="686">
        <v>0</v>
      </c>
      <c r="E35" s="686">
        <f>'Autoproducers Calculations'!L$278</f>
        <v>0</v>
      </c>
      <c r="F35" s="686">
        <f>'Autoproducers Calculations'!L$283</f>
        <v>0.113</v>
      </c>
      <c r="G35" s="686"/>
      <c r="H35" s="687">
        <f>'Autoproducers Calculations'!L$270</f>
        <v>0</v>
      </c>
      <c r="I35" s="687">
        <f>'Autoproducers Calculations'!L$274</f>
        <v>0</v>
      </c>
      <c r="J35" s="687">
        <f>'Autoproducers Calculations'!L$304</f>
        <v>0.10100615839468022</v>
      </c>
      <c r="K35" s="57"/>
      <c r="L35" s="95">
        <f>J35/SUM(J34:J37)</f>
        <v>6.5421235319033461E-2</v>
      </c>
      <c r="M35" s="31">
        <f t="shared" si="0"/>
        <v>0.89385980880247973</v>
      </c>
    </row>
    <row r="36" spans="1:46" s="31" customFormat="1" ht="14.45" customHeight="1">
      <c r="B36" s="149" t="s">
        <v>244</v>
      </c>
      <c r="C36" s="688">
        <f>'Autoproducers Calculations'!L$266</f>
        <v>0</v>
      </c>
      <c r="D36" s="686"/>
      <c r="E36" s="686"/>
      <c r="F36" s="686">
        <f>'Autoproducers Calculations'!L$285</f>
        <v>0.13002199999999992</v>
      </c>
      <c r="G36" s="686"/>
      <c r="H36" s="687">
        <f>'Autoproducers Calculations'!L$268</f>
        <v>8.3736000000000005E-2</v>
      </c>
      <c r="I36" s="687">
        <f>'Autoproducers Calculations'!L$273</f>
        <v>0</v>
      </c>
      <c r="J36" s="687">
        <f>'Autoproducers Calculations'!L$305</f>
        <v>0.19106968501000038</v>
      </c>
      <c r="K36" s="57"/>
      <c r="L36" s="95">
        <f>J36/SUM(J34:J37)</f>
        <v>0.12375497716217654</v>
      </c>
      <c r="M36" s="31">
        <f t="shared" si="0"/>
        <v>0.89385980880247973</v>
      </c>
    </row>
    <row r="37" spans="1:46" s="31" customFormat="1" ht="14.45" customHeight="1">
      <c r="B37" s="149" t="s">
        <v>397</v>
      </c>
      <c r="C37" s="688">
        <f>'Autoproducers Calculations'!L$265</f>
        <v>0.09</v>
      </c>
      <c r="D37" s="720"/>
      <c r="E37" s="686">
        <f>'Autoproducers Calculations'!L$277</f>
        <v>0</v>
      </c>
      <c r="F37" s="686">
        <f>'Autoproducers Calculations'!L$287</f>
        <v>1.1168350630391619</v>
      </c>
      <c r="G37" s="686"/>
      <c r="H37" s="687">
        <f>'Autoproducers Calculations'!L$269</f>
        <v>0.19367484085998896</v>
      </c>
      <c r="I37" s="687">
        <f>'Autoproducers Calculations'!L$272</f>
        <v>0</v>
      </c>
      <c r="J37" s="687">
        <f>'Autoproducers Calculations'!L$306</f>
        <v>1.251859514925274</v>
      </c>
      <c r="K37" s="57"/>
      <c r="L37" s="95">
        <f>J37/SUM(J34:J37)</f>
        <v>0.81082378751879003</v>
      </c>
      <c r="M37" s="31">
        <f t="shared" si="0"/>
        <v>0.89385980880247962</v>
      </c>
    </row>
    <row r="38" spans="1:46" s="31" customFormat="1" ht="14.45" customHeight="1">
      <c r="A38" s="154" t="s">
        <v>45</v>
      </c>
      <c r="B38" s="153" t="s">
        <v>172</v>
      </c>
      <c r="C38" s="689">
        <f>'Autoproducers Calculations'!M$264</f>
        <v>0</v>
      </c>
      <c r="D38" s="686"/>
      <c r="E38" s="690"/>
      <c r="F38" s="690"/>
      <c r="G38" s="690">
        <v>0</v>
      </c>
      <c r="H38" s="691"/>
      <c r="I38" s="691"/>
      <c r="J38" s="691">
        <f>'Autoproducers Calculations'!M$303</f>
        <v>0</v>
      </c>
      <c r="K38" s="57"/>
      <c r="L38" s="95">
        <f>J38/SUM(J38:J41)</f>
        <v>0</v>
      </c>
      <c r="M38" s="31" t="e">
        <f t="shared" ref="M38:M69" si="1">J38/SUM(C38:I38)</f>
        <v>#DIV/0!</v>
      </c>
    </row>
    <row r="39" spans="1:46" s="31" customFormat="1" ht="14.45" customHeight="1">
      <c r="B39" s="149" t="s">
        <v>158</v>
      </c>
      <c r="C39" s="688">
        <f>'Autoproducers Calculations'!M$263</f>
        <v>2.0402239199182821</v>
      </c>
      <c r="D39" s="686">
        <v>0</v>
      </c>
      <c r="E39" s="686">
        <f>'Autoproducers Calculations'!M$278</f>
        <v>0</v>
      </c>
      <c r="F39" s="686">
        <f>'Autoproducers Calculations'!M$283</f>
        <v>48.485041925898486</v>
      </c>
      <c r="G39" s="686"/>
      <c r="H39" s="687">
        <f>'Autoproducers Calculations'!M$270</f>
        <v>0</v>
      </c>
      <c r="I39" s="687">
        <f>'Autoproducers Calculations'!M$274</f>
        <v>0</v>
      </c>
      <c r="J39" s="687">
        <f>'Autoproducers Calculations'!M$304</f>
        <v>40.407821414189378</v>
      </c>
      <c r="K39" s="57"/>
      <c r="L39" s="95">
        <f>J39/SUM(J38:J41)</f>
        <v>0.28224744630664977</v>
      </c>
      <c r="M39" s="31">
        <f t="shared" si="1"/>
        <v>0.79975475116742878</v>
      </c>
    </row>
    <row r="40" spans="1:46" s="31" customFormat="1" ht="14.45" customHeight="1">
      <c r="B40" s="149" t="s">
        <v>244</v>
      </c>
      <c r="C40" s="688">
        <f>'Autoproducers Calculations'!M$266</f>
        <v>0</v>
      </c>
      <c r="D40" s="686"/>
      <c r="E40" s="686"/>
      <c r="F40" s="686">
        <f>'Autoproducers Calculations'!M$285</f>
        <v>36</v>
      </c>
      <c r="G40" s="686"/>
      <c r="H40" s="687">
        <f>'Autoproducers Calculations'!M$268</f>
        <v>13.423135588765405</v>
      </c>
      <c r="I40" s="687">
        <f>'Autoproducers Calculations'!M$273</f>
        <v>0</v>
      </c>
      <c r="J40" s="687">
        <f>'Autoproducers Calculations'!M$305</f>
        <v>39.526387504707166</v>
      </c>
      <c r="K40" s="57"/>
      <c r="L40" s="95">
        <f>J40/SUM(J38:J41)</f>
        <v>0.27609065632558738</v>
      </c>
      <c r="M40" s="31">
        <f t="shared" si="1"/>
        <v>0.79975475116742867</v>
      </c>
    </row>
    <row r="41" spans="1:46" s="31" customFormat="1" ht="14.45" customHeight="1">
      <c r="B41" s="149" t="s">
        <v>397</v>
      </c>
      <c r="C41" s="688">
        <f>'Autoproducers Calculations'!M$265</f>
        <v>0</v>
      </c>
      <c r="D41" s="720"/>
      <c r="E41" s="686">
        <f>'Autoproducers Calculations'!M$277</f>
        <v>0</v>
      </c>
      <c r="F41" s="686">
        <f>'Autoproducers Calculations'!M$287</f>
        <v>79.062131723344919</v>
      </c>
      <c r="G41" s="686"/>
      <c r="H41" s="687">
        <f>'Autoproducers Calculations'!M$269</f>
        <v>0</v>
      </c>
      <c r="I41" s="687">
        <f>'Autoproducers Calculations'!M$272</f>
        <v>0</v>
      </c>
      <c r="J41" s="687">
        <f>'Autoproducers Calculations'!M$306</f>
        <v>63.230315483170187</v>
      </c>
      <c r="K41" s="57"/>
      <c r="L41" s="95">
        <f>J41/SUM(J38:J41)</f>
        <v>0.44166189736776296</v>
      </c>
      <c r="M41" s="31">
        <f t="shared" si="1"/>
        <v>0.79975475116742867</v>
      </c>
    </row>
    <row r="42" spans="1:46" s="31" customFormat="1" ht="14.45" customHeight="1">
      <c r="A42" s="154" t="s">
        <v>62</v>
      </c>
      <c r="B42" s="153" t="s">
        <v>172</v>
      </c>
      <c r="C42" s="689">
        <f>'Autoproducers Calculations'!N$264</f>
        <v>0</v>
      </c>
      <c r="D42" s="686"/>
      <c r="E42" s="690"/>
      <c r="F42" s="690"/>
      <c r="G42" s="690">
        <v>0</v>
      </c>
      <c r="H42" s="691"/>
      <c r="I42" s="691"/>
      <c r="J42" s="691">
        <f>'Autoproducers Calculations'!N$303</f>
        <v>0</v>
      </c>
      <c r="K42" s="57"/>
      <c r="L42" s="95">
        <f>J42/SUM(J42:J45)</f>
        <v>0</v>
      </c>
      <c r="M42" s="31" t="e">
        <f t="shared" si="1"/>
        <v>#DIV/0!</v>
      </c>
    </row>
    <row r="43" spans="1:46" s="31" customFormat="1" ht="14.45" customHeight="1">
      <c r="B43" s="149" t="s">
        <v>158</v>
      </c>
      <c r="C43" s="688">
        <f>'Autoproducers Calculations'!N$263</f>
        <v>3.851</v>
      </c>
      <c r="D43" s="686">
        <v>0</v>
      </c>
      <c r="E43" s="686">
        <f>'Autoproducers Calculations'!N$278</f>
        <v>0</v>
      </c>
      <c r="F43" s="686">
        <f>'Autoproducers Calculations'!N$283</f>
        <v>0.75362400000000007</v>
      </c>
      <c r="G43" s="686"/>
      <c r="H43" s="687">
        <f>'Autoproducers Calculations'!N$270</f>
        <v>0</v>
      </c>
      <c r="I43" s="687">
        <f>'Autoproducers Calculations'!N$274</f>
        <v>0</v>
      </c>
      <c r="J43" s="687">
        <f>'Autoproducers Calculations'!N$304</f>
        <v>3.732209152389641</v>
      </c>
      <c r="K43" s="57"/>
      <c r="L43" s="95">
        <f>J43/SUM(J42:J45)</f>
        <v>3.2627618816266711E-2</v>
      </c>
      <c r="M43" s="31">
        <f t="shared" si="1"/>
        <v>0.81053505180654073</v>
      </c>
    </row>
    <row r="44" spans="1:46" s="31" customFormat="1" ht="14.45" customHeight="1">
      <c r="B44" s="149" t="s">
        <v>244</v>
      </c>
      <c r="C44" s="688">
        <f>'Autoproducers Calculations'!N$266</f>
        <v>5.0840185158440576</v>
      </c>
      <c r="D44" s="686"/>
      <c r="E44" s="686"/>
      <c r="F44" s="686">
        <f>'Autoproducers Calculations'!N$285</f>
        <v>21.981000000000002</v>
      </c>
      <c r="G44" s="686"/>
      <c r="H44" s="687">
        <f>'Autoproducers Calculations'!N$268</f>
        <v>103.30837673324919</v>
      </c>
      <c r="I44" s="687">
        <f>'Autoproducers Calculations'!N$273</f>
        <v>0.60457232127501626</v>
      </c>
      <c r="J44" s="687">
        <f>'Autoproducers Calculations'!N$305</f>
        <v>106.16223373016383</v>
      </c>
      <c r="K44" s="57"/>
      <c r="L44" s="95">
        <f>J44/SUM(J42:J45)</f>
        <v>0.92808863421102727</v>
      </c>
      <c r="M44" s="31">
        <f t="shared" si="1"/>
        <v>0.81053505180654062</v>
      </c>
    </row>
    <row r="45" spans="1:46" s="31" customFormat="1" ht="14.45" customHeight="1">
      <c r="B45" s="149" t="s">
        <v>397</v>
      </c>
      <c r="C45" s="688">
        <f>'Autoproducers Calculations'!N$265</f>
        <v>0.42799999999999999</v>
      </c>
      <c r="D45" s="720"/>
      <c r="E45" s="686">
        <f>'Autoproducers Calculations'!N$277</f>
        <v>2.4659805503142289</v>
      </c>
      <c r="F45" s="686">
        <f>'Autoproducers Calculations'!N$287</f>
        <v>2.0920000000000001</v>
      </c>
      <c r="G45" s="686"/>
      <c r="H45" s="687">
        <f>'Autoproducers Calculations'!N$269</f>
        <v>0</v>
      </c>
      <c r="I45" s="687">
        <f>'Autoproducers Calculations'!N$272</f>
        <v>0.55800000000000005</v>
      </c>
      <c r="J45" s="687">
        <f>'Autoproducers Calculations'!N$306</f>
        <v>4.4935905625633978</v>
      </c>
      <c r="K45" s="57"/>
      <c r="L45" s="95">
        <f>J45/SUM(J42:J45)</f>
        <v>3.9283746972705959E-2</v>
      </c>
      <c r="M45" s="31">
        <f t="shared" si="1"/>
        <v>0.81053505180654073</v>
      </c>
    </row>
    <row r="46" spans="1:46" s="31" customFormat="1" ht="14.45" customHeight="1">
      <c r="A46" s="154" t="s">
        <v>46</v>
      </c>
      <c r="B46" s="153" t="s">
        <v>172</v>
      </c>
      <c r="C46" s="689">
        <f>'Autoproducers Calculations'!O$264</f>
        <v>0</v>
      </c>
      <c r="D46" s="686"/>
      <c r="E46" s="690"/>
      <c r="F46" s="690"/>
      <c r="G46" s="690">
        <v>0</v>
      </c>
      <c r="H46" s="691"/>
      <c r="I46" s="691"/>
      <c r="J46" s="691">
        <f>'Autoproducers Calculations'!O$303</f>
        <v>0</v>
      </c>
      <c r="K46" s="57"/>
      <c r="L46" s="95">
        <f>J46/SUM(J46:J49)</f>
        <v>0</v>
      </c>
      <c r="M46" s="31" t="e">
        <f t="shared" si="1"/>
        <v>#DIV/0!</v>
      </c>
    </row>
    <row r="47" spans="1:46" s="31" customFormat="1" ht="14.45" customHeight="1">
      <c r="B47" s="149" t="s">
        <v>158</v>
      </c>
      <c r="C47" s="688">
        <f>'Autoproducers Calculations'!O$263</f>
        <v>4.4565784025985664</v>
      </c>
      <c r="D47" s="686">
        <v>0</v>
      </c>
      <c r="E47" s="686">
        <f>'Autoproducers Calculations'!O$278</f>
        <v>0</v>
      </c>
      <c r="F47" s="686">
        <f>'Autoproducers Calculations'!O$283</f>
        <v>30.724641797653451</v>
      </c>
      <c r="G47" s="686"/>
      <c r="H47" s="687">
        <f>'Autoproducers Calculations'!O$270</f>
        <v>0</v>
      </c>
      <c r="I47" s="687">
        <f>'Autoproducers Calculations'!O$274</f>
        <v>0</v>
      </c>
      <c r="J47" s="687">
        <f>'Autoproducers Calculations'!O$304</f>
        <v>28.286809520566983</v>
      </c>
      <c r="K47" s="57"/>
      <c r="L47" s="95">
        <f>J47/SUM(J46:J49)</f>
        <v>0.22345463703345428</v>
      </c>
      <c r="M47" s="31">
        <f t="shared" si="1"/>
        <v>0.80403150770661325</v>
      </c>
    </row>
    <row r="48" spans="1:46" s="31" customFormat="1" ht="14.45" customHeight="1">
      <c r="B48" s="149" t="s">
        <v>244</v>
      </c>
      <c r="C48" s="688">
        <f>'Autoproducers Calculations'!O$266</f>
        <v>0</v>
      </c>
      <c r="D48" s="686"/>
      <c r="E48" s="686"/>
      <c r="F48" s="686">
        <f>'Autoproducers Calculations'!O$285</f>
        <v>36.813160280447654</v>
      </c>
      <c r="G48" s="686"/>
      <c r="H48" s="687">
        <f>'Autoproducers Calculations'!O$268</f>
        <v>23.231999999999999</v>
      </c>
      <c r="I48" s="687">
        <f>'Autoproducers Calculations'!O$273</f>
        <v>0</v>
      </c>
      <c r="J48" s="687">
        <f>'Autoproducers Calculations'!O$305</f>
        <v>48.278200750773578</v>
      </c>
      <c r="K48" s="57"/>
      <c r="L48" s="95">
        <f>J48/SUM(J46:J49)</f>
        <v>0.38137874183189657</v>
      </c>
      <c r="M48" s="31">
        <f t="shared" si="1"/>
        <v>0.80403150770661325</v>
      </c>
    </row>
    <row r="49" spans="1:15" s="31" customFormat="1" ht="14.45" customHeight="1">
      <c r="B49" s="149" t="s">
        <v>397</v>
      </c>
      <c r="C49" s="688">
        <f>'Autoproducers Calculations'!O$265</f>
        <v>0</v>
      </c>
      <c r="D49" s="720"/>
      <c r="E49" s="686">
        <f>'Autoproducers Calculations'!O$277</f>
        <v>0</v>
      </c>
      <c r="F49" s="686">
        <f>'Autoproducers Calculations'!O$287</f>
        <v>36.100931184652758</v>
      </c>
      <c r="G49" s="686"/>
      <c r="H49" s="687">
        <f>'Autoproducers Calculations'!O$269</f>
        <v>26.115025031311845</v>
      </c>
      <c r="I49" s="687">
        <f>'Autoproducers Calculations'!O$272</f>
        <v>0</v>
      </c>
      <c r="J49" s="687">
        <f>'Autoproducers Calculations'!O$306</f>
        <v>50.023589079730655</v>
      </c>
      <c r="K49" s="57"/>
      <c r="L49" s="95">
        <f>J49/SUM(J46:J49)</f>
        <v>0.39516662113464918</v>
      </c>
      <c r="M49" s="31">
        <f t="shared" si="1"/>
        <v>0.80403150770661325</v>
      </c>
    </row>
    <row r="50" spans="1:15" s="31" customFormat="1" ht="14.45" customHeight="1">
      <c r="A50" s="154" t="s">
        <v>82</v>
      </c>
      <c r="B50" s="153" t="s">
        <v>172</v>
      </c>
      <c r="C50" s="689">
        <f>'Autoproducers Calculations'!P$264</f>
        <v>0</v>
      </c>
      <c r="D50" s="686"/>
      <c r="E50" s="690"/>
      <c r="F50" s="690"/>
      <c r="G50" s="690">
        <v>0</v>
      </c>
      <c r="H50" s="691"/>
      <c r="I50" s="691"/>
      <c r="J50" s="691">
        <f>'Autoproducers Calculations'!P$303</f>
        <v>0</v>
      </c>
      <c r="K50" s="57"/>
      <c r="L50" s="95">
        <f>J50/SUM(J50:J53)</f>
        <v>0</v>
      </c>
      <c r="M50" s="31" t="e">
        <f t="shared" si="1"/>
        <v>#DIV/0!</v>
      </c>
    </row>
    <row r="51" spans="1:15" s="31" customFormat="1" ht="14.45" customHeight="1">
      <c r="B51" s="149" t="s">
        <v>158</v>
      </c>
      <c r="C51" s="688">
        <f>'Autoproducers Calculations'!P$263</f>
        <v>0</v>
      </c>
      <c r="D51" s="686">
        <v>0</v>
      </c>
      <c r="E51" s="686">
        <f>'Autoproducers Calculations'!P$278</f>
        <v>0</v>
      </c>
      <c r="F51" s="686">
        <f>'Autoproducers Calculations'!P$283</f>
        <v>2.2160000000000002</v>
      </c>
      <c r="G51" s="686"/>
      <c r="H51" s="687">
        <f>'Autoproducers Calculations'!P$270</f>
        <v>0</v>
      </c>
      <c r="I51" s="687">
        <f>'Autoproducers Calculations'!P$274</f>
        <v>0</v>
      </c>
      <c r="J51" s="687">
        <f>'Autoproducers Calculations'!P$304</f>
        <v>1.194046810481753</v>
      </c>
      <c r="K51" s="57"/>
      <c r="L51" s="95">
        <f>J51/SUM(J50:J53)</f>
        <v>0.16716640158275997</v>
      </c>
      <c r="M51" s="31">
        <f t="shared" si="1"/>
        <v>0.53882978812353466</v>
      </c>
    </row>
    <row r="52" spans="1:15" s="31" customFormat="1" ht="14.45" customHeight="1">
      <c r="B52" s="149" t="s">
        <v>244</v>
      </c>
      <c r="C52" s="688">
        <f>'Autoproducers Calculations'!P$266</f>
        <v>0</v>
      </c>
      <c r="D52" s="686"/>
      <c r="E52" s="686"/>
      <c r="F52" s="686">
        <f>'Autoproducers Calculations'!P$285</f>
        <v>9.9669999999999925E-2</v>
      </c>
      <c r="G52" s="686"/>
      <c r="H52" s="687">
        <f>'Autoproducers Calculations'!P$268</f>
        <v>0</v>
      </c>
      <c r="I52" s="687">
        <f>'Autoproducers Calculations'!P$273</f>
        <v>0</v>
      </c>
      <c r="J52" s="687">
        <f>'Autoproducers Calculations'!P$305</f>
        <v>5.3705164982272673E-2</v>
      </c>
      <c r="K52" s="57"/>
      <c r="L52" s="95">
        <f>J52/SUM(J50:J53)</f>
        <v>7.5187162661343307E-3</v>
      </c>
      <c r="M52" s="31">
        <f t="shared" si="1"/>
        <v>0.53882978812353477</v>
      </c>
    </row>
    <row r="53" spans="1:15" s="31" customFormat="1" ht="14.45" customHeight="1">
      <c r="B53" s="149" t="s">
        <v>397</v>
      </c>
      <c r="C53" s="688">
        <f>'Autoproducers Calculations'!P$265</f>
        <v>0</v>
      </c>
      <c r="D53" s="720"/>
      <c r="E53" s="686">
        <f>'Autoproducers Calculations'!P$277</f>
        <v>0</v>
      </c>
      <c r="F53" s="686">
        <f>'Autoproducers Calculations'!P$287</f>
        <v>5.9405823271335274</v>
      </c>
      <c r="G53" s="686"/>
      <c r="H53" s="687">
        <f>'Autoproducers Calculations'!P$269</f>
        <v>5</v>
      </c>
      <c r="I53" s="687">
        <f>'Autoproducers Calculations'!P$272</f>
        <v>0</v>
      </c>
      <c r="J53" s="687">
        <f>'Autoproducers Calculations'!P$306</f>
        <v>5.8951116572774476</v>
      </c>
      <c r="K53" s="57"/>
      <c r="L53" s="95">
        <f>J53/SUM(J50:J53)</f>
        <v>0.8253148821511056</v>
      </c>
      <c r="M53" s="31">
        <f t="shared" si="1"/>
        <v>0.53882978812353477</v>
      </c>
    </row>
    <row r="54" spans="1:15" s="31" customFormat="1" ht="14.45" customHeight="1">
      <c r="A54" s="154" t="s">
        <v>53</v>
      </c>
      <c r="B54" s="153" t="s">
        <v>172</v>
      </c>
      <c r="C54" s="689">
        <f>'Autoproducers Calculations'!Q$264</f>
        <v>0</v>
      </c>
      <c r="D54" s="686"/>
      <c r="E54" s="690"/>
      <c r="F54" s="690"/>
      <c r="G54" s="690">
        <v>0</v>
      </c>
      <c r="H54" s="691"/>
      <c r="I54" s="691"/>
      <c r="J54" s="691">
        <f>'Autoproducers Calculations'!Q$303</f>
        <v>0</v>
      </c>
      <c r="K54" s="57"/>
      <c r="L54" s="95">
        <f>J54/SUM(J54:J57)</f>
        <v>0</v>
      </c>
      <c r="M54" s="31" t="e">
        <f t="shared" si="1"/>
        <v>#DIV/0!</v>
      </c>
    </row>
    <row r="55" spans="1:15" s="31" customFormat="1" ht="14.45" customHeight="1">
      <c r="B55" s="149" t="s">
        <v>158</v>
      </c>
      <c r="C55" s="688">
        <f>'Autoproducers Calculations'!Q$263</f>
        <v>0</v>
      </c>
      <c r="D55" s="686">
        <v>0</v>
      </c>
      <c r="E55" s="686">
        <f>'Autoproducers Calculations'!Q$278</f>
        <v>0</v>
      </c>
      <c r="F55" s="686">
        <f>'Autoproducers Calculations'!Q$283</f>
        <v>2.7426478598206971</v>
      </c>
      <c r="G55" s="686"/>
      <c r="H55" s="687">
        <f>'Autoproducers Calculations'!Q$270</f>
        <v>0</v>
      </c>
      <c r="I55" s="687">
        <f>'Autoproducers Calculations'!Q$274</f>
        <v>0</v>
      </c>
      <c r="J55" s="687">
        <f>'Autoproducers Calculations'!Q$304</f>
        <v>2.1058156815448492</v>
      </c>
      <c r="K55" s="57"/>
      <c r="L55" s="95">
        <f>J55/SUM(J54:J57)</f>
        <v>0.47798927186265489</v>
      </c>
      <c r="M55" s="31">
        <f t="shared" si="1"/>
        <v>0.76780388484962803</v>
      </c>
    </row>
    <row r="56" spans="1:15" s="31" customFormat="1" ht="14.45" customHeight="1">
      <c r="B56" s="149" t="s">
        <v>244</v>
      </c>
      <c r="C56" s="688">
        <f>'Autoproducers Calculations'!Q$266</f>
        <v>0</v>
      </c>
      <c r="D56" s="686"/>
      <c r="E56" s="686"/>
      <c r="F56" s="686">
        <f>'Autoproducers Calculations'!Q$285</f>
        <v>1.2133126946773236</v>
      </c>
      <c r="G56" s="686"/>
      <c r="H56" s="687">
        <f>'Autoproducers Calculations'!Q$268</f>
        <v>0.18166295905983074</v>
      </c>
      <c r="I56" s="687">
        <f>'Autoproducers Calculations'!Q$273</f>
        <v>0</v>
      </c>
      <c r="J56" s="687">
        <f>'Autoproducers Calculations'!Q$305</f>
        <v>1.0710677262100368</v>
      </c>
      <c r="K56" s="57"/>
      <c r="L56" s="95">
        <f>J56/SUM(J54:J57)</f>
        <v>0.24311666355867684</v>
      </c>
      <c r="M56" s="31">
        <f t="shared" si="1"/>
        <v>0.76780388484962814</v>
      </c>
    </row>
    <row r="57" spans="1:15" s="31" customFormat="1" ht="14.45" customHeight="1">
      <c r="B57" s="149" t="s">
        <v>397</v>
      </c>
      <c r="C57" s="688">
        <f>'Autoproducers Calculations'!Q$265</f>
        <v>0</v>
      </c>
      <c r="D57" s="720"/>
      <c r="E57" s="686">
        <f>'Autoproducers Calculations'!Q$277</f>
        <v>0</v>
      </c>
      <c r="F57" s="686">
        <f>'Autoproducers Calculations'!Q$287</f>
        <v>1.1898385730082455</v>
      </c>
      <c r="G57" s="686"/>
      <c r="H57" s="687">
        <f>'Autoproducers Calculations'!Q$269</f>
        <v>0</v>
      </c>
      <c r="I57" s="687">
        <f>'Autoproducers Calculations'!Q$272</f>
        <v>0.41042372232035829</v>
      </c>
      <c r="J57" s="687">
        <f>'Autoproducers Calculations'!Q$306</f>
        <v>1.2286876071316846</v>
      </c>
      <c r="K57" s="57"/>
      <c r="L57" s="95">
        <f>J57/SUM(J54:J57)</f>
        <v>0.27889406457866833</v>
      </c>
      <c r="M57" s="31">
        <f t="shared" si="1"/>
        <v>0.76780388484962803</v>
      </c>
    </row>
    <row r="58" spans="1:15" s="31" customFormat="1" ht="14.45" customHeight="1">
      <c r="A58" s="154" t="s">
        <v>47</v>
      </c>
      <c r="B58" s="153" t="s">
        <v>172</v>
      </c>
      <c r="C58" s="689">
        <f>'Autoproducers Calculations'!R$264</f>
        <v>0</v>
      </c>
      <c r="D58" s="686"/>
      <c r="E58" s="690"/>
      <c r="F58" s="690"/>
      <c r="G58" s="690">
        <v>0</v>
      </c>
      <c r="H58" s="691"/>
      <c r="I58" s="691"/>
      <c r="J58" s="691">
        <f>'Autoproducers Calculations'!R$303</f>
        <v>0</v>
      </c>
      <c r="K58" s="57"/>
      <c r="L58" s="95">
        <f>J58/SUM(J58:J61)</f>
        <v>0</v>
      </c>
      <c r="M58" s="31" t="e">
        <f t="shared" si="1"/>
        <v>#DIV/0!</v>
      </c>
    </row>
    <row r="59" spans="1:15" s="31" customFormat="1" ht="14.45" customHeight="1">
      <c r="B59" s="149" t="s">
        <v>158</v>
      </c>
      <c r="C59" s="688">
        <f>'Autoproducers Calculations'!R$263</f>
        <v>0</v>
      </c>
      <c r="D59" s="686">
        <v>0</v>
      </c>
      <c r="E59" s="686">
        <f>'Autoproducers Calculations'!R$278</f>
        <v>0</v>
      </c>
      <c r="F59" s="686">
        <f>'Autoproducers Calculations'!R$283</f>
        <v>1.3568681126157911</v>
      </c>
      <c r="G59" s="686"/>
      <c r="H59" s="687">
        <f>'Autoproducers Calculations'!R$270</f>
        <v>0</v>
      </c>
      <c r="I59" s="687">
        <f>'Autoproducers Calculations'!R$274</f>
        <v>0</v>
      </c>
      <c r="J59" s="687">
        <f>'Autoproducers Calculations'!R$304</f>
        <v>1.0564493591357176</v>
      </c>
      <c r="K59" s="57"/>
      <c r="L59" s="95">
        <f>J59/SUM(J58:J61)</f>
        <v>0.24348825218461956</v>
      </c>
      <c r="M59" s="31">
        <f t="shared" si="1"/>
        <v>0.77859399105420668</v>
      </c>
    </row>
    <row r="60" spans="1:15" s="31" customFormat="1" ht="14.45" customHeight="1">
      <c r="B60" s="149" t="s">
        <v>244</v>
      </c>
      <c r="C60" s="688">
        <f>'Autoproducers Calculations'!R$266</f>
        <v>0</v>
      </c>
      <c r="D60" s="686"/>
      <c r="E60" s="686"/>
      <c r="F60" s="686">
        <f>'Autoproducers Calculations'!R$285</f>
        <v>0.46054800000000001</v>
      </c>
      <c r="G60" s="686"/>
      <c r="H60" s="687">
        <f>'Autoproducers Calculations'!R$268</f>
        <v>0</v>
      </c>
      <c r="I60" s="687">
        <f>'Autoproducers Calculations'!R$273</f>
        <v>0</v>
      </c>
      <c r="J60" s="687">
        <f>'Autoproducers Calculations'!R$305</f>
        <v>0.35857990539203277</v>
      </c>
      <c r="K60" s="57"/>
      <c r="L60" s="95">
        <f>J60/SUM(J58:J61)</f>
        <v>8.2644751191728399E-2</v>
      </c>
      <c r="M60" s="31">
        <f t="shared" si="1"/>
        <v>0.77859399105420668</v>
      </c>
    </row>
    <row r="61" spans="1:15" s="31" customFormat="1" ht="14.45" customHeight="1">
      <c r="B61" s="149" t="s">
        <v>397</v>
      </c>
      <c r="C61" s="688">
        <f>'Autoproducers Calculations'!R$265</f>
        <v>0.9957068984617683</v>
      </c>
      <c r="D61" s="720"/>
      <c r="E61" s="686">
        <f>'Autoproducers Calculations'!R$277</f>
        <v>0</v>
      </c>
      <c r="F61" s="686">
        <f>'Autoproducers Calculations'!R$287</f>
        <v>2.759499488947518</v>
      </c>
      <c r="G61" s="686"/>
      <c r="H61" s="687">
        <f>'Autoproducers Calculations'!R$269</f>
        <v>0</v>
      </c>
      <c r="I61" s="687">
        <f>'Autoproducers Calculations'!R$272</f>
        <v>0</v>
      </c>
      <c r="J61" s="687">
        <f>'Autoproducers Calculations'!R$306</f>
        <v>2.9237811284052455</v>
      </c>
      <c r="K61" s="57"/>
      <c r="L61" s="95">
        <f>J61/SUM(J58:J61)</f>
        <v>0.67386699662365201</v>
      </c>
      <c r="M61" s="31">
        <f t="shared" si="1"/>
        <v>0.77859399105420668</v>
      </c>
    </row>
    <row r="62" spans="1:15">
      <c r="A62" s="154" t="s">
        <v>48</v>
      </c>
      <c r="B62" s="153" t="s">
        <v>172</v>
      </c>
      <c r="C62" s="689">
        <f>'Autoproducers Calculations'!S$264</f>
        <v>4.1682771420451362E-2</v>
      </c>
      <c r="D62" s="686"/>
      <c r="E62" s="690"/>
      <c r="F62" s="690"/>
      <c r="G62" s="690">
        <v>0</v>
      </c>
      <c r="H62" s="691"/>
      <c r="I62" s="691"/>
      <c r="J62" s="691">
        <f>'Autoproducers Calculations'!S$303</f>
        <v>3.0469913127438679E-2</v>
      </c>
      <c r="K62" s="57"/>
      <c r="L62" s="95">
        <f>J62/SUM(J62:J65)</f>
        <v>6.4968202594162467E-3</v>
      </c>
      <c r="M62" s="31">
        <f t="shared" si="1"/>
        <v>0.73099537504573964</v>
      </c>
      <c r="O62" s="31"/>
    </row>
    <row r="63" spans="1:15">
      <c r="A63" s="31"/>
      <c r="B63" s="149" t="s">
        <v>158</v>
      </c>
      <c r="C63" s="688">
        <f>'Autoproducers Calculations'!S$263</f>
        <v>0.08</v>
      </c>
      <c r="D63" s="686">
        <v>0</v>
      </c>
      <c r="E63" s="686">
        <f>'Autoproducers Calculations'!S$278</f>
        <v>0</v>
      </c>
      <c r="F63" s="686">
        <f>'Autoproducers Calculations'!S$283</f>
        <v>1.8540319608210907</v>
      </c>
      <c r="G63" s="686"/>
      <c r="H63" s="687">
        <f>'Autoproducers Calculations'!S$270</f>
        <v>0</v>
      </c>
      <c r="I63" s="687">
        <f>'Autoproducers Calculations'!S$274</f>
        <v>0</v>
      </c>
      <c r="J63" s="687">
        <f>'Autoproducers Calculations'!S$304</f>
        <v>1.4137684185508606</v>
      </c>
      <c r="K63" s="57"/>
      <c r="L63" s="95">
        <f>J63/SUM(J62:J65)</f>
        <v>0.30144487991640678</v>
      </c>
      <c r="M63" s="31">
        <f t="shared" si="1"/>
        <v>0.73099537504573964</v>
      </c>
      <c r="O63" s="31"/>
    </row>
    <row r="64" spans="1:15">
      <c r="A64" s="31"/>
      <c r="B64" s="149" t="s">
        <v>244</v>
      </c>
      <c r="C64" s="688">
        <f>'Autoproducers Calculations'!S$266</f>
        <v>0</v>
      </c>
      <c r="D64" s="686"/>
      <c r="E64" s="686"/>
      <c r="F64" s="686">
        <f>'Autoproducers Calculations'!S$285</f>
        <v>2.2214343844357578</v>
      </c>
      <c r="G64" s="686"/>
      <c r="H64" s="687">
        <f>'Autoproducers Calculations'!S$268</f>
        <v>0</v>
      </c>
      <c r="I64" s="687">
        <f>'Autoproducers Calculations'!S$273</f>
        <v>0</v>
      </c>
      <c r="J64" s="687">
        <f>'Autoproducers Calculations'!S$305</f>
        <v>1.6238582609901184</v>
      </c>
      <c r="K64" s="57"/>
      <c r="L64" s="95">
        <f>J64/SUM(J62:J65)</f>
        <v>0.34624041113266768</v>
      </c>
      <c r="M64" s="31">
        <f t="shared" si="1"/>
        <v>0.73099537504573964</v>
      </c>
      <c r="O64" s="31"/>
    </row>
    <row r="65" spans="1:15">
      <c r="A65" s="31"/>
      <c r="B65" s="149" t="s">
        <v>397</v>
      </c>
      <c r="C65" s="688">
        <f>'Autoproducers Calculations'!S$265</f>
        <v>0</v>
      </c>
      <c r="D65" s="720"/>
      <c r="E65" s="686">
        <f>'Autoproducers Calculations'!S$277</f>
        <v>0</v>
      </c>
      <c r="F65" s="686">
        <f>'Autoproducers Calculations'!S$287</f>
        <v>2.1784559986916059</v>
      </c>
      <c r="G65" s="686"/>
      <c r="H65" s="687">
        <f>'Autoproducers Calculations'!S$269</f>
        <v>0</v>
      </c>
      <c r="I65" s="687">
        <f>'Autoproducers Calculations'!S$272</f>
        <v>4.0267535569516455E-2</v>
      </c>
      <c r="J65" s="687">
        <f>'Autoproducers Calculations'!S$306</f>
        <v>1.6218766420500179</v>
      </c>
      <c r="K65" s="57"/>
      <c r="L65" s="95">
        <f>J65/SUM(J62:J65)</f>
        <v>0.34581788869150937</v>
      </c>
      <c r="M65" s="31">
        <f t="shared" si="1"/>
        <v>0.73099537504573964</v>
      </c>
      <c r="O65" s="31"/>
    </row>
    <row r="66" spans="1:15" s="31" customFormat="1" ht="14.45" customHeight="1">
      <c r="A66" s="154" t="s">
        <v>51</v>
      </c>
      <c r="B66" s="153" t="s">
        <v>172</v>
      </c>
      <c r="C66" s="689">
        <f>'Autoproducers Calculations'!T$264</f>
        <v>0</v>
      </c>
      <c r="D66" s="686"/>
      <c r="E66" s="690"/>
      <c r="F66" s="690"/>
      <c r="G66" s="690">
        <v>0</v>
      </c>
      <c r="H66" s="691"/>
      <c r="I66" s="691"/>
      <c r="J66" s="691">
        <f>'Autoproducers Calculations'!T$303</f>
        <v>0</v>
      </c>
      <c r="K66" s="57"/>
      <c r="L66" s="95">
        <f>J66/SUM(J66:J69)</f>
        <v>0</v>
      </c>
      <c r="M66" s="31" t="e">
        <f t="shared" si="1"/>
        <v>#DIV/0!</v>
      </c>
    </row>
    <row r="67" spans="1:15" s="31" customFormat="1" ht="14.45" customHeight="1">
      <c r="B67" s="149" t="s">
        <v>158</v>
      </c>
      <c r="C67" s="688">
        <f>'Autoproducers Calculations'!T$263</f>
        <v>0</v>
      </c>
      <c r="D67" s="686">
        <v>0</v>
      </c>
      <c r="E67" s="686">
        <f>'Autoproducers Calculations'!T$278</f>
        <v>0</v>
      </c>
      <c r="F67" s="686">
        <f>'Autoproducers Calculations'!T$283</f>
        <v>2.0096639999999999</v>
      </c>
      <c r="G67" s="686"/>
      <c r="H67" s="687">
        <f>'Autoproducers Calculations'!T$270</f>
        <v>0</v>
      </c>
      <c r="I67" s="687">
        <f>'Autoproducers Calculations'!T$274</f>
        <v>0</v>
      </c>
      <c r="J67" s="687">
        <f>'Autoproducers Calculations'!T$304</f>
        <v>1.5867607930434782</v>
      </c>
      <c r="K67" s="57"/>
      <c r="L67" s="95">
        <f>J67/SUM(J66:J69)</f>
        <v>0.2013444801905801</v>
      </c>
      <c r="M67" s="31">
        <f t="shared" si="1"/>
        <v>0.78956521739130436</v>
      </c>
    </row>
    <row r="68" spans="1:15" s="31" customFormat="1" ht="14.45" customHeight="1">
      <c r="B68" s="149" t="s">
        <v>244</v>
      </c>
      <c r="C68" s="688">
        <f>'Autoproducers Calculations'!T$266</f>
        <v>0</v>
      </c>
      <c r="D68" s="686"/>
      <c r="E68" s="686"/>
      <c r="F68" s="686">
        <f>'Autoproducers Calculations'!T$285</f>
        <v>0</v>
      </c>
      <c r="G68" s="686"/>
      <c r="H68" s="687">
        <f>'Autoproducers Calculations'!T$268</f>
        <v>0</v>
      </c>
      <c r="I68" s="687">
        <f>'Autoproducers Calculations'!T$273</f>
        <v>0</v>
      </c>
      <c r="J68" s="687">
        <f>'Autoproducers Calculations'!T$305</f>
        <v>0</v>
      </c>
      <c r="K68" s="57"/>
      <c r="L68" s="95">
        <f>J68/SUM(J66:J69)</f>
        <v>0</v>
      </c>
      <c r="M68" s="31" t="e">
        <f t="shared" si="1"/>
        <v>#DIV/0!</v>
      </c>
    </row>
    <row r="69" spans="1:15" s="31" customFormat="1" ht="14.45" customHeight="1">
      <c r="B69" s="149" t="s">
        <v>397</v>
      </c>
      <c r="C69" s="688">
        <f>'Autoproducers Calculations'!T$265</f>
        <v>0</v>
      </c>
      <c r="D69" s="720"/>
      <c r="E69" s="686">
        <f>'Autoproducers Calculations'!T$277</f>
        <v>0</v>
      </c>
      <c r="F69" s="686">
        <f>'Autoproducers Calculations'!T$287</f>
        <v>6.5689452769218217</v>
      </c>
      <c r="G69" s="686"/>
      <c r="H69" s="687">
        <f>'Autoproducers Calculations'!T$269</f>
        <v>1.4026129453003995</v>
      </c>
      <c r="I69" s="687">
        <f>'Autoproducers Calculations'!T$272</f>
        <v>0</v>
      </c>
      <c r="J69" s="687">
        <f>'Autoproducers Calculations'!T$306</f>
        <v>6.2940651006763284</v>
      </c>
      <c r="K69" s="57"/>
      <c r="L69" s="95">
        <f>J69/SUM(J66:J69)</f>
        <v>0.79865551980941996</v>
      </c>
      <c r="M69" s="31">
        <f t="shared" si="1"/>
        <v>0.78956521739130447</v>
      </c>
    </row>
    <row r="70" spans="1:15" s="31" customFormat="1" ht="14.45" customHeight="1">
      <c r="A70" s="154" t="s">
        <v>52</v>
      </c>
      <c r="B70" s="153" t="s">
        <v>172</v>
      </c>
      <c r="C70" s="689">
        <f>'Autoproducers Calculations'!U$264</f>
        <v>0</v>
      </c>
      <c r="D70" s="686"/>
      <c r="E70" s="690"/>
      <c r="F70" s="690"/>
      <c r="G70" s="690">
        <v>0</v>
      </c>
      <c r="H70" s="691"/>
      <c r="I70" s="691"/>
      <c r="J70" s="691">
        <f>'Autoproducers Calculations'!U$303</f>
        <v>0</v>
      </c>
      <c r="K70" s="57"/>
      <c r="L70" s="95">
        <f>J70/SUM(J70:J73)</f>
        <v>0</v>
      </c>
      <c r="M70" s="31" t="e">
        <f t="shared" ref="M70:M101" si="2">J70/SUM(C70:I70)</f>
        <v>#DIV/0!</v>
      </c>
    </row>
    <row r="71" spans="1:15" s="31" customFormat="1" ht="14.45" customHeight="1">
      <c r="B71" s="149" t="s">
        <v>158</v>
      </c>
      <c r="C71" s="688">
        <f>'Autoproducers Calculations'!U$263</f>
        <v>0</v>
      </c>
      <c r="D71" s="686">
        <v>0</v>
      </c>
      <c r="E71" s="686">
        <f>'Autoproducers Calculations'!U$278</f>
        <v>0</v>
      </c>
      <c r="F71" s="686">
        <f>'Autoproducers Calculations'!U$283</f>
        <v>0</v>
      </c>
      <c r="G71" s="686"/>
      <c r="H71" s="687">
        <f>'Autoproducers Calculations'!U$270</f>
        <v>0</v>
      </c>
      <c r="I71" s="687">
        <f>'Autoproducers Calculations'!U$274</f>
        <v>0</v>
      </c>
      <c r="J71" s="687">
        <f>'Autoproducers Calculations'!U$304</f>
        <v>0</v>
      </c>
      <c r="K71" s="57"/>
      <c r="L71" s="95">
        <f>J71/SUM(J70:J73)</f>
        <v>0</v>
      </c>
      <c r="M71" s="31" t="e">
        <f t="shared" si="2"/>
        <v>#DIV/0!</v>
      </c>
    </row>
    <row r="72" spans="1:15" s="31" customFormat="1" ht="14.45" customHeight="1">
      <c r="B72" s="149" t="s">
        <v>244</v>
      </c>
      <c r="C72" s="688">
        <f>'Autoproducers Calculations'!U$266</f>
        <v>0</v>
      </c>
      <c r="D72" s="686"/>
      <c r="E72" s="686"/>
      <c r="F72" s="686">
        <f>'Autoproducers Calculations'!U$285</f>
        <v>0</v>
      </c>
      <c r="G72" s="686"/>
      <c r="H72" s="687">
        <f>'Autoproducers Calculations'!U$268</f>
        <v>0</v>
      </c>
      <c r="I72" s="687">
        <f>'Autoproducers Calculations'!U$273</f>
        <v>0</v>
      </c>
      <c r="J72" s="687">
        <f>'Autoproducers Calculations'!U$305</f>
        <v>0</v>
      </c>
      <c r="K72" s="57"/>
      <c r="L72" s="95">
        <f>J72/SUM(J70:J73)</f>
        <v>0</v>
      </c>
      <c r="M72" s="31" t="e">
        <f t="shared" si="2"/>
        <v>#DIV/0!</v>
      </c>
    </row>
    <row r="73" spans="1:15" s="31" customFormat="1" ht="14.45" customHeight="1">
      <c r="B73" s="149" t="s">
        <v>397</v>
      </c>
      <c r="C73" s="688">
        <f>'Autoproducers Calculations'!U$265</f>
        <v>0</v>
      </c>
      <c r="D73" s="720"/>
      <c r="E73" s="686">
        <f>'Autoproducers Calculations'!U$277</f>
        <v>0</v>
      </c>
      <c r="F73" s="686">
        <f>'Autoproducers Calculations'!U$287</f>
        <v>0</v>
      </c>
      <c r="G73" s="686"/>
      <c r="H73" s="687">
        <f>'Autoproducers Calculations'!U$269</f>
        <v>0</v>
      </c>
      <c r="I73" s="687">
        <f>'Autoproducers Calculations'!U$272</f>
        <v>0</v>
      </c>
      <c r="J73" s="687">
        <f>'Autoproducers Calculations'!U$306</f>
        <v>2.1227448418156802</v>
      </c>
      <c r="K73" s="57"/>
      <c r="L73" s="95">
        <f>J73/SUM(J70:J73)</f>
        <v>1</v>
      </c>
      <c r="M73" s="31" t="e">
        <f t="shared" si="2"/>
        <v>#DIV/0!</v>
      </c>
    </row>
    <row r="74" spans="1:15" s="31" customFormat="1" ht="14.45" customHeight="1">
      <c r="A74" s="154" t="s">
        <v>50</v>
      </c>
      <c r="B74" s="153" t="s">
        <v>172</v>
      </c>
      <c r="C74" s="689">
        <f>'Autoproducers Calculations'!V$264</f>
        <v>0</v>
      </c>
      <c r="D74" s="686"/>
      <c r="E74" s="690"/>
      <c r="F74" s="690"/>
      <c r="G74" s="690">
        <v>0</v>
      </c>
      <c r="H74" s="691"/>
      <c r="I74" s="691"/>
      <c r="J74" s="691">
        <f>'Autoproducers Calculations'!V$303</f>
        <v>0</v>
      </c>
      <c r="K74" s="57"/>
      <c r="L74" s="95">
        <f>J74/SUM(J74:J77)</f>
        <v>0</v>
      </c>
      <c r="M74" s="31" t="e">
        <f t="shared" si="2"/>
        <v>#DIV/0!</v>
      </c>
    </row>
    <row r="75" spans="1:15" s="31" customFormat="1" ht="14.45" customHeight="1">
      <c r="B75" s="149" t="s">
        <v>158</v>
      </c>
      <c r="C75" s="688">
        <f>'Autoproducers Calculations'!V$263</f>
        <v>0</v>
      </c>
      <c r="D75" s="686">
        <v>0</v>
      </c>
      <c r="E75" s="686">
        <f>'Autoproducers Calculations'!V$278</f>
        <v>0</v>
      </c>
      <c r="F75" s="686">
        <f>'Autoproducers Calculations'!V$283</f>
        <v>0.31799538628896534</v>
      </c>
      <c r="G75" s="686"/>
      <c r="H75" s="687">
        <f>'Autoproducers Calculations'!V$270</f>
        <v>0</v>
      </c>
      <c r="I75" s="687">
        <f>'Autoproducers Calculations'!V$274</f>
        <v>0</v>
      </c>
      <c r="J75" s="687">
        <f>'Autoproducers Calculations'!V$304</f>
        <v>0.27391375865117518</v>
      </c>
      <c r="K75" s="57"/>
      <c r="L75" s="95">
        <f>J75/SUM(J74:J77)</f>
        <v>0.29341455442985093</v>
      </c>
      <c r="M75" s="31">
        <f t="shared" si="2"/>
        <v>0.86137651821862349</v>
      </c>
    </row>
    <row r="76" spans="1:15" s="31" customFormat="1" ht="14.45" customHeight="1">
      <c r="B76" s="149" t="s">
        <v>244</v>
      </c>
      <c r="C76" s="688">
        <f>'Autoproducers Calculations'!V$266</f>
        <v>0</v>
      </c>
      <c r="D76" s="686"/>
      <c r="E76" s="686"/>
      <c r="F76" s="686">
        <f>'Autoproducers Calculations'!V$285</f>
        <v>3.4876448842105251E-2</v>
      </c>
      <c r="G76" s="686"/>
      <c r="H76" s="687">
        <f>'Autoproducers Calculations'!V$268</f>
        <v>1.1129911105874343E-2</v>
      </c>
      <c r="I76" s="687">
        <f>'Autoproducers Calculations'!V$273</f>
        <v>0</v>
      </c>
      <c r="J76" s="687">
        <f>'Autoproducers Calculations'!V$305</f>
        <v>3.9628798147903391E-2</v>
      </c>
      <c r="K76" s="57"/>
      <c r="L76" s="95">
        <f>J76/SUM(J74:J77)</f>
        <v>4.2450098923162247E-2</v>
      </c>
      <c r="M76" s="31">
        <f t="shared" si="2"/>
        <v>0.86137651821862338</v>
      </c>
    </row>
    <row r="77" spans="1:15" s="31" customFormat="1" ht="14.45" customHeight="1">
      <c r="B77" s="149" t="s">
        <v>397</v>
      </c>
      <c r="C77" s="688">
        <f>'Autoproducers Calculations'!V$265</f>
        <v>0</v>
      </c>
      <c r="D77" s="720"/>
      <c r="E77" s="686">
        <f>'Autoproducers Calculations'!V$277</f>
        <v>0</v>
      </c>
      <c r="F77" s="686">
        <f>'Autoproducers Calculations'!V$287</f>
        <v>0.71977334769756929</v>
      </c>
      <c r="G77" s="686"/>
      <c r="H77" s="687">
        <f>'Autoproducers Calculations'!V$269</f>
        <v>0</v>
      </c>
      <c r="I77" s="687">
        <f>'Autoproducers Calculations'!V$272</f>
        <v>0</v>
      </c>
      <c r="J77" s="687">
        <f>'Autoproducers Calculations'!V$306</f>
        <v>0.61999586014629493</v>
      </c>
      <c r="K77" s="57"/>
      <c r="L77" s="95">
        <f>J77/SUM(J74:J77)</f>
        <v>0.66413534664698681</v>
      </c>
      <c r="M77" s="31">
        <f t="shared" si="2"/>
        <v>0.86137651821862349</v>
      </c>
    </row>
    <row r="78" spans="1:15" s="31" customFormat="1" ht="14.45" customHeight="1">
      <c r="A78" s="154" t="s">
        <v>54</v>
      </c>
      <c r="B78" s="153" t="s">
        <v>172</v>
      </c>
      <c r="C78" s="689">
        <f>'Autoproducers Calculations'!W$264</f>
        <v>0</v>
      </c>
      <c r="D78" s="686"/>
      <c r="E78" s="690"/>
      <c r="F78" s="690"/>
      <c r="G78" s="690">
        <v>0</v>
      </c>
      <c r="H78" s="691"/>
      <c r="I78" s="691"/>
      <c r="J78" s="691">
        <f>'Autoproducers Calculations'!W$303</f>
        <v>0</v>
      </c>
      <c r="K78" s="57"/>
      <c r="L78" s="95" t="e">
        <f>J78/SUM(J78:J81)</f>
        <v>#DIV/0!</v>
      </c>
      <c r="M78" s="31" t="e">
        <f t="shared" si="2"/>
        <v>#DIV/0!</v>
      </c>
    </row>
    <row r="79" spans="1:15" s="31" customFormat="1" ht="14.45" customHeight="1">
      <c r="B79" s="149" t="s">
        <v>158</v>
      </c>
      <c r="C79" s="688">
        <f>'Autoproducers Calculations'!W$263</f>
        <v>0</v>
      </c>
      <c r="D79" s="686">
        <v>0</v>
      </c>
      <c r="E79" s="686">
        <f>'Autoproducers Calculations'!W$278</f>
        <v>0</v>
      </c>
      <c r="F79" s="686">
        <f>'Autoproducers Calculations'!W$283</f>
        <v>0</v>
      </c>
      <c r="G79" s="686"/>
      <c r="H79" s="687">
        <f>'Autoproducers Calculations'!W$270</f>
        <v>0</v>
      </c>
      <c r="I79" s="687">
        <f>'Autoproducers Calculations'!W$274</f>
        <v>0</v>
      </c>
      <c r="J79" s="687">
        <f>'Autoproducers Calculations'!W$304</f>
        <v>0</v>
      </c>
      <c r="K79" s="57"/>
      <c r="L79" s="95" t="e">
        <f>J79/SUM(J78:J81)</f>
        <v>#DIV/0!</v>
      </c>
      <c r="M79" s="31" t="e">
        <f t="shared" si="2"/>
        <v>#DIV/0!</v>
      </c>
    </row>
    <row r="80" spans="1:15" s="31" customFormat="1" ht="14.45" customHeight="1">
      <c r="B80" s="149" t="s">
        <v>244</v>
      </c>
      <c r="C80" s="688">
        <f>'Autoproducers Calculations'!W$266</f>
        <v>0</v>
      </c>
      <c r="D80" s="686"/>
      <c r="E80" s="686"/>
      <c r="F80" s="686">
        <f>'Autoproducers Calculations'!W$285</f>
        <v>0</v>
      </c>
      <c r="G80" s="686"/>
      <c r="H80" s="687">
        <f>'Autoproducers Calculations'!W$268</f>
        <v>0</v>
      </c>
      <c r="I80" s="687">
        <f>'Autoproducers Calculations'!W$273</f>
        <v>0</v>
      </c>
      <c r="J80" s="687">
        <f>'Autoproducers Calculations'!W$305</f>
        <v>0</v>
      </c>
      <c r="K80" s="57"/>
      <c r="L80" s="95" t="e">
        <f>J80/SUM(J78:J81)</f>
        <v>#DIV/0!</v>
      </c>
      <c r="M80" s="31" t="e">
        <f t="shared" si="2"/>
        <v>#DIV/0!</v>
      </c>
    </row>
    <row r="81" spans="1:13" s="31" customFormat="1" ht="14.45" customHeight="1">
      <c r="B81" s="149" t="s">
        <v>397</v>
      </c>
      <c r="C81" s="688">
        <f>'Autoproducers Calculations'!W$265</f>
        <v>0</v>
      </c>
      <c r="D81" s="720"/>
      <c r="E81" s="686">
        <f>'Autoproducers Calculations'!W$277</f>
        <v>0</v>
      </c>
      <c r="F81" s="686">
        <f>'Autoproducers Calculations'!W$287</f>
        <v>0</v>
      </c>
      <c r="G81" s="686"/>
      <c r="H81" s="687">
        <f>'Autoproducers Calculations'!W$269</f>
        <v>0</v>
      </c>
      <c r="I81" s="687">
        <f>'Autoproducers Calculations'!W$272</f>
        <v>0</v>
      </c>
      <c r="J81" s="687">
        <f>'Autoproducers Calculations'!W$306</f>
        <v>0</v>
      </c>
      <c r="K81" s="57"/>
      <c r="L81" s="95" t="e">
        <f>J81/SUM(J78:J81)</f>
        <v>#DIV/0!</v>
      </c>
      <c r="M81" s="31" t="e">
        <f t="shared" si="2"/>
        <v>#DIV/0!</v>
      </c>
    </row>
    <row r="82" spans="1:13" s="31" customFormat="1" ht="14.45" customHeight="1">
      <c r="A82" s="154" t="s">
        <v>55</v>
      </c>
      <c r="B82" s="153" t="s">
        <v>172</v>
      </c>
      <c r="C82" s="689">
        <f>'Autoproducers Calculations'!X$264</f>
        <v>0</v>
      </c>
      <c r="D82" s="686"/>
      <c r="E82" s="690"/>
      <c r="F82" s="690"/>
      <c r="G82" s="690">
        <v>0</v>
      </c>
      <c r="H82" s="691"/>
      <c r="I82" s="691"/>
      <c r="J82" s="691">
        <f>'Autoproducers Calculations'!X$303</f>
        <v>0</v>
      </c>
      <c r="K82" s="57"/>
      <c r="L82" s="95">
        <f>J82/SUM(J82:J85)</f>
        <v>0</v>
      </c>
      <c r="M82" s="31" t="e">
        <f t="shared" si="2"/>
        <v>#DIV/0!</v>
      </c>
    </row>
    <row r="83" spans="1:13" s="31" customFormat="1" ht="14.45" customHeight="1">
      <c r="B83" s="149" t="s">
        <v>158</v>
      </c>
      <c r="C83" s="688">
        <f>'Autoproducers Calculations'!X$263</f>
        <v>0</v>
      </c>
      <c r="D83" s="686">
        <v>0</v>
      </c>
      <c r="E83" s="686">
        <f>'Autoproducers Calculations'!X$278</f>
        <v>0</v>
      </c>
      <c r="F83" s="686">
        <f>'Autoproducers Calculations'!X$283</f>
        <v>35.009104580644838</v>
      </c>
      <c r="G83" s="686"/>
      <c r="H83" s="687">
        <f>'Autoproducers Calculations'!X$270</f>
        <v>0</v>
      </c>
      <c r="I83" s="687">
        <f>'Autoproducers Calculations'!X$274</f>
        <v>0</v>
      </c>
      <c r="J83" s="687">
        <f>'Autoproducers Calculations'!X$304</f>
        <v>29.114352467756131</v>
      </c>
      <c r="K83" s="57"/>
      <c r="L83" s="95">
        <f>J83/SUM(J82:J85)</f>
        <v>0.3883196131229073</v>
      </c>
      <c r="M83" s="31">
        <f t="shared" si="2"/>
        <v>0.83162231129591113</v>
      </c>
    </row>
    <row r="84" spans="1:13" s="31" customFormat="1" ht="14.45" customHeight="1">
      <c r="B84" s="149" t="s">
        <v>244</v>
      </c>
      <c r="C84" s="688">
        <f>'Autoproducers Calculations'!X$266</f>
        <v>0</v>
      </c>
      <c r="D84" s="686"/>
      <c r="E84" s="686"/>
      <c r="F84" s="686">
        <f>'Autoproducers Calculations'!X$285</f>
        <v>0.26841146189473619</v>
      </c>
      <c r="G84" s="686"/>
      <c r="H84" s="687">
        <f>'Autoproducers Calculations'!X$268</f>
        <v>0</v>
      </c>
      <c r="I84" s="687">
        <f>'Autoproducers Calculations'!X$273</f>
        <v>0</v>
      </c>
      <c r="J84" s="687">
        <f>'Autoproducers Calculations'!X$305</f>
        <v>0.2232169603192149</v>
      </c>
      <c r="K84" s="57"/>
      <c r="L84" s="95">
        <f>J84/SUM(J82:J85)</f>
        <v>2.9772093942197625E-3</v>
      </c>
      <c r="M84" s="31">
        <f t="shared" si="2"/>
        <v>0.83162231129591113</v>
      </c>
    </row>
    <row r="85" spans="1:13" s="31" customFormat="1" ht="14.45" customHeight="1">
      <c r="B85" s="149" t="s">
        <v>397</v>
      </c>
      <c r="C85" s="688">
        <f>'Autoproducers Calculations'!X$265</f>
        <v>0</v>
      </c>
      <c r="D85" s="720"/>
      <c r="E85" s="686">
        <f>'Autoproducers Calculations'!X$277</f>
        <v>3.6245298782470767</v>
      </c>
      <c r="F85" s="686">
        <f>'Autoproducers Calculations'!X$287</f>
        <v>51.253339997266586</v>
      </c>
      <c r="G85" s="686"/>
      <c r="H85" s="687">
        <f>'Autoproducers Calculations'!X$269</f>
        <v>0</v>
      </c>
      <c r="I85" s="687">
        <f>'Autoproducers Calculations'!X$272</f>
        <v>0</v>
      </c>
      <c r="J85" s="687">
        <f>'Autoproducers Calculations'!X$306</f>
        <v>45.637660984870926</v>
      </c>
      <c r="K85" s="57"/>
      <c r="L85" s="95">
        <f>J85/SUM(J82:J85)</f>
        <v>0.60870317748287295</v>
      </c>
      <c r="M85" s="31">
        <f t="shared" si="2"/>
        <v>0.83162231129591113</v>
      </c>
    </row>
    <row r="86" spans="1:13" s="31" customFormat="1" ht="14.45" customHeight="1">
      <c r="A86" s="154" t="s">
        <v>57</v>
      </c>
      <c r="B86" s="153" t="s">
        <v>172</v>
      </c>
      <c r="C86" s="689">
        <f>'Autoproducers Calculations'!Y$264</f>
        <v>6.3220000000000001</v>
      </c>
      <c r="D86" s="686"/>
      <c r="E86" s="690"/>
      <c r="F86" s="690"/>
      <c r="G86" s="690">
        <v>0</v>
      </c>
      <c r="H86" s="691"/>
      <c r="I86" s="691"/>
      <c r="J86" s="691">
        <f>'Autoproducers Calculations'!Y$303</f>
        <v>4.9387176963450097</v>
      </c>
      <c r="K86" s="57"/>
      <c r="L86" s="95">
        <f>J86/SUM(J86:J89)</f>
        <v>4.6500038215763463E-2</v>
      </c>
      <c r="M86" s="31">
        <f t="shared" si="2"/>
        <v>0.78119545971923599</v>
      </c>
    </row>
    <row r="87" spans="1:13" s="31" customFormat="1" ht="14.45" customHeight="1">
      <c r="B87" s="149" t="s">
        <v>158</v>
      </c>
      <c r="C87" s="688">
        <f>'Autoproducers Calculations'!Y$263</f>
        <v>30.120999999999999</v>
      </c>
      <c r="D87" s="686">
        <v>0</v>
      </c>
      <c r="E87" s="686">
        <f>'Autoproducers Calculations'!Y$278</f>
        <v>0</v>
      </c>
      <c r="F87" s="686">
        <f>'Autoproducers Calculations'!Y$283</f>
        <v>8.1039999999999992</v>
      </c>
      <c r="G87" s="686"/>
      <c r="H87" s="687">
        <f>'Autoproducers Calculations'!Y$270</f>
        <v>0</v>
      </c>
      <c r="I87" s="687">
        <f>'Autoproducers Calculations'!Y$274</f>
        <v>1.7287668482518799</v>
      </c>
      <c r="J87" s="687">
        <f>'Autoproducers Calculations'!Y$304</f>
        <v>31.211701260535296</v>
      </c>
      <c r="K87" s="57"/>
      <c r="L87" s="95">
        <f>J87/SUM(J86:J89)</f>
        <v>0.29387087714448207</v>
      </c>
      <c r="M87" s="31">
        <f t="shared" si="2"/>
        <v>0.7811954597192361</v>
      </c>
    </row>
    <row r="88" spans="1:13" s="31" customFormat="1" ht="14.45" customHeight="1">
      <c r="B88" s="149" t="s">
        <v>244</v>
      </c>
      <c r="C88" s="688">
        <f>'Autoproducers Calculations'!Y$266</f>
        <v>12.392830138908916</v>
      </c>
      <c r="D88" s="686"/>
      <c r="E88" s="686"/>
      <c r="F88" s="686">
        <f>'Autoproducers Calculations'!Y$285</f>
        <v>2.2879999999999998</v>
      </c>
      <c r="G88" s="686"/>
      <c r="H88" s="687">
        <f>'Autoproducers Calculations'!Y$268</f>
        <v>12.270068886580724</v>
      </c>
      <c r="I88" s="687">
        <f>'Autoproducers Calculations'!Y$273</f>
        <v>0.125</v>
      </c>
      <c r="J88" s="687">
        <f>'Autoproducers Calculations'!Y$305</f>
        <v>21.151569386528998</v>
      </c>
      <c r="K88" s="57"/>
      <c r="L88" s="95">
        <f>J88/SUM(J86:J89)</f>
        <v>0.19915063894517895</v>
      </c>
      <c r="M88" s="31">
        <f t="shared" si="2"/>
        <v>0.7811954597192361</v>
      </c>
    </row>
    <row r="89" spans="1:13" s="31" customFormat="1" ht="14.45" customHeight="1">
      <c r="B89" s="149" t="s">
        <v>397</v>
      </c>
      <c r="C89" s="688">
        <f>'Autoproducers Calculations'!Y$265</f>
        <v>55.508999999999993</v>
      </c>
      <c r="D89" s="720"/>
      <c r="E89" s="686">
        <f>'Autoproducers Calculations'!Y$277</f>
        <v>0</v>
      </c>
      <c r="F89" s="686">
        <f>'Autoproducers Calculations'!Y$287</f>
        <v>5.3882116381751857</v>
      </c>
      <c r="G89" s="686"/>
      <c r="H89" s="687">
        <f>'Autoproducers Calculations'!Y$269</f>
        <v>0</v>
      </c>
      <c r="I89" s="687">
        <f>'Autoproducers Calculations'!Y$272</f>
        <v>1.708</v>
      </c>
      <c r="J89" s="687">
        <f>'Autoproducers Calculations'!Y$306</f>
        <v>48.906907086504326</v>
      </c>
      <c r="K89" s="57"/>
      <c r="L89" s="95">
        <f>J89/SUM(J86:J89)</f>
        <v>0.46047844569457541</v>
      </c>
      <c r="M89" s="31">
        <f t="shared" si="2"/>
        <v>0.7811954597192361</v>
      </c>
    </row>
    <row r="90" spans="1:13" s="31" customFormat="1" ht="14.45" customHeight="1">
      <c r="A90" s="154" t="s">
        <v>58</v>
      </c>
      <c r="B90" s="153" t="s">
        <v>172</v>
      </c>
      <c r="C90" s="689">
        <f>'Autoproducers Calculations'!Z$264</f>
        <v>0</v>
      </c>
      <c r="D90" s="686"/>
      <c r="E90" s="690"/>
      <c r="F90" s="690"/>
      <c r="G90" s="690">
        <v>0</v>
      </c>
      <c r="H90" s="691"/>
      <c r="I90" s="691"/>
      <c r="J90" s="691">
        <f>'Autoproducers Calculations'!Z$303</f>
        <v>0</v>
      </c>
      <c r="K90" s="57"/>
      <c r="L90" s="95">
        <f>J90/SUM(J90:J93)</f>
        <v>0</v>
      </c>
      <c r="M90" s="31" t="e">
        <f t="shared" si="2"/>
        <v>#DIV/0!</v>
      </c>
    </row>
    <row r="91" spans="1:13" s="31" customFormat="1" ht="14.45" customHeight="1">
      <c r="B91" s="149" t="s">
        <v>158</v>
      </c>
      <c r="C91" s="688">
        <f>'Autoproducers Calculations'!Z$263</f>
        <v>0</v>
      </c>
      <c r="D91" s="686">
        <v>0</v>
      </c>
      <c r="E91" s="686">
        <f>'Autoproducers Calculations'!Z$278</f>
        <v>0</v>
      </c>
      <c r="F91" s="686">
        <f>'Autoproducers Calculations'!Z$283</f>
        <v>2.6795520000000002</v>
      </c>
      <c r="G91" s="686"/>
      <c r="H91" s="687">
        <f>'Autoproducers Calculations'!Z$270</f>
        <v>0</v>
      </c>
      <c r="I91" s="687">
        <f>'Autoproducers Calculations'!Z$274</f>
        <v>0</v>
      </c>
      <c r="J91" s="687">
        <f>'Autoproducers Calculations'!Z$304</f>
        <v>2.4418406858586064</v>
      </c>
      <c r="K91" s="57"/>
      <c r="L91" s="95">
        <f>J91/SUM(J90:J93)</f>
        <v>0.11482770108999731</v>
      </c>
      <c r="M91" s="31">
        <f t="shared" si="2"/>
        <v>0.9112869188053101</v>
      </c>
    </row>
    <row r="92" spans="1:13" s="31" customFormat="1" ht="14.45" customHeight="1">
      <c r="B92" s="149" t="s">
        <v>244</v>
      </c>
      <c r="C92" s="688">
        <f>'Autoproducers Calculations'!Z$266</f>
        <v>0</v>
      </c>
      <c r="D92" s="686"/>
      <c r="E92" s="686"/>
      <c r="F92" s="686">
        <f>'Autoproducers Calculations'!Z$285</f>
        <v>1.2954025084998655E-2</v>
      </c>
      <c r="G92" s="686"/>
      <c r="H92" s="687">
        <f>'Autoproducers Calculations'!Z$268</f>
        <v>5.6408875061903023</v>
      </c>
      <c r="I92" s="687">
        <f>'Autoproducers Calculations'!Z$273</f>
        <v>0</v>
      </c>
      <c r="J92" s="687">
        <f>'Autoproducers Calculations'!Z$305</f>
        <v>5.1522718284493658</v>
      </c>
      <c r="K92" s="57"/>
      <c r="L92" s="95">
        <f>J92/SUM(J90:J93)</f>
        <v>0.24228588411924568</v>
      </c>
      <c r="M92" s="31">
        <f t="shared" si="2"/>
        <v>0.91128691880531021</v>
      </c>
    </row>
    <row r="93" spans="1:13" s="31" customFormat="1" ht="14.45" customHeight="1">
      <c r="B93" s="149" t="s">
        <v>397</v>
      </c>
      <c r="C93" s="688">
        <f>'Autoproducers Calculations'!Z$265</f>
        <v>0</v>
      </c>
      <c r="D93" s="720"/>
      <c r="E93" s="686">
        <f>'Autoproducers Calculations'!Z$277</f>
        <v>7.8289447675600812</v>
      </c>
      <c r="F93" s="686">
        <f>'Autoproducers Calculations'!Z$287</f>
        <v>7.1730761923062252</v>
      </c>
      <c r="G93" s="686"/>
      <c r="H93" s="687">
        <f>'Autoproducers Calculations'!Z$269</f>
        <v>0</v>
      </c>
      <c r="I93" s="687">
        <f>'Autoproducers Calculations'!Z$272</f>
        <v>0</v>
      </c>
      <c r="J93" s="687">
        <f>'Autoproducers Calculations'!Z$306</f>
        <v>13.671145456369247</v>
      </c>
      <c r="K93" s="57"/>
      <c r="L93" s="95">
        <f>J93/SUM(J90:J93)</f>
        <v>0.64288641479075703</v>
      </c>
      <c r="M93" s="31">
        <f t="shared" si="2"/>
        <v>0.9112869188053101</v>
      </c>
    </row>
    <row r="94" spans="1:13" s="31" customFormat="1" ht="14.45" customHeight="1">
      <c r="A94" s="154" t="s">
        <v>59</v>
      </c>
      <c r="B94" s="153" t="s">
        <v>172</v>
      </c>
      <c r="C94" s="689">
        <f>'Autoproducers Calculations'!AA$264</f>
        <v>3.3954366197177066E-2</v>
      </c>
      <c r="D94" s="686"/>
      <c r="E94" s="690"/>
      <c r="F94" s="690"/>
      <c r="G94" s="690">
        <v>0</v>
      </c>
      <c r="H94" s="691"/>
      <c r="I94" s="691"/>
      <c r="J94" s="691">
        <f>'Autoproducers Calculations'!AA$303</f>
        <v>3.1276907895309583E-2</v>
      </c>
      <c r="K94" s="57"/>
      <c r="L94" s="95">
        <f>J94/SUM(J94:J97)</f>
        <v>5.5466556638639145E-3</v>
      </c>
      <c r="M94" s="31">
        <f t="shared" si="2"/>
        <v>0.92114539007092155</v>
      </c>
    </row>
    <row r="95" spans="1:13" s="31" customFormat="1" ht="14.45" customHeight="1">
      <c r="B95" s="149" t="s">
        <v>158</v>
      </c>
      <c r="C95" s="688">
        <f>'Autoproducers Calculations'!AA$263</f>
        <v>5.2720000000000002</v>
      </c>
      <c r="D95" s="686">
        <v>0</v>
      </c>
      <c r="E95" s="686">
        <f>'Autoproducers Calculations'!AA$278</f>
        <v>0</v>
      </c>
      <c r="F95" s="686">
        <f>'Autoproducers Calculations'!AA$283</f>
        <v>0.42940318968752722</v>
      </c>
      <c r="G95" s="686"/>
      <c r="H95" s="687">
        <f>'Autoproducers Calculations'!AA$270</f>
        <v>0</v>
      </c>
      <c r="I95" s="687">
        <f>'Autoproducers Calculations'!AA$274</f>
        <v>0</v>
      </c>
      <c r="J95" s="687">
        <f>'Autoproducers Calculations'!AA$304</f>
        <v>5.2518212651163134</v>
      </c>
      <c r="K95" s="57"/>
      <c r="L95" s="95">
        <f>J95/SUM(J94:J97)</f>
        <v>0.93135946376997236</v>
      </c>
      <c r="M95" s="31">
        <f t="shared" si="2"/>
        <v>0.92114539007092155</v>
      </c>
    </row>
    <row r="96" spans="1:13" s="31" customFormat="1" ht="14.45" customHeight="1">
      <c r="B96" s="149" t="s">
        <v>244</v>
      </c>
      <c r="C96" s="688">
        <f>'Autoproducers Calculations'!AA$266</f>
        <v>0</v>
      </c>
      <c r="D96" s="686"/>
      <c r="E96" s="686"/>
      <c r="F96" s="686">
        <f>'Autoproducers Calculations'!AA$285</f>
        <v>0.18996253540798069</v>
      </c>
      <c r="G96" s="686"/>
      <c r="H96" s="687">
        <f>'Autoproducers Calculations'!AA$268</f>
        <v>9.9851911468812823E-3</v>
      </c>
      <c r="I96" s="687">
        <f>'Autoproducers Calculations'!AA$273</f>
        <v>0</v>
      </c>
      <c r="J96" s="687">
        <f>'Autoproducers Calculations'!AA$305</f>
        <v>0.1841809265711723</v>
      </c>
      <c r="K96" s="57"/>
      <c r="L96" s="95">
        <f>J96/SUM(J94:J97)</f>
        <v>3.2662697443147766E-2</v>
      </c>
      <c r="M96" s="31">
        <f t="shared" si="2"/>
        <v>0.92114539007092155</v>
      </c>
    </row>
    <row r="97" spans="1:13" s="31" customFormat="1" ht="14.45" customHeight="1">
      <c r="B97" s="149" t="s">
        <v>397</v>
      </c>
      <c r="C97" s="688">
        <f>'Autoproducers Calculations'!AA$265</f>
        <v>0</v>
      </c>
      <c r="D97" s="720"/>
      <c r="E97" s="686">
        <f>'Autoproducers Calculations'!AA$277</f>
        <v>0</v>
      </c>
      <c r="F97" s="686">
        <f>'Autoproducers Calculations'!AA$287</f>
        <v>0.1862873050339019</v>
      </c>
      <c r="G97" s="686"/>
      <c r="H97" s="687">
        <f>'Autoproducers Calculations'!AA$269</f>
        <v>0</v>
      </c>
      <c r="I97" s="687">
        <f>'Autoproducers Calculations'!AA$272</f>
        <v>0</v>
      </c>
      <c r="J97" s="687">
        <f>'Autoproducers Calculations'!AA$306</f>
        <v>0.17159769226071431</v>
      </c>
      <c r="K97" s="57"/>
      <c r="L97" s="95">
        <f>J97/SUM(J94:J97)</f>
        <v>3.043118312301591E-2</v>
      </c>
      <c r="M97" s="31">
        <f t="shared" si="2"/>
        <v>0.92114539007092155</v>
      </c>
    </row>
    <row r="98" spans="1:13" s="31" customFormat="1" ht="14.45" customHeight="1">
      <c r="A98" s="154" t="s">
        <v>63</v>
      </c>
      <c r="B98" s="153" t="s">
        <v>172</v>
      </c>
      <c r="C98" s="689">
        <f>'Autoproducers Calculations'!AB$264</f>
        <v>0</v>
      </c>
      <c r="D98" s="686"/>
      <c r="E98" s="690"/>
      <c r="F98" s="690"/>
      <c r="G98" s="690">
        <v>0</v>
      </c>
      <c r="H98" s="691"/>
      <c r="I98" s="691"/>
      <c r="J98" s="691">
        <f>'Autoproducers Calculations'!AB$303</f>
        <v>0</v>
      </c>
      <c r="K98" s="57"/>
      <c r="L98" s="95">
        <f>J98/SUM(J98:J101)</f>
        <v>0</v>
      </c>
      <c r="M98" s="31" t="e">
        <f t="shared" si="2"/>
        <v>#DIV/0!</v>
      </c>
    </row>
    <row r="99" spans="1:13" s="31" customFormat="1" ht="14.45" customHeight="1">
      <c r="B99" s="149" t="s">
        <v>158</v>
      </c>
      <c r="C99" s="688">
        <f>'Autoproducers Calculations'!AB$263</f>
        <v>0.15331121687483021</v>
      </c>
      <c r="D99" s="686">
        <v>0</v>
      </c>
      <c r="E99" s="686">
        <f>'Autoproducers Calculations'!AB$278</f>
        <v>0</v>
      </c>
      <c r="F99" s="686">
        <f>'Autoproducers Calculations'!AB$283</f>
        <v>0.11856652113207332</v>
      </c>
      <c r="G99" s="686"/>
      <c r="H99" s="687">
        <f>'Autoproducers Calculations'!AB$270</f>
        <v>0</v>
      </c>
      <c r="I99" s="687">
        <f>'Autoproducers Calculations'!AB$274</f>
        <v>0</v>
      </c>
      <c r="J99" s="687">
        <f>'Autoproducers Calculations'!AB$304</f>
        <v>0.21259960623819976</v>
      </c>
      <c r="K99" s="57"/>
      <c r="L99" s="95">
        <f>J99/SUM(J98:J101)</f>
        <v>5.391165068726036E-3</v>
      </c>
      <c r="M99" s="31">
        <f t="shared" si="2"/>
        <v>0.78196768811134298</v>
      </c>
    </row>
    <row r="100" spans="1:13" s="31" customFormat="1" ht="14.45" customHeight="1">
      <c r="B100" s="149" t="s">
        <v>244</v>
      </c>
      <c r="C100" s="688">
        <f>'Autoproducers Calculations'!AB$266</f>
        <v>0</v>
      </c>
      <c r="D100" s="686"/>
      <c r="E100" s="686"/>
      <c r="F100" s="686">
        <f>'Autoproducers Calculations'!AB$285</f>
        <v>0.14206213940835768</v>
      </c>
      <c r="G100" s="686"/>
      <c r="H100" s="687">
        <f>'Autoproducers Calculations'!AB$268</f>
        <v>49.252894847309577</v>
      </c>
      <c r="I100" s="687">
        <f>'Autoproducers Calculations'!AB$273</f>
        <v>0</v>
      </c>
      <c r="J100" s="687">
        <f>'Autoproducers Calculations'!AB$305</f>
        <v>38.625260319263056</v>
      </c>
      <c r="K100" s="57"/>
      <c r="L100" s="95">
        <f>J100/SUM(J98:J101)</f>
        <v>0.97947102484447257</v>
      </c>
      <c r="M100" s="31">
        <f t="shared" si="2"/>
        <v>0.78196768811134298</v>
      </c>
    </row>
    <row r="101" spans="1:13" s="31" customFormat="1" ht="14.45" customHeight="1">
      <c r="B101" s="149" t="s">
        <v>397</v>
      </c>
      <c r="C101" s="688">
        <f>'Autoproducers Calculations'!AB$265</f>
        <v>0</v>
      </c>
      <c r="D101" s="720"/>
      <c r="E101" s="686">
        <f>'Autoproducers Calculations'!AB$277</f>
        <v>0.62408972251219463</v>
      </c>
      <c r="F101" s="686">
        <f>'Autoproducers Calculations'!AB$287</f>
        <v>0.13931364435043023</v>
      </c>
      <c r="G101" s="686"/>
      <c r="H101" s="687">
        <f>'Autoproducers Calculations'!AB$269</f>
        <v>0</v>
      </c>
      <c r="I101" s="687">
        <f>'Autoproducers Calculations'!AB$272</f>
        <v>0</v>
      </c>
      <c r="J101" s="687">
        <f>'Autoproducers Calculations'!AB$306</f>
        <v>0.59695676588198221</v>
      </c>
      <c r="K101" s="57"/>
      <c r="L101" s="95">
        <f>J101/SUM(J98:J101)</f>
        <v>1.5137810086801318E-2</v>
      </c>
      <c r="M101" s="31">
        <f t="shared" si="2"/>
        <v>0.78196768811134298</v>
      </c>
    </row>
    <row r="102" spans="1:13" s="31" customFormat="1" ht="14.45" customHeight="1">
      <c r="A102" s="154" t="s">
        <v>60</v>
      </c>
      <c r="B102" s="153" t="s">
        <v>172</v>
      </c>
      <c r="C102" s="689">
        <f>'Autoproducers Calculations'!AC$264</f>
        <v>0</v>
      </c>
      <c r="D102" s="686"/>
      <c r="E102" s="690"/>
      <c r="F102" s="690"/>
      <c r="G102" s="690">
        <v>0</v>
      </c>
      <c r="H102" s="691"/>
      <c r="I102" s="691"/>
      <c r="J102" s="691">
        <f>'Autoproducers Calculations'!AC$303</f>
        <v>0</v>
      </c>
      <c r="K102" s="57"/>
      <c r="L102" s="95">
        <f>J102/SUM(J102:J105)</f>
        <v>0</v>
      </c>
      <c r="M102" s="31" t="e">
        <f t="shared" ref="M102:M125" si="3">J102/SUM(C102:I102)</f>
        <v>#DIV/0!</v>
      </c>
    </row>
    <row r="103" spans="1:13" s="31" customFormat="1" ht="14.45" customHeight="1">
      <c r="B103" s="149" t="s">
        <v>158</v>
      </c>
      <c r="C103" s="688">
        <f>'Autoproducers Calculations'!AC$263</f>
        <v>0</v>
      </c>
      <c r="D103" s="686">
        <v>0</v>
      </c>
      <c r="E103" s="686">
        <f>'Autoproducers Calculations'!AC$278</f>
        <v>0</v>
      </c>
      <c r="F103" s="686">
        <f>'Autoproducers Calculations'!AC$283</f>
        <v>1.0992724252661601</v>
      </c>
      <c r="G103" s="686"/>
      <c r="H103" s="687">
        <f>'Autoproducers Calculations'!AC$270</f>
        <v>0</v>
      </c>
      <c r="I103" s="687">
        <f>'Autoproducers Calculations'!AC$274</f>
        <v>9.1999999999999998E-2</v>
      </c>
      <c r="J103" s="687">
        <f>'Autoproducers Calculations'!AC$304</f>
        <v>1.1026728004116519</v>
      </c>
      <c r="K103" s="57"/>
      <c r="L103" s="95">
        <f>J103/SUM(J102:J105)</f>
        <v>0.12449304990008771</v>
      </c>
      <c r="M103" s="31">
        <f t="shared" si="3"/>
        <v>0.9256260591822959</v>
      </c>
    </row>
    <row r="104" spans="1:13" s="31" customFormat="1" ht="14.45" customHeight="1">
      <c r="B104" s="149" t="s">
        <v>244</v>
      </c>
      <c r="C104" s="688">
        <f>'Autoproducers Calculations'!AC$266</f>
        <v>1.3984588003625893</v>
      </c>
      <c r="D104" s="686"/>
      <c r="E104" s="686"/>
      <c r="F104" s="686">
        <f>'Autoproducers Calculations'!AC$285</f>
        <v>1.3171086663828973</v>
      </c>
      <c r="G104" s="686"/>
      <c r="H104" s="687">
        <f>'Autoproducers Calculations'!AC$268</f>
        <v>1.9339999999999999</v>
      </c>
      <c r="I104" s="687">
        <f>'Autoproducers Calculations'!AC$273</f>
        <v>0</v>
      </c>
      <c r="J104" s="687">
        <f>'Autoproducers Calculations'!AC$305</f>
        <v>4.3037608111458363</v>
      </c>
      <c r="K104" s="57"/>
      <c r="L104" s="95">
        <f>J104/SUM(J102:J105)</f>
        <v>0.48589963334544845</v>
      </c>
      <c r="M104" s="31">
        <f t="shared" si="3"/>
        <v>0.92562605918229601</v>
      </c>
    </row>
    <row r="105" spans="1:13" s="31" customFormat="1" ht="14.45" customHeight="1">
      <c r="B105" s="149" t="s">
        <v>397</v>
      </c>
      <c r="C105" s="688">
        <f>'Autoproducers Calculations'!AC$265</f>
        <v>2.1999999999999999E-2</v>
      </c>
      <c r="D105" s="720"/>
      <c r="E105" s="686">
        <f>'Autoproducers Calculations'!AC$277</f>
        <v>0.69715769342949152</v>
      </c>
      <c r="F105" s="686">
        <f>'Autoproducers Calculations'!AC$287</f>
        <v>1.291626390279051</v>
      </c>
      <c r="G105" s="686"/>
      <c r="H105" s="687">
        <f>'Autoproducers Calculations'!AC$269</f>
        <v>1.7173634193369616</v>
      </c>
      <c r="I105" s="687">
        <f>'Autoproducers Calculations'!AC$272</f>
        <v>0</v>
      </c>
      <c r="J105" s="687">
        <f>'Autoproducers Calculations'!AC$306</f>
        <v>3.4508704812943258</v>
      </c>
      <c r="K105" s="57"/>
      <c r="L105" s="95">
        <f>J105/SUM(J102:J105)</f>
        <v>0.38960731675446386</v>
      </c>
      <c r="M105" s="31">
        <f t="shared" si="3"/>
        <v>0.92562605918229579</v>
      </c>
    </row>
    <row r="106" spans="1:13" s="31" customFormat="1" ht="14.45" customHeight="1">
      <c r="A106" s="154" t="s">
        <v>61</v>
      </c>
      <c r="B106" s="153" t="s">
        <v>172</v>
      </c>
      <c r="C106" s="689">
        <f>'Autoproducers Calculations'!AD$264</f>
        <v>6.013097577121675</v>
      </c>
      <c r="D106" s="686"/>
      <c r="E106" s="690"/>
      <c r="F106" s="690"/>
      <c r="G106" s="690">
        <v>0</v>
      </c>
      <c r="H106" s="691"/>
      <c r="I106" s="691"/>
      <c r="J106" s="691">
        <f>'Autoproducers Calculations'!AD$303</f>
        <v>0.12839734404562084</v>
      </c>
      <c r="K106" s="57"/>
      <c r="L106" s="95">
        <f>J106/SUM(J106:J109)</f>
        <v>0.55971494200306671</v>
      </c>
      <c r="M106" s="31">
        <f t="shared" si="3"/>
        <v>2.1352945366152124E-2</v>
      </c>
    </row>
    <row r="107" spans="1:13" s="31" customFormat="1" ht="14.45" customHeight="1">
      <c r="B107" s="149" t="s">
        <v>158</v>
      </c>
      <c r="C107" s="688">
        <f>'Autoproducers Calculations'!AD$263</f>
        <v>0.48899999999999999</v>
      </c>
      <c r="D107" s="686">
        <v>0</v>
      </c>
      <c r="E107" s="686">
        <f>'Autoproducers Calculations'!AD$278</f>
        <v>0</v>
      </c>
      <c r="F107" s="686">
        <f>'Autoproducers Calculations'!AD$283</f>
        <v>1.5708036454428724</v>
      </c>
      <c r="G107" s="686"/>
      <c r="H107" s="687">
        <f>'Autoproducers Calculations'!AD$270</f>
        <v>0</v>
      </c>
      <c r="I107" s="687">
        <f>'Autoproducers Calculations'!AD$274</f>
        <v>0.60499999999999998</v>
      </c>
      <c r="J107" s="687">
        <f>'Autoproducers Calculations'!AD$304</f>
        <v>5.6901406652664681E-2</v>
      </c>
      <c r="K107" s="57"/>
      <c r="L107" s="95">
        <f>J107/SUM(J106:J109)</f>
        <v>0.24804693400178912</v>
      </c>
      <c r="M107" s="31">
        <f t="shared" si="3"/>
        <v>2.1352945366152128E-2</v>
      </c>
    </row>
    <row r="108" spans="1:13" s="31" customFormat="1" ht="14.45" customHeight="1">
      <c r="B108" s="149" t="s">
        <v>244</v>
      </c>
      <c r="C108" s="688">
        <f>'Autoproducers Calculations'!AD$266</f>
        <v>0</v>
      </c>
      <c r="D108" s="686"/>
      <c r="E108" s="686"/>
      <c r="F108" s="686">
        <f>'Autoproducers Calculations'!AD$285</f>
        <v>0.69490364832540086</v>
      </c>
      <c r="G108" s="686"/>
      <c r="H108" s="687">
        <f>'Autoproducers Calculations'!AD$268</f>
        <v>0.25409453197405008</v>
      </c>
      <c r="I108" s="687">
        <f>'Autoproducers Calculations'!AD$273</f>
        <v>0</v>
      </c>
      <c r="J108" s="687">
        <f>'Autoproducers Calculations'!AD$305</f>
        <v>2.0263906296511959E-2</v>
      </c>
      <c r="K108" s="57"/>
      <c r="L108" s="95">
        <f>J108/SUM(J106:J109)</f>
        <v>8.8335247288899063E-2</v>
      </c>
      <c r="M108" s="31">
        <f t="shared" si="3"/>
        <v>2.1352945366152124E-2</v>
      </c>
    </row>
    <row r="109" spans="1:13" s="31" customFormat="1" ht="14.45" customHeight="1">
      <c r="B109" s="149" t="s">
        <v>397</v>
      </c>
      <c r="C109" s="688">
        <f>'Autoproducers Calculations'!AD$265</f>
        <v>0</v>
      </c>
      <c r="D109" s="720"/>
      <c r="E109" s="686">
        <f>'Autoproducers Calculations'!AD$277</f>
        <v>0.37978419171190314</v>
      </c>
      <c r="F109" s="686">
        <f>'Autoproducers Calculations'!AD$287</f>
        <v>0.68145925525126849</v>
      </c>
      <c r="G109" s="686"/>
      <c r="H109" s="687">
        <f>'Autoproducers Calculations'!AD$269</f>
        <v>0</v>
      </c>
      <c r="I109" s="687">
        <f>'Autoproducers Calculations'!AD$272</f>
        <v>5.5E-2</v>
      </c>
      <c r="J109" s="687">
        <f>'Autoproducers Calculations'!AD$306</f>
        <v>2.3835085338329932E-2</v>
      </c>
      <c r="K109" s="57"/>
      <c r="L109" s="95">
        <f>J109/SUM(J106:J109)</f>
        <v>0.10390287670624516</v>
      </c>
      <c r="M109" s="31">
        <f t="shared" si="3"/>
        <v>2.1352945366152131E-2</v>
      </c>
    </row>
    <row r="110" spans="1:13" s="31" customFormat="1" ht="14.45" customHeight="1">
      <c r="A110" s="154" t="s">
        <v>64</v>
      </c>
      <c r="B110" s="153" t="s">
        <v>172</v>
      </c>
      <c r="C110" s="689">
        <f>'Autoproducers Calculations'!AE$264</f>
        <v>0.43588613020899691</v>
      </c>
      <c r="D110" s="686"/>
      <c r="E110" s="690"/>
      <c r="F110" s="690"/>
      <c r="G110" s="690">
        <v>0</v>
      </c>
      <c r="H110" s="691"/>
      <c r="I110" s="691"/>
      <c r="J110" s="691">
        <f>'Autoproducers Calculations'!AE$303</f>
        <v>0.32305633784357024</v>
      </c>
      <c r="K110" s="57"/>
      <c r="L110" s="95">
        <f>J110/SUM(J110:J113)</f>
        <v>4.302192458821831E-3</v>
      </c>
      <c r="M110" s="31">
        <f t="shared" si="3"/>
        <v>0.74114846849720251</v>
      </c>
    </row>
    <row r="111" spans="1:13" s="31" customFormat="1" ht="14.45" customHeight="1">
      <c r="B111" s="149" t="s">
        <v>158</v>
      </c>
      <c r="C111" s="688">
        <f>'Autoproducers Calculations'!AE$263</f>
        <v>3.391308</v>
      </c>
      <c r="D111" s="686">
        <v>0</v>
      </c>
      <c r="E111" s="686">
        <f>'Autoproducers Calculations'!AE$278</f>
        <v>0</v>
      </c>
      <c r="F111" s="686">
        <f>'Autoproducers Calculations'!AE$283</f>
        <v>32.596065329595838</v>
      </c>
      <c r="G111" s="686"/>
      <c r="H111" s="687">
        <f>'Autoproducers Calculations'!AE$270</f>
        <v>0</v>
      </c>
      <c r="I111" s="687">
        <f>'Autoproducers Calculations'!AE$274</f>
        <v>0</v>
      </c>
      <c r="J111" s="687">
        <f>'Autoproducers Calculations'!AE$304</f>
        <v>26.671986628467028</v>
      </c>
      <c r="K111" s="57"/>
      <c r="L111" s="95">
        <f>J111/SUM(J110:J113)</f>
        <v>0.35519507371606079</v>
      </c>
      <c r="M111" s="31">
        <f t="shared" si="3"/>
        <v>0.74114846849720251</v>
      </c>
    </row>
    <row r="112" spans="1:13" s="31" customFormat="1" ht="14.45" customHeight="1">
      <c r="B112" s="149" t="s">
        <v>244</v>
      </c>
      <c r="C112" s="688">
        <f>'Autoproducers Calculations'!AE$266</f>
        <v>0</v>
      </c>
      <c r="D112" s="686"/>
      <c r="E112" s="686"/>
      <c r="F112" s="686">
        <f>'Autoproducers Calculations'!AE$285</f>
        <v>25.450501155544003</v>
      </c>
      <c r="G112" s="686"/>
      <c r="H112" s="687">
        <f>'Autoproducers Calculations'!AE$268</f>
        <v>0</v>
      </c>
      <c r="I112" s="687">
        <f>'Autoproducers Calculations'!AE$273</f>
        <v>0</v>
      </c>
      <c r="J112" s="687">
        <f>'Autoproducers Calculations'!AE$305</f>
        <v>18.862599953917719</v>
      </c>
      <c r="K112" s="57"/>
      <c r="L112" s="95">
        <f>J112/SUM(J110:J113)</f>
        <v>0.25119623350281522</v>
      </c>
      <c r="M112" s="31">
        <f t="shared" si="3"/>
        <v>0.7411484684972024</v>
      </c>
    </row>
    <row r="113" spans="1:13" s="31" customFormat="1" ht="14.45" customHeight="1">
      <c r="B113" s="149" t="s">
        <v>397</v>
      </c>
      <c r="C113" s="688">
        <f>'Autoproducers Calculations'!AE$265</f>
        <v>0</v>
      </c>
      <c r="D113" s="720"/>
      <c r="E113" s="686">
        <f>'Autoproducers Calculations'!AE$277</f>
        <v>0</v>
      </c>
      <c r="F113" s="686">
        <f>'Autoproducers Calculations'!AE$287</f>
        <v>38.056753447491175</v>
      </c>
      <c r="G113" s="686"/>
      <c r="H113" s="687">
        <f>'Autoproducers Calculations'!AE$269</f>
        <v>0</v>
      </c>
      <c r="I113" s="687">
        <f>'Autoproducers Calculations'!AE$272</f>
        <v>1.3866944026235943</v>
      </c>
      <c r="J113" s="687">
        <f>'Autoproducers Calculations'!AE$306</f>
        <v>29.233450966361833</v>
      </c>
      <c r="K113" s="57"/>
      <c r="L113" s="95">
        <f>J113/SUM(J110:J113)</f>
        <v>0.38930650032230224</v>
      </c>
      <c r="M113" s="31">
        <f t="shared" si="3"/>
        <v>0.7411484684972024</v>
      </c>
    </row>
    <row r="114" spans="1:13" s="31" customFormat="1" ht="14.45" customHeight="1">
      <c r="A114" s="154" t="s">
        <v>81</v>
      </c>
      <c r="B114" s="153" t="s">
        <v>172</v>
      </c>
      <c r="C114" s="689">
        <f>'Autoproducers Calculations'!AF$264</f>
        <v>0</v>
      </c>
      <c r="D114" s="686"/>
      <c r="E114" s="690"/>
      <c r="F114" s="690"/>
      <c r="G114" s="690">
        <v>0</v>
      </c>
      <c r="H114" s="691"/>
      <c r="I114" s="691"/>
      <c r="J114" s="691">
        <f>'Autoproducers Calculations'!AF$303</f>
        <v>0</v>
      </c>
      <c r="K114" s="57"/>
      <c r="L114" s="95">
        <f>J114/SUM(J114:J117)</f>
        <v>0</v>
      </c>
      <c r="M114" s="31" t="e">
        <f t="shared" si="3"/>
        <v>#DIV/0!</v>
      </c>
    </row>
    <row r="115" spans="1:13" s="31" customFormat="1" ht="14.45" customHeight="1">
      <c r="B115" s="149" t="s">
        <v>158</v>
      </c>
      <c r="C115" s="688">
        <f>'Autoproducers Calculations'!AF$263</f>
        <v>0</v>
      </c>
      <c r="D115" s="686">
        <v>0</v>
      </c>
      <c r="E115" s="686">
        <f>'Autoproducers Calculations'!AF$278</f>
        <v>0</v>
      </c>
      <c r="F115" s="686">
        <f>'Autoproducers Calculations'!AF$283</f>
        <v>7.8921965767894253</v>
      </c>
      <c r="G115" s="686"/>
      <c r="H115" s="687">
        <f>'Autoproducers Calculations'!AF$270</f>
        <v>0</v>
      </c>
      <c r="I115" s="687">
        <f>'Autoproducers Calculations'!AF$274</f>
        <v>1.698</v>
      </c>
      <c r="J115" s="687">
        <f>'Autoproducers Calculations'!AF$304</f>
        <v>6.7625482462633553</v>
      </c>
      <c r="K115" s="57"/>
      <c r="L115" s="95">
        <f>J115/SUM(J114:J117)</f>
        <v>0.31556913928011837</v>
      </c>
      <c r="M115" s="31">
        <f t="shared" si="3"/>
        <v>0.70515220330627459</v>
      </c>
    </row>
    <row r="116" spans="1:13" s="31" customFormat="1" ht="14.45" customHeight="1">
      <c r="B116" s="149" t="s">
        <v>244</v>
      </c>
      <c r="C116" s="688">
        <f>'Autoproducers Calculations'!AF$266</f>
        <v>0</v>
      </c>
      <c r="D116" s="686"/>
      <c r="E116" s="686"/>
      <c r="F116" s="686">
        <f>'Autoproducers Calculations'!AF$285</f>
        <v>2.1485639999999999</v>
      </c>
      <c r="G116" s="686"/>
      <c r="H116" s="687">
        <f>'Autoproducers Calculations'!AF$268</f>
        <v>0.3372347423564625</v>
      </c>
      <c r="I116" s="687">
        <f>'Autoproducers Calculations'!AF$273</f>
        <v>3.475044</v>
      </c>
      <c r="J116" s="687">
        <f>'Autoproducers Calculations'!AF$305</f>
        <v>4.2033013933348746</v>
      </c>
      <c r="K116" s="57"/>
      <c r="L116" s="95">
        <f>J116/SUM(J114:J117)</f>
        <v>0.1961438431973522</v>
      </c>
      <c r="M116" s="31">
        <f t="shared" si="3"/>
        <v>0.70515220330627448</v>
      </c>
    </row>
    <row r="117" spans="1:13" s="31" customFormat="1" ht="14.45" customHeight="1">
      <c r="B117" s="149" t="s">
        <v>397</v>
      </c>
      <c r="C117" s="688">
        <f>'Autoproducers Calculations'!AF$265</f>
        <v>0</v>
      </c>
      <c r="D117" s="686"/>
      <c r="E117" s="686">
        <f>'Autoproducers Calculations'!AF$277</f>
        <v>2.7081205002418529</v>
      </c>
      <c r="F117" s="686">
        <f>'Autoproducers Calculations'!AF$287</f>
        <v>11.796999999999999</v>
      </c>
      <c r="G117" s="686"/>
      <c r="H117" s="687">
        <f>'Autoproducers Calculations'!AF$269</f>
        <v>0</v>
      </c>
      <c r="I117" s="687">
        <f>'Autoproducers Calculations'!AF$272</f>
        <v>0.33400000000000002</v>
      </c>
      <c r="J117" s="687">
        <f>'Autoproducers Calculations'!AF$306</f>
        <v>10.463838515872848</v>
      </c>
      <c r="K117" s="57"/>
      <c r="L117" s="95">
        <f>J117/SUM(J114:J117)</f>
        <v>0.48828701752252945</v>
      </c>
      <c r="M117" s="31">
        <f t="shared" si="3"/>
        <v>0.70515220330627448</v>
      </c>
    </row>
    <row r="118" spans="1:13" s="31" customFormat="1" ht="14.45" customHeight="1">
      <c r="A118" s="154" t="s">
        <v>83</v>
      </c>
      <c r="B118" s="153" t="s">
        <v>172</v>
      </c>
      <c r="C118" s="689">
        <f>'Autoproducers Calculations'!AG$264</f>
        <v>0</v>
      </c>
      <c r="D118" s="690"/>
      <c r="E118" s="690"/>
      <c r="F118" s="690"/>
      <c r="G118" s="690">
        <v>0</v>
      </c>
      <c r="H118" s="691"/>
      <c r="I118" s="691"/>
      <c r="J118" s="691">
        <f>'Autoproducers Calculations'!AG$303</f>
        <v>0</v>
      </c>
      <c r="K118" s="57"/>
      <c r="L118" s="95" t="e">
        <f>J118/SUM(J118:J121)</f>
        <v>#DIV/0!</v>
      </c>
      <c r="M118" s="31" t="e">
        <f t="shared" si="3"/>
        <v>#DIV/0!</v>
      </c>
    </row>
    <row r="119" spans="1:13" s="31" customFormat="1" ht="14.45" customHeight="1">
      <c r="B119" s="149" t="s">
        <v>158</v>
      </c>
      <c r="C119" s="688">
        <f>'Autoproducers Calculations'!AG$263</f>
        <v>0</v>
      </c>
      <c r="D119" s="686">
        <v>0</v>
      </c>
      <c r="E119" s="686">
        <f>'Autoproducers Calculations'!AG$278</f>
        <v>0</v>
      </c>
      <c r="F119" s="686">
        <f>'Autoproducers Calculations'!AG$283</f>
        <v>0</v>
      </c>
      <c r="G119" s="686"/>
      <c r="H119" s="687">
        <f>'Autoproducers Calculations'!AG$270</f>
        <v>0</v>
      </c>
      <c r="I119" s="687">
        <f>'Autoproducers Calculations'!AG$274</f>
        <v>0</v>
      </c>
      <c r="J119" s="687">
        <f>'Autoproducers Calculations'!AG$304</f>
        <v>0</v>
      </c>
      <c r="K119" s="57"/>
      <c r="L119" s="95" t="e">
        <f>J119/SUM(J118:J121)</f>
        <v>#DIV/0!</v>
      </c>
      <c r="M119" s="31" t="e">
        <f t="shared" si="3"/>
        <v>#DIV/0!</v>
      </c>
    </row>
    <row r="120" spans="1:13" s="31" customFormat="1" ht="14.45" customHeight="1">
      <c r="B120" s="149" t="s">
        <v>244</v>
      </c>
      <c r="C120" s="688">
        <f>'Autoproducers Calculations'!AG$266</f>
        <v>0</v>
      </c>
      <c r="D120" s="686"/>
      <c r="E120" s="686"/>
      <c r="F120" s="686">
        <f>'Autoproducers Calculations'!AG$285</f>
        <v>0</v>
      </c>
      <c r="G120" s="686"/>
      <c r="H120" s="687">
        <f>'Autoproducers Calculations'!AG$268</f>
        <v>0</v>
      </c>
      <c r="I120" s="687">
        <f>'Autoproducers Calculations'!AG$273</f>
        <v>0</v>
      </c>
      <c r="J120" s="687">
        <f>'Autoproducers Calculations'!AG$305</f>
        <v>0</v>
      </c>
      <c r="K120" s="57"/>
      <c r="L120" s="95" t="e">
        <f>J120/SUM(J118:J121)</f>
        <v>#DIV/0!</v>
      </c>
      <c r="M120" s="31" t="e">
        <f t="shared" si="3"/>
        <v>#DIV/0!</v>
      </c>
    </row>
    <row r="121" spans="1:13" s="31" customFormat="1" ht="14.45" customHeight="1">
      <c r="B121" s="149" t="s">
        <v>397</v>
      </c>
      <c r="C121" s="688">
        <f>'Autoproducers Calculations'!AG$265</f>
        <v>0</v>
      </c>
      <c r="D121" s="686"/>
      <c r="E121" s="686">
        <f>'Autoproducers Calculations'!AG$277</f>
        <v>0</v>
      </c>
      <c r="F121" s="686">
        <f>'Autoproducers Calculations'!AG$287</f>
        <v>0</v>
      </c>
      <c r="G121" s="686"/>
      <c r="H121" s="687">
        <f>'Autoproducers Calculations'!AG$269</f>
        <v>0</v>
      </c>
      <c r="I121" s="687">
        <f>'Autoproducers Calculations'!AG$272</f>
        <v>0</v>
      </c>
      <c r="J121" s="687">
        <f>'Autoproducers Calculations'!AG$306</f>
        <v>0</v>
      </c>
      <c r="K121" s="57"/>
      <c r="L121" s="95" t="e">
        <f>J121/SUM(J118:J121)</f>
        <v>#DIV/0!</v>
      </c>
      <c r="M121" s="31" t="e">
        <f t="shared" si="3"/>
        <v>#DIV/0!</v>
      </c>
    </row>
    <row r="122" spans="1:13" s="31" customFormat="1" ht="14.45" customHeight="1">
      <c r="A122" s="154" t="s">
        <v>84</v>
      </c>
      <c r="B122" s="153" t="s">
        <v>172</v>
      </c>
      <c r="C122" s="689">
        <f>'Autoproducers Calculations'!AH$264</f>
        <v>0</v>
      </c>
      <c r="D122" s="690"/>
      <c r="E122" s="690"/>
      <c r="F122" s="690"/>
      <c r="G122" s="690">
        <v>0</v>
      </c>
      <c r="H122" s="691"/>
      <c r="I122" s="691"/>
      <c r="J122" s="691">
        <f>'Autoproducers Calculations'!AH$303</f>
        <v>0</v>
      </c>
      <c r="K122" s="57"/>
      <c r="L122" s="95" t="e">
        <f>J122/SUM(J122:J125)</f>
        <v>#DIV/0!</v>
      </c>
      <c r="M122" s="31" t="e">
        <f t="shared" si="3"/>
        <v>#DIV/0!</v>
      </c>
    </row>
    <row r="123" spans="1:13" s="31" customFormat="1" ht="14.45" customHeight="1">
      <c r="B123" s="149" t="s">
        <v>158</v>
      </c>
      <c r="C123" s="688">
        <f>'Autoproducers Calculations'!AH$263</f>
        <v>0</v>
      </c>
      <c r="D123" s="686">
        <v>0</v>
      </c>
      <c r="E123" s="686">
        <f>'Autoproducers Calculations'!AH$278</f>
        <v>0</v>
      </c>
      <c r="F123" s="686">
        <f>'Autoproducers Calculations'!AH$283</f>
        <v>0</v>
      </c>
      <c r="G123" s="686"/>
      <c r="H123" s="687">
        <f>'Autoproducers Calculations'!AH$270</f>
        <v>0</v>
      </c>
      <c r="I123" s="687">
        <f>'Autoproducers Calculations'!AH$274</f>
        <v>0</v>
      </c>
      <c r="J123" s="687">
        <f>'Autoproducers Calculations'!AH$304</f>
        <v>0</v>
      </c>
      <c r="K123" s="57"/>
      <c r="L123" s="95" t="e">
        <f>J123/SUM(J122:J125)</f>
        <v>#DIV/0!</v>
      </c>
      <c r="M123" s="31" t="e">
        <f t="shared" si="3"/>
        <v>#DIV/0!</v>
      </c>
    </row>
    <row r="124" spans="1:13" s="31" customFormat="1" ht="14.45" customHeight="1">
      <c r="B124" s="149" t="s">
        <v>244</v>
      </c>
      <c r="C124" s="688">
        <f>'Autoproducers Calculations'!AH$266</f>
        <v>0</v>
      </c>
      <c r="D124" s="686"/>
      <c r="E124" s="686"/>
      <c r="F124" s="686">
        <f>'Autoproducers Calculations'!AH$285</f>
        <v>0</v>
      </c>
      <c r="G124" s="686"/>
      <c r="H124" s="687">
        <f>'Autoproducers Calculations'!AH$268</f>
        <v>0</v>
      </c>
      <c r="I124" s="687">
        <f>'Autoproducers Calculations'!AH$273</f>
        <v>0</v>
      </c>
      <c r="J124" s="687">
        <f>'Autoproducers Calculations'!AH$305</f>
        <v>0</v>
      </c>
      <c r="K124" s="57"/>
      <c r="L124" s="95" t="e">
        <f>J124/SUM(J122:J125)</f>
        <v>#DIV/0!</v>
      </c>
      <c r="M124" s="31" t="e">
        <f t="shared" si="3"/>
        <v>#DIV/0!</v>
      </c>
    </row>
    <row r="125" spans="1:13" s="31" customFormat="1" ht="14.45" customHeight="1">
      <c r="B125" s="149" t="s">
        <v>397</v>
      </c>
      <c r="C125" s="688">
        <f>'Autoproducers Calculations'!AH$265</f>
        <v>0</v>
      </c>
      <c r="D125" s="686"/>
      <c r="E125" s="686">
        <f>'Autoproducers Calculations'!AH$277</f>
        <v>0</v>
      </c>
      <c r="F125" s="686">
        <f>'Autoproducers Calculations'!AH$287</f>
        <v>0</v>
      </c>
      <c r="G125" s="686"/>
      <c r="H125" s="687">
        <f>'Autoproducers Calculations'!AH$269</f>
        <v>0</v>
      </c>
      <c r="I125" s="687">
        <f>'Autoproducers Calculations'!AH$272</f>
        <v>0</v>
      </c>
      <c r="J125" s="687">
        <f>'Autoproducers Calculations'!AH$306</f>
        <v>0</v>
      </c>
      <c r="K125" s="57"/>
      <c r="L125" s="95" t="e">
        <f>J125/SUM(J122:J125)</f>
        <v>#DIV/0!</v>
      </c>
      <c r="M125" s="31" t="e">
        <f t="shared" si="3"/>
        <v>#DIV/0!</v>
      </c>
    </row>
    <row r="126" spans="1:13">
      <c r="K126" s="495"/>
    </row>
    <row r="129" spans="1:17" ht="15">
      <c r="B129" s="158" t="s">
        <v>425</v>
      </c>
      <c r="C129" s="158"/>
      <c r="D129" s="158"/>
      <c r="E129" s="158"/>
      <c r="F129" s="158"/>
      <c r="G129" s="158"/>
      <c r="H129" s="158"/>
      <c r="I129" s="158"/>
      <c r="J129" s="158"/>
      <c r="K129" s="723"/>
    </row>
    <row r="130" spans="1:17" s="31" customFormat="1" ht="26.25" thickBot="1">
      <c r="B130" s="34"/>
      <c r="C130" s="148" t="s">
        <v>309</v>
      </c>
      <c r="D130" s="148" t="s">
        <v>92</v>
      </c>
      <c r="E130" s="148" t="s">
        <v>307</v>
      </c>
      <c r="F130" s="148" t="s">
        <v>71</v>
      </c>
      <c r="G130" s="711" t="s">
        <v>1306</v>
      </c>
      <c r="H130" s="148" t="s">
        <v>97</v>
      </c>
      <c r="I130" s="148" t="s">
        <v>316</v>
      </c>
      <c r="J130" s="148" t="s">
        <v>406</v>
      </c>
      <c r="K130" s="724"/>
    </row>
    <row r="131" spans="1:17" s="31" customFormat="1">
      <c r="A131" s="31" t="s">
        <v>56</v>
      </c>
      <c r="B131" s="149" t="s">
        <v>155</v>
      </c>
      <c r="C131" s="150"/>
      <c r="D131" s="686">
        <f>'Autoproducers Calculations'!E$261</f>
        <v>0</v>
      </c>
      <c r="E131" s="686">
        <f>'Autoproducers Calculations'!E$276</f>
        <v>1.04</v>
      </c>
      <c r="F131" s="686">
        <f>'Autoproducers Calculations'!E$284</f>
        <v>6.782616</v>
      </c>
      <c r="G131" s="686"/>
      <c r="H131" s="687"/>
      <c r="I131" s="687"/>
      <c r="J131" s="687">
        <f>'Autoproducers Calculations'!E$302</f>
        <v>4.9684848856314883</v>
      </c>
      <c r="K131" s="57"/>
    </row>
    <row r="132" spans="1:17" s="31" customFormat="1" ht="14.45" customHeight="1">
      <c r="A132" s="71" t="s">
        <v>39</v>
      </c>
      <c r="B132" s="149" t="s">
        <v>155</v>
      </c>
      <c r="C132" s="150"/>
      <c r="D132" s="686">
        <f>'Autoproducers Calculations'!F$261</f>
        <v>0</v>
      </c>
      <c r="E132" s="686">
        <f>'Autoproducers Calculations'!F$276</f>
        <v>3.7941915602878624</v>
      </c>
      <c r="F132" s="686">
        <f>'Autoproducers Calculations'!F$284</f>
        <v>2.58</v>
      </c>
      <c r="G132" s="686"/>
      <c r="H132" s="687"/>
      <c r="I132" s="687"/>
      <c r="J132" s="687">
        <f>'Autoproducers Calculations'!F$302</f>
        <v>4.9183187080503572</v>
      </c>
      <c r="K132" s="57"/>
      <c r="L132" s="157">
        <f>J132/SUM(J10:J13)</f>
        <v>0.8090799040115364</v>
      </c>
      <c r="M132" s="31">
        <f t="shared" ref="M132:M160" si="4">J132/SUM(C132:I132)</f>
        <v>0.77159882340094643</v>
      </c>
    </row>
    <row r="133" spans="1:17" s="31" customFormat="1" ht="14.45" customHeight="1">
      <c r="A133" s="71" t="s">
        <v>40</v>
      </c>
      <c r="B133" s="149" t="s">
        <v>155</v>
      </c>
      <c r="C133" s="150"/>
      <c r="D133" s="686">
        <f>'Autoproducers Calculations'!G$261</f>
        <v>0.40086167910929987</v>
      </c>
      <c r="E133" s="686">
        <f>'Autoproducers Calculations'!G$276</f>
        <v>0</v>
      </c>
      <c r="F133" s="686">
        <f>'Autoproducers Calculations'!G$284</f>
        <v>2.6179999999999999</v>
      </c>
      <c r="G133" s="686"/>
      <c r="H133" s="687"/>
      <c r="I133" s="687"/>
      <c r="J133" s="687">
        <f>'Autoproducers Calculations'!G$302</f>
        <v>1.9614026327947531</v>
      </c>
      <c r="K133" s="57"/>
      <c r="L133" s="157">
        <f>J133/SUM(J14:J17)</f>
        <v>0.19471206021260101</v>
      </c>
      <c r="M133" s="31">
        <f t="shared" si="4"/>
        <v>0.64971596624243322</v>
      </c>
    </row>
    <row r="134" spans="1:17" s="31" customFormat="1" ht="14.45" customHeight="1">
      <c r="A134" s="71" t="s">
        <v>49</v>
      </c>
      <c r="B134" s="149" t="s">
        <v>155</v>
      </c>
      <c r="C134" s="150"/>
      <c r="D134" s="686">
        <f>'Autoproducers Calculations'!H$261</f>
        <v>0</v>
      </c>
      <c r="E134" s="686">
        <f>'Autoproducers Calculations'!H$276</f>
        <v>0</v>
      </c>
      <c r="F134" s="686">
        <f>'Autoproducers Calculations'!H$284</f>
        <v>0</v>
      </c>
      <c r="G134" s="686"/>
      <c r="H134" s="687"/>
      <c r="I134" s="687"/>
      <c r="J134" s="687">
        <f>'Autoproducers Calculations'!H$302</f>
        <v>0</v>
      </c>
      <c r="K134" s="57"/>
      <c r="L134" s="157" t="e">
        <f>J134/SUM(J18:J21)</f>
        <v>#DIV/0!</v>
      </c>
      <c r="M134" s="31" t="e">
        <f t="shared" si="4"/>
        <v>#DIV/0!</v>
      </c>
    </row>
    <row r="135" spans="1:17" s="31" customFormat="1" ht="14.45" customHeight="1">
      <c r="A135" s="71" t="s">
        <v>41</v>
      </c>
      <c r="B135" s="149" t="s">
        <v>155</v>
      </c>
      <c r="C135" s="150"/>
      <c r="D135" s="686">
        <f>'Autoproducers Calculations'!I$261</f>
        <v>0</v>
      </c>
      <c r="E135" s="686">
        <f>'Autoproducers Calculations'!I$276</f>
        <v>0.96775039530007878</v>
      </c>
      <c r="F135" s="686">
        <f>'Autoproducers Calculations'!I$284</f>
        <v>0.41444941372349958</v>
      </c>
      <c r="G135" s="686"/>
      <c r="H135" s="687"/>
      <c r="I135" s="687"/>
      <c r="J135" s="687">
        <f>'Autoproducers Calculations'!I$302</f>
        <v>0.90845515890586259</v>
      </c>
      <c r="K135" s="57"/>
      <c r="L135" s="157">
        <f>J135/SUM(J22:J25)</f>
        <v>2.6211858753632414E-2</v>
      </c>
      <c r="M135" s="31">
        <f t="shared" si="4"/>
        <v>0.65725313588895573</v>
      </c>
    </row>
    <row r="136" spans="1:17">
      <c r="A136" s="71" t="s">
        <v>43</v>
      </c>
      <c r="B136" s="149" t="s">
        <v>155</v>
      </c>
      <c r="C136" s="150"/>
      <c r="D136" s="686">
        <f>'Autoproducers Calculations'!J$261</f>
        <v>0.73240068931146762</v>
      </c>
      <c r="E136" s="686">
        <f>'Autoproducers Calculations'!J$276</f>
        <v>12.811401751263766</v>
      </c>
      <c r="F136" s="686">
        <f>'Autoproducers Calculations'!J$284</f>
        <v>7.218</v>
      </c>
      <c r="G136" s="686"/>
      <c r="H136" s="687"/>
      <c r="I136" s="687"/>
      <c r="J136" s="687">
        <f>'Autoproducers Calculations'!J$302</f>
        <v>16.68301765451535</v>
      </c>
      <c r="K136" s="57"/>
      <c r="L136" s="157">
        <f>J136/SUM(J26:J29)</f>
        <v>0.14841954812543703</v>
      </c>
      <c r="M136" s="31">
        <f t="shared" si="4"/>
        <v>0.80354380127957348</v>
      </c>
      <c r="O136" s="31"/>
      <c r="Q136" s="31"/>
    </row>
    <row r="137" spans="1:17" s="31" customFormat="1" ht="14.45" customHeight="1">
      <c r="A137" s="71" t="s">
        <v>42</v>
      </c>
      <c r="B137" s="149" t="s">
        <v>155</v>
      </c>
      <c r="C137" s="150"/>
      <c r="D137" s="686">
        <f>'Autoproducers Calculations'!K$261</f>
        <v>0.32352165668014088</v>
      </c>
      <c r="E137" s="686">
        <f>'Autoproducers Calculations'!K$276</f>
        <v>0.18360500558982196</v>
      </c>
      <c r="F137" s="686">
        <f>'Autoproducers Calculations'!K$284</f>
        <v>0</v>
      </c>
      <c r="G137" s="686"/>
      <c r="H137" s="687"/>
      <c r="I137" s="687"/>
      <c r="J137" s="687">
        <f>'Autoproducers Calculations'!K$302</f>
        <v>0.42568575220359295</v>
      </c>
      <c r="K137" s="57"/>
      <c r="L137" s="157">
        <f>J137/SUM(J30:J33)</f>
        <v>6.7467333960460701E-2</v>
      </c>
      <c r="M137" s="31">
        <f t="shared" si="4"/>
        <v>0.8394071617101927</v>
      </c>
    </row>
    <row r="138" spans="1:17" s="31" customFormat="1" ht="14.45" customHeight="1">
      <c r="A138" s="71" t="s">
        <v>44</v>
      </c>
      <c r="B138" s="149" t="s">
        <v>155</v>
      </c>
      <c r="C138" s="150"/>
      <c r="D138" s="686">
        <f>'Autoproducers Calculations'!L$261</f>
        <v>0</v>
      </c>
      <c r="E138" s="686">
        <f>'Autoproducers Calculations'!L$276</f>
        <v>0</v>
      </c>
      <c r="F138" s="686">
        <f>'Autoproducers Calculations'!L$284</f>
        <v>0</v>
      </c>
      <c r="G138" s="686"/>
      <c r="H138" s="687"/>
      <c r="I138" s="687"/>
      <c r="J138" s="687">
        <f>'Autoproducers Calculations'!L$302</f>
        <v>0</v>
      </c>
      <c r="K138" s="57"/>
      <c r="L138" s="157">
        <f>J138/SUM(J34:J37)</f>
        <v>0</v>
      </c>
      <c r="M138" s="31" t="e">
        <f t="shared" si="4"/>
        <v>#DIV/0!</v>
      </c>
    </row>
    <row r="139" spans="1:17" s="31" customFormat="1" ht="14.45" customHeight="1">
      <c r="A139" s="71" t="s">
        <v>45</v>
      </c>
      <c r="B139" s="149" t="s">
        <v>155</v>
      </c>
      <c r="C139" s="150"/>
      <c r="D139" s="686">
        <f>'Autoproducers Calculations'!M$261</f>
        <v>0</v>
      </c>
      <c r="E139" s="686">
        <f>'Autoproducers Calculations'!M$276</f>
        <v>1.5814091185773478</v>
      </c>
      <c r="F139" s="686">
        <f>'Autoproducers Calculations'!M$284</f>
        <v>0</v>
      </c>
      <c r="G139" s="686"/>
      <c r="H139" s="687"/>
      <c r="I139" s="687"/>
      <c r="J139" s="687">
        <f>'Autoproducers Calculations'!M$302</f>
        <v>1.2647394561217296</v>
      </c>
      <c r="K139" s="57"/>
      <c r="L139" s="157">
        <f>J139/SUM(J38:J41)</f>
        <v>8.8341679714578226E-3</v>
      </c>
      <c r="M139" s="31">
        <f t="shared" si="4"/>
        <v>0.79975475116742867</v>
      </c>
    </row>
    <row r="140" spans="1:17" s="31" customFormat="1" ht="14.45" customHeight="1">
      <c r="A140" s="71" t="s">
        <v>62</v>
      </c>
      <c r="B140" s="149" t="s">
        <v>155</v>
      </c>
      <c r="C140" s="150"/>
      <c r="D140" s="686">
        <f>'Autoproducers Calculations'!N$261</f>
        <v>0</v>
      </c>
      <c r="E140" s="686">
        <f>'Autoproducers Calculations'!N$276</f>
        <v>4.5599999999999996</v>
      </c>
      <c r="F140" s="686">
        <f>'Autoproducers Calculations'!N$284</f>
        <v>10.574</v>
      </c>
      <c r="G140" s="686"/>
      <c r="H140" s="687"/>
      <c r="I140" s="687"/>
      <c r="J140" s="687">
        <f>'Autoproducers Calculations'!N$302</f>
        <v>12.266637474040186</v>
      </c>
      <c r="K140" s="57"/>
      <c r="L140" s="157">
        <f>J140/SUM(J42:J45)</f>
        <v>0.10723706933842596</v>
      </c>
      <c r="M140" s="31">
        <f t="shared" si="4"/>
        <v>0.81053505180654062</v>
      </c>
    </row>
    <row r="141" spans="1:17" s="31" customFormat="1" ht="14.45" customHeight="1">
      <c r="A141" s="71" t="s">
        <v>46</v>
      </c>
      <c r="B141" s="149" t="s">
        <v>155</v>
      </c>
      <c r="C141" s="150"/>
      <c r="D141" s="686">
        <f>'Autoproducers Calculations'!O$261</f>
        <v>0.47274100934620605</v>
      </c>
      <c r="E141" s="686">
        <f>'Autoproducers Calculations'!O$276</f>
        <v>6.1684508339254229</v>
      </c>
      <c r="F141" s="686">
        <f>'Autoproducers Calculations'!O$284</f>
        <v>0</v>
      </c>
      <c r="G141" s="686"/>
      <c r="H141" s="687"/>
      <c r="I141" s="687"/>
      <c r="J141" s="687">
        <f>'Autoproducers Calculations'!O$302</f>
        <v>5.3397274907145498</v>
      </c>
      <c r="K141" s="57"/>
      <c r="L141" s="157">
        <f>J141/SUM(J46:J49)</f>
        <v>4.2181740836753828E-2</v>
      </c>
      <c r="M141" s="31">
        <f t="shared" si="4"/>
        <v>0.80403150770661325</v>
      </c>
    </row>
    <row r="142" spans="1:17" s="31" customFormat="1" ht="14.45" customHeight="1">
      <c r="A142" s="71" t="s">
        <v>82</v>
      </c>
      <c r="B142" s="149" t="s">
        <v>155</v>
      </c>
      <c r="C142" s="150"/>
      <c r="D142" s="686">
        <f>'Autoproducers Calculations'!P$261</f>
        <v>0</v>
      </c>
      <c r="E142" s="686">
        <f>'Autoproducers Calculations'!P$276</f>
        <v>4.305142839664474</v>
      </c>
      <c r="F142" s="686">
        <f>'Autoproducers Calculations'!P$284</f>
        <v>0</v>
      </c>
      <c r="G142" s="686"/>
      <c r="H142" s="687"/>
      <c r="I142" s="687"/>
      <c r="J142" s="687">
        <f>'Autoproducers Calculations'!P$302</f>
        <v>2.319739204137961</v>
      </c>
      <c r="K142" s="57"/>
      <c r="L142" s="157">
        <f>J142/SUM(J50:J53)</f>
        <v>0.32476319350473604</v>
      </c>
      <c r="M142" s="31">
        <f t="shared" si="4"/>
        <v>0.53882978812353466</v>
      </c>
    </row>
    <row r="143" spans="1:17" s="31" customFormat="1" ht="14.45" customHeight="1">
      <c r="A143" s="71" t="s">
        <v>53</v>
      </c>
      <c r="B143" s="149" t="s">
        <v>155</v>
      </c>
      <c r="C143" s="150"/>
      <c r="D143" s="686">
        <f>'Autoproducers Calculations'!Q$261</f>
        <v>0</v>
      </c>
      <c r="E143" s="686">
        <f>'Autoproducers Calculations'!Q$276</f>
        <v>0.67282577429566937</v>
      </c>
      <c r="F143" s="686">
        <f>'Autoproducers Calculations'!Q$284</f>
        <v>4.1055552690591872</v>
      </c>
      <c r="G143" s="686"/>
      <c r="H143" s="687"/>
      <c r="I143" s="687"/>
      <c r="J143" s="687">
        <f>'Autoproducers Calculations'!Q$302</f>
        <v>3.6688595283796785</v>
      </c>
      <c r="K143" s="57"/>
      <c r="L143" s="157">
        <f>J143/SUM(J54:J57)</f>
        <v>0.8327772985573223</v>
      </c>
      <c r="M143" s="31">
        <f t="shared" si="4"/>
        <v>0.76780388484962814</v>
      </c>
    </row>
    <row r="144" spans="1:17" s="31" customFormat="1" ht="14.45" customHeight="1">
      <c r="A144" s="71" t="s">
        <v>47</v>
      </c>
      <c r="B144" s="149" t="s">
        <v>155</v>
      </c>
      <c r="C144" s="150"/>
      <c r="D144" s="686">
        <f>'Autoproducers Calculations'!R$261</f>
        <v>0</v>
      </c>
      <c r="E144" s="686">
        <f>'Autoproducers Calculations'!R$276</f>
        <v>0</v>
      </c>
      <c r="F144" s="686">
        <f>'Autoproducers Calculations'!R$284</f>
        <v>0</v>
      </c>
      <c r="G144" s="686"/>
      <c r="H144" s="687"/>
      <c r="I144" s="687"/>
      <c r="J144" s="687">
        <f>'Autoproducers Calculations'!R$302</f>
        <v>0</v>
      </c>
      <c r="K144" s="57"/>
      <c r="L144" s="157">
        <f>J144/SUM(J58:J61)</f>
        <v>0</v>
      </c>
      <c r="M144" s="31" t="e">
        <f t="shared" si="4"/>
        <v>#DIV/0!</v>
      </c>
    </row>
    <row r="145" spans="1:17">
      <c r="A145" s="71" t="s">
        <v>48</v>
      </c>
      <c r="B145" s="149" t="s">
        <v>155</v>
      </c>
      <c r="C145" s="150"/>
      <c r="D145" s="686">
        <f>'Autoproducers Calculations'!S$261</f>
        <v>1.2721900745831469</v>
      </c>
      <c r="E145" s="686">
        <f>'Autoproducers Calculations'!S$276</f>
        <v>3.7040411653327681</v>
      </c>
      <c r="F145" s="686">
        <f>'Autoproducers Calculations'!S$284</f>
        <v>0</v>
      </c>
      <c r="G145" s="686"/>
      <c r="H145" s="687"/>
      <c r="I145" s="687"/>
      <c r="J145" s="687">
        <f>'Autoproducers Calculations'!S$302</f>
        <v>3.6376020215366602</v>
      </c>
      <c r="K145" s="57"/>
      <c r="L145" s="157">
        <f>J145/SUM(J62:J65)</f>
        <v>0.77561253326748369</v>
      </c>
      <c r="M145" s="31">
        <f t="shared" si="4"/>
        <v>0.73099537504573964</v>
      </c>
      <c r="O145" s="31"/>
      <c r="Q145" s="31"/>
    </row>
    <row r="146" spans="1:17" s="31" customFormat="1" ht="14.45" customHeight="1">
      <c r="A146" s="71" t="s">
        <v>51</v>
      </c>
      <c r="B146" s="149" t="s">
        <v>155</v>
      </c>
      <c r="C146" s="150"/>
      <c r="D146" s="686">
        <f>'Autoproducers Calculations'!T$261</f>
        <v>0</v>
      </c>
      <c r="E146" s="686">
        <f>'Autoproducers Calculations'!T$276</f>
        <v>0</v>
      </c>
      <c r="F146" s="686">
        <f>'Autoproducers Calculations'!T$284</f>
        <v>2.8000000000000001E-2</v>
      </c>
      <c r="G146" s="686"/>
      <c r="H146" s="687"/>
      <c r="I146" s="687"/>
      <c r="J146" s="687">
        <f>'Autoproducers Calculations'!T$302</f>
        <v>2.2107826086956522E-2</v>
      </c>
      <c r="K146" s="57"/>
      <c r="L146" s="157">
        <f>J146/SUM(J66:J69)</f>
        <v>2.8052676692901118E-3</v>
      </c>
      <c r="M146" s="31">
        <f t="shared" si="4"/>
        <v>0.78956521739130436</v>
      </c>
    </row>
    <row r="147" spans="1:17" s="31" customFormat="1" ht="14.45" customHeight="1">
      <c r="A147" s="71" t="s">
        <v>52</v>
      </c>
      <c r="B147" s="149" t="s">
        <v>155</v>
      </c>
      <c r="C147" s="150"/>
      <c r="D147" s="686">
        <f>'Autoproducers Calculations'!U$261</f>
        <v>0</v>
      </c>
      <c r="E147" s="686">
        <f>'Autoproducers Calculations'!U$276</f>
        <v>0</v>
      </c>
      <c r="F147" s="686">
        <f>'Autoproducers Calculations'!U$284</f>
        <v>0</v>
      </c>
      <c r="G147" s="686"/>
      <c r="H147" s="687"/>
      <c r="I147" s="687"/>
      <c r="J147" s="687">
        <f>'Autoproducers Calculations'!U$302</f>
        <v>0</v>
      </c>
      <c r="K147" s="57"/>
      <c r="L147" s="157">
        <f>J147/SUM(J70:J73)</f>
        <v>0</v>
      </c>
      <c r="M147" s="31" t="e">
        <f t="shared" si="4"/>
        <v>#DIV/0!</v>
      </c>
    </row>
    <row r="148" spans="1:17" s="31" customFormat="1" ht="14.45" customHeight="1">
      <c r="A148" s="71" t="s">
        <v>50</v>
      </c>
      <c r="B148" s="149" t="s">
        <v>155</v>
      </c>
      <c r="C148" s="150"/>
      <c r="D148" s="686">
        <f>'Autoproducers Calculations'!V$261</f>
        <v>0</v>
      </c>
      <c r="E148" s="686">
        <f>'Autoproducers Calculations'!V$276</f>
        <v>0</v>
      </c>
      <c r="F148" s="686">
        <f>'Autoproducers Calculations'!V$284</f>
        <v>0</v>
      </c>
      <c r="G148" s="686"/>
      <c r="H148" s="687"/>
      <c r="I148" s="687"/>
      <c r="J148" s="687">
        <f>'Autoproducers Calculations'!V$302</f>
        <v>0</v>
      </c>
      <c r="K148" s="57"/>
      <c r="L148" s="157">
        <f>J148/SUM(J74:J77)</f>
        <v>0</v>
      </c>
      <c r="M148" s="31" t="e">
        <f t="shared" si="4"/>
        <v>#DIV/0!</v>
      </c>
    </row>
    <row r="149" spans="1:17" s="31" customFormat="1" ht="14.45" customHeight="1">
      <c r="A149" s="71" t="s">
        <v>54</v>
      </c>
      <c r="B149" s="149" t="s">
        <v>155</v>
      </c>
      <c r="C149" s="150"/>
      <c r="D149" s="686">
        <f>'Autoproducers Calculations'!W$261</f>
        <v>0</v>
      </c>
      <c r="E149" s="686">
        <f>'Autoproducers Calculations'!W$276</f>
        <v>0</v>
      </c>
      <c r="F149" s="686">
        <f>'Autoproducers Calculations'!W$284</f>
        <v>0</v>
      </c>
      <c r="G149" s="686"/>
      <c r="H149" s="687"/>
      <c r="I149" s="687"/>
      <c r="J149" s="687">
        <f>'Autoproducers Calculations'!W$302</f>
        <v>0</v>
      </c>
      <c r="K149" s="57"/>
      <c r="L149" s="157" t="e">
        <f>J149/SUM(J78:J81)</f>
        <v>#DIV/0!</v>
      </c>
      <c r="M149" s="31" t="e">
        <f t="shared" si="4"/>
        <v>#DIV/0!</v>
      </c>
    </row>
    <row r="150" spans="1:17" s="31" customFormat="1" ht="14.45" customHeight="1">
      <c r="A150" s="71" t="s">
        <v>55</v>
      </c>
      <c r="B150" s="149" t="s">
        <v>155</v>
      </c>
      <c r="C150" s="150"/>
      <c r="D150" s="686">
        <f>'Autoproducers Calculations'!X$261</f>
        <v>26.629931490147982</v>
      </c>
      <c r="E150" s="686">
        <f>'Autoproducers Calculations'!X$276</f>
        <v>7.56</v>
      </c>
      <c r="F150" s="686">
        <f>'Autoproducers Calculations'!X$284</f>
        <v>31.56</v>
      </c>
      <c r="G150" s="686"/>
      <c r="H150" s="687"/>
      <c r="I150" s="687"/>
      <c r="J150" s="687">
        <f>'Autoproducers Calculations'!X$302</f>
        <v>54.679109993384678</v>
      </c>
      <c r="K150" s="57"/>
      <c r="L150" s="157">
        <f>J150/SUM(J82:J85)</f>
        <v>0.72929565794229312</v>
      </c>
      <c r="M150" s="31">
        <f t="shared" si="4"/>
        <v>0.83162231129591113</v>
      </c>
    </row>
    <row r="151" spans="1:17" s="31" customFormat="1" ht="14.45" customHeight="1">
      <c r="A151" s="71" t="s">
        <v>57</v>
      </c>
      <c r="B151" s="149" t="s">
        <v>155</v>
      </c>
      <c r="C151" s="150"/>
      <c r="D151" s="686">
        <f>'Autoproducers Calculations'!Y$261</f>
        <v>0</v>
      </c>
      <c r="E151" s="686">
        <f>'Autoproducers Calculations'!Y$276</f>
        <v>27.139437261463868</v>
      </c>
      <c r="F151" s="686">
        <f>'Autoproducers Calculations'!Y$284</f>
        <v>13.114077154150689</v>
      </c>
      <c r="G151" s="686"/>
      <c r="H151" s="687"/>
      <c r="I151" s="687"/>
      <c r="J151" s="687">
        <f>'Autoproducers Calculations'!Y$302</f>
        <v>31.44586269922091</v>
      </c>
      <c r="K151" s="57"/>
      <c r="L151" s="157">
        <f>J151/SUM(J86:J89)</f>
        <v>0.29607560244303427</v>
      </c>
      <c r="M151" s="31">
        <f t="shared" si="4"/>
        <v>0.78119545971923599</v>
      </c>
    </row>
    <row r="152" spans="1:17" s="31" customFormat="1" ht="14.45" customHeight="1">
      <c r="A152" s="71" t="s">
        <v>58</v>
      </c>
      <c r="B152" s="149" t="s">
        <v>155</v>
      </c>
      <c r="C152" s="150"/>
      <c r="D152" s="686">
        <f>'Autoproducers Calculations'!Z$261</f>
        <v>0</v>
      </c>
      <c r="E152" s="686">
        <f>'Autoproducers Calculations'!Z$276</f>
        <v>0</v>
      </c>
      <c r="F152" s="686">
        <f>'Autoproducers Calculations'!Z$284</f>
        <v>3.3260000000000001</v>
      </c>
      <c r="G152" s="686"/>
      <c r="H152" s="687"/>
      <c r="I152" s="687"/>
      <c r="J152" s="687">
        <f>'Autoproducers Calculations'!Z$302</f>
        <v>3.0309402919464614</v>
      </c>
      <c r="K152" s="57"/>
      <c r="L152" s="157">
        <f>J152/SUM(J90:J93)</f>
        <v>0.14253014452614879</v>
      </c>
      <c r="M152" s="31">
        <f t="shared" si="4"/>
        <v>0.9112869188053101</v>
      </c>
    </row>
    <row r="153" spans="1:17" s="31" customFormat="1" ht="14.45" customHeight="1">
      <c r="A153" s="71" t="s">
        <v>59</v>
      </c>
      <c r="B153" s="149" t="s">
        <v>155</v>
      </c>
      <c r="C153" s="150"/>
      <c r="D153" s="686">
        <f>'Autoproducers Calculations'!AA$261</f>
        <v>9.897086519114684E-2</v>
      </c>
      <c r="E153" s="686">
        <f>'Autoproducers Calculations'!AA$276</f>
        <v>0.43464949698189104</v>
      </c>
      <c r="F153" s="686">
        <f>'Autoproducers Calculations'!AA$284</f>
        <v>0.64278705035348671</v>
      </c>
      <c r="G153" s="686"/>
      <c r="H153" s="687"/>
      <c r="I153" s="687"/>
      <c r="J153" s="687">
        <f>'Autoproducers Calculations'!AA$302</f>
        <v>1.0836422648940691</v>
      </c>
      <c r="K153" s="57"/>
      <c r="L153" s="157">
        <f>J153/SUM(J94:J97)</f>
        <v>0.19217342476103216</v>
      </c>
      <c r="M153" s="31">
        <f t="shared" si="4"/>
        <v>0.92114539007092155</v>
      </c>
    </row>
    <row r="154" spans="1:17" s="31" customFormat="1" ht="14.45" customHeight="1">
      <c r="A154" s="71" t="s">
        <v>63</v>
      </c>
      <c r="B154" s="149" t="s">
        <v>155</v>
      </c>
      <c r="C154" s="150"/>
      <c r="D154" s="686">
        <f>'Autoproducers Calculations'!AB$261</f>
        <v>0</v>
      </c>
      <c r="E154" s="686">
        <f>'Autoproducers Calculations'!AB$276</f>
        <v>2.3849999999999998</v>
      </c>
      <c r="F154" s="686">
        <f>'Autoproducers Calculations'!AB$284</f>
        <v>0</v>
      </c>
      <c r="G154" s="686"/>
      <c r="H154" s="687"/>
      <c r="I154" s="687"/>
      <c r="J154" s="687">
        <f>'Autoproducers Calculations'!AB$302</f>
        <v>1.8649929361455531</v>
      </c>
      <c r="K154" s="57"/>
      <c r="L154" s="157">
        <f>J154/SUM(J98:J101)</f>
        <v>4.7293054529477907E-2</v>
      </c>
      <c r="M154" s="31">
        <f t="shared" si="4"/>
        <v>0.7819676881113431</v>
      </c>
    </row>
    <row r="155" spans="1:17" s="31" customFormat="1" ht="14.45" customHeight="1">
      <c r="A155" s="71" t="s">
        <v>60</v>
      </c>
      <c r="B155" s="149" t="s">
        <v>155</v>
      </c>
      <c r="C155" s="150"/>
      <c r="D155" s="686">
        <f>'Autoproducers Calculations'!AC$261</f>
        <v>0</v>
      </c>
      <c r="E155" s="686">
        <f>'Autoproducers Calculations'!AC$276</f>
        <v>0</v>
      </c>
      <c r="F155" s="686">
        <f>'Autoproducers Calculations'!AC$284</f>
        <v>0</v>
      </c>
      <c r="G155" s="686"/>
      <c r="H155" s="687"/>
      <c r="I155" s="687"/>
      <c r="J155" s="687">
        <f>'Autoproducers Calculations'!AC$302</f>
        <v>0</v>
      </c>
      <c r="K155" s="57"/>
      <c r="L155" s="157">
        <f>J155/SUM(J102:J105)</f>
        <v>0</v>
      </c>
      <c r="M155" s="31" t="e">
        <f t="shared" si="4"/>
        <v>#DIV/0!</v>
      </c>
    </row>
    <row r="156" spans="1:17" s="31" customFormat="1" ht="14.45" customHeight="1">
      <c r="A156" s="71" t="s">
        <v>61</v>
      </c>
      <c r="B156" s="149" t="s">
        <v>155</v>
      </c>
      <c r="C156" s="150"/>
      <c r="D156" s="686">
        <f>'Autoproducers Calculations'!AD$261</f>
        <v>0.11230070832781677</v>
      </c>
      <c r="E156" s="686">
        <f>'Autoproducers Calculations'!AD$276</f>
        <v>3.84</v>
      </c>
      <c r="F156" s="686">
        <f>'Autoproducers Calculations'!AD$284</f>
        <v>2.3513850529929043</v>
      </c>
      <c r="G156" s="686"/>
      <c r="H156" s="687"/>
      <c r="I156" s="687"/>
      <c r="J156" s="687">
        <f>'Autoproducers Calculations'!AD$302</f>
        <v>0.13460225766687242</v>
      </c>
      <c r="K156" s="57"/>
      <c r="L156" s="157">
        <f>J156/SUM(J106:J109)</f>
        <v>0.58676365468063485</v>
      </c>
      <c r="M156" s="31">
        <f t="shared" si="4"/>
        <v>2.1352945366152124E-2</v>
      </c>
    </row>
    <row r="157" spans="1:17" s="31" customFormat="1" ht="14.45" customHeight="1">
      <c r="A157" s="71" t="s">
        <v>64</v>
      </c>
      <c r="B157" s="149" t="s">
        <v>155</v>
      </c>
      <c r="C157" s="150"/>
      <c r="D157" s="686">
        <f>'Autoproducers Calculations'!AE$261</f>
        <v>0</v>
      </c>
      <c r="E157" s="686">
        <f>'Autoproducers Calculations'!AE$276</f>
        <v>6.5684545180773419</v>
      </c>
      <c r="F157" s="686">
        <f>'Autoproducers Calculations'!AE$284</f>
        <v>13.848000000000001</v>
      </c>
      <c r="G157" s="686"/>
      <c r="H157" s="687"/>
      <c r="I157" s="687"/>
      <c r="J157" s="687">
        <f>'Autoproducers Calculations'!AE$302</f>
        <v>15.131623998215813</v>
      </c>
      <c r="K157" s="57"/>
      <c r="L157" s="157">
        <f>J157/SUM(J110:J113)</f>
        <v>0.20151023530259207</v>
      </c>
      <c r="M157" s="31">
        <f t="shared" si="4"/>
        <v>0.74114846849720251</v>
      </c>
    </row>
    <row r="158" spans="1:17" s="31" customFormat="1" ht="14.45" customHeight="1">
      <c r="A158" s="71" t="s">
        <v>81</v>
      </c>
      <c r="B158" s="149" t="s">
        <v>155</v>
      </c>
      <c r="C158" s="150"/>
      <c r="D158" s="686">
        <f>'Autoproducers Calculations'!AF$261</f>
        <v>2.3920803334945693</v>
      </c>
      <c r="E158" s="686">
        <f>'Autoproducers Calculations'!AF$276</f>
        <v>0.88</v>
      </c>
      <c r="F158" s="686">
        <f>'Autoproducers Calculations'!AF$284</f>
        <v>0</v>
      </c>
      <c r="G158" s="686"/>
      <c r="H158" s="687"/>
      <c r="I158" s="687"/>
      <c r="J158" s="687">
        <f>'Autoproducers Calculations'!AF$302</f>
        <v>2.307314656558825</v>
      </c>
      <c r="K158" s="57"/>
      <c r="L158" s="157">
        <f>J158/SUM(J114:J117)</f>
        <v>0.10766907291507923</v>
      </c>
      <c r="M158" s="31">
        <f t="shared" si="4"/>
        <v>0.70515220330627448</v>
      </c>
    </row>
    <row r="159" spans="1:17" s="31" customFormat="1" ht="14.45" customHeight="1">
      <c r="A159" s="71" t="s">
        <v>83</v>
      </c>
      <c r="B159" s="149" t="s">
        <v>155</v>
      </c>
      <c r="C159" s="150"/>
      <c r="D159" s="686">
        <f>'Autoproducers Calculations'!AG$261</f>
        <v>0</v>
      </c>
      <c r="E159" s="686">
        <f>'Autoproducers Calculations'!AG$276</f>
        <v>0</v>
      </c>
      <c r="F159" s="686">
        <f>'Autoproducers Calculations'!AG$284</f>
        <v>0</v>
      </c>
      <c r="G159" s="686"/>
      <c r="H159" s="687"/>
      <c r="I159" s="687"/>
      <c r="J159" s="687">
        <f>'Autoproducers Calculations'!AG$302</f>
        <v>0</v>
      </c>
      <c r="K159" s="57"/>
      <c r="L159" s="157" t="e">
        <f>J159/SUM(J118:J121)</f>
        <v>#DIV/0!</v>
      </c>
      <c r="M159" s="31" t="e">
        <f t="shared" si="4"/>
        <v>#DIV/0!</v>
      </c>
    </row>
    <row r="160" spans="1:17" s="31" customFormat="1" ht="14.45" customHeight="1">
      <c r="A160" s="71" t="s">
        <v>84</v>
      </c>
      <c r="B160" s="149" t="s">
        <v>155</v>
      </c>
      <c r="C160" s="150"/>
      <c r="D160" s="686">
        <f>'Autoproducers Calculations'!AH$261</f>
        <v>0</v>
      </c>
      <c r="E160" s="686">
        <f>'Autoproducers Calculations'!AH$276</f>
        <v>0</v>
      </c>
      <c r="F160" s="686">
        <f>'Autoproducers Calculations'!AH$284</f>
        <v>0</v>
      </c>
      <c r="G160" s="686"/>
      <c r="H160" s="687"/>
      <c r="I160" s="687"/>
      <c r="J160" s="687">
        <f>'Autoproducers Calculations'!AH$302</f>
        <v>0</v>
      </c>
      <c r="K160" s="57"/>
      <c r="L160" s="157" t="e">
        <f>J160/SUM(J122:J125)</f>
        <v>#DIV/0!</v>
      </c>
      <c r="M160" s="31" t="e">
        <f t="shared" si="4"/>
        <v>#DIV/0!</v>
      </c>
    </row>
    <row r="161" spans="1:17">
      <c r="A161" s="677" t="s">
        <v>123</v>
      </c>
      <c r="B161" s="149" t="s">
        <v>155</v>
      </c>
      <c r="C161" s="686"/>
      <c r="D161" s="686"/>
      <c r="E161" s="686"/>
      <c r="F161" s="686"/>
      <c r="G161" s="686"/>
      <c r="H161" s="686"/>
      <c r="I161" s="686"/>
      <c r="J161" s="686"/>
      <c r="K161" s="91"/>
      <c r="O161" s="31"/>
      <c r="Q161" s="31"/>
    </row>
    <row r="162" spans="1:17">
      <c r="A162" s="677" t="s">
        <v>455</v>
      </c>
      <c r="B162" s="149" t="s">
        <v>155</v>
      </c>
      <c r="C162" s="686"/>
      <c r="D162" s="686"/>
      <c r="E162" s="686"/>
      <c r="F162" s="686"/>
      <c r="G162" s="686"/>
      <c r="H162" s="686"/>
      <c r="I162" s="686"/>
      <c r="J162" s="686"/>
      <c r="K162" s="91"/>
    </row>
    <row r="163" spans="1:17">
      <c r="A163" s="677" t="s">
        <v>126</v>
      </c>
      <c r="B163" s="149" t="s">
        <v>155</v>
      </c>
      <c r="C163" s="686"/>
      <c r="D163" s="686"/>
      <c r="E163" s="686"/>
      <c r="F163" s="686"/>
      <c r="G163" s="686"/>
      <c r="H163" s="686"/>
      <c r="I163" s="686"/>
      <c r="J163" s="686"/>
      <c r="K163" s="91"/>
    </row>
    <row r="164" spans="1:17">
      <c r="A164" s="677" t="s">
        <v>456</v>
      </c>
      <c r="B164" s="149" t="s">
        <v>155</v>
      </c>
      <c r="C164" s="686"/>
      <c r="D164" s="686"/>
      <c r="E164" s="686"/>
      <c r="F164" s="686"/>
      <c r="G164" s="686"/>
      <c r="H164" s="686"/>
      <c r="I164" s="686"/>
      <c r="J164" s="686"/>
      <c r="K164" s="91"/>
    </row>
    <row r="165" spans="1:17">
      <c r="A165" s="677" t="s">
        <v>128</v>
      </c>
      <c r="B165" s="149" t="s">
        <v>155</v>
      </c>
      <c r="C165" s="686"/>
      <c r="D165" s="686"/>
      <c r="E165" s="686"/>
      <c r="F165" s="686"/>
      <c r="G165" s="686"/>
      <c r="H165" s="686"/>
      <c r="I165" s="686"/>
      <c r="J165" s="686"/>
      <c r="K165" s="91"/>
    </row>
    <row r="166" spans="1:17">
      <c r="A166" s="677" t="s">
        <v>129</v>
      </c>
      <c r="B166" s="149" t="s">
        <v>155</v>
      </c>
      <c r="C166" s="686"/>
      <c r="D166" s="686"/>
      <c r="E166" s="686"/>
      <c r="F166" s="686"/>
      <c r="G166" s="686"/>
      <c r="H166" s="686"/>
      <c r="I166" s="686"/>
      <c r="J166" s="686"/>
      <c r="K166" s="91"/>
    </row>
    <row r="167" spans="1:17">
      <c r="A167" s="677" t="s">
        <v>130</v>
      </c>
      <c r="B167" s="149" t="s">
        <v>155</v>
      </c>
      <c r="C167" s="686"/>
      <c r="D167" s="686"/>
      <c r="E167" s="686"/>
      <c r="F167" s="686"/>
      <c r="G167" s="686"/>
      <c r="H167" s="686"/>
      <c r="I167" s="686"/>
      <c r="J167" s="686"/>
      <c r="K167" s="91"/>
    </row>
  </sheetData>
  <phoneticPr fontId="5" type="noConversion"/>
  <conditionalFormatting sqref="C6:C125 E6:K125">
    <cfRule type="cellIs" dxfId="19" priority="3" operator="lessThan">
      <formula>0</formula>
    </cfRule>
  </conditionalFormatting>
  <conditionalFormatting sqref="C88">
    <cfRule type="cellIs" dxfId="18" priority="2" operator="lessThan">
      <formula>0</formula>
    </cfRule>
  </conditionalFormatting>
  <conditionalFormatting sqref="D6:D125">
    <cfRule type="cellIs" dxfId="17" priority="1" operator="lessThan">
      <formula>0</formula>
    </cfRule>
  </conditionalFormatting>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AJ538"/>
  <sheetViews>
    <sheetView topLeftCell="I1" workbookViewId="0">
      <selection activeCell="Y28" sqref="Y28"/>
    </sheetView>
  </sheetViews>
  <sheetFormatPr defaultColWidth="9.140625" defaultRowHeight="14.25"/>
  <cols>
    <col min="1" max="1" width="64.5703125" style="530" bestFit="1" customWidth="1"/>
    <col min="2" max="2" width="9.140625" style="530"/>
    <col min="3" max="3" width="10.42578125" style="530" bestFit="1" customWidth="1"/>
    <col min="4" max="4" width="12.5703125" style="530" bestFit="1" customWidth="1"/>
    <col min="5" max="5" width="14" style="530" bestFit="1" customWidth="1"/>
    <col min="6" max="6" width="16.7109375" style="530" bestFit="1" customWidth="1"/>
    <col min="7" max="7" width="34.85546875" style="530" customWidth="1"/>
    <col min="8" max="8" width="23.85546875" style="530" bestFit="1" customWidth="1"/>
    <col min="9" max="10" width="9.140625" style="530"/>
    <col min="11" max="11" width="17.5703125" style="530" customWidth="1"/>
    <col min="12" max="16384" width="9.140625" style="530"/>
  </cols>
  <sheetData>
    <row r="2" spans="6:36">
      <c r="H2" s="530" t="str">
        <f>L32</f>
        <v>Belgium</v>
      </c>
      <c r="I2" s="530" t="str">
        <f>L48</f>
        <v>Bulgaria</v>
      </c>
      <c r="J2" s="530" t="str">
        <f>L64</f>
        <v>Czech Republic</v>
      </c>
      <c r="K2" s="530" t="str">
        <f>L80</f>
        <v>Denmark</v>
      </c>
      <c r="L2" s="530" t="str">
        <f>L96</f>
        <v>Germany (until 1990 former territory of the FRG)</v>
      </c>
      <c r="M2" s="530" t="str">
        <f>L112</f>
        <v>Estonia</v>
      </c>
      <c r="N2" s="530" t="str">
        <f>L128</f>
        <v>Ireland</v>
      </c>
      <c r="O2" s="530" t="str">
        <f>L144</f>
        <v>Greece</v>
      </c>
      <c r="P2" s="530" t="str">
        <f>L160</f>
        <v>Spain</v>
      </c>
      <c r="Q2" s="530" t="str">
        <f>L176</f>
        <v>France</v>
      </c>
      <c r="R2" s="530" t="str">
        <f>L192</f>
        <v>Italy</v>
      </c>
      <c r="S2" s="530" t="str">
        <f>L208</f>
        <v>Cyprus</v>
      </c>
      <c r="T2" s="530" t="str">
        <f>L224</f>
        <v>Latvia</v>
      </c>
      <c r="U2" s="530" t="str">
        <f>L240</f>
        <v>Lithuania</v>
      </c>
      <c r="V2" s="530" t="str">
        <f>L256</f>
        <v>Luxembourg</v>
      </c>
      <c r="W2" s="530" t="str">
        <f>L272</f>
        <v>Hungary</v>
      </c>
      <c r="X2" s="530" t="str">
        <f>L288</f>
        <v>Netherlands</v>
      </c>
      <c r="Y2" s="530" t="str">
        <f>L304</f>
        <v>Austria</v>
      </c>
      <c r="Z2" s="530" t="str">
        <f>L320</f>
        <v>Poland</v>
      </c>
      <c r="AA2" s="530" t="str">
        <f>L336</f>
        <v>Portugal</v>
      </c>
      <c r="AB2" s="530" t="str">
        <f>L352</f>
        <v>Romania</v>
      </c>
      <c r="AC2" s="530" t="str">
        <f>L368</f>
        <v>Slovenia</v>
      </c>
      <c r="AD2" s="530" t="str">
        <f>L384</f>
        <v>Slovakia</v>
      </c>
      <c r="AE2" s="530" t="str">
        <f>L400</f>
        <v>Finland</v>
      </c>
      <c r="AF2" s="530" t="str">
        <f>L416</f>
        <v>Sweden</v>
      </c>
      <c r="AG2" s="530" t="str">
        <f>L432</f>
        <v>United Kingdom</v>
      </c>
      <c r="AH2" s="530" t="str">
        <f>L448</f>
        <v>Iceland</v>
      </c>
      <c r="AI2" s="530" t="str">
        <f>L464</f>
        <v>Norway</v>
      </c>
      <c r="AJ2" s="530" t="str">
        <f>L480</f>
        <v>Switzerland</v>
      </c>
    </row>
    <row r="3" spans="6:36">
      <c r="H3" s="530">
        <f>L33</f>
        <v>0</v>
      </c>
      <c r="I3" s="530">
        <f>L33</f>
        <v>0</v>
      </c>
      <c r="J3" s="530">
        <f t="shared" ref="J3:J9" si="0">L65</f>
        <v>0.45900000000000002</v>
      </c>
      <c r="K3" s="530">
        <f t="shared" ref="K3:K9" si="1">L81</f>
        <v>0</v>
      </c>
      <c r="L3" s="530">
        <f t="shared" ref="L3:L9" si="2">L97</f>
        <v>76.082999999999998</v>
      </c>
      <c r="M3" s="530">
        <f t="shared" ref="M3:M9" si="3">L113</f>
        <v>0.17100000000000001</v>
      </c>
      <c r="N3" s="530">
        <f t="shared" ref="N3:N9" si="4">L129</f>
        <v>0</v>
      </c>
      <c r="O3" s="530">
        <f t="shared" ref="O3:O9" si="5">L145</f>
        <v>0.21299999999999999</v>
      </c>
      <c r="P3" s="530">
        <f t="shared" ref="P3:P9" si="6">L161</f>
        <v>1.9630000000000001</v>
      </c>
      <c r="Q3" s="530">
        <f t="shared" ref="Q3:Q9" si="7">L177</f>
        <v>33.42</v>
      </c>
      <c r="R3" s="530">
        <f t="shared" ref="R3:R9" si="8">L193</f>
        <v>7.1349999999999998</v>
      </c>
      <c r="S3" s="530">
        <f t="shared" ref="S3:S9" si="9">L209</f>
        <v>0</v>
      </c>
      <c r="T3" s="530">
        <f t="shared" ref="T3:T9" si="10">L225</f>
        <v>0</v>
      </c>
      <c r="U3" s="530">
        <f t="shared" ref="U3:U9" si="11">L241</f>
        <v>0</v>
      </c>
      <c r="V3" s="530">
        <f t="shared" ref="V3:V9" si="12">L257</f>
        <v>0</v>
      </c>
      <c r="W3" s="530">
        <f t="shared" ref="W3:W9" si="13">L273</f>
        <v>1.6E-2</v>
      </c>
      <c r="X3" s="530">
        <f t="shared" ref="X3:X9" si="14">L289</f>
        <v>1.252</v>
      </c>
      <c r="Y3" s="530">
        <f t="shared" ref="Y3:Y9" si="15">L305</f>
        <v>22.137</v>
      </c>
      <c r="Z3" s="530">
        <f t="shared" ref="Z3:Z9" si="16">L321</f>
        <v>0</v>
      </c>
      <c r="AA3" s="530">
        <f t="shared" ref="AA3:AA9" si="17">L337</f>
        <v>7.2999999999999995E-2</v>
      </c>
      <c r="AB3" s="530">
        <f t="shared" ref="AB3:AB9" si="18">L353</f>
        <v>0.22600000000000001</v>
      </c>
      <c r="AC3" s="530">
        <f t="shared" ref="AC3:AC9" si="19">L369</f>
        <v>0</v>
      </c>
      <c r="AD3" s="530">
        <f t="shared" ref="AD3:AD9" si="20">L385</f>
        <v>0</v>
      </c>
      <c r="AE3" s="530">
        <f t="shared" ref="AE3:AE9" si="21">L401</f>
        <v>7.9240000000000004</v>
      </c>
      <c r="AF3" s="530">
        <f t="shared" ref="AF3:AF9" si="22">L417</f>
        <v>3.0609999999999999</v>
      </c>
      <c r="AG3" s="530">
        <f t="shared" ref="AG3:AG9" si="23">L433</f>
        <v>58.959000000000003</v>
      </c>
      <c r="AH3" s="530">
        <f t="shared" ref="AH3:AH9" si="24">L449</f>
        <v>0</v>
      </c>
      <c r="AI3" s="530">
        <f t="shared" ref="AI3:AI9" si="25">L465</f>
        <v>2.0299999999999998</v>
      </c>
      <c r="AJ3" s="530">
        <f t="shared" ref="AJ3:AJ9" si="26">L481</f>
        <v>5.0000000000000001E-3</v>
      </c>
    </row>
    <row r="4" spans="6:36">
      <c r="H4" s="530">
        <f t="shared" ref="H4:H9" si="27">L34</f>
        <v>0</v>
      </c>
      <c r="I4" s="530">
        <f t="shared" ref="I4:I9" si="28">L34</f>
        <v>0</v>
      </c>
      <c r="J4" s="530">
        <f t="shared" si="0"/>
        <v>0</v>
      </c>
      <c r="K4" s="530">
        <f t="shared" si="1"/>
        <v>0</v>
      </c>
      <c r="L4" s="530">
        <f t="shared" si="2"/>
        <v>45.167999999999999</v>
      </c>
      <c r="M4" s="530">
        <f t="shared" si="3"/>
        <v>0.16400000000000001</v>
      </c>
      <c r="N4" s="530">
        <f t="shared" si="4"/>
        <v>0</v>
      </c>
      <c r="O4" s="530">
        <f t="shared" si="5"/>
        <v>0</v>
      </c>
      <c r="P4" s="530">
        <f t="shared" si="6"/>
        <v>1.9630000000000001</v>
      </c>
      <c r="Q4" s="530">
        <f t="shared" si="7"/>
        <v>13.005000000000001</v>
      </c>
      <c r="R4" s="530">
        <f t="shared" si="8"/>
        <v>4.4550000000000001</v>
      </c>
      <c r="S4" s="530">
        <f t="shared" si="9"/>
        <v>0</v>
      </c>
      <c r="T4" s="530">
        <f t="shared" si="10"/>
        <v>0</v>
      </c>
      <c r="U4" s="530">
        <f t="shared" si="11"/>
        <v>0</v>
      </c>
      <c r="V4" s="530">
        <f t="shared" si="12"/>
        <v>0</v>
      </c>
      <c r="W4" s="530">
        <f t="shared" si="13"/>
        <v>0</v>
      </c>
      <c r="X4" s="530">
        <f t="shared" si="14"/>
        <v>0</v>
      </c>
      <c r="Y4" s="530">
        <f t="shared" si="15"/>
        <v>13.206</v>
      </c>
      <c r="Z4" s="530">
        <f t="shared" si="16"/>
        <v>0</v>
      </c>
      <c r="AA4" s="530">
        <f t="shared" si="17"/>
        <v>0</v>
      </c>
      <c r="AB4" s="530">
        <f t="shared" si="18"/>
        <v>0</v>
      </c>
      <c r="AC4" s="530">
        <f t="shared" si="19"/>
        <v>0</v>
      </c>
      <c r="AD4" s="530">
        <f t="shared" si="20"/>
        <v>0</v>
      </c>
      <c r="AE4" s="530">
        <f t="shared" si="21"/>
        <v>7.657</v>
      </c>
      <c r="AF4" s="530">
        <f t="shared" si="22"/>
        <v>3.0609999999999999</v>
      </c>
      <c r="AG4" s="530">
        <f t="shared" si="23"/>
        <v>38.575000000000003</v>
      </c>
      <c r="AH4" s="530">
        <f t="shared" si="24"/>
        <v>0</v>
      </c>
      <c r="AI4" s="530">
        <f t="shared" si="25"/>
        <v>0</v>
      </c>
      <c r="AJ4" s="530">
        <f t="shared" si="26"/>
        <v>0</v>
      </c>
    </row>
    <row r="5" spans="6:36">
      <c r="H5" s="530">
        <f t="shared" si="27"/>
        <v>2.9289999999999998</v>
      </c>
      <c r="I5" s="530">
        <f t="shared" si="28"/>
        <v>2.9289999999999998</v>
      </c>
      <c r="J5" s="530">
        <f t="shared" si="0"/>
        <v>17.565000000000001</v>
      </c>
      <c r="K5" s="530">
        <f t="shared" si="1"/>
        <v>0</v>
      </c>
      <c r="L5" s="530">
        <f t="shared" si="2"/>
        <v>7.3129999999999997</v>
      </c>
      <c r="M5" s="530">
        <f t="shared" si="3"/>
        <v>0.158</v>
      </c>
      <c r="N5" s="530">
        <f t="shared" si="4"/>
        <v>0</v>
      </c>
      <c r="O5" s="530">
        <f t="shared" si="5"/>
        <v>0</v>
      </c>
      <c r="P5" s="530">
        <f t="shared" si="6"/>
        <v>1.1259999999999999</v>
      </c>
      <c r="Q5" s="530">
        <f t="shared" si="7"/>
        <v>3.3239999999999998</v>
      </c>
      <c r="R5" s="530">
        <f t="shared" si="8"/>
        <v>0.106</v>
      </c>
      <c r="S5" s="530">
        <f t="shared" si="9"/>
        <v>0</v>
      </c>
      <c r="T5" s="530">
        <f t="shared" si="10"/>
        <v>0</v>
      </c>
      <c r="U5" s="530">
        <f t="shared" si="11"/>
        <v>0</v>
      </c>
      <c r="V5" s="530">
        <f t="shared" si="12"/>
        <v>0</v>
      </c>
      <c r="W5" s="530">
        <f t="shared" si="13"/>
        <v>0</v>
      </c>
      <c r="X5" s="530">
        <f t="shared" si="14"/>
        <v>0.46700000000000003</v>
      </c>
      <c r="Y5" s="530">
        <f t="shared" si="15"/>
        <v>0.98699999999999999</v>
      </c>
      <c r="Z5" s="530">
        <f t="shared" si="16"/>
        <v>9.7140000000000004</v>
      </c>
      <c r="AA5" s="530">
        <f t="shared" si="17"/>
        <v>0</v>
      </c>
      <c r="AB5" s="530">
        <f t="shared" si="18"/>
        <v>1.101</v>
      </c>
      <c r="AC5" s="530">
        <f t="shared" si="19"/>
        <v>0</v>
      </c>
      <c r="AD5" s="530">
        <f t="shared" si="20"/>
        <v>2.665</v>
      </c>
      <c r="AE5" s="530">
        <f t="shared" si="21"/>
        <v>0.4</v>
      </c>
      <c r="AF5" s="530">
        <f t="shared" si="22"/>
        <v>4.0000000000000001E-3</v>
      </c>
      <c r="AG5" s="530">
        <f t="shared" si="23"/>
        <v>2.0920000000000001</v>
      </c>
      <c r="AH5" s="530">
        <f t="shared" si="24"/>
        <v>0</v>
      </c>
      <c r="AI5" s="530">
        <f t="shared" si="25"/>
        <v>0</v>
      </c>
      <c r="AJ5" s="530">
        <f t="shared" si="26"/>
        <v>0</v>
      </c>
    </row>
    <row r="6" spans="6:36">
      <c r="F6" s="532" t="s">
        <v>647</v>
      </c>
      <c r="G6" s="530" t="s">
        <v>1065</v>
      </c>
      <c r="H6" s="530">
        <f t="shared" si="27"/>
        <v>0</v>
      </c>
      <c r="I6" s="530">
        <f t="shared" si="28"/>
        <v>0</v>
      </c>
      <c r="J6" s="530">
        <f>L68</f>
        <v>0</v>
      </c>
      <c r="K6" s="530">
        <f t="shared" si="1"/>
        <v>0</v>
      </c>
      <c r="L6" s="530">
        <f t="shared" si="2"/>
        <v>9.1329999999999991</v>
      </c>
      <c r="M6" s="530">
        <f t="shared" si="3"/>
        <v>0</v>
      </c>
      <c r="N6" s="530">
        <f t="shared" si="4"/>
        <v>0</v>
      </c>
      <c r="O6" s="530">
        <f t="shared" si="5"/>
        <v>0</v>
      </c>
      <c r="P6" s="530">
        <f t="shared" si="6"/>
        <v>1.9630000000000001</v>
      </c>
      <c r="Q6" s="530">
        <f t="shared" si="7"/>
        <v>3.0529999999999999</v>
      </c>
      <c r="R6" s="530">
        <f t="shared" si="8"/>
        <v>0.82099999999999995</v>
      </c>
      <c r="S6" s="530">
        <f t="shared" si="9"/>
        <v>0</v>
      </c>
      <c r="T6" s="530">
        <f t="shared" si="10"/>
        <v>0</v>
      </c>
      <c r="U6" s="530">
        <f t="shared" si="11"/>
        <v>0</v>
      </c>
      <c r="V6" s="530">
        <f t="shared" si="12"/>
        <v>0</v>
      </c>
      <c r="W6" s="530">
        <f t="shared" si="13"/>
        <v>0</v>
      </c>
      <c r="X6" s="530">
        <f t="shared" si="14"/>
        <v>0</v>
      </c>
      <c r="Y6" s="530">
        <f t="shared" si="15"/>
        <v>1.9139999999999999</v>
      </c>
      <c r="Z6" s="530">
        <f t="shared" si="16"/>
        <v>0</v>
      </c>
      <c r="AA6" s="530">
        <f t="shared" si="17"/>
        <v>0</v>
      </c>
      <c r="AB6" s="530">
        <f t="shared" si="18"/>
        <v>0</v>
      </c>
      <c r="AC6" s="530">
        <f t="shared" si="19"/>
        <v>0</v>
      </c>
      <c r="AD6" s="530">
        <f t="shared" si="20"/>
        <v>0</v>
      </c>
      <c r="AE6" s="530">
        <f t="shared" si="21"/>
        <v>0.377</v>
      </c>
      <c r="AF6" s="530">
        <f t="shared" si="22"/>
        <v>0.18099999999999999</v>
      </c>
      <c r="AG6" s="530">
        <f t="shared" si="23"/>
        <v>6.5570000000000004</v>
      </c>
      <c r="AH6" s="530">
        <f t="shared" si="24"/>
        <v>0</v>
      </c>
      <c r="AI6" s="530">
        <f t="shared" si="25"/>
        <v>0</v>
      </c>
      <c r="AJ6" s="530">
        <f t="shared" si="26"/>
        <v>0</v>
      </c>
    </row>
    <row r="7" spans="6:36">
      <c r="F7" s="532" t="s">
        <v>96</v>
      </c>
      <c r="G7" s="530" t="s">
        <v>1065</v>
      </c>
      <c r="H7" s="530">
        <f t="shared" si="27"/>
        <v>0</v>
      </c>
      <c r="I7" s="530">
        <f t="shared" si="28"/>
        <v>0</v>
      </c>
      <c r="J7" s="530">
        <f t="shared" si="0"/>
        <v>0</v>
      </c>
      <c r="K7" s="530">
        <f t="shared" si="1"/>
        <v>0</v>
      </c>
      <c r="L7" s="530">
        <f t="shared" si="2"/>
        <v>36.034999999999997</v>
      </c>
      <c r="M7" s="530">
        <f t="shared" si="3"/>
        <v>0</v>
      </c>
      <c r="N7" s="530">
        <f t="shared" si="4"/>
        <v>0</v>
      </c>
      <c r="O7" s="530">
        <f t="shared" si="5"/>
        <v>0</v>
      </c>
      <c r="P7" s="530">
        <f t="shared" si="6"/>
        <v>0</v>
      </c>
      <c r="Q7" s="530">
        <f t="shared" si="7"/>
        <v>9.952</v>
      </c>
      <c r="R7" s="530">
        <f t="shared" si="8"/>
        <v>3.6339999999999999</v>
      </c>
      <c r="S7" s="530">
        <f t="shared" si="9"/>
        <v>0</v>
      </c>
      <c r="T7" s="530">
        <f t="shared" si="10"/>
        <v>0</v>
      </c>
      <c r="U7" s="530">
        <f t="shared" si="11"/>
        <v>0</v>
      </c>
      <c r="V7" s="530">
        <f t="shared" si="12"/>
        <v>0</v>
      </c>
      <c r="W7" s="530">
        <f t="shared" si="13"/>
        <v>0</v>
      </c>
      <c r="X7" s="530">
        <f t="shared" si="14"/>
        <v>0</v>
      </c>
      <c r="Y7" s="530">
        <f t="shared" si="15"/>
        <v>11.292</v>
      </c>
      <c r="Z7" s="530">
        <f t="shared" si="16"/>
        <v>0</v>
      </c>
      <c r="AA7" s="530">
        <f t="shared" si="17"/>
        <v>0</v>
      </c>
      <c r="AB7" s="530">
        <f t="shared" si="18"/>
        <v>0</v>
      </c>
      <c r="AC7" s="530">
        <f t="shared" si="19"/>
        <v>0</v>
      </c>
      <c r="AD7" s="530">
        <f t="shared" si="20"/>
        <v>0</v>
      </c>
      <c r="AE7" s="530">
        <f t="shared" si="21"/>
        <v>7.28</v>
      </c>
      <c r="AF7" s="530">
        <f t="shared" si="22"/>
        <v>2.88</v>
      </c>
      <c r="AG7" s="530">
        <f t="shared" si="23"/>
        <v>32.018000000000001</v>
      </c>
      <c r="AH7" s="530">
        <f t="shared" si="24"/>
        <v>0</v>
      </c>
      <c r="AI7" s="530">
        <f t="shared" si="25"/>
        <v>0</v>
      </c>
      <c r="AJ7" s="530">
        <f t="shared" si="26"/>
        <v>0</v>
      </c>
    </row>
    <row r="8" spans="6:36">
      <c r="F8" s="532" t="s">
        <v>647</v>
      </c>
      <c r="G8" s="530" t="s">
        <v>0</v>
      </c>
      <c r="H8" s="530">
        <f t="shared" si="27"/>
        <v>0.64500000000000002</v>
      </c>
      <c r="I8" s="530">
        <f t="shared" si="28"/>
        <v>0.64500000000000002</v>
      </c>
      <c r="J8" s="530">
        <f t="shared" si="0"/>
        <v>1.3320000000000001</v>
      </c>
      <c r="K8" s="530">
        <f t="shared" si="1"/>
        <v>0</v>
      </c>
      <c r="L8" s="530">
        <f t="shared" si="2"/>
        <v>0.66500000000000004</v>
      </c>
      <c r="M8" s="530">
        <f t="shared" si="3"/>
        <v>0</v>
      </c>
      <c r="N8" s="530">
        <f t="shared" si="4"/>
        <v>0</v>
      </c>
      <c r="O8" s="530">
        <f t="shared" si="5"/>
        <v>0</v>
      </c>
      <c r="P8" s="530">
        <f t="shared" si="6"/>
        <v>1.1259999999999999</v>
      </c>
      <c r="Q8" s="530">
        <f t="shared" si="7"/>
        <v>0.23899999999999999</v>
      </c>
      <c r="R8" s="530">
        <f t="shared" si="8"/>
        <v>8.0000000000000002E-3</v>
      </c>
      <c r="S8" s="530">
        <f t="shared" si="9"/>
        <v>0</v>
      </c>
      <c r="T8" s="530">
        <f t="shared" si="10"/>
        <v>0</v>
      </c>
      <c r="U8" s="530">
        <f t="shared" si="11"/>
        <v>0</v>
      </c>
      <c r="V8" s="530">
        <f t="shared" si="12"/>
        <v>0</v>
      </c>
      <c r="W8" s="530">
        <f t="shared" si="13"/>
        <v>0</v>
      </c>
      <c r="X8" s="530">
        <f t="shared" si="14"/>
        <v>0.13200000000000001</v>
      </c>
      <c r="Y8" s="530">
        <f t="shared" si="15"/>
        <v>0.185</v>
      </c>
      <c r="Z8" s="530">
        <f t="shared" si="16"/>
        <v>5.5730000000000004</v>
      </c>
      <c r="AA8" s="530">
        <f t="shared" si="17"/>
        <v>0</v>
      </c>
      <c r="AB8" s="530">
        <f t="shared" si="18"/>
        <v>0</v>
      </c>
      <c r="AC8" s="530">
        <f t="shared" si="19"/>
        <v>0</v>
      </c>
      <c r="AD8" s="530">
        <f t="shared" si="20"/>
        <v>0.93799999999999994</v>
      </c>
      <c r="AE8" s="530">
        <f t="shared" si="21"/>
        <v>2.7E-2</v>
      </c>
      <c r="AF8" s="530">
        <f t="shared" si="22"/>
        <v>4.0000000000000001E-3</v>
      </c>
      <c r="AG8" s="530">
        <f t="shared" si="23"/>
        <v>0.59199999999999997</v>
      </c>
      <c r="AH8" s="530">
        <f t="shared" si="24"/>
        <v>0</v>
      </c>
      <c r="AI8" s="530">
        <f t="shared" si="25"/>
        <v>0</v>
      </c>
      <c r="AJ8" s="530">
        <f t="shared" si="26"/>
        <v>0</v>
      </c>
    </row>
    <row r="9" spans="6:36">
      <c r="F9" s="532" t="s">
        <v>96</v>
      </c>
      <c r="G9" s="530" t="s">
        <v>0</v>
      </c>
      <c r="H9" s="530">
        <f t="shared" si="27"/>
        <v>2.2839999999999998</v>
      </c>
      <c r="I9" s="530">
        <f t="shared" si="28"/>
        <v>2.2839999999999998</v>
      </c>
      <c r="J9" s="530">
        <f t="shared" si="0"/>
        <v>3.0870000000000002</v>
      </c>
      <c r="K9" s="530">
        <f t="shared" si="1"/>
        <v>0</v>
      </c>
      <c r="L9" s="530">
        <f t="shared" si="2"/>
        <v>6.6479999999999997</v>
      </c>
      <c r="M9" s="530">
        <f t="shared" si="3"/>
        <v>0</v>
      </c>
      <c r="N9" s="530">
        <f t="shared" si="4"/>
        <v>0</v>
      </c>
      <c r="O9" s="530">
        <f t="shared" si="5"/>
        <v>0</v>
      </c>
      <c r="P9" s="530">
        <f t="shared" si="6"/>
        <v>0</v>
      </c>
      <c r="Q9" s="530">
        <f t="shared" si="7"/>
        <v>3.085</v>
      </c>
      <c r="R9" s="530">
        <f t="shared" si="8"/>
        <v>9.8000000000000004E-2</v>
      </c>
      <c r="S9" s="530">
        <f t="shared" si="9"/>
        <v>0</v>
      </c>
      <c r="T9" s="530">
        <f t="shared" si="10"/>
        <v>0</v>
      </c>
      <c r="U9" s="530">
        <f t="shared" si="11"/>
        <v>0</v>
      </c>
      <c r="V9" s="530">
        <f t="shared" si="12"/>
        <v>0</v>
      </c>
      <c r="W9" s="530">
        <f t="shared" si="13"/>
        <v>0</v>
      </c>
      <c r="X9" s="530">
        <f t="shared" si="14"/>
        <v>0.33500000000000002</v>
      </c>
      <c r="Y9" s="530">
        <f t="shared" si="15"/>
        <v>0.80200000000000005</v>
      </c>
      <c r="Z9" s="530">
        <f t="shared" si="16"/>
        <v>4.141</v>
      </c>
      <c r="AA9" s="530">
        <f t="shared" si="17"/>
        <v>0</v>
      </c>
      <c r="AB9" s="530">
        <f t="shared" si="18"/>
        <v>1.101</v>
      </c>
      <c r="AC9" s="530">
        <f t="shared" si="19"/>
        <v>0</v>
      </c>
      <c r="AD9" s="530">
        <f t="shared" si="20"/>
        <v>1.6279999999999999</v>
      </c>
      <c r="AE9" s="530">
        <f t="shared" si="21"/>
        <v>0.373</v>
      </c>
      <c r="AF9" s="530">
        <f t="shared" si="22"/>
        <v>0</v>
      </c>
      <c r="AG9" s="530">
        <f t="shared" si="23"/>
        <v>1.5</v>
      </c>
      <c r="AH9" s="530">
        <f t="shared" si="24"/>
        <v>0</v>
      </c>
      <c r="AI9" s="530">
        <f t="shared" si="25"/>
        <v>0</v>
      </c>
      <c r="AJ9" s="530">
        <f t="shared" si="26"/>
        <v>0</v>
      </c>
    </row>
    <row r="11" spans="6:36">
      <c r="H11" s="530">
        <f>21</f>
        <v>21</v>
      </c>
      <c r="I11" s="530">
        <f>H11+16</f>
        <v>37</v>
      </c>
      <c r="J11" s="530">
        <f t="shared" ref="J11:AJ11" si="29">I11+16</f>
        <v>53</v>
      </c>
      <c r="K11" s="530">
        <f t="shared" si="29"/>
        <v>69</v>
      </c>
      <c r="L11" s="530">
        <f t="shared" si="29"/>
        <v>85</v>
      </c>
      <c r="M11" s="530">
        <f t="shared" si="29"/>
        <v>101</v>
      </c>
      <c r="N11" s="530">
        <f t="shared" si="29"/>
        <v>117</v>
      </c>
      <c r="O11" s="530">
        <f t="shared" si="29"/>
        <v>133</v>
      </c>
      <c r="P11" s="530">
        <f t="shared" si="29"/>
        <v>149</v>
      </c>
      <c r="Q11" s="530">
        <f t="shared" si="29"/>
        <v>165</v>
      </c>
      <c r="R11" s="530">
        <f t="shared" si="29"/>
        <v>181</v>
      </c>
      <c r="S11" s="530">
        <f t="shared" si="29"/>
        <v>197</v>
      </c>
      <c r="T11" s="530">
        <f t="shared" si="29"/>
        <v>213</v>
      </c>
      <c r="U11" s="530">
        <f t="shared" si="29"/>
        <v>229</v>
      </c>
      <c r="V11" s="530">
        <f t="shared" si="29"/>
        <v>245</v>
      </c>
      <c r="W11" s="530">
        <f t="shared" si="29"/>
        <v>261</v>
      </c>
      <c r="X11" s="530">
        <f t="shared" si="29"/>
        <v>277</v>
      </c>
      <c r="Y11" s="530">
        <f t="shared" si="29"/>
        <v>293</v>
      </c>
      <c r="Z11" s="530">
        <f t="shared" si="29"/>
        <v>309</v>
      </c>
      <c r="AA11" s="530">
        <f t="shared" si="29"/>
        <v>325</v>
      </c>
      <c r="AB11" s="530">
        <f t="shared" si="29"/>
        <v>341</v>
      </c>
      <c r="AC11" s="530">
        <f t="shared" si="29"/>
        <v>357</v>
      </c>
      <c r="AD11" s="530">
        <f t="shared" si="29"/>
        <v>373</v>
      </c>
      <c r="AE11" s="530">
        <f t="shared" si="29"/>
        <v>389</v>
      </c>
      <c r="AF11" s="530">
        <f t="shared" si="29"/>
        <v>405</v>
      </c>
      <c r="AG11" s="530">
        <f t="shared" si="29"/>
        <v>421</v>
      </c>
      <c r="AH11" s="530">
        <f t="shared" si="29"/>
        <v>437</v>
      </c>
      <c r="AI11" s="530">
        <f t="shared" si="29"/>
        <v>453</v>
      </c>
      <c r="AJ11" s="530">
        <f t="shared" si="29"/>
        <v>469</v>
      </c>
    </row>
    <row r="13" spans="6:36">
      <c r="H13" s="530" t="s">
        <v>56</v>
      </c>
      <c r="I13" s="530" t="s">
        <v>39</v>
      </c>
      <c r="J13" s="530" t="s">
        <v>40</v>
      </c>
      <c r="K13" s="530" t="s">
        <v>49</v>
      </c>
      <c r="L13" s="530" t="s">
        <v>41</v>
      </c>
      <c r="M13" s="530" t="s">
        <v>43</v>
      </c>
      <c r="N13" s="530" t="s">
        <v>42</v>
      </c>
      <c r="O13" s="530" t="s">
        <v>44</v>
      </c>
      <c r="P13" s="530" t="s">
        <v>45</v>
      </c>
      <c r="Q13" s="530" t="s">
        <v>62</v>
      </c>
      <c r="R13" s="530" t="s">
        <v>46</v>
      </c>
      <c r="S13" s="530" t="s">
        <v>82</v>
      </c>
      <c r="T13" s="530" t="s">
        <v>53</v>
      </c>
      <c r="U13" s="530" t="s">
        <v>47</v>
      </c>
      <c r="V13" s="530" t="s">
        <v>48</v>
      </c>
      <c r="W13" s="530" t="s">
        <v>51</v>
      </c>
      <c r="X13" s="530" t="s">
        <v>52</v>
      </c>
      <c r="Y13" s="530" t="s">
        <v>50</v>
      </c>
      <c r="Z13" s="530" t="s">
        <v>54</v>
      </c>
      <c r="AA13" s="530" t="s">
        <v>55</v>
      </c>
      <c r="AB13" s="530" t="s">
        <v>57</v>
      </c>
      <c r="AC13" s="530" t="s">
        <v>58</v>
      </c>
      <c r="AD13" s="530" t="s">
        <v>59</v>
      </c>
      <c r="AE13" s="530" t="s">
        <v>63</v>
      </c>
      <c r="AF13" s="530" t="s">
        <v>60</v>
      </c>
      <c r="AG13" s="530" t="s">
        <v>61</v>
      </c>
      <c r="AH13" s="530" t="s">
        <v>64</v>
      </c>
    </row>
    <row r="14" spans="6:36">
      <c r="H14" s="530">
        <f>Y3</f>
        <v>22.137</v>
      </c>
      <c r="I14" s="530">
        <f>H3</f>
        <v>0</v>
      </c>
      <c r="J14" s="530">
        <f>I3</f>
        <v>0</v>
      </c>
      <c r="K14" s="530">
        <f>S3</f>
        <v>0</v>
      </c>
      <c r="L14" s="530">
        <f>J3</f>
        <v>0.45900000000000002</v>
      </c>
      <c r="M14" s="530">
        <f>L3</f>
        <v>76.082999999999998</v>
      </c>
      <c r="N14" s="530">
        <f>K3</f>
        <v>0</v>
      </c>
      <c r="O14" s="530">
        <f>M3</f>
        <v>0.17100000000000001</v>
      </c>
      <c r="P14" s="530">
        <f>P3</f>
        <v>1.9630000000000001</v>
      </c>
      <c r="Q14" s="530">
        <f>AE3</f>
        <v>7.9240000000000004</v>
      </c>
      <c r="R14" s="530">
        <f>Q3</f>
        <v>33.42</v>
      </c>
      <c r="S14" s="530">
        <f>O3</f>
        <v>0.21299999999999999</v>
      </c>
      <c r="T14" s="530">
        <f>W3</f>
        <v>1.6E-2</v>
      </c>
      <c r="U14" s="530">
        <f>N3</f>
        <v>0</v>
      </c>
      <c r="V14" s="530">
        <f>R3</f>
        <v>7.1349999999999998</v>
      </c>
      <c r="W14" s="530">
        <f>U3</f>
        <v>0</v>
      </c>
      <c r="X14" s="530">
        <f>V3</f>
        <v>0</v>
      </c>
      <c r="Y14" s="530">
        <f>T3</f>
        <v>0</v>
      </c>
      <c r="Z14" s="530">
        <f>AK3</f>
        <v>0</v>
      </c>
      <c r="AA14" s="530">
        <f>X3</f>
        <v>1.252</v>
      </c>
      <c r="AB14" s="530">
        <f>Z3</f>
        <v>0</v>
      </c>
      <c r="AC14" s="710">
        <f>AA3</f>
        <v>7.2999999999999995E-2</v>
      </c>
      <c r="AD14" s="530">
        <f>AB3</f>
        <v>0.22600000000000001</v>
      </c>
      <c r="AE14" s="530">
        <f>AF3</f>
        <v>3.0609999999999999</v>
      </c>
      <c r="AF14" s="530">
        <f>AC3</f>
        <v>0</v>
      </c>
      <c r="AG14" s="530">
        <f>AD3</f>
        <v>0</v>
      </c>
      <c r="AH14" s="530">
        <f>AG3</f>
        <v>58.959000000000003</v>
      </c>
    </row>
    <row r="15" spans="6:36">
      <c r="H15" s="530">
        <f t="shared" ref="H15:H19" si="30">Y4</f>
        <v>13.206</v>
      </c>
      <c r="I15" s="530">
        <f t="shared" ref="I15:J15" si="31">H4</f>
        <v>0</v>
      </c>
      <c r="J15" s="530">
        <f t="shared" si="31"/>
        <v>0</v>
      </c>
      <c r="K15" s="530">
        <f t="shared" ref="K15:K19" si="32">S4</f>
        <v>0</v>
      </c>
      <c r="L15" s="530">
        <f t="shared" ref="L15:L19" si="33">J4</f>
        <v>0</v>
      </c>
      <c r="M15" s="530">
        <f t="shared" ref="M15:M19" si="34">L4</f>
        <v>45.167999999999999</v>
      </c>
      <c r="N15" s="530">
        <f t="shared" ref="N15:N19" si="35">K4</f>
        <v>0</v>
      </c>
      <c r="O15" s="530">
        <f t="shared" ref="O15:O19" si="36">M4</f>
        <v>0.16400000000000001</v>
      </c>
      <c r="P15" s="530">
        <f t="shared" ref="P15:P19" si="37">P4</f>
        <v>1.9630000000000001</v>
      </c>
      <c r="Q15" s="530">
        <f t="shared" ref="Q15:Q19" si="38">AE4</f>
        <v>7.657</v>
      </c>
      <c r="R15" s="530">
        <f t="shared" ref="R15:R19" si="39">Q4</f>
        <v>13.005000000000001</v>
      </c>
      <c r="S15" s="530">
        <f t="shared" ref="S15:S19" si="40">O4</f>
        <v>0</v>
      </c>
      <c r="T15" s="530">
        <f t="shared" ref="T15:T19" si="41">W4</f>
        <v>0</v>
      </c>
      <c r="U15" s="530">
        <f t="shared" ref="U15:U19" si="42">N4</f>
        <v>0</v>
      </c>
      <c r="V15" s="530">
        <f t="shared" ref="V15:V19" si="43">R4</f>
        <v>4.4550000000000001</v>
      </c>
      <c r="W15" s="530">
        <f t="shared" ref="W15:X15" si="44">U4</f>
        <v>0</v>
      </c>
      <c r="X15" s="530">
        <f t="shared" si="44"/>
        <v>0</v>
      </c>
      <c r="Y15" s="530">
        <f t="shared" ref="Y15:Y19" si="45">T4</f>
        <v>0</v>
      </c>
      <c r="Z15" s="530">
        <f t="shared" ref="Z15:Z19" si="46">AK4</f>
        <v>0</v>
      </c>
      <c r="AA15" s="530">
        <f t="shared" ref="AA15:AA19" si="47">X4</f>
        <v>0</v>
      </c>
      <c r="AB15" s="530">
        <f t="shared" ref="AB15:AB19" si="48">Z4</f>
        <v>0</v>
      </c>
      <c r="AC15" s="710">
        <f t="shared" ref="AC15:AC19" si="49">AA4</f>
        <v>0</v>
      </c>
      <c r="AD15" s="530">
        <f t="shared" ref="AD15:AD19" si="50">AB4</f>
        <v>0</v>
      </c>
      <c r="AE15" s="530">
        <f t="shared" ref="AE15:AE19" si="51">AF4</f>
        <v>3.0609999999999999</v>
      </c>
      <c r="AF15" s="530">
        <f t="shared" ref="AF15:AG15" si="52">AC4</f>
        <v>0</v>
      </c>
      <c r="AG15" s="530">
        <f t="shared" si="52"/>
        <v>0</v>
      </c>
      <c r="AH15" s="530">
        <f t="shared" ref="AH15:AH19" si="53">AG4</f>
        <v>38.575000000000003</v>
      </c>
    </row>
    <row r="16" spans="6:36">
      <c r="F16" s="532" t="s">
        <v>647</v>
      </c>
      <c r="G16" s="530" t="s">
        <v>1065</v>
      </c>
      <c r="H16" s="530">
        <f t="shared" si="30"/>
        <v>0.98699999999999999</v>
      </c>
      <c r="I16" s="530">
        <f t="shared" ref="I16:J16" si="54">H5</f>
        <v>2.9289999999999998</v>
      </c>
      <c r="J16" s="530">
        <f t="shared" si="54"/>
        <v>2.9289999999999998</v>
      </c>
      <c r="K16" s="530">
        <f t="shared" si="32"/>
        <v>0</v>
      </c>
      <c r="L16" s="530">
        <f t="shared" si="33"/>
        <v>17.565000000000001</v>
      </c>
      <c r="M16" s="530">
        <f t="shared" si="34"/>
        <v>7.3129999999999997</v>
      </c>
      <c r="N16" s="530">
        <f t="shared" si="35"/>
        <v>0</v>
      </c>
      <c r="O16" s="530">
        <f t="shared" si="36"/>
        <v>0.158</v>
      </c>
      <c r="P16" s="530">
        <f t="shared" si="37"/>
        <v>1.1259999999999999</v>
      </c>
      <c r="Q16" s="530">
        <f t="shared" si="38"/>
        <v>0.4</v>
      </c>
      <c r="R16" s="530">
        <f t="shared" si="39"/>
        <v>3.3239999999999998</v>
      </c>
      <c r="S16" s="530">
        <f t="shared" si="40"/>
        <v>0</v>
      </c>
      <c r="T16" s="530">
        <f t="shared" si="41"/>
        <v>0</v>
      </c>
      <c r="U16" s="530">
        <f t="shared" si="42"/>
        <v>0</v>
      </c>
      <c r="V16" s="530">
        <f t="shared" si="43"/>
        <v>0.106</v>
      </c>
      <c r="W16" s="530">
        <f t="shared" ref="W16:X16" si="55">U5</f>
        <v>0</v>
      </c>
      <c r="X16" s="530">
        <f t="shared" si="55"/>
        <v>0</v>
      </c>
      <c r="Y16" s="530">
        <f t="shared" si="45"/>
        <v>0</v>
      </c>
      <c r="Z16" s="530">
        <f t="shared" si="46"/>
        <v>0</v>
      </c>
      <c r="AA16" s="530">
        <f t="shared" si="47"/>
        <v>0.46700000000000003</v>
      </c>
      <c r="AB16" s="530">
        <f>Z5</f>
        <v>9.7140000000000004</v>
      </c>
      <c r="AC16" s="710">
        <f t="shared" si="49"/>
        <v>0</v>
      </c>
      <c r="AD16" s="530">
        <f t="shared" si="50"/>
        <v>1.101</v>
      </c>
      <c r="AE16" s="530">
        <f t="shared" si="51"/>
        <v>4.0000000000000001E-3</v>
      </c>
      <c r="AF16" s="530">
        <f t="shared" ref="AF16:AG16" si="56">AC5</f>
        <v>0</v>
      </c>
      <c r="AG16" s="530">
        <f t="shared" si="56"/>
        <v>2.665</v>
      </c>
      <c r="AH16" s="530">
        <f t="shared" si="53"/>
        <v>2.0920000000000001</v>
      </c>
    </row>
    <row r="17" spans="1:34">
      <c r="F17" s="532" t="s">
        <v>96</v>
      </c>
      <c r="G17" s="530" t="s">
        <v>1065</v>
      </c>
      <c r="H17" s="530">
        <f t="shared" si="30"/>
        <v>1.9139999999999999</v>
      </c>
      <c r="I17" s="530">
        <f t="shared" ref="I17:J17" si="57">H6</f>
        <v>0</v>
      </c>
      <c r="J17" s="530">
        <f t="shared" si="57"/>
        <v>0</v>
      </c>
      <c r="K17" s="530">
        <f t="shared" si="32"/>
        <v>0</v>
      </c>
      <c r="L17" s="530">
        <f t="shared" si="33"/>
        <v>0</v>
      </c>
      <c r="M17" s="530">
        <f t="shared" si="34"/>
        <v>9.1329999999999991</v>
      </c>
      <c r="N17" s="530">
        <f t="shared" si="35"/>
        <v>0</v>
      </c>
      <c r="O17" s="530">
        <f t="shared" si="36"/>
        <v>0</v>
      </c>
      <c r="P17" s="530">
        <f t="shared" si="37"/>
        <v>1.9630000000000001</v>
      </c>
      <c r="Q17" s="530">
        <f t="shared" si="38"/>
        <v>0.377</v>
      </c>
      <c r="R17" s="530">
        <f t="shared" si="39"/>
        <v>3.0529999999999999</v>
      </c>
      <c r="S17" s="530">
        <f t="shared" si="40"/>
        <v>0</v>
      </c>
      <c r="T17" s="530">
        <f t="shared" si="41"/>
        <v>0</v>
      </c>
      <c r="U17" s="530">
        <f t="shared" si="42"/>
        <v>0</v>
      </c>
      <c r="V17" s="530">
        <f t="shared" si="43"/>
        <v>0.82099999999999995</v>
      </c>
      <c r="W17" s="530">
        <f t="shared" ref="W17:X17" si="58">U6</f>
        <v>0</v>
      </c>
      <c r="X17" s="530">
        <f t="shared" si="58"/>
        <v>0</v>
      </c>
      <c r="Y17" s="530">
        <f t="shared" si="45"/>
        <v>0</v>
      </c>
      <c r="Z17" s="530">
        <f t="shared" si="46"/>
        <v>0</v>
      </c>
      <c r="AA17" s="530">
        <f t="shared" si="47"/>
        <v>0</v>
      </c>
      <c r="AB17" s="530">
        <f t="shared" si="48"/>
        <v>0</v>
      </c>
      <c r="AC17" s="710">
        <f t="shared" si="49"/>
        <v>0</v>
      </c>
      <c r="AD17" s="530">
        <f t="shared" si="50"/>
        <v>0</v>
      </c>
      <c r="AE17" s="530">
        <f t="shared" si="51"/>
        <v>0.18099999999999999</v>
      </c>
      <c r="AF17" s="530">
        <f t="shared" ref="AF17:AG17" si="59">AC6</f>
        <v>0</v>
      </c>
      <c r="AG17" s="530">
        <f t="shared" si="59"/>
        <v>0</v>
      </c>
      <c r="AH17" s="530">
        <f t="shared" si="53"/>
        <v>6.5570000000000004</v>
      </c>
    </row>
    <row r="18" spans="1:34">
      <c r="F18" s="532" t="s">
        <v>647</v>
      </c>
      <c r="G18" s="530" t="s">
        <v>0</v>
      </c>
      <c r="H18" s="530">
        <f t="shared" si="30"/>
        <v>11.292</v>
      </c>
      <c r="I18" s="530">
        <f t="shared" ref="I18:J18" si="60">H7</f>
        <v>0</v>
      </c>
      <c r="J18" s="530">
        <f t="shared" si="60"/>
        <v>0</v>
      </c>
      <c r="K18" s="530">
        <f t="shared" si="32"/>
        <v>0</v>
      </c>
      <c r="L18" s="530">
        <f t="shared" si="33"/>
        <v>0</v>
      </c>
      <c r="M18" s="530">
        <f t="shared" si="34"/>
        <v>36.034999999999997</v>
      </c>
      <c r="N18" s="530">
        <f t="shared" si="35"/>
        <v>0</v>
      </c>
      <c r="O18" s="530">
        <f t="shared" si="36"/>
        <v>0</v>
      </c>
      <c r="P18" s="530">
        <f t="shared" si="37"/>
        <v>0</v>
      </c>
      <c r="Q18" s="530">
        <f t="shared" si="38"/>
        <v>7.28</v>
      </c>
      <c r="R18" s="530">
        <f t="shared" si="39"/>
        <v>9.952</v>
      </c>
      <c r="S18" s="530">
        <f t="shared" si="40"/>
        <v>0</v>
      </c>
      <c r="T18" s="530">
        <f t="shared" si="41"/>
        <v>0</v>
      </c>
      <c r="U18" s="530">
        <f t="shared" si="42"/>
        <v>0</v>
      </c>
      <c r="V18" s="530">
        <f t="shared" si="43"/>
        <v>3.6339999999999999</v>
      </c>
      <c r="W18" s="530">
        <f t="shared" ref="W18:X18" si="61">U7</f>
        <v>0</v>
      </c>
      <c r="X18" s="530">
        <f t="shared" si="61"/>
        <v>0</v>
      </c>
      <c r="Y18" s="530">
        <f t="shared" si="45"/>
        <v>0</v>
      </c>
      <c r="Z18" s="530">
        <f t="shared" si="46"/>
        <v>0</v>
      </c>
      <c r="AA18" s="530">
        <f t="shared" si="47"/>
        <v>0</v>
      </c>
      <c r="AB18" s="530">
        <f t="shared" si="48"/>
        <v>0</v>
      </c>
      <c r="AC18" s="710">
        <f t="shared" si="49"/>
        <v>0</v>
      </c>
      <c r="AD18" s="530">
        <f t="shared" si="50"/>
        <v>0</v>
      </c>
      <c r="AE18" s="530">
        <f t="shared" si="51"/>
        <v>2.88</v>
      </c>
      <c r="AF18" s="530">
        <f t="shared" ref="AF18:AG18" si="62">AC7</f>
        <v>0</v>
      </c>
      <c r="AG18" s="530">
        <f t="shared" si="62"/>
        <v>0</v>
      </c>
      <c r="AH18" s="530">
        <f t="shared" si="53"/>
        <v>32.018000000000001</v>
      </c>
    </row>
    <row r="19" spans="1:34">
      <c r="F19" s="532" t="s">
        <v>96</v>
      </c>
      <c r="G19" s="530" t="s">
        <v>0</v>
      </c>
      <c r="H19" s="530">
        <f t="shared" si="30"/>
        <v>0.185</v>
      </c>
      <c r="I19" s="530">
        <f t="shared" ref="I19:J19" si="63">H8</f>
        <v>0.64500000000000002</v>
      </c>
      <c r="J19" s="530">
        <f t="shared" si="63"/>
        <v>0.64500000000000002</v>
      </c>
      <c r="K19" s="530">
        <f t="shared" si="32"/>
        <v>0</v>
      </c>
      <c r="L19" s="530">
        <f t="shared" si="33"/>
        <v>1.3320000000000001</v>
      </c>
      <c r="M19" s="530">
        <f t="shared" si="34"/>
        <v>0.66500000000000004</v>
      </c>
      <c r="N19" s="530">
        <f t="shared" si="35"/>
        <v>0</v>
      </c>
      <c r="O19" s="530">
        <f t="shared" si="36"/>
        <v>0</v>
      </c>
      <c r="P19" s="530">
        <f t="shared" si="37"/>
        <v>1.1259999999999999</v>
      </c>
      <c r="Q19" s="530">
        <f t="shared" si="38"/>
        <v>2.7E-2</v>
      </c>
      <c r="R19" s="530">
        <f t="shared" si="39"/>
        <v>0.23899999999999999</v>
      </c>
      <c r="S19" s="530">
        <f t="shared" si="40"/>
        <v>0</v>
      </c>
      <c r="T19" s="530">
        <f t="shared" si="41"/>
        <v>0</v>
      </c>
      <c r="U19" s="530">
        <f t="shared" si="42"/>
        <v>0</v>
      </c>
      <c r="V19" s="530">
        <f t="shared" si="43"/>
        <v>8.0000000000000002E-3</v>
      </c>
      <c r="W19" s="530">
        <f t="shared" ref="W19:X19" si="64">U8</f>
        <v>0</v>
      </c>
      <c r="X19" s="530">
        <f t="shared" si="64"/>
        <v>0</v>
      </c>
      <c r="Y19" s="530">
        <f t="shared" si="45"/>
        <v>0</v>
      </c>
      <c r="Z19" s="530">
        <f t="shared" si="46"/>
        <v>0</v>
      </c>
      <c r="AA19" s="530">
        <f t="shared" si="47"/>
        <v>0.13200000000000001</v>
      </c>
      <c r="AB19" s="530">
        <f t="shared" si="48"/>
        <v>5.5730000000000004</v>
      </c>
      <c r="AC19" s="710">
        <f t="shared" si="49"/>
        <v>0</v>
      </c>
      <c r="AD19" s="530">
        <f t="shared" si="50"/>
        <v>0</v>
      </c>
      <c r="AE19" s="530">
        <f t="shared" si="51"/>
        <v>4.0000000000000001E-3</v>
      </c>
      <c r="AF19" s="530">
        <f t="shared" ref="AF19:AG19" si="65">AC8</f>
        <v>0</v>
      </c>
      <c r="AG19" s="530">
        <f t="shared" si="65"/>
        <v>0.93799999999999994</v>
      </c>
      <c r="AH19" s="530">
        <f t="shared" si="53"/>
        <v>0.59199999999999997</v>
      </c>
    </row>
    <row r="20" spans="1:34">
      <c r="H20" s="530">
        <f t="shared" ref="H20:H21" si="66">Y9</f>
        <v>0.80200000000000005</v>
      </c>
    </row>
    <row r="21" spans="1:34">
      <c r="H21" s="530">
        <f t="shared" si="66"/>
        <v>0</v>
      </c>
      <c r="I21" s="530">
        <f>H5</f>
        <v>2.9289999999999998</v>
      </c>
      <c r="J21" s="530">
        <f>I5</f>
        <v>2.9289999999999998</v>
      </c>
      <c r="K21" s="530">
        <f>S5</f>
        <v>0</v>
      </c>
      <c r="L21" s="530">
        <f>J5</f>
        <v>17.565000000000001</v>
      </c>
      <c r="M21" s="530">
        <f>L5</f>
        <v>7.3129999999999997</v>
      </c>
      <c r="N21" s="530">
        <f>K5</f>
        <v>0</v>
      </c>
      <c r="O21" s="530">
        <f>M5</f>
        <v>0.158</v>
      </c>
      <c r="P21" s="530">
        <f>P5</f>
        <v>1.1259999999999999</v>
      </c>
      <c r="Q21" s="530">
        <f>AF5</f>
        <v>4.0000000000000001E-3</v>
      </c>
      <c r="R21" s="530">
        <f>Q5</f>
        <v>3.3239999999999998</v>
      </c>
      <c r="S21" s="530">
        <f>O5</f>
        <v>0</v>
      </c>
      <c r="T21" s="530">
        <f>W5</f>
        <v>0</v>
      </c>
      <c r="U21" s="530">
        <f>N5</f>
        <v>0</v>
      </c>
      <c r="V21" s="530">
        <f>R5</f>
        <v>0.106</v>
      </c>
      <c r="W21" s="530">
        <f>U5</f>
        <v>0</v>
      </c>
      <c r="X21" s="530">
        <f>V5</f>
        <v>0</v>
      </c>
      <c r="Y21" s="530">
        <f>T5</f>
        <v>0</v>
      </c>
      <c r="Z21" s="530">
        <f>X5</f>
        <v>0.46700000000000003</v>
      </c>
      <c r="AA21" s="530">
        <f>Y5</f>
        <v>0.98699999999999999</v>
      </c>
      <c r="AB21" s="530">
        <f>AA5</f>
        <v>0</v>
      </c>
      <c r="AC21" s="530">
        <f>AB5</f>
        <v>1.101</v>
      </c>
      <c r="AD21" s="530">
        <f>AC5</f>
        <v>0</v>
      </c>
      <c r="AE21" s="530">
        <f>AG5</f>
        <v>2.0920000000000001</v>
      </c>
      <c r="AF21" s="530">
        <f>AD5</f>
        <v>2.665</v>
      </c>
      <c r="AG21" s="530">
        <f>AE5</f>
        <v>0.4</v>
      </c>
      <c r="AH21" s="530">
        <f>AH5</f>
        <v>0</v>
      </c>
    </row>
    <row r="22" spans="1:34">
      <c r="A22" s="529" t="s">
        <v>645</v>
      </c>
    </row>
    <row r="24" spans="1:34">
      <c r="A24" s="529" t="s">
        <v>269</v>
      </c>
      <c r="B24" s="531">
        <v>41353.593043981484</v>
      </c>
    </row>
    <row r="25" spans="1:34">
      <c r="A25" s="529" t="s">
        <v>271</v>
      </c>
      <c r="B25" s="531">
        <v>41387.647344606477</v>
      </c>
    </row>
    <row r="26" spans="1:34">
      <c r="A26" s="529" t="s">
        <v>273</v>
      </c>
      <c r="B26" s="529" t="s">
        <v>67</v>
      </c>
    </row>
    <row r="28" spans="1:34">
      <c r="A28" s="529" t="s">
        <v>340</v>
      </c>
      <c r="B28" s="529" t="s">
        <v>576</v>
      </c>
    </row>
    <row r="29" spans="1:34">
      <c r="A29" s="529" t="s">
        <v>578</v>
      </c>
      <c r="B29" s="529" t="s">
        <v>298</v>
      </c>
    </row>
    <row r="30" spans="1:34">
      <c r="A30" s="529" t="s">
        <v>343</v>
      </c>
      <c r="B30" s="529" t="s">
        <v>180</v>
      </c>
    </row>
    <row r="32" spans="1:34">
      <c r="A32" s="532" t="s">
        <v>592</v>
      </c>
      <c r="B32" s="532" t="s">
        <v>308</v>
      </c>
      <c r="C32" s="532" t="s">
        <v>429</v>
      </c>
      <c r="D32" s="532" t="s">
        <v>646</v>
      </c>
      <c r="E32" s="532" t="s">
        <v>647</v>
      </c>
      <c r="F32" s="532" t="s">
        <v>96</v>
      </c>
      <c r="G32" s="532" t="s">
        <v>648</v>
      </c>
      <c r="H32" s="532" t="s">
        <v>649</v>
      </c>
      <c r="L32" s="530" t="str">
        <f>B30</f>
        <v>Belgium</v>
      </c>
    </row>
    <row r="33" spans="1:13">
      <c r="A33" s="532" t="s">
        <v>607</v>
      </c>
      <c r="B33" s="533">
        <v>193084</v>
      </c>
      <c r="C33" s="533">
        <v>169904</v>
      </c>
      <c r="D33" s="533">
        <v>23180</v>
      </c>
      <c r="E33" s="533">
        <v>2078</v>
      </c>
      <c r="F33" s="533">
        <v>21102</v>
      </c>
      <c r="G33" s="533">
        <v>0</v>
      </c>
      <c r="H33" s="533">
        <v>0</v>
      </c>
      <c r="K33" s="532" t="s">
        <v>308</v>
      </c>
      <c r="L33" s="530">
        <f>B38/1000</f>
        <v>0</v>
      </c>
    </row>
    <row r="34" spans="1:13">
      <c r="A34" s="532" t="s">
        <v>583</v>
      </c>
      <c r="B34" s="533">
        <v>183405</v>
      </c>
      <c r="C34" s="533">
        <v>163154</v>
      </c>
      <c r="D34" s="533">
        <v>20251</v>
      </c>
      <c r="E34" s="533">
        <v>1433</v>
      </c>
      <c r="F34" s="533">
        <v>18818</v>
      </c>
      <c r="G34" s="533">
        <v>0</v>
      </c>
      <c r="H34" s="533">
        <v>0</v>
      </c>
      <c r="K34" s="532" t="s">
        <v>646</v>
      </c>
      <c r="L34" s="535">
        <f>D38/1000</f>
        <v>0</v>
      </c>
      <c r="M34" s="530" t="s">
        <v>1065</v>
      </c>
    </row>
    <row r="35" spans="1:13">
      <c r="A35" s="532" t="s">
        <v>584</v>
      </c>
      <c r="B35" s="533">
        <v>142381</v>
      </c>
      <c r="C35" s="533">
        <v>122130</v>
      </c>
      <c r="D35" s="533">
        <v>20251</v>
      </c>
      <c r="E35" s="533">
        <v>1433</v>
      </c>
      <c r="F35" s="533">
        <v>18818</v>
      </c>
      <c r="G35" s="533">
        <v>0</v>
      </c>
      <c r="H35" s="533">
        <v>0</v>
      </c>
      <c r="K35" s="532" t="s">
        <v>646</v>
      </c>
      <c r="L35" s="535">
        <f>D39/1000</f>
        <v>2.9289999999999998</v>
      </c>
      <c r="M35" s="530" t="s">
        <v>0</v>
      </c>
    </row>
    <row r="36" spans="1:13">
      <c r="A36" s="532" t="s">
        <v>585</v>
      </c>
      <c r="B36" s="533">
        <v>41024</v>
      </c>
      <c r="C36" s="533">
        <v>41024</v>
      </c>
      <c r="D36" s="533">
        <v>0</v>
      </c>
      <c r="E36" s="533">
        <v>0</v>
      </c>
      <c r="F36" s="533">
        <v>0</v>
      </c>
      <c r="G36" s="533">
        <v>0</v>
      </c>
      <c r="H36" s="533">
        <v>0</v>
      </c>
      <c r="K36" s="532" t="s">
        <v>647</v>
      </c>
      <c r="L36" s="535">
        <f>E38/1000</f>
        <v>0</v>
      </c>
      <c r="M36" s="530" t="s">
        <v>1065</v>
      </c>
    </row>
    <row r="37" spans="1:13">
      <c r="A37" s="532" t="s">
        <v>586</v>
      </c>
      <c r="B37" s="533">
        <v>9679</v>
      </c>
      <c r="C37" s="533">
        <v>6750</v>
      </c>
      <c r="D37" s="533">
        <v>2929</v>
      </c>
      <c r="E37" s="533">
        <v>645</v>
      </c>
      <c r="F37" s="533">
        <v>2284</v>
      </c>
      <c r="G37" s="533">
        <v>0</v>
      </c>
      <c r="H37" s="533">
        <v>0</v>
      </c>
      <c r="K37" s="532" t="s">
        <v>96</v>
      </c>
      <c r="L37" s="535">
        <f>F38/1000</f>
        <v>0</v>
      </c>
      <c r="M37" s="530" t="s">
        <v>1065</v>
      </c>
    </row>
    <row r="38" spans="1:13">
      <c r="A38" s="532" t="s">
        <v>587</v>
      </c>
      <c r="B38" s="533">
        <v>0</v>
      </c>
      <c r="C38" s="533">
        <v>0</v>
      </c>
      <c r="D38" s="533">
        <v>0</v>
      </c>
      <c r="E38" s="533">
        <v>0</v>
      </c>
      <c r="F38" s="533">
        <v>0</v>
      </c>
      <c r="G38" s="533">
        <v>0</v>
      </c>
      <c r="H38" s="533">
        <v>0</v>
      </c>
      <c r="K38" s="532" t="s">
        <v>647</v>
      </c>
      <c r="L38" s="535">
        <f>E39/1000</f>
        <v>0.64500000000000002</v>
      </c>
      <c r="M38" s="530" t="s">
        <v>0</v>
      </c>
    </row>
    <row r="39" spans="1:13">
      <c r="A39" s="532" t="s">
        <v>588</v>
      </c>
      <c r="B39" s="533">
        <v>9679</v>
      </c>
      <c r="C39" s="533">
        <v>6750</v>
      </c>
      <c r="D39" s="533">
        <v>2929</v>
      </c>
      <c r="E39" s="533">
        <v>645</v>
      </c>
      <c r="F39" s="533">
        <v>2284</v>
      </c>
      <c r="G39" s="533">
        <v>0</v>
      </c>
      <c r="H39" s="533">
        <v>0</v>
      </c>
      <c r="K39" s="532" t="s">
        <v>96</v>
      </c>
      <c r="L39" s="535">
        <f>F39/1000</f>
        <v>2.2839999999999998</v>
      </c>
      <c r="M39" s="530" t="s">
        <v>0</v>
      </c>
    </row>
    <row r="41" spans="1:13">
      <c r="A41" s="529" t="s">
        <v>589</v>
      </c>
    </row>
    <row r="42" spans="1:13">
      <c r="A42" s="529" t="s">
        <v>36</v>
      </c>
      <c r="B42" s="529" t="s">
        <v>590</v>
      </c>
    </row>
    <row r="44" spans="1:13">
      <c r="A44" s="529" t="s">
        <v>340</v>
      </c>
      <c r="B44" s="529" t="s">
        <v>576</v>
      </c>
    </row>
    <row r="45" spans="1:13">
      <c r="A45" s="529" t="s">
        <v>578</v>
      </c>
      <c r="B45" s="529" t="s">
        <v>298</v>
      </c>
    </row>
    <row r="46" spans="1:13">
      <c r="A46" s="529" t="s">
        <v>343</v>
      </c>
      <c r="B46" s="529" t="s">
        <v>181</v>
      </c>
    </row>
    <row r="48" spans="1:13">
      <c r="A48" s="532" t="s">
        <v>592</v>
      </c>
      <c r="B48" s="532" t="s">
        <v>308</v>
      </c>
      <c r="C48" s="532" t="s">
        <v>429</v>
      </c>
      <c r="D48" s="532" t="s">
        <v>646</v>
      </c>
      <c r="E48" s="532" t="s">
        <v>647</v>
      </c>
      <c r="F48" s="532" t="s">
        <v>96</v>
      </c>
      <c r="G48" s="532" t="s">
        <v>648</v>
      </c>
      <c r="H48" s="532" t="s">
        <v>649</v>
      </c>
      <c r="L48" s="530" t="str">
        <f>B46</f>
        <v>Bulgaria</v>
      </c>
    </row>
    <row r="49" spans="1:13">
      <c r="A49" s="532" t="s">
        <v>607</v>
      </c>
      <c r="B49" s="533">
        <v>28314</v>
      </c>
      <c r="C49" s="533">
        <v>26945</v>
      </c>
      <c r="D49" s="533">
        <v>1369</v>
      </c>
      <c r="E49" s="533">
        <v>368</v>
      </c>
      <c r="F49" s="533">
        <v>1001</v>
      </c>
      <c r="G49" s="533">
        <v>0</v>
      </c>
      <c r="H49" s="533">
        <v>0</v>
      </c>
      <c r="K49" s="532" t="s">
        <v>308</v>
      </c>
      <c r="L49" s="530">
        <f>B54/1000</f>
        <v>0.76</v>
      </c>
    </row>
    <row r="50" spans="1:13">
      <c r="A50" s="532" t="s">
        <v>583</v>
      </c>
      <c r="B50" s="533">
        <v>21549</v>
      </c>
      <c r="C50" s="533">
        <v>21549</v>
      </c>
      <c r="D50" s="533">
        <v>0</v>
      </c>
      <c r="E50" s="533">
        <v>0</v>
      </c>
      <c r="F50" s="533">
        <v>0</v>
      </c>
      <c r="G50" s="533">
        <v>0</v>
      </c>
      <c r="H50" s="533">
        <v>0</v>
      </c>
      <c r="K50" s="532" t="s">
        <v>646</v>
      </c>
      <c r="L50" s="535">
        <f>D54/1000</f>
        <v>0</v>
      </c>
      <c r="M50" s="530" t="s">
        <v>1065</v>
      </c>
    </row>
    <row r="51" spans="1:13">
      <c r="A51" s="532" t="s">
        <v>584</v>
      </c>
      <c r="B51" s="533">
        <v>52</v>
      </c>
      <c r="C51" s="533">
        <v>52</v>
      </c>
      <c r="D51" s="533">
        <v>0</v>
      </c>
      <c r="E51" s="533">
        <v>0</v>
      </c>
      <c r="F51" s="533">
        <v>0</v>
      </c>
      <c r="G51" s="533">
        <v>0</v>
      </c>
      <c r="H51" s="533">
        <v>0</v>
      </c>
      <c r="K51" s="532" t="s">
        <v>646</v>
      </c>
      <c r="L51" s="535">
        <f>D55/1000</f>
        <v>1.369</v>
      </c>
      <c r="M51" s="530" t="s">
        <v>0</v>
      </c>
    </row>
    <row r="52" spans="1:13">
      <c r="A52" s="532" t="s">
        <v>585</v>
      </c>
      <c r="B52" s="533">
        <v>21497</v>
      </c>
      <c r="C52" s="533">
        <v>21497</v>
      </c>
      <c r="D52" s="533">
        <v>0</v>
      </c>
      <c r="E52" s="533">
        <v>0</v>
      </c>
      <c r="F52" s="533">
        <v>0</v>
      </c>
      <c r="G52" s="533">
        <v>0</v>
      </c>
      <c r="H52" s="533">
        <v>0</v>
      </c>
      <c r="K52" s="532" t="s">
        <v>647</v>
      </c>
      <c r="L52" s="535">
        <f>E54/1000</f>
        <v>0</v>
      </c>
      <c r="M52" s="530" t="s">
        <v>1065</v>
      </c>
    </row>
    <row r="53" spans="1:13">
      <c r="A53" s="532" t="s">
        <v>586</v>
      </c>
      <c r="B53" s="533">
        <v>6766</v>
      </c>
      <c r="C53" s="533">
        <v>5396</v>
      </c>
      <c r="D53" s="533">
        <v>1369</v>
      </c>
      <c r="E53" s="533">
        <v>368</v>
      </c>
      <c r="F53" s="533">
        <v>1001</v>
      </c>
      <c r="G53" s="533">
        <v>0</v>
      </c>
      <c r="H53" s="533">
        <v>0</v>
      </c>
      <c r="K53" s="532" t="s">
        <v>96</v>
      </c>
      <c r="L53" s="535">
        <f>F54/1000</f>
        <v>0</v>
      </c>
      <c r="M53" s="530" t="s">
        <v>1065</v>
      </c>
    </row>
    <row r="54" spans="1:13">
      <c r="A54" s="532" t="s">
        <v>587</v>
      </c>
      <c r="B54" s="533">
        <v>760</v>
      </c>
      <c r="C54" s="533">
        <v>760</v>
      </c>
      <c r="D54" s="533">
        <v>0</v>
      </c>
      <c r="E54" s="533">
        <v>0</v>
      </c>
      <c r="F54" s="533">
        <v>0</v>
      </c>
      <c r="G54" s="533">
        <v>0</v>
      </c>
      <c r="H54" s="533">
        <v>0</v>
      </c>
      <c r="K54" s="532" t="s">
        <v>647</v>
      </c>
      <c r="L54" s="535">
        <f>E55/1000</f>
        <v>0.36799999999999999</v>
      </c>
      <c r="M54" s="530" t="s">
        <v>0</v>
      </c>
    </row>
    <row r="55" spans="1:13">
      <c r="A55" s="532" t="s">
        <v>588</v>
      </c>
      <c r="B55" s="533">
        <v>6006</v>
      </c>
      <c r="C55" s="533">
        <v>4637</v>
      </c>
      <c r="D55" s="533">
        <v>1369</v>
      </c>
      <c r="E55" s="533">
        <v>368</v>
      </c>
      <c r="F55" s="533">
        <v>1001</v>
      </c>
      <c r="G55" s="533">
        <v>0</v>
      </c>
      <c r="H55" s="533">
        <v>0</v>
      </c>
      <c r="K55" s="532" t="s">
        <v>96</v>
      </c>
      <c r="L55" s="535">
        <f>F55/1000</f>
        <v>1.0009999999999999</v>
      </c>
      <c r="M55" s="530" t="s">
        <v>0</v>
      </c>
    </row>
    <row r="57" spans="1:13">
      <c r="A57" s="529" t="s">
        <v>589</v>
      </c>
    </row>
    <row r="58" spans="1:13">
      <c r="A58" s="529" t="s">
        <v>36</v>
      </c>
      <c r="B58" s="529" t="s">
        <v>590</v>
      </c>
    </row>
    <row r="60" spans="1:13">
      <c r="A60" s="529" t="s">
        <v>340</v>
      </c>
      <c r="B60" s="529" t="s">
        <v>576</v>
      </c>
    </row>
    <row r="61" spans="1:13">
      <c r="A61" s="529" t="s">
        <v>578</v>
      </c>
      <c r="B61" s="529" t="s">
        <v>298</v>
      </c>
    </row>
    <row r="62" spans="1:13">
      <c r="A62" s="529" t="s">
        <v>343</v>
      </c>
      <c r="B62" s="529" t="s">
        <v>215</v>
      </c>
    </row>
    <row r="64" spans="1:13">
      <c r="A64" s="532" t="s">
        <v>592</v>
      </c>
      <c r="B64" s="532" t="s">
        <v>308</v>
      </c>
      <c r="C64" s="532" t="s">
        <v>429</v>
      </c>
      <c r="D64" s="532" t="s">
        <v>646</v>
      </c>
      <c r="E64" s="532" t="s">
        <v>647</v>
      </c>
      <c r="F64" s="532" t="s">
        <v>96</v>
      </c>
      <c r="G64" s="532" t="s">
        <v>648</v>
      </c>
      <c r="H64" s="532" t="s">
        <v>649</v>
      </c>
      <c r="L64" s="530" t="str">
        <f>B62</f>
        <v>Czech Republic</v>
      </c>
    </row>
    <row r="65" spans="1:13">
      <c r="A65" s="532" t="s">
        <v>607</v>
      </c>
      <c r="B65" s="533">
        <v>54088</v>
      </c>
      <c r="C65" s="533">
        <v>28262</v>
      </c>
      <c r="D65" s="533">
        <v>25826</v>
      </c>
      <c r="E65" s="533">
        <v>5751</v>
      </c>
      <c r="F65" s="533">
        <v>6929</v>
      </c>
      <c r="G65" s="533">
        <v>13146</v>
      </c>
      <c r="H65" s="533">
        <v>0</v>
      </c>
      <c r="K65" s="532" t="s">
        <v>308</v>
      </c>
      <c r="L65" s="530">
        <f>B70/1000</f>
        <v>0.45900000000000002</v>
      </c>
    </row>
    <row r="66" spans="1:13">
      <c r="A66" s="532" t="s">
        <v>583</v>
      </c>
      <c r="B66" s="533">
        <v>28576</v>
      </c>
      <c r="C66" s="533">
        <v>20315</v>
      </c>
      <c r="D66" s="533">
        <v>8261</v>
      </c>
      <c r="E66" s="533">
        <v>4419</v>
      </c>
      <c r="F66" s="533">
        <v>3842</v>
      </c>
      <c r="G66" s="533">
        <v>0</v>
      </c>
      <c r="H66" s="533">
        <v>0</v>
      </c>
      <c r="K66" s="532" t="s">
        <v>646</v>
      </c>
      <c r="L66" s="535">
        <f>D70/1000</f>
        <v>0</v>
      </c>
      <c r="M66" s="530" t="s">
        <v>1065</v>
      </c>
    </row>
    <row r="67" spans="1:13">
      <c r="A67" s="532" t="s">
        <v>584</v>
      </c>
      <c r="B67" s="533">
        <v>1227</v>
      </c>
      <c r="C67" s="533">
        <v>1227</v>
      </c>
      <c r="D67" s="533">
        <v>0</v>
      </c>
      <c r="E67" s="533">
        <v>0</v>
      </c>
      <c r="F67" s="533">
        <v>0</v>
      </c>
      <c r="G67" s="533">
        <v>0</v>
      </c>
      <c r="H67" s="533">
        <v>0</v>
      </c>
      <c r="K67" s="532" t="s">
        <v>646</v>
      </c>
      <c r="L67" s="535">
        <f>D71/1000</f>
        <v>17.565000000000001</v>
      </c>
      <c r="M67" s="530" t="s">
        <v>0</v>
      </c>
    </row>
    <row r="68" spans="1:13">
      <c r="A68" s="532" t="s">
        <v>585</v>
      </c>
      <c r="B68" s="533">
        <v>27349</v>
      </c>
      <c r="C68" s="533">
        <v>19088</v>
      </c>
      <c r="D68" s="533">
        <v>8261</v>
      </c>
      <c r="E68" s="533">
        <v>4419</v>
      </c>
      <c r="F68" s="533">
        <v>3842</v>
      </c>
      <c r="G68" s="533">
        <v>0</v>
      </c>
      <c r="H68" s="533">
        <v>0</v>
      </c>
      <c r="K68" s="532" t="s">
        <v>647</v>
      </c>
      <c r="L68" s="535">
        <f>E70/1000</f>
        <v>0</v>
      </c>
      <c r="M68" s="530" t="s">
        <v>1065</v>
      </c>
    </row>
    <row r="69" spans="1:13">
      <c r="A69" s="532" t="s">
        <v>586</v>
      </c>
      <c r="B69" s="533">
        <v>25512</v>
      </c>
      <c r="C69" s="533">
        <v>7947</v>
      </c>
      <c r="D69" s="533">
        <v>17565</v>
      </c>
      <c r="E69" s="533">
        <v>1332</v>
      </c>
      <c r="F69" s="533">
        <v>3087</v>
      </c>
      <c r="G69" s="533">
        <v>13146</v>
      </c>
      <c r="H69" s="533">
        <v>0</v>
      </c>
      <c r="K69" s="532" t="s">
        <v>96</v>
      </c>
      <c r="L69" s="535">
        <f>F70/1000</f>
        <v>0</v>
      </c>
      <c r="M69" s="530" t="s">
        <v>1065</v>
      </c>
    </row>
    <row r="70" spans="1:13">
      <c r="A70" s="532" t="s">
        <v>587</v>
      </c>
      <c r="B70" s="533">
        <v>459</v>
      </c>
      <c r="C70" s="533">
        <v>459</v>
      </c>
      <c r="D70" s="533">
        <v>0</v>
      </c>
      <c r="E70" s="533">
        <v>0</v>
      </c>
      <c r="F70" s="533">
        <v>0</v>
      </c>
      <c r="G70" s="533">
        <v>0</v>
      </c>
      <c r="H70" s="533">
        <v>0</v>
      </c>
      <c r="K70" s="532" t="s">
        <v>647</v>
      </c>
      <c r="L70" s="535">
        <f>E71/1000</f>
        <v>1.3320000000000001</v>
      </c>
      <c r="M70" s="530" t="s">
        <v>0</v>
      </c>
    </row>
    <row r="71" spans="1:13">
      <c r="A71" s="532" t="s">
        <v>588</v>
      </c>
      <c r="B71" s="533">
        <v>25053</v>
      </c>
      <c r="C71" s="533">
        <v>7488</v>
      </c>
      <c r="D71" s="533">
        <v>17565</v>
      </c>
      <c r="E71" s="533">
        <v>1332</v>
      </c>
      <c r="F71" s="533">
        <v>3087</v>
      </c>
      <c r="G71" s="533">
        <v>13146</v>
      </c>
      <c r="H71" s="533">
        <v>0</v>
      </c>
      <c r="K71" s="532" t="s">
        <v>96</v>
      </c>
      <c r="L71" s="535">
        <f>F71/1000</f>
        <v>3.0870000000000002</v>
      </c>
      <c r="M71" s="530" t="s">
        <v>0</v>
      </c>
    </row>
    <row r="73" spans="1:13">
      <c r="A73" s="529" t="s">
        <v>589</v>
      </c>
    </row>
    <row r="74" spans="1:13">
      <c r="A74" s="529" t="s">
        <v>36</v>
      </c>
      <c r="B74" s="529" t="s">
        <v>590</v>
      </c>
    </row>
    <row r="76" spans="1:13">
      <c r="A76" s="529" t="s">
        <v>340</v>
      </c>
      <c r="B76" s="529" t="s">
        <v>576</v>
      </c>
    </row>
    <row r="77" spans="1:13">
      <c r="A77" s="529" t="s">
        <v>578</v>
      </c>
      <c r="B77" s="529" t="s">
        <v>298</v>
      </c>
    </row>
    <row r="78" spans="1:13">
      <c r="A78" s="529" t="s">
        <v>343</v>
      </c>
      <c r="B78" s="529" t="s">
        <v>182</v>
      </c>
    </row>
    <row r="80" spans="1:13">
      <c r="A80" s="532" t="s">
        <v>592</v>
      </c>
      <c r="B80" s="532" t="s">
        <v>308</v>
      </c>
      <c r="C80" s="532" t="s">
        <v>429</v>
      </c>
      <c r="D80" s="532" t="s">
        <v>646</v>
      </c>
      <c r="E80" s="532" t="s">
        <v>647</v>
      </c>
      <c r="F80" s="532" t="s">
        <v>96</v>
      </c>
      <c r="G80" s="532" t="s">
        <v>648</v>
      </c>
      <c r="H80" s="532" t="s">
        <v>649</v>
      </c>
      <c r="L80" s="530" t="str">
        <f>B78</f>
        <v>Denmark</v>
      </c>
    </row>
    <row r="81" spans="1:13">
      <c r="A81" s="532" t="s">
        <v>607</v>
      </c>
      <c r="B81" s="533">
        <v>83580</v>
      </c>
      <c r="C81" s="533">
        <v>83580</v>
      </c>
      <c r="D81" s="533">
        <v>0</v>
      </c>
      <c r="E81" s="533">
        <v>0</v>
      </c>
      <c r="F81" s="533">
        <v>0</v>
      </c>
      <c r="G81" s="533">
        <v>0</v>
      </c>
      <c r="H81" s="533">
        <v>0</v>
      </c>
      <c r="K81" s="532" t="s">
        <v>308</v>
      </c>
      <c r="L81" s="530">
        <f>B86/1000</f>
        <v>0</v>
      </c>
    </row>
    <row r="82" spans="1:13">
      <c r="A82" s="532" t="s">
        <v>583</v>
      </c>
      <c r="B82" s="533">
        <v>71979</v>
      </c>
      <c r="C82" s="533">
        <v>71979</v>
      </c>
      <c r="D82" s="533">
        <v>0</v>
      </c>
      <c r="E82" s="533">
        <v>0</v>
      </c>
      <c r="F82" s="533">
        <v>0</v>
      </c>
      <c r="G82" s="533">
        <v>0</v>
      </c>
      <c r="H82" s="533">
        <v>0</v>
      </c>
      <c r="K82" s="532" t="s">
        <v>646</v>
      </c>
      <c r="L82" s="535">
        <f>D86/1000</f>
        <v>0</v>
      </c>
      <c r="M82" s="530" t="s">
        <v>1065</v>
      </c>
    </row>
    <row r="83" spans="1:13">
      <c r="A83" s="532" t="s">
        <v>584</v>
      </c>
      <c r="B83" s="533">
        <v>0</v>
      </c>
      <c r="C83" s="533">
        <v>0</v>
      </c>
      <c r="D83" s="533">
        <v>0</v>
      </c>
      <c r="E83" s="533">
        <v>0</v>
      </c>
      <c r="F83" s="533">
        <v>0</v>
      </c>
      <c r="G83" s="533">
        <v>0</v>
      </c>
      <c r="H83" s="533">
        <v>0</v>
      </c>
      <c r="K83" s="532" t="s">
        <v>646</v>
      </c>
      <c r="L83" s="535">
        <f>D87/1000</f>
        <v>0</v>
      </c>
      <c r="M83" s="530" t="s">
        <v>0</v>
      </c>
    </row>
    <row r="84" spans="1:13">
      <c r="A84" s="532" t="s">
        <v>585</v>
      </c>
      <c r="B84" s="533">
        <v>71979</v>
      </c>
      <c r="C84" s="533">
        <v>71979</v>
      </c>
      <c r="D84" s="533">
        <v>0</v>
      </c>
      <c r="E84" s="533">
        <v>0</v>
      </c>
      <c r="F84" s="533">
        <v>0</v>
      </c>
      <c r="G84" s="533">
        <v>0</v>
      </c>
      <c r="H84" s="533">
        <v>0</v>
      </c>
      <c r="K84" s="532" t="s">
        <v>647</v>
      </c>
      <c r="L84" s="535">
        <f>E86/1000</f>
        <v>0</v>
      </c>
      <c r="M84" s="530" t="s">
        <v>1065</v>
      </c>
    </row>
    <row r="85" spans="1:13">
      <c r="A85" s="532" t="s">
        <v>586</v>
      </c>
      <c r="B85" s="533">
        <v>11601</v>
      </c>
      <c r="C85" s="533">
        <v>11601</v>
      </c>
      <c r="D85" s="533">
        <v>0</v>
      </c>
      <c r="E85" s="533">
        <v>0</v>
      </c>
      <c r="F85" s="533">
        <v>0</v>
      </c>
      <c r="G85" s="533">
        <v>0</v>
      </c>
      <c r="H85" s="533">
        <v>0</v>
      </c>
      <c r="K85" s="532" t="s">
        <v>96</v>
      </c>
      <c r="L85" s="535">
        <f>F86/1000</f>
        <v>0</v>
      </c>
      <c r="M85" s="530" t="s">
        <v>1065</v>
      </c>
    </row>
    <row r="86" spans="1:13">
      <c r="A86" s="532" t="s">
        <v>587</v>
      </c>
      <c r="B86" s="533">
        <v>0</v>
      </c>
      <c r="C86" s="533">
        <v>0</v>
      </c>
      <c r="D86" s="533">
        <v>0</v>
      </c>
      <c r="E86" s="533">
        <v>0</v>
      </c>
      <c r="F86" s="533">
        <v>0</v>
      </c>
      <c r="G86" s="533">
        <v>0</v>
      </c>
      <c r="H86" s="533">
        <v>0</v>
      </c>
      <c r="K86" s="532" t="s">
        <v>647</v>
      </c>
      <c r="L86" s="535">
        <f>E87/1000</f>
        <v>0</v>
      </c>
      <c r="M86" s="530" t="s">
        <v>0</v>
      </c>
    </row>
    <row r="87" spans="1:13">
      <c r="A87" s="532" t="s">
        <v>588</v>
      </c>
      <c r="B87" s="533">
        <v>11601</v>
      </c>
      <c r="C87" s="533">
        <v>11601</v>
      </c>
      <c r="D87" s="533">
        <v>0</v>
      </c>
      <c r="E87" s="533">
        <v>0</v>
      </c>
      <c r="F87" s="533">
        <v>0</v>
      </c>
      <c r="G87" s="533">
        <v>0</v>
      </c>
      <c r="H87" s="533">
        <v>0</v>
      </c>
      <c r="K87" s="532" t="s">
        <v>96</v>
      </c>
      <c r="L87" s="535">
        <f>F87/1000</f>
        <v>0</v>
      </c>
      <c r="M87" s="530" t="s">
        <v>0</v>
      </c>
    </row>
    <row r="89" spans="1:13">
      <c r="A89" s="529" t="s">
        <v>589</v>
      </c>
    </row>
    <row r="90" spans="1:13">
      <c r="A90" s="529" t="s">
        <v>36</v>
      </c>
      <c r="B90" s="529" t="s">
        <v>590</v>
      </c>
    </row>
    <row r="92" spans="1:13">
      <c r="A92" s="529" t="s">
        <v>340</v>
      </c>
      <c r="B92" s="529" t="s">
        <v>576</v>
      </c>
    </row>
    <row r="93" spans="1:13">
      <c r="A93" s="529" t="s">
        <v>578</v>
      </c>
      <c r="B93" s="529" t="s">
        <v>298</v>
      </c>
    </row>
    <row r="94" spans="1:13">
      <c r="A94" s="529" t="s">
        <v>343</v>
      </c>
      <c r="B94" s="529" t="s">
        <v>581</v>
      </c>
    </row>
    <row r="96" spans="1:13">
      <c r="A96" s="532" t="s">
        <v>592</v>
      </c>
      <c r="B96" s="532" t="s">
        <v>308</v>
      </c>
      <c r="C96" s="532" t="s">
        <v>429</v>
      </c>
      <c r="D96" s="532" t="s">
        <v>646</v>
      </c>
      <c r="E96" s="532" t="s">
        <v>647</v>
      </c>
      <c r="F96" s="532" t="s">
        <v>96</v>
      </c>
      <c r="G96" s="532" t="s">
        <v>648</v>
      </c>
      <c r="H96" s="532" t="s">
        <v>649</v>
      </c>
      <c r="L96" s="530" t="str">
        <f>B94</f>
        <v>Germany (until 1990 former territory of the FRG)</v>
      </c>
    </row>
    <row r="97" spans="1:13">
      <c r="A97" s="532" t="s">
        <v>607</v>
      </c>
      <c r="B97" s="533">
        <v>810383</v>
      </c>
      <c r="C97" s="533">
        <v>730711</v>
      </c>
      <c r="D97" s="533">
        <v>79672</v>
      </c>
      <c r="E97" s="533">
        <v>10202</v>
      </c>
      <c r="F97" s="533">
        <v>69470</v>
      </c>
      <c r="G97" s="533">
        <v>0</v>
      </c>
      <c r="H97" s="533">
        <v>0</v>
      </c>
      <c r="K97" s="532" t="s">
        <v>308</v>
      </c>
      <c r="L97" s="530">
        <f>B102/1000</f>
        <v>76.082999999999998</v>
      </c>
    </row>
    <row r="98" spans="1:13">
      <c r="A98" s="532" t="s">
        <v>583</v>
      </c>
      <c r="B98" s="533">
        <v>499391</v>
      </c>
      <c r="C98" s="533">
        <v>472200</v>
      </c>
      <c r="D98" s="533">
        <v>27191</v>
      </c>
      <c r="E98" s="533">
        <v>404</v>
      </c>
      <c r="F98" s="533">
        <v>26787</v>
      </c>
      <c r="G98" s="533">
        <v>0</v>
      </c>
      <c r="H98" s="533">
        <v>0</v>
      </c>
      <c r="K98" s="532" t="s">
        <v>646</v>
      </c>
      <c r="L98" s="535">
        <f>D102/1000</f>
        <v>45.167999999999999</v>
      </c>
      <c r="M98" s="530" t="s">
        <v>1065</v>
      </c>
    </row>
    <row r="99" spans="1:13">
      <c r="A99" s="532" t="s">
        <v>584</v>
      </c>
      <c r="B99" s="533">
        <v>184462</v>
      </c>
      <c r="C99" s="533">
        <v>157662</v>
      </c>
      <c r="D99" s="533">
        <v>26800</v>
      </c>
      <c r="E99" s="533">
        <v>404</v>
      </c>
      <c r="F99" s="533">
        <v>26396</v>
      </c>
      <c r="G99" s="533">
        <v>0</v>
      </c>
      <c r="H99" s="533">
        <v>0</v>
      </c>
      <c r="K99" s="532" t="s">
        <v>646</v>
      </c>
      <c r="L99" s="535">
        <f>D103/1000</f>
        <v>7.3129999999999997</v>
      </c>
      <c r="M99" s="530" t="s">
        <v>0</v>
      </c>
    </row>
    <row r="100" spans="1:13">
      <c r="A100" s="532" t="s">
        <v>585</v>
      </c>
      <c r="B100" s="533">
        <v>314929</v>
      </c>
      <c r="C100" s="533">
        <v>314538</v>
      </c>
      <c r="D100" s="533">
        <v>391</v>
      </c>
      <c r="E100" s="533">
        <v>0</v>
      </c>
      <c r="F100" s="533">
        <v>391</v>
      </c>
      <c r="G100" s="533">
        <v>0</v>
      </c>
      <c r="H100" s="533">
        <v>0</v>
      </c>
      <c r="K100" s="532" t="s">
        <v>647</v>
      </c>
      <c r="L100" s="535">
        <f>E102/1000</f>
        <v>9.1329999999999991</v>
      </c>
      <c r="M100" s="530" t="s">
        <v>1065</v>
      </c>
    </row>
    <row r="101" spans="1:13">
      <c r="A101" s="532" t="s">
        <v>586</v>
      </c>
      <c r="B101" s="533">
        <v>310992</v>
      </c>
      <c r="C101" s="533">
        <v>258511</v>
      </c>
      <c r="D101" s="533">
        <v>52481</v>
      </c>
      <c r="E101" s="533">
        <v>9798</v>
      </c>
      <c r="F101" s="533">
        <v>42683</v>
      </c>
      <c r="G101" s="533">
        <v>0</v>
      </c>
      <c r="H101" s="533">
        <v>0</v>
      </c>
      <c r="K101" s="532" t="s">
        <v>96</v>
      </c>
      <c r="L101" s="535">
        <f>F102/1000</f>
        <v>36.034999999999997</v>
      </c>
      <c r="M101" s="530" t="s">
        <v>1065</v>
      </c>
    </row>
    <row r="102" spans="1:13">
      <c r="A102" s="532" t="s">
        <v>587</v>
      </c>
      <c r="B102" s="533">
        <v>76083</v>
      </c>
      <c r="C102" s="533">
        <v>30915</v>
      </c>
      <c r="D102" s="533">
        <v>45168</v>
      </c>
      <c r="E102" s="533">
        <v>9133</v>
      </c>
      <c r="F102" s="533">
        <v>36035</v>
      </c>
      <c r="G102" s="533">
        <v>0</v>
      </c>
      <c r="H102" s="533">
        <v>0</v>
      </c>
      <c r="K102" s="532" t="s">
        <v>647</v>
      </c>
      <c r="L102" s="535">
        <f>E103/1000</f>
        <v>0.66500000000000004</v>
      </c>
      <c r="M102" s="530" t="s">
        <v>0</v>
      </c>
    </row>
    <row r="103" spans="1:13">
      <c r="A103" s="532" t="s">
        <v>588</v>
      </c>
      <c r="B103" s="533">
        <v>234909</v>
      </c>
      <c r="C103" s="533">
        <v>227596</v>
      </c>
      <c r="D103" s="533">
        <v>7313</v>
      </c>
      <c r="E103" s="533">
        <v>665</v>
      </c>
      <c r="F103" s="533">
        <v>6648</v>
      </c>
      <c r="G103" s="533">
        <v>0</v>
      </c>
      <c r="H103" s="533">
        <v>0</v>
      </c>
      <c r="K103" s="532" t="s">
        <v>96</v>
      </c>
      <c r="L103" s="535">
        <f>F103/1000</f>
        <v>6.6479999999999997</v>
      </c>
      <c r="M103" s="530" t="s">
        <v>0</v>
      </c>
    </row>
    <row r="105" spans="1:13">
      <c r="A105" s="529" t="s">
        <v>589</v>
      </c>
    </row>
    <row r="106" spans="1:13">
      <c r="A106" s="529" t="s">
        <v>36</v>
      </c>
      <c r="B106" s="529" t="s">
        <v>590</v>
      </c>
    </row>
    <row r="108" spans="1:13">
      <c r="A108" s="529" t="s">
        <v>340</v>
      </c>
      <c r="B108" s="529" t="s">
        <v>576</v>
      </c>
    </row>
    <row r="109" spans="1:13">
      <c r="A109" s="529" t="s">
        <v>578</v>
      </c>
      <c r="B109" s="529" t="s">
        <v>298</v>
      </c>
    </row>
    <row r="110" spans="1:13">
      <c r="A110" s="529" t="s">
        <v>343</v>
      </c>
      <c r="B110" s="529" t="s">
        <v>217</v>
      </c>
    </row>
    <row r="112" spans="1:13">
      <c r="A112" s="532" t="s">
        <v>592</v>
      </c>
      <c r="B112" s="532" t="s">
        <v>308</v>
      </c>
      <c r="C112" s="532" t="s">
        <v>429</v>
      </c>
      <c r="D112" s="532" t="s">
        <v>646</v>
      </c>
      <c r="E112" s="532" t="s">
        <v>647</v>
      </c>
      <c r="F112" s="532" t="s">
        <v>96</v>
      </c>
      <c r="G112" s="532" t="s">
        <v>648</v>
      </c>
      <c r="H112" s="532" t="s">
        <v>649</v>
      </c>
      <c r="L112" s="530" t="str">
        <f>B110</f>
        <v>Estonia</v>
      </c>
    </row>
    <row r="113" spans="1:13">
      <c r="A113" s="532" t="s">
        <v>607</v>
      </c>
      <c r="B113" s="533">
        <v>9516</v>
      </c>
      <c r="C113" s="533">
        <v>6275</v>
      </c>
      <c r="D113" s="533">
        <v>3241</v>
      </c>
      <c r="E113" s="533">
        <v>0</v>
      </c>
      <c r="F113" s="533">
        <v>0</v>
      </c>
      <c r="G113" s="533">
        <v>3241</v>
      </c>
      <c r="H113" s="533">
        <v>0</v>
      </c>
      <c r="K113" s="532" t="s">
        <v>308</v>
      </c>
      <c r="L113" s="530">
        <f>B118/1000</f>
        <v>0.17100000000000001</v>
      </c>
    </row>
    <row r="114" spans="1:13">
      <c r="A114" s="532" t="s">
        <v>583</v>
      </c>
      <c r="B114" s="533">
        <v>8844</v>
      </c>
      <c r="C114" s="533">
        <v>5926</v>
      </c>
      <c r="D114" s="533">
        <v>2919</v>
      </c>
      <c r="E114" s="533">
        <v>0</v>
      </c>
      <c r="F114" s="533">
        <v>0</v>
      </c>
      <c r="G114" s="533">
        <v>2919</v>
      </c>
      <c r="H114" s="533">
        <v>0</v>
      </c>
      <c r="K114" s="532" t="s">
        <v>646</v>
      </c>
      <c r="L114" s="535">
        <f>D118/1000</f>
        <v>0.16400000000000001</v>
      </c>
      <c r="M114" s="530" t="s">
        <v>1065</v>
      </c>
    </row>
    <row r="115" spans="1:13">
      <c r="A115" s="532" t="s">
        <v>584</v>
      </c>
      <c r="B115" s="533">
        <v>1326</v>
      </c>
      <c r="C115" s="533">
        <v>0</v>
      </c>
      <c r="D115" s="533">
        <v>1326</v>
      </c>
      <c r="E115" s="533">
        <v>0</v>
      </c>
      <c r="F115" s="533">
        <v>0</v>
      </c>
      <c r="G115" s="533">
        <v>1326</v>
      </c>
      <c r="H115" s="533">
        <v>0</v>
      </c>
      <c r="K115" s="532" t="s">
        <v>646</v>
      </c>
      <c r="L115" s="535">
        <f>D119/1000</f>
        <v>0.158</v>
      </c>
      <c r="M115" s="530" t="s">
        <v>0</v>
      </c>
    </row>
    <row r="116" spans="1:13">
      <c r="A116" s="532" t="s">
        <v>585</v>
      </c>
      <c r="B116" s="533">
        <v>7519</v>
      </c>
      <c r="C116" s="533">
        <v>5926</v>
      </c>
      <c r="D116" s="533">
        <v>1593</v>
      </c>
      <c r="E116" s="533">
        <v>0</v>
      </c>
      <c r="F116" s="533">
        <v>0</v>
      </c>
      <c r="G116" s="533">
        <v>1593</v>
      </c>
      <c r="H116" s="533">
        <v>0</v>
      </c>
      <c r="K116" s="532" t="s">
        <v>647</v>
      </c>
      <c r="L116" s="535">
        <f>E118/1000</f>
        <v>0</v>
      </c>
      <c r="M116" s="530" t="s">
        <v>1065</v>
      </c>
    </row>
    <row r="117" spans="1:13">
      <c r="A117" s="532" t="s">
        <v>586</v>
      </c>
      <c r="B117" s="533">
        <v>671</v>
      </c>
      <c r="C117" s="533">
        <v>349</v>
      </c>
      <c r="D117" s="533">
        <v>322</v>
      </c>
      <c r="E117" s="533">
        <v>0</v>
      </c>
      <c r="F117" s="533">
        <v>0</v>
      </c>
      <c r="G117" s="533">
        <v>322</v>
      </c>
      <c r="H117" s="533">
        <v>0</v>
      </c>
      <c r="K117" s="532" t="s">
        <v>96</v>
      </c>
      <c r="L117" s="535">
        <f>F118/1000</f>
        <v>0</v>
      </c>
      <c r="M117" s="530" t="s">
        <v>1065</v>
      </c>
    </row>
    <row r="118" spans="1:13">
      <c r="A118" s="532" t="s">
        <v>587</v>
      </c>
      <c r="B118" s="533">
        <v>171</v>
      </c>
      <c r="C118" s="533">
        <v>7</v>
      </c>
      <c r="D118" s="533">
        <v>164</v>
      </c>
      <c r="E118" s="533">
        <v>0</v>
      </c>
      <c r="F118" s="533">
        <v>0</v>
      </c>
      <c r="G118" s="533">
        <v>164</v>
      </c>
      <c r="H118" s="533">
        <v>0</v>
      </c>
      <c r="K118" s="532" t="s">
        <v>647</v>
      </c>
      <c r="L118" s="535">
        <f>E119/1000</f>
        <v>0</v>
      </c>
      <c r="M118" s="530" t="s">
        <v>0</v>
      </c>
    </row>
    <row r="119" spans="1:13">
      <c r="A119" s="532" t="s">
        <v>588</v>
      </c>
      <c r="B119" s="533">
        <v>500</v>
      </c>
      <c r="C119" s="533">
        <v>342</v>
      </c>
      <c r="D119" s="533">
        <v>158</v>
      </c>
      <c r="E119" s="533">
        <v>0</v>
      </c>
      <c r="F119" s="533">
        <v>0</v>
      </c>
      <c r="G119" s="533">
        <v>158</v>
      </c>
      <c r="H119" s="533">
        <v>0</v>
      </c>
      <c r="K119" s="532" t="s">
        <v>96</v>
      </c>
      <c r="L119" s="535">
        <f>F119/1000</f>
        <v>0</v>
      </c>
      <c r="M119" s="530" t="s">
        <v>0</v>
      </c>
    </row>
    <row r="121" spans="1:13">
      <c r="A121" s="529" t="s">
        <v>589</v>
      </c>
    </row>
    <row r="122" spans="1:13">
      <c r="A122" s="529" t="s">
        <v>36</v>
      </c>
      <c r="B122" s="529" t="s">
        <v>590</v>
      </c>
    </row>
    <row r="124" spans="1:13">
      <c r="A124" s="529" t="s">
        <v>340</v>
      </c>
      <c r="B124" s="529" t="s">
        <v>576</v>
      </c>
    </row>
    <row r="125" spans="1:13">
      <c r="A125" s="529" t="s">
        <v>578</v>
      </c>
      <c r="B125" s="529" t="s">
        <v>298</v>
      </c>
    </row>
    <row r="126" spans="1:13">
      <c r="A126" s="529" t="s">
        <v>343</v>
      </c>
      <c r="B126" s="529" t="s">
        <v>218</v>
      </c>
    </row>
    <row r="128" spans="1:13">
      <c r="A128" s="532" t="s">
        <v>592</v>
      </c>
      <c r="B128" s="532" t="s">
        <v>308</v>
      </c>
      <c r="C128" s="532" t="s">
        <v>429</v>
      </c>
      <c r="D128" s="532" t="s">
        <v>646</v>
      </c>
      <c r="E128" s="532" t="s">
        <v>647</v>
      </c>
      <c r="F128" s="532" t="s">
        <v>96</v>
      </c>
      <c r="G128" s="532" t="s">
        <v>648</v>
      </c>
      <c r="H128" s="532" t="s">
        <v>649</v>
      </c>
      <c r="L128" s="530" t="str">
        <f>B126</f>
        <v>Ireland</v>
      </c>
    </row>
    <row r="129" spans="1:13">
      <c r="A129" s="532" t="s">
        <v>607</v>
      </c>
      <c r="B129" s="533">
        <v>85399</v>
      </c>
      <c r="C129" s="533">
        <v>85399</v>
      </c>
      <c r="D129" s="533">
        <v>0</v>
      </c>
      <c r="E129" s="533">
        <v>0</v>
      </c>
      <c r="F129" s="533">
        <v>0</v>
      </c>
      <c r="G129" s="533">
        <v>0</v>
      </c>
      <c r="H129" s="533">
        <v>0</v>
      </c>
      <c r="K129" s="532" t="s">
        <v>308</v>
      </c>
      <c r="L129" s="530">
        <f>B134/1000</f>
        <v>0</v>
      </c>
    </row>
    <row r="130" spans="1:13">
      <c r="A130" s="532" t="s">
        <v>583</v>
      </c>
      <c r="B130" s="533">
        <v>81833</v>
      </c>
      <c r="C130" s="533">
        <v>81833</v>
      </c>
      <c r="D130" s="533">
        <v>0</v>
      </c>
      <c r="E130" s="533">
        <v>0</v>
      </c>
      <c r="F130" s="533">
        <v>0</v>
      </c>
      <c r="G130" s="533">
        <v>0</v>
      </c>
      <c r="H130" s="533">
        <v>0</v>
      </c>
      <c r="K130" s="532" t="s">
        <v>646</v>
      </c>
      <c r="L130" s="535">
        <f>D134/1000</f>
        <v>0</v>
      </c>
      <c r="M130" s="530" t="s">
        <v>1065</v>
      </c>
    </row>
    <row r="131" spans="1:13">
      <c r="A131" s="532" t="s">
        <v>584</v>
      </c>
      <c r="B131" s="533">
        <v>81833</v>
      </c>
      <c r="C131" s="533">
        <v>81833</v>
      </c>
      <c r="D131" s="533">
        <v>0</v>
      </c>
      <c r="E131" s="533">
        <v>0</v>
      </c>
      <c r="F131" s="533">
        <v>0</v>
      </c>
      <c r="G131" s="533">
        <v>0</v>
      </c>
      <c r="H131" s="533">
        <v>0</v>
      </c>
      <c r="K131" s="532" t="s">
        <v>646</v>
      </c>
      <c r="L131" s="535">
        <f>D135/1000</f>
        <v>0</v>
      </c>
      <c r="M131" s="530" t="s">
        <v>0</v>
      </c>
    </row>
    <row r="132" spans="1:13">
      <c r="A132" s="532" t="s">
        <v>585</v>
      </c>
      <c r="B132" s="533">
        <v>0</v>
      </c>
      <c r="C132" s="533">
        <v>0</v>
      </c>
      <c r="D132" s="533">
        <v>0</v>
      </c>
      <c r="E132" s="533">
        <v>0</v>
      </c>
      <c r="F132" s="533">
        <v>0</v>
      </c>
      <c r="G132" s="533">
        <v>0</v>
      </c>
      <c r="H132" s="533">
        <v>0</v>
      </c>
      <c r="K132" s="532" t="s">
        <v>647</v>
      </c>
      <c r="L132" s="535">
        <f>E134/1000</f>
        <v>0</v>
      </c>
      <c r="M132" s="530" t="s">
        <v>1065</v>
      </c>
    </row>
    <row r="133" spans="1:13">
      <c r="A133" s="532" t="s">
        <v>586</v>
      </c>
      <c r="B133" s="533">
        <v>3567</v>
      </c>
      <c r="C133" s="533">
        <v>3567</v>
      </c>
      <c r="D133" s="533">
        <v>0</v>
      </c>
      <c r="E133" s="533">
        <v>0</v>
      </c>
      <c r="F133" s="533">
        <v>0</v>
      </c>
      <c r="G133" s="533">
        <v>0</v>
      </c>
      <c r="H133" s="533">
        <v>0</v>
      </c>
      <c r="K133" s="532" t="s">
        <v>96</v>
      </c>
      <c r="L133" s="535">
        <f>F134/1000</f>
        <v>0</v>
      </c>
      <c r="M133" s="530" t="s">
        <v>1065</v>
      </c>
    </row>
    <row r="134" spans="1:13">
      <c r="A134" s="532" t="s">
        <v>587</v>
      </c>
      <c r="B134" s="533">
        <v>0</v>
      </c>
      <c r="C134" s="533">
        <v>0</v>
      </c>
      <c r="D134" s="533">
        <v>0</v>
      </c>
      <c r="E134" s="533">
        <v>0</v>
      </c>
      <c r="F134" s="533">
        <v>0</v>
      </c>
      <c r="G134" s="533">
        <v>0</v>
      </c>
      <c r="H134" s="533">
        <v>0</v>
      </c>
      <c r="K134" s="532" t="s">
        <v>647</v>
      </c>
      <c r="L134" s="535">
        <f>E135/1000</f>
        <v>0</v>
      </c>
      <c r="M134" s="530" t="s">
        <v>0</v>
      </c>
    </row>
    <row r="135" spans="1:13">
      <c r="A135" s="532" t="s">
        <v>588</v>
      </c>
      <c r="B135" s="533">
        <v>3567</v>
      </c>
      <c r="C135" s="533">
        <v>3567</v>
      </c>
      <c r="D135" s="533">
        <v>0</v>
      </c>
      <c r="E135" s="533">
        <v>0</v>
      </c>
      <c r="F135" s="533">
        <v>0</v>
      </c>
      <c r="G135" s="533">
        <v>0</v>
      </c>
      <c r="H135" s="533">
        <v>0</v>
      </c>
      <c r="K135" s="532" t="s">
        <v>96</v>
      </c>
      <c r="L135" s="535">
        <f>F135/1000</f>
        <v>0</v>
      </c>
      <c r="M135" s="530" t="s">
        <v>0</v>
      </c>
    </row>
    <row r="137" spans="1:13">
      <c r="A137" s="529" t="s">
        <v>589</v>
      </c>
    </row>
    <row r="138" spans="1:13">
      <c r="A138" s="529" t="s">
        <v>36</v>
      </c>
      <c r="B138" s="529" t="s">
        <v>590</v>
      </c>
    </row>
    <row r="140" spans="1:13">
      <c r="A140" s="529" t="s">
        <v>340</v>
      </c>
      <c r="B140" s="529" t="s">
        <v>576</v>
      </c>
    </row>
    <row r="141" spans="1:13">
      <c r="A141" s="529" t="s">
        <v>578</v>
      </c>
      <c r="B141" s="529" t="s">
        <v>298</v>
      </c>
    </row>
    <row r="142" spans="1:13">
      <c r="A142" s="529" t="s">
        <v>343</v>
      </c>
      <c r="B142" s="529" t="s">
        <v>183</v>
      </c>
    </row>
    <row r="144" spans="1:13">
      <c r="A144" s="532" t="s">
        <v>592</v>
      </c>
      <c r="B144" s="532" t="s">
        <v>308</v>
      </c>
      <c r="C144" s="532" t="s">
        <v>429</v>
      </c>
      <c r="D144" s="532" t="s">
        <v>646</v>
      </c>
      <c r="E144" s="532" t="s">
        <v>647</v>
      </c>
      <c r="F144" s="532" t="s">
        <v>96</v>
      </c>
      <c r="G144" s="532" t="s">
        <v>648</v>
      </c>
      <c r="H144" s="532" t="s">
        <v>649</v>
      </c>
      <c r="L144" s="530" t="str">
        <f>B142</f>
        <v>Greece</v>
      </c>
    </row>
    <row r="145" spans="1:13">
      <c r="A145" s="532" t="s">
        <v>607</v>
      </c>
      <c r="B145" s="533">
        <v>67211</v>
      </c>
      <c r="C145" s="533">
        <v>67211</v>
      </c>
      <c r="D145" s="533">
        <v>0</v>
      </c>
      <c r="E145" s="533">
        <v>0</v>
      </c>
      <c r="F145" s="533">
        <v>0</v>
      </c>
      <c r="G145" s="533">
        <v>0</v>
      </c>
      <c r="H145" s="533">
        <v>0</v>
      </c>
      <c r="K145" s="532" t="s">
        <v>308</v>
      </c>
      <c r="L145" s="530">
        <f>B150/1000</f>
        <v>0.21299999999999999</v>
      </c>
    </row>
    <row r="146" spans="1:13">
      <c r="A146" s="532" t="s">
        <v>583</v>
      </c>
      <c r="B146" s="533">
        <v>66259</v>
      </c>
      <c r="C146" s="533">
        <v>66259</v>
      </c>
      <c r="D146" s="533">
        <v>0</v>
      </c>
      <c r="E146" s="533">
        <v>0</v>
      </c>
      <c r="F146" s="533">
        <v>0</v>
      </c>
      <c r="G146" s="533">
        <v>0</v>
      </c>
      <c r="H146" s="533">
        <v>0</v>
      </c>
      <c r="K146" s="532" t="s">
        <v>646</v>
      </c>
      <c r="L146" s="535">
        <f>D150/1000</f>
        <v>0</v>
      </c>
      <c r="M146" s="530" t="s">
        <v>1065</v>
      </c>
    </row>
    <row r="147" spans="1:13">
      <c r="A147" s="532" t="s">
        <v>584</v>
      </c>
      <c r="B147" s="533">
        <v>66259</v>
      </c>
      <c r="C147" s="533">
        <v>66259</v>
      </c>
      <c r="D147" s="533">
        <v>0</v>
      </c>
      <c r="E147" s="533">
        <v>0</v>
      </c>
      <c r="F147" s="533">
        <v>0</v>
      </c>
      <c r="G147" s="533">
        <v>0</v>
      </c>
      <c r="H147" s="533">
        <v>0</v>
      </c>
      <c r="K147" s="532" t="s">
        <v>646</v>
      </c>
      <c r="L147" s="535">
        <f>D151/1000</f>
        <v>0</v>
      </c>
      <c r="M147" s="530" t="s">
        <v>0</v>
      </c>
    </row>
    <row r="148" spans="1:13">
      <c r="A148" s="532" t="s">
        <v>585</v>
      </c>
      <c r="B148" s="533">
        <v>0</v>
      </c>
      <c r="C148" s="533">
        <v>0</v>
      </c>
      <c r="D148" s="533">
        <v>0</v>
      </c>
      <c r="E148" s="533">
        <v>0</v>
      </c>
      <c r="F148" s="533">
        <v>0</v>
      </c>
      <c r="G148" s="533">
        <v>0</v>
      </c>
      <c r="H148" s="533">
        <v>0</v>
      </c>
      <c r="K148" s="532" t="s">
        <v>647</v>
      </c>
      <c r="L148" s="535">
        <f>E150/1000</f>
        <v>0</v>
      </c>
      <c r="M148" s="530" t="s">
        <v>1065</v>
      </c>
    </row>
    <row r="149" spans="1:13">
      <c r="A149" s="532" t="s">
        <v>586</v>
      </c>
      <c r="B149" s="533">
        <v>952</v>
      </c>
      <c r="C149" s="533">
        <v>952</v>
      </c>
      <c r="D149" s="533">
        <v>0</v>
      </c>
      <c r="E149" s="533">
        <v>0</v>
      </c>
      <c r="F149" s="533">
        <v>0</v>
      </c>
      <c r="G149" s="533">
        <v>0</v>
      </c>
      <c r="H149" s="533">
        <v>0</v>
      </c>
      <c r="K149" s="532" t="s">
        <v>96</v>
      </c>
      <c r="L149" s="535">
        <f>F150/1000</f>
        <v>0</v>
      </c>
      <c r="M149" s="530" t="s">
        <v>1065</v>
      </c>
    </row>
    <row r="150" spans="1:13">
      <c r="A150" s="532" t="s">
        <v>587</v>
      </c>
      <c r="B150" s="533">
        <v>213</v>
      </c>
      <c r="C150" s="533">
        <v>213</v>
      </c>
      <c r="D150" s="533">
        <v>0</v>
      </c>
      <c r="E150" s="533">
        <v>0</v>
      </c>
      <c r="F150" s="533">
        <v>0</v>
      </c>
      <c r="G150" s="533">
        <v>0</v>
      </c>
      <c r="H150" s="533">
        <v>0</v>
      </c>
      <c r="K150" s="532" t="s">
        <v>647</v>
      </c>
      <c r="L150" s="535">
        <f>E151/1000</f>
        <v>0</v>
      </c>
      <c r="M150" s="530" t="s">
        <v>0</v>
      </c>
    </row>
    <row r="151" spans="1:13">
      <c r="A151" s="532" t="s">
        <v>588</v>
      </c>
      <c r="B151" s="533">
        <v>739</v>
      </c>
      <c r="C151" s="533">
        <v>739</v>
      </c>
      <c r="D151" s="533">
        <v>0</v>
      </c>
      <c r="E151" s="533">
        <v>0</v>
      </c>
      <c r="F151" s="533">
        <v>0</v>
      </c>
      <c r="G151" s="533">
        <v>0</v>
      </c>
      <c r="H151" s="533">
        <v>0</v>
      </c>
      <c r="K151" s="532" t="s">
        <v>96</v>
      </c>
      <c r="L151" s="535">
        <f>F151/1000</f>
        <v>0</v>
      </c>
      <c r="M151" s="530" t="s">
        <v>0</v>
      </c>
    </row>
    <row r="153" spans="1:13">
      <c r="A153" s="529" t="s">
        <v>589</v>
      </c>
    </row>
    <row r="154" spans="1:13">
      <c r="A154" s="529" t="s">
        <v>36</v>
      </c>
      <c r="B154" s="529" t="s">
        <v>590</v>
      </c>
    </row>
    <row r="156" spans="1:13">
      <c r="A156" s="529" t="s">
        <v>340</v>
      </c>
      <c r="B156" s="529" t="s">
        <v>576</v>
      </c>
    </row>
    <row r="157" spans="1:13">
      <c r="A157" s="529" t="s">
        <v>578</v>
      </c>
      <c r="B157" s="529" t="s">
        <v>298</v>
      </c>
    </row>
    <row r="158" spans="1:13">
      <c r="A158" s="529" t="s">
        <v>343</v>
      </c>
      <c r="B158" s="529" t="s">
        <v>184</v>
      </c>
    </row>
    <row r="160" spans="1:13">
      <c r="A160" s="532" t="s">
        <v>592</v>
      </c>
      <c r="B160" s="532" t="s">
        <v>308</v>
      </c>
      <c r="C160" s="532" t="s">
        <v>429</v>
      </c>
      <c r="D160" s="532" t="s">
        <v>646</v>
      </c>
      <c r="E160" s="532" t="s">
        <v>647</v>
      </c>
      <c r="F160" s="532" t="s">
        <v>96</v>
      </c>
      <c r="G160" s="532" t="s">
        <v>648</v>
      </c>
      <c r="H160" s="532" t="s">
        <v>649</v>
      </c>
      <c r="L160" s="530" t="str">
        <f>B158</f>
        <v>Spain</v>
      </c>
    </row>
    <row r="161" spans="1:13">
      <c r="A161" s="532" t="s">
        <v>607</v>
      </c>
      <c r="B161" s="533">
        <v>466421</v>
      </c>
      <c r="C161" s="533">
        <v>452091</v>
      </c>
      <c r="D161" s="533">
        <v>14330</v>
      </c>
      <c r="E161" s="533">
        <v>5261</v>
      </c>
      <c r="F161" s="533">
        <v>9069</v>
      </c>
      <c r="G161" s="533">
        <v>0</v>
      </c>
      <c r="H161" s="533">
        <v>0</v>
      </c>
      <c r="K161" s="532" t="s">
        <v>308</v>
      </c>
      <c r="L161" s="530">
        <f>B166/1000</f>
        <v>1.9630000000000001</v>
      </c>
    </row>
    <row r="162" spans="1:13">
      <c r="A162" s="532" t="s">
        <v>583</v>
      </c>
      <c r="B162" s="533">
        <v>343364</v>
      </c>
      <c r="C162" s="533">
        <v>332123</v>
      </c>
      <c r="D162" s="533">
        <v>11242</v>
      </c>
      <c r="E162" s="533">
        <v>2173</v>
      </c>
      <c r="F162" s="533">
        <v>9069</v>
      </c>
      <c r="G162" s="533">
        <v>0</v>
      </c>
      <c r="H162" s="533">
        <v>0</v>
      </c>
      <c r="K162" s="532" t="s">
        <v>646</v>
      </c>
      <c r="L162" s="535">
        <f>D166/1000</f>
        <v>1.9630000000000001</v>
      </c>
      <c r="M162" s="530" t="s">
        <v>1065</v>
      </c>
    </row>
    <row r="163" spans="1:13">
      <c r="A163" s="532" t="s">
        <v>584</v>
      </c>
      <c r="B163" s="533">
        <v>343364</v>
      </c>
      <c r="C163" s="533">
        <v>332123</v>
      </c>
      <c r="D163" s="533">
        <v>11242</v>
      </c>
      <c r="E163" s="533">
        <v>2173</v>
      </c>
      <c r="F163" s="533">
        <v>9069</v>
      </c>
      <c r="G163" s="533">
        <v>0</v>
      </c>
      <c r="H163" s="533">
        <v>0</v>
      </c>
      <c r="K163" s="532" t="s">
        <v>646</v>
      </c>
      <c r="L163" s="535">
        <f>D167/1000</f>
        <v>1.1259999999999999</v>
      </c>
      <c r="M163" s="530" t="s">
        <v>0</v>
      </c>
    </row>
    <row r="164" spans="1:13">
      <c r="A164" s="532" t="s">
        <v>585</v>
      </c>
      <c r="B164" s="533">
        <v>0</v>
      </c>
      <c r="C164" s="533">
        <v>0</v>
      </c>
      <c r="D164" s="533">
        <v>0</v>
      </c>
      <c r="E164" s="533">
        <v>0</v>
      </c>
      <c r="F164" s="533">
        <v>0</v>
      </c>
      <c r="G164" s="533">
        <v>0</v>
      </c>
      <c r="H164" s="533">
        <v>0</v>
      </c>
      <c r="K164" s="532" t="s">
        <v>647</v>
      </c>
      <c r="L164" s="535">
        <f>E166/1000</f>
        <v>1.9630000000000001</v>
      </c>
      <c r="M164" s="530" t="s">
        <v>1065</v>
      </c>
    </row>
    <row r="165" spans="1:13">
      <c r="A165" s="532" t="s">
        <v>586</v>
      </c>
      <c r="B165" s="533">
        <v>123057</v>
      </c>
      <c r="C165" s="533">
        <v>119968</v>
      </c>
      <c r="D165" s="533">
        <v>3089</v>
      </c>
      <c r="E165" s="533">
        <v>3089</v>
      </c>
      <c r="F165" s="533">
        <v>0</v>
      </c>
      <c r="G165" s="533">
        <v>0</v>
      </c>
      <c r="H165" s="533">
        <v>0</v>
      </c>
      <c r="K165" s="532" t="s">
        <v>96</v>
      </c>
      <c r="L165" s="535">
        <f>F166/1000</f>
        <v>0</v>
      </c>
      <c r="M165" s="530" t="s">
        <v>1065</v>
      </c>
    </row>
    <row r="166" spans="1:13">
      <c r="A166" s="532" t="s">
        <v>587</v>
      </c>
      <c r="B166" s="533">
        <v>1963</v>
      </c>
      <c r="C166" s="533">
        <v>0</v>
      </c>
      <c r="D166" s="533">
        <v>1963</v>
      </c>
      <c r="E166" s="533">
        <v>1963</v>
      </c>
      <c r="F166" s="533">
        <v>0</v>
      </c>
      <c r="G166" s="533">
        <v>0</v>
      </c>
      <c r="H166" s="533">
        <v>0</v>
      </c>
      <c r="K166" s="532" t="s">
        <v>647</v>
      </c>
      <c r="L166" s="535">
        <f>E167/1000</f>
        <v>1.1259999999999999</v>
      </c>
      <c r="M166" s="530" t="s">
        <v>0</v>
      </c>
    </row>
    <row r="167" spans="1:13">
      <c r="A167" s="532" t="s">
        <v>588</v>
      </c>
      <c r="B167" s="533">
        <v>121094</v>
      </c>
      <c r="C167" s="533">
        <v>119968</v>
      </c>
      <c r="D167" s="533">
        <v>1126</v>
      </c>
      <c r="E167" s="533">
        <v>1126</v>
      </c>
      <c r="F167" s="533">
        <v>0</v>
      </c>
      <c r="G167" s="533">
        <v>0</v>
      </c>
      <c r="H167" s="533">
        <v>0</v>
      </c>
      <c r="K167" s="532" t="s">
        <v>96</v>
      </c>
      <c r="L167" s="535">
        <f>F167/1000</f>
        <v>0</v>
      </c>
      <c r="M167" s="530" t="s">
        <v>0</v>
      </c>
    </row>
    <row r="169" spans="1:13">
      <c r="A169" s="529" t="s">
        <v>589</v>
      </c>
    </row>
    <row r="170" spans="1:13">
      <c r="A170" s="529" t="s">
        <v>36</v>
      </c>
      <c r="B170" s="529" t="s">
        <v>590</v>
      </c>
    </row>
    <row r="172" spans="1:13">
      <c r="A172" s="529" t="s">
        <v>340</v>
      </c>
      <c r="B172" s="529" t="s">
        <v>576</v>
      </c>
    </row>
    <row r="173" spans="1:13">
      <c r="A173" s="529" t="s">
        <v>578</v>
      </c>
      <c r="B173" s="529" t="s">
        <v>298</v>
      </c>
    </row>
    <row r="174" spans="1:13">
      <c r="A174" s="529" t="s">
        <v>343</v>
      </c>
      <c r="B174" s="529" t="s">
        <v>185</v>
      </c>
    </row>
    <row r="176" spans="1:13">
      <c r="A176" s="532" t="s">
        <v>592</v>
      </c>
      <c r="B176" s="532" t="s">
        <v>308</v>
      </c>
      <c r="C176" s="532" t="s">
        <v>429</v>
      </c>
      <c r="D176" s="532" t="s">
        <v>646</v>
      </c>
      <c r="E176" s="532" t="s">
        <v>647</v>
      </c>
      <c r="F176" s="532" t="s">
        <v>96</v>
      </c>
      <c r="G176" s="532" t="s">
        <v>648</v>
      </c>
      <c r="H176" s="532" t="s">
        <v>649</v>
      </c>
      <c r="L176" s="530" t="str">
        <f>B174</f>
        <v>France</v>
      </c>
    </row>
    <row r="177" spans="1:13">
      <c r="A177" s="532" t="s">
        <v>607</v>
      </c>
      <c r="B177" s="533">
        <v>263684</v>
      </c>
      <c r="C177" s="533">
        <v>228720</v>
      </c>
      <c r="D177" s="533">
        <v>34964</v>
      </c>
      <c r="E177" s="533">
        <v>7560</v>
      </c>
      <c r="F177" s="533">
        <v>27404</v>
      </c>
      <c r="G177" s="533">
        <v>0</v>
      </c>
      <c r="H177" s="533">
        <v>0</v>
      </c>
      <c r="K177" s="532" t="s">
        <v>308</v>
      </c>
      <c r="L177" s="530">
        <f>B182/1000</f>
        <v>33.42</v>
      </c>
    </row>
    <row r="178" spans="1:13">
      <c r="A178" s="532" t="s">
        <v>583</v>
      </c>
      <c r="B178" s="533">
        <v>113618</v>
      </c>
      <c r="C178" s="533">
        <v>94982</v>
      </c>
      <c r="D178" s="533">
        <v>18636</v>
      </c>
      <c r="E178" s="533">
        <v>4269</v>
      </c>
      <c r="F178" s="533">
        <v>14367</v>
      </c>
      <c r="G178" s="533">
        <v>0</v>
      </c>
      <c r="H178" s="533">
        <v>0</v>
      </c>
      <c r="K178" s="532" t="s">
        <v>646</v>
      </c>
      <c r="L178" s="535">
        <f>D182/1000</f>
        <v>13.005000000000001</v>
      </c>
      <c r="M178" s="530" t="s">
        <v>1065</v>
      </c>
    </row>
    <row r="179" spans="1:13">
      <c r="A179" s="532" t="s">
        <v>584</v>
      </c>
      <c r="B179" s="533">
        <v>20032</v>
      </c>
      <c r="C179" s="533">
        <v>1396</v>
      </c>
      <c r="D179" s="533">
        <v>18636</v>
      </c>
      <c r="E179" s="533">
        <v>4269</v>
      </c>
      <c r="F179" s="533">
        <v>14367</v>
      </c>
      <c r="G179" s="533">
        <v>0</v>
      </c>
      <c r="H179" s="533">
        <v>0</v>
      </c>
      <c r="K179" s="532" t="s">
        <v>646</v>
      </c>
      <c r="L179" s="535">
        <f>D183/1000</f>
        <v>3.3239999999999998</v>
      </c>
      <c r="M179" s="530" t="s">
        <v>0</v>
      </c>
    </row>
    <row r="180" spans="1:13">
      <c r="A180" s="532" t="s">
        <v>585</v>
      </c>
      <c r="B180" s="533">
        <v>93587</v>
      </c>
      <c r="C180" s="533">
        <v>93587</v>
      </c>
      <c r="D180" s="533">
        <v>0</v>
      </c>
      <c r="E180" s="533">
        <v>0</v>
      </c>
      <c r="F180" s="533">
        <v>0</v>
      </c>
      <c r="G180" s="533">
        <v>0</v>
      </c>
      <c r="H180" s="533">
        <v>0</v>
      </c>
      <c r="K180" s="532" t="s">
        <v>647</v>
      </c>
      <c r="L180" s="535">
        <f>E182/1000</f>
        <v>3.0529999999999999</v>
      </c>
      <c r="M180" s="530" t="s">
        <v>1065</v>
      </c>
    </row>
    <row r="181" spans="1:13">
      <c r="A181" s="532" t="s">
        <v>586</v>
      </c>
      <c r="B181" s="533">
        <v>150066</v>
      </c>
      <c r="C181" s="533">
        <v>133737</v>
      </c>
      <c r="D181" s="533">
        <v>16328</v>
      </c>
      <c r="E181" s="533">
        <v>3291</v>
      </c>
      <c r="F181" s="533">
        <v>13037</v>
      </c>
      <c r="G181" s="533">
        <v>0</v>
      </c>
      <c r="H181" s="533">
        <v>0</v>
      </c>
      <c r="K181" s="532" t="s">
        <v>96</v>
      </c>
      <c r="L181" s="535">
        <f>F182/1000</f>
        <v>9.952</v>
      </c>
      <c r="M181" s="530" t="s">
        <v>1065</v>
      </c>
    </row>
    <row r="182" spans="1:13">
      <c r="A182" s="532" t="s">
        <v>587</v>
      </c>
      <c r="B182" s="533">
        <v>33420</v>
      </c>
      <c r="C182" s="533">
        <v>20416</v>
      </c>
      <c r="D182" s="533">
        <v>13005</v>
      </c>
      <c r="E182" s="533">
        <v>3053</v>
      </c>
      <c r="F182" s="533">
        <v>9952</v>
      </c>
      <c r="G182" s="533">
        <v>0</v>
      </c>
      <c r="H182" s="533">
        <v>0</v>
      </c>
      <c r="K182" s="532" t="s">
        <v>647</v>
      </c>
      <c r="L182" s="535">
        <f>E183/1000</f>
        <v>0.23899999999999999</v>
      </c>
      <c r="M182" s="530" t="s">
        <v>0</v>
      </c>
    </row>
    <row r="183" spans="1:13">
      <c r="A183" s="532" t="s">
        <v>588</v>
      </c>
      <c r="B183" s="533">
        <v>116645</v>
      </c>
      <c r="C183" s="533">
        <v>113322</v>
      </c>
      <c r="D183" s="533">
        <v>3324</v>
      </c>
      <c r="E183" s="533">
        <v>239</v>
      </c>
      <c r="F183" s="533">
        <v>3085</v>
      </c>
      <c r="G183" s="533">
        <v>0</v>
      </c>
      <c r="H183" s="533">
        <v>0</v>
      </c>
      <c r="K183" s="532" t="s">
        <v>96</v>
      </c>
      <c r="L183" s="535">
        <f>F183/1000</f>
        <v>3.085</v>
      </c>
      <c r="M183" s="530" t="s">
        <v>0</v>
      </c>
    </row>
    <row r="185" spans="1:13">
      <c r="A185" s="529" t="s">
        <v>589</v>
      </c>
    </row>
    <row r="186" spans="1:13">
      <c r="A186" s="529" t="s">
        <v>36</v>
      </c>
      <c r="B186" s="529" t="s">
        <v>590</v>
      </c>
    </row>
    <row r="188" spans="1:13">
      <c r="A188" s="529" t="s">
        <v>340</v>
      </c>
      <c r="B188" s="529" t="s">
        <v>576</v>
      </c>
    </row>
    <row r="189" spans="1:13">
      <c r="A189" s="529" t="s">
        <v>578</v>
      </c>
      <c r="B189" s="529" t="s">
        <v>298</v>
      </c>
    </row>
    <row r="190" spans="1:13">
      <c r="A190" s="529" t="s">
        <v>343</v>
      </c>
      <c r="B190" s="529" t="s">
        <v>186</v>
      </c>
    </row>
    <row r="192" spans="1:13">
      <c r="A192" s="532" t="s">
        <v>592</v>
      </c>
      <c r="B192" s="532" t="s">
        <v>308</v>
      </c>
      <c r="C192" s="532" t="s">
        <v>429</v>
      </c>
      <c r="D192" s="532" t="s">
        <v>646</v>
      </c>
      <c r="E192" s="532" t="s">
        <v>647</v>
      </c>
      <c r="F192" s="532" t="s">
        <v>96</v>
      </c>
      <c r="G192" s="532" t="s">
        <v>648</v>
      </c>
      <c r="H192" s="532" t="s">
        <v>649</v>
      </c>
      <c r="L192" s="530" t="str">
        <f>B190</f>
        <v>Italy</v>
      </c>
    </row>
    <row r="193" spans="1:13">
      <c r="A193" s="532" t="s">
        <v>607</v>
      </c>
      <c r="B193" s="533">
        <v>1238660</v>
      </c>
      <c r="C193" s="533">
        <v>1184142</v>
      </c>
      <c r="D193" s="533">
        <v>54518</v>
      </c>
      <c r="E193" s="533">
        <v>12345</v>
      </c>
      <c r="F193" s="533">
        <v>37709</v>
      </c>
      <c r="G193" s="533">
        <v>0</v>
      </c>
      <c r="H193" s="533">
        <v>4464</v>
      </c>
      <c r="K193" s="532" t="s">
        <v>308</v>
      </c>
      <c r="L193" s="530">
        <f>B198/1000</f>
        <v>7.1349999999999998</v>
      </c>
    </row>
    <row r="194" spans="1:13">
      <c r="A194" s="532" t="s">
        <v>583</v>
      </c>
      <c r="B194" s="533">
        <v>1089417</v>
      </c>
      <c r="C194" s="533">
        <v>1039460</v>
      </c>
      <c r="D194" s="533">
        <v>49957</v>
      </c>
      <c r="E194" s="533">
        <v>11516</v>
      </c>
      <c r="F194" s="533">
        <v>33977</v>
      </c>
      <c r="G194" s="533">
        <v>0</v>
      </c>
      <c r="H194" s="533">
        <v>4464</v>
      </c>
      <c r="K194" s="532" t="s">
        <v>646</v>
      </c>
      <c r="L194" s="535">
        <f>D198/1000</f>
        <v>4.4550000000000001</v>
      </c>
      <c r="M194" s="530" t="s">
        <v>1065</v>
      </c>
    </row>
    <row r="195" spans="1:13">
      <c r="A195" s="532" t="s">
        <v>584</v>
      </c>
      <c r="B195" s="533">
        <v>603729</v>
      </c>
      <c r="C195" s="533">
        <v>587706</v>
      </c>
      <c r="D195" s="533">
        <v>16022</v>
      </c>
      <c r="E195" s="533">
        <v>1382</v>
      </c>
      <c r="F195" s="533">
        <v>12361</v>
      </c>
      <c r="G195" s="533">
        <v>0</v>
      </c>
      <c r="H195" s="533">
        <v>2279</v>
      </c>
      <c r="K195" s="532" t="s">
        <v>646</v>
      </c>
      <c r="L195" s="535">
        <f>D199/1000</f>
        <v>0.106</v>
      </c>
      <c r="M195" s="530" t="s">
        <v>0</v>
      </c>
    </row>
    <row r="196" spans="1:13">
      <c r="A196" s="532" t="s">
        <v>585</v>
      </c>
      <c r="B196" s="533">
        <v>485688</v>
      </c>
      <c r="C196" s="533">
        <v>451753</v>
      </c>
      <c r="D196" s="533">
        <v>33935</v>
      </c>
      <c r="E196" s="533">
        <v>10134</v>
      </c>
      <c r="F196" s="533">
        <v>21616</v>
      </c>
      <c r="G196" s="533">
        <v>0</v>
      </c>
      <c r="H196" s="533">
        <v>2185</v>
      </c>
      <c r="K196" s="532" t="s">
        <v>647</v>
      </c>
      <c r="L196" s="535">
        <f>E198/1000</f>
        <v>0.82099999999999995</v>
      </c>
      <c r="M196" s="530" t="s">
        <v>1065</v>
      </c>
    </row>
    <row r="197" spans="1:13">
      <c r="A197" s="532" t="s">
        <v>586</v>
      </c>
      <c r="B197" s="533">
        <v>149243</v>
      </c>
      <c r="C197" s="533">
        <v>144682</v>
      </c>
      <c r="D197" s="533">
        <v>4561</v>
      </c>
      <c r="E197" s="533">
        <v>829</v>
      </c>
      <c r="F197" s="533">
        <v>3732</v>
      </c>
      <c r="G197" s="533">
        <v>0</v>
      </c>
      <c r="H197" s="533">
        <v>0</v>
      </c>
      <c r="K197" s="532" t="s">
        <v>96</v>
      </c>
      <c r="L197" s="535">
        <f>F198/1000</f>
        <v>3.6339999999999999</v>
      </c>
      <c r="M197" s="530" t="s">
        <v>1065</v>
      </c>
    </row>
    <row r="198" spans="1:13">
      <c r="A198" s="532" t="s">
        <v>587</v>
      </c>
      <c r="B198" s="533">
        <v>7135</v>
      </c>
      <c r="C198" s="533">
        <v>2680</v>
      </c>
      <c r="D198" s="533">
        <v>4455</v>
      </c>
      <c r="E198" s="533">
        <v>821</v>
      </c>
      <c r="F198" s="533">
        <v>3634</v>
      </c>
      <c r="G198" s="533">
        <v>0</v>
      </c>
      <c r="H198" s="533">
        <v>0</v>
      </c>
      <c r="K198" s="532" t="s">
        <v>647</v>
      </c>
      <c r="L198" s="535">
        <f>E199/1000</f>
        <v>8.0000000000000002E-3</v>
      </c>
      <c r="M198" s="530" t="s">
        <v>0</v>
      </c>
    </row>
    <row r="199" spans="1:13">
      <c r="A199" s="532" t="s">
        <v>588</v>
      </c>
      <c r="B199" s="533">
        <v>142108</v>
      </c>
      <c r="C199" s="533">
        <v>142002</v>
      </c>
      <c r="D199" s="533">
        <v>106</v>
      </c>
      <c r="E199" s="533">
        <v>8</v>
      </c>
      <c r="F199" s="533">
        <v>98</v>
      </c>
      <c r="G199" s="533">
        <v>0</v>
      </c>
      <c r="H199" s="533">
        <v>0</v>
      </c>
      <c r="K199" s="532" t="s">
        <v>96</v>
      </c>
      <c r="L199" s="535">
        <f>F199/1000</f>
        <v>9.8000000000000004E-2</v>
      </c>
      <c r="M199" s="530" t="s">
        <v>0</v>
      </c>
    </row>
    <row r="201" spans="1:13">
      <c r="A201" s="529" t="s">
        <v>589</v>
      </c>
    </row>
    <row r="202" spans="1:13">
      <c r="A202" s="529" t="s">
        <v>36</v>
      </c>
      <c r="B202" s="529" t="s">
        <v>590</v>
      </c>
    </row>
    <row r="204" spans="1:13">
      <c r="A204" s="529" t="s">
        <v>340</v>
      </c>
      <c r="B204" s="529" t="s">
        <v>576</v>
      </c>
    </row>
    <row r="205" spans="1:13">
      <c r="A205" s="529" t="s">
        <v>578</v>
      </c>
      <c r="B205" s="529" t="s">
        <v>298</v>
      </c>
    </row>
    <row r="206" spans="1:13">
      <c r="A206" s="529" t="s">
        <v>343</v>
      </c>
      <c r="B206" s="529" t="s">
        <v>187</v>
      </c>
    </row>
    <row r="208" spans="1:13">
      <c r="A208" s="532" t="s">
        <v>592</v>
      </c>
      <c r="B208" s="532" t="s">
        <v>308</v>
      </c>
      <c r="C208" s="532" t="s">
        <v>429</v>
      </c>
      <c r="D208" s="532" t="s">
        <v>646</v>
      </c>
      <c r="E208" s="532" t="s">
        <v>647</v>
      </c>
      <c r="F208" s="532" t="s">
        <v>96</v>
      </c>
      <c r="G208" s="532" t="s">
        <v>648</v>
      </c>
      <c r="H208" s="532" t="s">
        <v>649</v>
      </c>
      <c r="L208" s="530" t="str">
        <f>B206</f>
        <v>Cyprus</v>
      </c>
    </row>
    <row r="209" spans="1:13">
      <c r="A209" s="532" t="s">
        <v>607</v>
      </c>
      <c r="B209" s="533">
        <v>0</v>
      </c>
      <c r="C209" s="534" t="s">
        <v>36</v>
      </c>
      <c r="D209" s="533">
        <v>0</v>
      </c>
      <c r="E209" s="533">
        <v>0</v>
      </c>
      <c r="F209" s="533">
        <v>0</v>
      </c>
      <c r="G209" s="533">
        <v>0</v>
      </c>
      <c r="H209" s="533">
        <v>0</v>
      </c>
      <c r="K209" s="532" t="s">
        <v>308</v>
      </c>
      <c r="L209" s="530">
        <f>B214/1000</f>
        <v>0</v>
      </c>
    </row>
    <row r="210" spans="1:13">
      <c r="A210" s="532" t="s">
        <v>583</v>
      </c>
      <c r="B210" s="533">
        <v>0</v>
      </c>
      <c r="C210" s="534" t="s">
        <v>36</v>
      </c>
      <c r="D210" s="533">
        <v>0</v>
      </c>
      <c r="E210" s="533">
        <v>0</v>
      </c>
      <c r="F210" s="533">
        <v>0</v>
      </c>
      <c r="G210" s="533">
        <v>0</v>
      </c>
      <c r="H210" s="533">
        <v>0</v>
      </c>
      <c r="K210" s="532" t="s">
        <v>646</v>
      </c>
      <c r="L210" s="535">
        <f>D214/1000</f>
        <v>0</v>
      </c>
      <c r="M210" s="530" t="s">
        <v>1065</v>
      </c>
    </row>
    <row r="211" spans="1:13">
      <c r="A211" s="532" t="s">
        <v>584</v>
      </c>
      <c r="B211" s="533">
        <v>0</v>
      </c>
      <c r="C211" s="534" t="s">
        <v>36</v>
      </c>
      <c r="D211" s="533">
        <v>0</v>
      </c>
      <c r="E211" s="533">
        <v>0</v>
      </c>
      <c r="F211" s="533">
        <v>0</v>
      </c>
      <c r="G211" s="533">
        <v>0</v>
      </c>
      <c r="H211" s="533">
        <v>0</v>
      </c>
      <c r="K211" s="532" t="s">
        <v>646</v>
      </c>
      <c r="L211" s="535">
        <f>D215/1000</f>
        <v>0</v>
      </c>
      <c r="M211" s="530" t="s">
        <v>0</v>
      </c>
    </row>
    <row r="212" spans="1:13">
      <c r="A212" s="532" t="s">
        <v>585</v>
      </c>
      <c r="B212" s="533">
        <v>0</v>
      </c>
      <c r="C212" s="534" t="s">
        <v>36</v>
      </c>
      <c r="D212" s="533">
        <v>0</v>
      </c>
      <c r="E212" s="533">
        <v>0</v>
      </c>
      <c r="F212" s="533">
        <v>0</v>
      </c>
      <c r="G212" s="533">
        <v>0</v>
      </c>
      <c r="H212" s="533">
        <v>0</v>
      </c>
      <c r="K212" s="532" t="s">
        <v>647</v>
      </c>
      <c r="L212" s="535">
        <f>E214/1000</f>
        <v>0</v>
      </c>
      <c r="M212" s="530" t="s">
        <v>1065</v>
      </c>
    </row>
    <row r="213" spans="1:13">
      <c r="A213" s="532" t="s">
        <v>586</v>
      </c>
      <c r="B213" s="533">
        <v>0</v>
      </c>
      <c r="C213" s="534" t="s">
        <v>36</v>
      </c>
      <c r="D213" s="533">
        <v>0</v>
      </c>
      <c r="E213" s="533">
        <v>0</v>
      </c>
      <c r="F213" s="533">
        <v>0</v>
      </c>
      <c r="G213" s="533">
        <v>0</v>
      </c>
      <c r="H213" s="533">
        <v>0</v>
      </c>
      <c r="K213" s="532" t="s">
        <v>96</v>
      </c>
      <c r="L213" s="535">
        <f>F214/1000</f>
        <v>0</v>
      </c>
      <c r="M213" s="530" t="s">
        <v>1065</v>
      </c>
    </row>
    <row r="214" spans="1:13">
      <c r="A214" s="532" t="s">
        <v>587</v>
      </c>
      <c r="B214" s="533">
        <v>0</v>
      </c>
      <c r="C214" s="534" t="s">
        <v>36</v>
      </c>
      <c r="D214" s="533">
        <v>0</v>
      </c>
      <c r="E214" s="533">
        <v>0</v>
      </c>
      <c r="F214" s="533">
        <v>0</v>
      </c>
      <c r="G214" s="533">
        <v>0</v>
      </c>
      <c r="H214" s="533">
        <v>0</v>
      </c>
      <c r="K214" s="532" t="s">
        <v>647</v>
      </c>
      <c r="L214" s="535">
        <f>E215/1000</f>
        <v>0</v>
      </c>
      <c r="M214" s="530" t="s">
        <v>0</v>
      </c>
    </row>
    <row r="215" spans="1:13">
      <c r="A215" s="532" t="s">
        <v>588</v>
      </c>
      <c r="B215" s="533">
        <v>0</v>
      </c>
      <c r="C215" s="534" t="s">
        <v>36</v>
      </c>
      <c r="D215" s="533">
        <v>0</v>
      </c>
      <c r="E215" s="533">
        <v>0</v>
      </c>
      <c r="F215" s="533">
        <v>0</v>
      </c>
      <c r="G215" s="533">
        <v>0</v>
      </c>
      <c r="H215" s="533">
        <v>0</v>
      </c>
      <c r="K215" s="532" t="s">
        <v>96</v>
      </c>
      <c r="L215" s="535">
        <f>F215/1000</f>
        <v>0</v>
      </c>
      <c r="M215" s="530" t="s">
        <v>0</v>
      </c>
    </row>
    <row r="217" spans="1:13">
      <c r="A217" s="529" t="s">
        <v>589</v>
      </c>
    </row>
    <row r="218" spans="1:13">
      <c r="A218" s="529" t="s">
        <v>36</v>
      </c>
      <c r="B218" s="529" t="s">
        <v>590</v>
      </c>
    </row>
    <row r="220" spans="1:13">
      <c r="A220" s="529" t="s">
        <v>340</v>
      </c>
      <c r="B220" s="529" t="s">
        <v>576</v>
      </c>
    </row>
    <row r="221" spans="1:13">
      <c r="A221" s="529" t="s">
        <v>578</v>
      </c>
      <c r="B221" s="529" t="s">
        <v>298</v>
      </c>
    </row>
    <row r="222" spans="1:13">
      <c r="A222" s="529" t="s">
        <v>343</v>
      </c>
      <c r="B222" s="529" t="s">
        <v>219</v>
      </c>
    </row>
    <row r="224" spans="1:13">
      <c r="A224" s="532" t="s">
        <v>592</v>
      </c>
      <c r="B224" s="532" t="s">
        <v>308</v>
      </c>
      <c r="C224" s="532" t="s">
        <v>429</v>
      </c>
      <c r="D224" s="532" t="s">
        <v>646</v>
      </c>
      <c r="E224" s="532" t="s">
        <v>647</v>
      </c>
      <c r="F224" s="532" t="s">
        <v>96</v>
      </c>
      <c r="G224" s="532" t="s">
        <v>648</v>
      </c>
      <c r="H224" s="532" t="s">
        <v>649</v>
      </c>
      <c r="L224" s="530" t="str">
        <f>B222</f>
        <v>Latvia</v>
      </c>
    </row>
    <row r="225" spans="1:13">
      <c r="A225" s="532" t="s">
        <v>607</v>
      </c>
      <c r="B225" s="533">
        <v>22640</v>
      </c>
      <c r="C225" s="533">
        <v>22640</v>
      </c>
      <c r="D225" s="533">
        <v>0</v>
      </c>
      <c r="E225" s="533">
        <v>0</v>
      </c>
      <c r="F225" s="533">
        <v>0</v>
      </c>
      <c r="G225" s="533">
        <v>0</v>
      </c>
      <c r="H225" s="533">
        <v>0</v>
      </c>
      <c r="K225" s="532" t="s">
        <v>308</v>
      </c>
      <c r="L225" s="530">
        <f>B230/1000</f>
        <v>0</v>
      </c>
    </row>
    <row r="226" spans="1:13">
      <c r="A226" s="532" t="s">
        <v>583</v>
      </c>
      <c r="B226" s="533">
        <v>21869</v>
      </c>
      <c r="C226" s="533">
        <v>21869</v>
      </c>
      <c r="D226" s="533">
        <v>0</v>
      </c>
      <c r="E226" s="533">
        <v>0</v>
      </c>
      <c r="F226" s="533">
        <v>0</v>
      </c>
      <c r="G226" s="533">
        <v>0</v>
      </c>
      <c r="H226" s="533">
        <v>0</v>
      </c>
      <c r="K226" s="532" t="s">
        <v>646</v>
      </c>
      <c r="L226" s="535">
        <f>D230/1000</f>
        <v>0</v>
      </c>
      <c r="M226" s="530" t="s">
        <v>1065</v>
      </c>
    </row>
    <row r="227" spans="1:13">
      <c r="A227" s="532" t="s">
        <v>584</v>
      </c>
      <c r="B227" s="533">
        <v>0</v>
      </c>
      <c r="C227" s="533">
        <v>0</v>
      </c>
      <c r="D227" s="533">
        <v>0</v>
      </c>
      <c r="E227" s="533">
        <v>0</v>
      </c>
      <c r="F227" s="533">
        <v>0</v>
      </c>
      <c r="G227" s="533">
        <v>0</v>
      </c>
      <c r="H227" s="533">
        <v>0</v>
      </c>
      <c r="K227" s="532" t="s">
        <v>646</v>
      </c>
      <c r="L227" s="535">
        <f>D231/1000</f>
        <v>0</v>
      </c>
      <c r="M227" s="530" t="s">
        <v>0</v>
      </c>
    </row>
    <row r="228" spans="1:13">
      <c r="A228" s="532" t="s">
        <v>585</v>
      </c>
      <c r="B228" s="533">
        <v>21869</v>
      </c>
      <c r="C228" s="533">
        <v>21869</v>
      </c>
      <c r="D228" s="533">
        <v>0</v>
      </c>
      <c r="E228" s="533">
        <v>0</v>
      </c>
      <c r="F228" s="533">
        <v>0</v>
      </c>
      <c r="G228" s="533">
        <v>0</v>
      </c>
      <c r="H228" s="533">
        <v>0</v>
      </c>
      <c r="K228" s="532" t="s">
        <v>647</v>
      </c>
      <c r="L228" s="535">
        <f>E230/1000</f>
        <v>0</v>
      </c>
      <c r="M228" s="530" t="s">
        <v>1065</v>
      </c>
    </row>
    <row r="229" spans="1:13">
      <c r="A229" s="532" t="s">
        <v>586</v>
      </c>
      <c r="B229" s="533">
        <v>771</v>
      </c>
      <c r="C229" s="533">
        <v>771</v>
      </c>
      <c r="D229" s="533">
        <v>0</v>
      </c>
      <c r="E229" s="533">
        <v>0</v>
      </c>
      <c r="F229" s="533">
        <v>0</v>
      </c>
      <c r="G229" s="533">
        <v>0</v>
      </c>
      <c r="H229" s="533">
        <v>0</v>
      </c>
      <c r="K229" s="532" t="s">
        <v>96</v>
      </c>
      <c r="L229" s="535">
        <f>F230/1000</f>
        <v>0</v>
      </c>
      <c r="M229" s="530" t="s">
        <v>1065</v>
      </c>
    </row>
    <row r="230" spans="1:13">
      <c r="A230" s="532" t="s">
        <v>587</v>
      </c>
      <c r="B230" s="533">
        <v>0</v>
      </c>
      <c r="C230" s="533">
        <v>0</v>
      </c>
      <c r="D230" s="533">
        <v>0</v>
      </c>
      <c r="E230" s="533">
        <v>0</v>
      </c>
      <c r="F230" s="533">
        <v>0</v>
      </c>
      <c r="G230" s="533">
        <v>0</v>
      </c>
      <c r="H230" s="533">
        <v>0</v>
      </c>
      <c r="K230" s="532" t="s">
        <v>647</v>
      </c>
      <c r="L230" s="535">
        <f>E231/1000</f>
        <v>0</v>
      </c>
      <c r="M230" s="530" t="s">
        <v>0</v>
      </c>
    </row>
    <row r="231" spans="1:13">
      <c r="A231" s="532" t="s">
        <v>588</v>
      </c>
      <c r="B231" s="533">
        <v>771</v>
      </c>
      <c r="C231" s="533">
        <v>771</v>
      </c>
      <c r="D231" s="533">
        <v>0</v>
      </c>
      <c r="E231" s="533">
        <v>0</v>
      </c>
      <c r="F231" s="533">
        <v>0</v>
      </c>
      <c r="G231" s="533">
        <v>0</v>
      </c>
      <c r="H231" s="533">
        <v>0</v>
      </c>
      <c r="K231" s="532" t="s">
        <v>96</v>
      </c>
      <c r="L231" s="535">
        <f>F231/1000</f>
        <v>0</v>
      </c>
      <c r="M231" s="530" t="s">
        <v>0</v>
      </c>
    </row>
    <row r="233" spans="1:13">
      <c r="A233" s="529" t="s">
        <v>589</v>
      </c>
    </row>
    <row r="234" spans="1:13">
      <c r="A234" s="529" t="s">
        <v>36</v>
      </c>
      <c r="B234" s="529" t="s">
        <v>590</v>
      </c>
    </row>
    <row r="236" spans="1:13">
      <c r="A236" s="529" t="s">
        <v>340</v>
      </c>
      <c r="B236" s="529" t="s">
        <v>576</v>
      </c>
    </row>
    <row r="237" spans="1:13">
      <c r="A237" s="529" t="s">
        <v>578</v>
      </c>
      <c r="B237" s="529" t="s">
        <v>298</v>
      </c>
    </row>
    <row r="238" spans="1:13">
      <c r="A238" s="529" t="s">
        <v>343</v>
      </c>
      <c r="B238" s="529" t="s">
        <v>188</v>
      </c>
    </row>
    <row r="240" spans="1:13">
      <c r="A240" s="532" t="s">
        <v>592</v>
      </c>
      <c r="B240" s="532" t="s">
        <v>308</v>
      </c>
      <c r="C240" s="532" t="s">
        <v>429</v>
      </c>
      <c r="D240" s="532" t="s">
        <v>646</v>
      </c>
      <c r="E240" s="532" t="s">
        <v>647</v>
      </c>
      <c r="F240" s="532" t="s">
        <v>96</v>
      </c>
      <c r="G240" s="532" t="s">
        <v>648</v>
      </c>
      <c r="H240" s="532" t="s">
        <v>649</v>
      </c>
      <c r="L240" s="530" t="str">
        <f>B238</f>
        <v>Lithuania</v>
      </c>
    </row>
    <row r="241" spans="1:13">
      <c r="A241" s="532" t="s">
        <v>607</v>
      </c>
      <c r="B241" s="533">
        <v>43705</v>
      </c>
      <c r="C241" s="533">
        <v>43705</v>
      </c>
      <c r="D241" s="533">
        <v>0</v>
      </c>
      <c r="E241" s="533">
        <v>0</v>
      </c>
      <c r="F241" s="533">
        <v>0</v>
      </c>
      <c r="G241" s="533">
        <v>0</v>
      </c>
      <c r="H241" s="533">
        <v>0</v>
      </c>
      <c r="K241" s="532" t="s">
        <v>308</v>
      </c>
      <c r="L241" s="530">
        <f>B246/1000</f>
        <v>0</v>
      </c>
    </row>
    <row r="242" spans="1:13">
      <c r="A242" s="532" t="s">
        <v>583</v>
      </c>
      <c r="B242" s="533">
        <v>42533</v>
      </c>
      <c r="C242" s="533">
        <v>42533</v>
      </c>
      <c r="D242" s="533">
        <v>0</v>
      </c>
      <c r="E242" s="533">
        <v>0</v>
      </c>
      <c r="F242" s="533">
        <v>0</v>
      </c>
      <c r="G242" s="533">
        <v>0</v>
      </c>
      <c r="H242" s="533">
        <v>0</v>
      </c>
      <c r="K242" s="532" t="s">
        <v>646</v>
      </c>
      <c r="L242" s="535">
        <f>D246/1000</f>
        <v>0</v>
      </c>
      <c r="M242" s="530" t="s">
        <v>1065</v>
      </c>
    </row>
    <row r="243" spans="1:13">
      <c r="A243" s="532" t="s">
        <v>584</v>
      </c>
      <c r="B243" s="533">
        <v>0</v>
      </c>
      <c r="C243" s="533">
        <v>0</v>
      </c>
      <c r="D243" s="533">
        <v>0</v>
      </c>
      <c r="E243" s="533">
        <v>0</v>
      </c>
      <c r="F243" s="533">
        <v>0</v>
      </c>
      <c r="G243" s="533">
        <v>0</v>
      </c>
      <c r="H243" s="533">
        <v>0</v>
      </c>
      <c r="K243" s="532" t="s">
        <v>646</v>
      </c>
      <c r="L243" s="535">
        <f>D247/1000</f>
        <v>0</v>
      </c>
      <c r="M243" s="530" t="s">
        <v>0</v>
      </c>
    </row>
    <row r="244" spans="1:13">
      <c r="A244" s="532" t="s">
        <v>585</v>
      </c>
      <c r="B244" s="533">
        <v>42533</v>
      </c>
      <c r="C244" s="533">
        <v>42533</v>
      </c>
      <c r="D244" s="533">
        <v>0</v>
      </c>
      <c r="E244" s="533">
        <v>0</v>
      </c>
      <c r="F244" s="533">
        <v>0</v>
      </c>
      <c r="G244" s="533">
        <v>0</v>
      </c>
      <c r="H244" s="533">
        <v>0</v>
      </c>
      <c r="K244" s="532" t="s">
        <v>647</v>
      </c>
      <c r="L244" s="535">
        <f>E246/1000</f>
        <v>0</v>
      </c>
      <c r="M244" s="530" t="s">
        <v>1065</v>
      </c>
    </row>
    <row r="245" spans="1:13">
      <c r="A245" s="532" t="s">
        <v>586</v>
      </c>
      <c r="B245" s="533">
        <v>1172</v>
      </c>
      <c r="C245" s="533">
        <v>1172</v>
      </c>
      <c r="D245" s="533">
        <v>0</v>
      </c>
      <c r="E245" s="533">
        <v>0</v>
      </c>
      <c r="F245" s="533">
        <v>0</v>
      </c>
      <c r="G245" s="533">
        <v>0</v>
      </c>
      <c r="H245" s="533">
        <v>0</v>
      </c>
      <c r="K245" s="532" t="s">
        <v>96</v>
      </c>
      <c r="L245" s="535">
        <f>F246/1000</f>
        <v>0</v>
      </c>
      <c r="M245" s="530" t="s">
        <v>1065</v>
      </c>
    </row>
    <row r="246" spans="1:13">
      <c r="A246" s="532" t="s">
        <v>587</v>
      </c>
      <c r="B246" s="533">
        <v>0</v>
      </c>
      <c r="C246" s="533">
        <v>0</v>
      </c>
      <c r="D246" s="533">
        <v>0</v>
      </c>
      <c r="E246" s="533">
        <v>0</v>
      </c>
      <c r="F246" s="533">
        <v>0</v>
      </c>
      <c r="G246" s="533">
        <v>0</v>
      </c>
      <c r="H246" s="533">
        <v>0</v>
      </c>
      <c r="K246" s="532" t="s">
        <v>647</v>
      </c>
      <c r="L246" s="535">
        <f>E247/1000</f>
        <v>0</v>
      </c>
      <c r="M246" s="530" t="s">
        <v>0</v>
      </c>
    </row>
    <row r="247" spans="1:13">
      <c r="A247" s="532" t="s">
        <v>588</v>
      </c>
      <c r="B247" s="533">
        <v>1172</v>
      </c>
      <c r="C247" s="533">
        <v>1172</v>
      </c>
      <c r="D247" s="533">
        <v>0</v>
      </c>
      <c r="E247" s="533">
        <v>0</v>
      </c>
      <c r="F247" s="533">
        <v>0</v>
      </c>
      <c r="G247" s="533">
        <v>0</v>
      </c>
      <c r="H247" s="533">
        <v>0</v>
      </c>
      <c r="K247" s="532" t="s">
        <v>96</v>
      </c>
      <c r="L247" s="535">
        <f>F247/1000</f>
        <v>0</v>
      </c>
      <c r="M247" s="530" t="s">
        <v>0</v>
      </c>
    </row>
    <row r="249" spans="1:13">
      <c r="A249" s="529" t="s">
        <v>589</v>
      </c>
    </row>
    <row r="250" spans="1:13">
      <c r="A250" s="529" t="s">
        <v>36</v>
      </c>
      <c r="B250" s="529" t="s">
        <v>590</v>
      </c>
    </row>
    <row r="252" spans="1:13">
      <c r="A252" s="529" t="s">
        <v>340</v>
      </c>
      <c r="B252" s="529" t="s">
        <v>576</v>
      </c>
    </row>
    <row r="253" spans="1:13">
      <c r="A253" s="529" t="s">
        <v>578</v>
      </c>
      <c r="B253" s="529" t="s">
        <v>298</v>
      </c>
    </row>
    <row r="254" spans="1:13">
      <c r="A254" s="529" t="s">
        <v>343</v>
      </c>
      <c r="B254" s="529" t="s">
        <v>474</v>
      </c>
    </row>
    <row r="256" spans="1:13">
      <c r="A256" s="532" t="s">
        <v>592</v>
      </c>
      <c r="B256" s="532" t="s">
        <v>308</v>
      </c>
      <c r="C256" s="532" t="s">
        <v>429</v>
      </c>
      <c r="D256" s="532" t="s">
        <v>646</v>
      </c>
      <c r="E256" s="532" t="s">
        <v>647</v>
      </c>
      <c r="F256" s="532" t="s">
        <v>96</v>
      </c>
      <c r="G256" s="532" t="s">
        <v>648</v>
      </c>
      <c r="H256" s="532" t="s">
        <v>649</v>
      </c>
      <c r="L256" s="530" t="str">
        <f>B254</f>
        <v>Luxembourg</v>
      </c>
    </row>
    <row r="257" spans="1:13">
      <c r="A257" s="532" t="s">
        <v>607</v>
      </c>
      <c r="B257" s="533">
        <v>22823</v>
      </c>
      <c r="C257" s="533">
        <v>22823</v>
      </c>
      <c r="D257" s="533">
        <v>0</v>
      </c>
      <c r="E257" s="533">
        <v>0</v>
      </c>
      <c r="F257" s="533">
        <v>0</v>
      </c>
      <c r="G257" s="533">
        <v>0</v>
      </c>
      <c r="H257" s="533">
        <v>0</v>
      </c>
      <c r="K257" s="532" t="s">
        <v>308</v>
      </c>
      <c r="L257" s="530">
        <f>B262/1000</f>
        <v>0</v>
      </c>
    </row>
    <row r="258" spans="1:13">
      <c r="A258" s="532" t="s">
        <v>583</v>
      </c>
      <c r="B258" s="533">
        <v>17635</v>
      </c>
      <c r="C258" s="533">
        <v>17635</v>
      </c>
      <c r="D258" s="533">
        <v>0</v>
      </c>
      <c r="E258" s="533">
        <v>0</v>
      </c>
      <c r="F258" s="533">
        <v>0</v>
      </c>
      <c r="G258" s="533">
        <v>0</v>
      </c>
      <c r="H258" s="533">
        <v>0</v>
      </c>
      <c r="K258" s="532" t="s">
        <v>646</v>
      </c>
      <c r="L258" s="535">
        <f>D262/1000</f>
        <v>0</v>
      </c>
      <c r="M258" s="530" t="s">
        <v>1065</v>
      </c>
    </row>
    <row r="259" spans="1:13">
      <c r="A259" s="532" t="s">
        <v>584</v>
      </c>
      <c r="B259" s="533">
        <v>17635</v>
      </c>
      <c r="C259" s="533">
        <v>17635</v>
      </c>
      <c r="D259" s="533">
        <v>0</v>
      </c>
      <c r="E259" s="533">
        <v>0</v>
      </c>
      <c r="F259" s="533">
        <v>0</v>
      </c>
      <c r="G259" s="533">
        <v>0</v>
      </c>
      <c r="H259" s="533">
        <v>0</v>
      </c>
      <c r="K259" s="532" t="s">
        <v>646</v>
      </c>
      <c r="L259" s="535">
        <f>D263/1000</f>
        <v>0</v>
      </c>
      <c r="M259" s="530" t="s">
        <v>0</v>
      </c>
    </row>
    <row r="260" spans="1:13">
      <c r="A260" s="532" t="s">
        <v>585</v>
      </c>
      <c r="B260" s="533">
        <v>0</v>
      </c>
      <c r="C260" s="533">
        <v>0</v>
      </c>
      <c r="D260" s="533">
        <v>0</v>
      </c>
      <c r="E260" s="533">
        <v>0</v>
      </c>
      <c r="F260" s="533">
        <v>0</v>
      </c>
      <c r="G260" s="533">
        <v>0</v>
      </c>
      <c r="H260" s="533">
        <v>0</v>
      </c>
      <c r="K260" s="532" t="s">
        <v>647</v>
      </c>
      <c r="L260" s="535">
        <f>E262/1000</f>
        <v>0</v>
      </c>
      <c r="M260" s="530" t="s">
        <v>1065</v>
      </c>
    </row>
    <row r="261" spans="1:13">
      <c r="A261" s="532" t="s">
        <v>586</v>
      </c>
      <c r="B261" s="533">
        <v>5189</v>
      </c>
      <c r="C261" s="533">
        <v>5189</v>
      </c>
      <c r="D261" s="533">
        <v>0</v>
      </c>
      <c r="E261" s="533">
        <v>0</v>
      </c>
      <c r="F261" s="533">
        <v>0</v>
      </c>
      <c r="G261" s="533">
        <v>0</v>
      </c>
      <c r="H261" s="533">
        <v>0</v>
      </c>
      <c r="K261" s="532" t="s">
        <v>96</v>
      </c>
      <c r="L261" s="535">
        <f>F262/1000</f>
        <v>0</v>
      </c>
      <c r="M261" s="530" t="s">
        <v>1065</v>
      </c>
    </row>
    <row r="262" spans="1:13">
      <c r="A262" s="532" t="s">
        <v>587</v>
      </c>
      <c r="B262" s="533">
        <v>0</v>
      </c>
      <c r="C262" s="533">
        <v>0</v>
      </c>
      <c r="D262" s="533">
        <v>0</v>
      </c>
      <c r="E262" s="533">
        <v>0</v>
      </c>
      <c r="F262" s="533">
        <v>0</v>
      </c>
      <c r="G262" s="533">
        <v>0</v>
      </c>
      <c r="H262" s="533">
        <v>0</v>
      </c>
      <c r="K262" s="532" t="s">
        <v>647</v>
      </c>
      <c r="L262" s="535">
        <f>E263/1000</f>
        <v>0</v>
      </c>
      <c r="M262" s="530" t="s">
        <v>0</v>
      </c>
    </row>
    <row r="263" spans="1:13">
      <c r="A263" s="532" t="s">
        <v>588</v>
      </c>
      <c r="B263" s="533">
        <v>5189</v>
      </c>
      <c r="C263" s="533">
        <v>5189</v>
      </c>
      <c r="D263" s="533">
        <v>0</v>
      </c>
      <c r="E263" s="533">
        <v>0</v>
      </c>
      <c r="F263" s="533">
        <v>0</v>
      </c>
      <c r="G263" s="533">
        <v>0</v>
      </c>
      <c r="H263" s="533">
        <v>0</v>
      </c>
      <c r="K263" s="532" t="s">
        <v>96</v>
      </c>
      <c r="L263" s="535">
        <f>F263/1000</f>
        <v>0</v>
      </c>
      <c r="M263" s="530" t="s">
        <v>0</v>
      </c>
    </row>
    <row r="265" spans="1:13">
      <c r="A265" s="529" t="s">
        <v>589</v>
      </c>
    </row>
    <row r="266" spans="1:13">
      <c r="A266" s="529" t="s">
        <v>36</v>
      </c>
      <c r="B266" s="529" t="s">
        <v>590</v>
      </c>
    </row>
    <row r="268" spans="1:13">
      <c r="A268" s="529" t="s">
        <v>340</v>
      </c>
      <c r="B268" s="529" t="s">
        <v>576</v>
      </c>
    </row>
    <row r="269" spans="1:13">
      <c r="A269" s="529" t="s">
        <v>578</v>
      </c>
      <c r="B269" s="529" t="s">
        <v>298</v>
      </c>
    </row>
    <row r="270" spans="1:13">
      <c r="A270" s="529" t="s">
        <v>343</v>
      </c>
      <c r="B270" s="529" t="s">
        <v>189</v>
      </c>
    </row>
    <row r="272" spans="1:13">
      <c r="A272" s="532" t="s">
        <v>592</v>
      </c>
      <c r="B272" s="532" t="s">
        <v>308</v>
      </c>
      <c r="C272" s="532" t="s">
        <v>429</v>
      </c>
      <c r="D272" s="532" t="s">
        <v>646</v>
      </c>
      <c r="E272" s="532" t="s">
        <v>647</v>
      </c>
      <c r="F272" s="532" t="s">
        <v>96</v>
      </c>
      <c r="G272" s="532" t="s">
        <v>648</v>
      </c>
      <c r="H272" s="532" t="s">
        <v>649</v>
      </c>
      <c r="L272" s="530" t="str">
        <f>B270</f>
        <v>Hungary</v>
      </c>
    </row>
    <row r="273" spans="1:13">
      <c r="A273" s="532" t="s">
        <v>607</v>
      </c>
      <c r="B273" s="533">
        <v>128888</v>
      </c>
      <c r="C273" s="533">
        <v>125263</v>
      </c>
      <c r="D273" s="533">
        <v>3625</v>
      </c>
      <c r="E273" s="533">
        <v>680</v>
      </c>
      <c r="F273" s="533">
        <v>2945</v>
      </c>
      <c r="G273" s="533">
        <v>0</v>
      </c>
      <c r="H273" s="533">
        <v>0</v>
      </c>
      <c r="K273" s="532" t="s">
        <v>308</v>
      </c>
      <c r="L273" s="530">
        <f>B278/1000</f>
        <v>1.6E-2</v>
      </c>
    </row>
    <row r="274" spans="1:13">
      <c r="A274" s="532" t="s">
        <v>583</v>
      </c>
      <c r="B274" s="533">
        <v>126122</v>
      </c>
      <c r="C274" s="533">
        <v>122496</v>
      </c>
      <c r="D274" s="533">
        <v>3625</v>
      </c>
      <c r="E274" s="533">
        <v>680</v>
      </c>
      <c r="F274" s="533">
        <v>2945</v>
      </c>
      <c r="G274" s="533">
        <v>0</v>
      </c>
      <c r="H274" s="533">
        <v>0</v>
      </c>
      <c r="K274" s="532" t="s">
        <v>646</v>
      </c>
      <c r="L274" s="535">
        <f>D278/1000</f>
        <v>0</v>
      </c>
      <c r="M274" s="530" t="s">
        <v>1065</v>
      </c>
    </row>
    <row r="275" spans="1:13">
      <c r="A275" s="532" t="s">
        <v>584</v>
      </c>
      <c r="B275" s="533">
        <v>43772</v>
      </c>
      <c r="C275" s="533">
        <v>43426</v>
      </c>
      <c r="D275" s="533">
        <v>346</v>
      </c>
      <c r="E275" s="533">
        <v>84</v>
      </c>
      <c r="F275" s="533">
        <v>262</v>
      </c>
      <c r="G275" s="533">
        <v>0</v>
      </c>
      <c r="H275" s="533">
        <v>0</v>
      </c>
      <c r="K275" s="532" t="s">
        <v>646</v>
      </c>
      <c r="L275" s="535">
        <f>D279/1000</f>
        <v>0</v>
      </c>
      <c r="M275" s="530" t="s">
        <v>0</v>
      </c>
    </row>
    <row r="276" spans="1:13">
      <c r="A276" s="532" t="s">
        <v>585</v>
      </c>
      <c r="B276" s="533">
        <v>82350</v>
      </c>
      <c r="C276" s="533">
        <v>79070</v>
      </c>
      <c r="D276" s="533">
        <v>3280</v>
      </c>
      <c r="E276" s="533">
        <v>597</v>
      </c>
      <c r="F276" s="533">
        <v>2683</v>
      </c>
      <c r="G276" s="533">
        <v>0</v>
      </c>
      <c r="H276" s="533">
        <v>0</v>
      </c>
      <c r="K276" s="532" t="s">
        <v>647</v>
      </c>
      <c r="L276" s="535">
        <f>E278/1000</f>
        <v>0</v>
      </c>
      <c r="M276" s="530" t="s">
        <v>1065</v>
      </c>
    </row>
    <row r="277" spans="1:13">
      <c r="A277" s="532" t="s">
        <v>586</v>
      </c>
      <c r="B277" s="533">
        <v>2767</v>
      </c>
      <c r="C277" s="533">
        <v>2767</v>
      </c>
      <c r="D277" s="533">
        <v>0</v>
      </c>
      <c r="E277" s="533">
        <v>0</v>
      </c>
      <c r="F277" s="533">
        <v>0</v>
      </c>
      <c r="G277" s="533">
        <v>0</v>
      </c>
      <c r="H277" s="533">
        <v>0</v>
      </c>
      <c r="K277" s="532" t="s">
        <v>96</v>
      </c>
      <c r="L277" s="535">
        <f>F278/1000</f>
        <v>0</v>
      </c>
      <c r="M277" s="530" t="s">
        <v>1065</v>
      </c>
    </row>
    <row r="278" spans="1:13">
      <c r="A278" s="532" t="s">
        <v>587</v>
      </c>
      <c r="B278" s="533">
        <v>16</v>
      </c>
      <c r="C278" s="533">
        <v>16</v>
      </c>
      <c r="D278" s="533">
        <v>0</v>
      </c>
      <c r="E278" s="533">
        <v>0</v>
      </c>
      <c r="F278" s="533">
        <v>0</v>
      </c>
      <c r="G278" s="533">
        <v>0</v>
      </c>
      <c r="H278" s="533">
        <v>0</v>
      </c>
      <c r="K278" s="532" t="s">
        <v>647</v>
      </c>
      <c r="L278" s="535">
        <f>E279/1000</f>
        <v>0</v>
      </c>
      <c r="M278" s="530" t="s">
        <v>0</v>
      </c>
    </row>
    <row r="279" spans="1:13">
      <c r="A279" s="532" t="s">
        <v>588</v>
      </c>
      <c r="B279" s="533">
        <v>2750</v>
      </c>
      <c r="C279" s="533">
        <v>2750</v>
      </c>
      <c r="D279" s="533">
        <v>0</v>
      </c>
      <c r="E279" s="533">
        <v>0</v>
      </c>
      <c r="F279" s="533">
        <v>0</v>
      </c>
      <c r="G279" s="533">
        <v>0</v>
      </c>
      <c r="H279" s="533">
        <v>0</v>
      </c>
      <c r="K279" s="532" t="s">
        <v>96</v>
      </c>
      <c r="L279" s="535">
        <f>F279/1000</f>
        <v>0</v>
      </c>
      <c r="M279" s="530" t="s">
        <v>0</v>
      </c>
    </row>
    <row r="281" spans="1:13">
      <c r="A281" s="529" t="s">
        <v>589</v>
      </c>
    </row>
    <row r="282" spans="1:13">
      <c r="A282" s="529" t="s">
        <v>36</v>
      </c>
      <c r="B282" s="529" t="s">
        <v>590</v>
      </c>
    </row>
    <row r="284" spans="1:13">
      <c r="A284" s="529" t="s">
        <v>340</v>
      </c>
      <c r="B284" s="529" t="s">
        <v>576</v>
      </c>
    </row>
    <row r="285" spans="1:13">
      <c r="A285" s="529" t="s">
        <v>578</v>
      </c>
      <c r="B285" s="529" t="s">
        <v>298</v>
      </c>
    </row>
    <row r="286" spans="1:13">
      <c r="A286" s="529" t="s">
        <v>343</v>
      </c>
      <c r="B286" s="529" t="s">
        <v>191</v>
      </c>
    </row>
    <row r="288" spans="1:13">
      <c r="A288" s="532" t="s">
        <v>592</v>
      </c>
      <c r="B288" s="532" t="s">
        <v>308</v>
      </c>
      <c r="C288" s="532" t="s">
        <v>429</v>
      </c>
      <c r="D288" s="532" t="s">
        <v>646</v>
      </c>
      <c r="E288" s="532" t="s">
        <v>647</v>
      </c>
      <c r="F288" s="532" t="s">
        <v>96</v>
      </c>
      <c r="G288" s="532" t="s">
        <v>648</v>
      </c>
      <c r="H288" s="532" t="s">
        <v>649</v>
      </c>
      <c r="L288" s="530" t="str">
        <f>B286</f>
        <v>Netherlands</v>
      </c>
    </row>
    <row r="289" spans="1:13">
      <c r="A289" s="532" t="s">
        <v>607</v>
      </c>
      <c r="B289" s="533">
        <v>498768</v>
      </c>
      <c r="C289" s="533">
        <v>472136</v>
      </c>
      <c r="D289" s="533">
        <v>26632</v>
      </c>
      <c r="E289" s="533">
        <v>1589</v>
      </c>
      <c r="F289" s="533">
        <v>25043</v>
      </c>
      <c r="G289" s="533">
        <v>0</v>
      </c>
      <c r="H289" s="533">
        <v>0</v>
      </c>
      <c r="K289" s="532" t="s">
        <v>308</v>
      </c>
      <c r="L289" s="530">
        <f>B294/1000</f>
        <v>1.252</v>
      </c>
    </row>
    <row r="290" spans="1:13">
      <c r="A290" s="532" t="s">
        <v>583</v>
      </c>
      <c r="B290" s="533">
        <v>440396</v>
      </c>
      <c r="C290" s="533">
        <v>414230</v>
      </c>
      <c r="D290" s="533">
        <v>26165</v>
      </c>
      <c r="E290" s="533">
        <v>1457</v>
      </c>
      <c r="F290" s="533">
        <v>24708</v>
      </c>
      <c r="G290" s="533">
        <v>0</v>
      </c>
      <c r="H290" s="533">
        <v>0</v>
      </c>
      <c r="K290" s="532" t="s">
        <v>646</v>
      </c>
      <c r="L290" s="535">
        <f>D294/1000</f>
        <v>0</v>
      </c>
      <c r="M290" s="530" t="s">
        <v>1065</v>
      </c>
    </row>
    <row r="291" spans="1:13">
      <c r="A291" s="532" t="s">
        <v>584</v>
      </c>
      <c r="B291" s="533">
        <v>150310</v>
      </c>
      <c r="C291" s="533">
        <v>133149</v>
      </c>
      <c r="D291" s="533">
        <v>17161</v>
      </c>
      <c r="E291" s="533">
        <v>1457</v>
      </c>
      <c r="F291" s="533">
        <v>15704</v>
      </c>
      <c r="G291" s="533">
        <v>0</v>
      </c>
      <c r="H291" s="533">
        <v>0</v>
      </c>
      <c r="K291" s="532" t="s">
        <v>646</v>
      </c>
      <c r="L291" s="535">
        <f>D295/1000</f>
        <v>0.46700000000000003</v>
      </c>
      <c r="M291" s="530" t="s">
        <v>0</v>
      </c>
    </row>
    <row r="292" spans="1:13">
      <c r="A292" s="532" t="s">
        <v>585</v>
      </c>
      <c r="B292" s="533">
        <v>290086</v>
      </c>
      <c r="C292" s="533">
        <v>281082</v>
      </c>
      <c r="D292" s="533">
        <v>9004</v>
      </c>
      <c r="E292" s="533">
        <v>0</v>
      </c>
      <c r="F292" s="533">
        <v>9004</v>
      </c>
      <c r="G292" s="533">
        <v>0</v>
      </c>
      <c r="H292" s="533">
        <v>0</v>
      </c>
      <c r="K292" s="532" t="s">
        <v>647</v>
      </c>
      <c r="L292" s="535">
        <f>E294/1000</f>
        <v>0</v>
      </c>
      <c r="M292" s="530" t="s">
        <v>1065</v>
      </c>
    </row>
    <row r="293" spans="1:13">
      <c r="A293" s="532" t="s">
        <v>586</v>
      </c>
      <c r="B293" s="533">
        <v>58372</v>
      </c>
      <c r="C293" s="533">
        <v>57905</v>
      </c>
      <c r="D293" s="533">
        <v>467</v>
      </c>
      <c r="E293" s="533">
        <v>132</v>
      </c>
      <c r="F293" s="533">
        <v>335</v>
      </c>
      <c r="G293" s="533">
        <v>0</v>
      </c>
      <c r="H293" s="533">
        <v>0</v>
      </c>
      <c r="K293" s="532" t="s">
        <v>96</v>
      </c>
      <c r="L293" s="535">
        <f>F294/1000</f>
        <v>0</v>
      </c>
      <c r="M293" s="530" t="s">
        <v>1065</v>
      </c>
    </row>
    <row r="294" spans="1:13">
      <c r="A294" s="532" t="s">
        <v>587</v>
      </c>
      <c r="B294" s="533">
        <v>1252</v>
      </c>
      <c r="C294" s="533">
        <v>1252</v>
      </c>
      <c r="D294" s="533">
        <v>0</v>
      </c>
      <c r="E294" s="533">
        <v>0</v>
      </c>
      <c r="F294" s="533">
        <v>0</v>
      </c>
      <c r="G294" s="533">
        <v>0</v>
      </c>
      <c r="H294" s="533">
        <v>0</v>
      </c>
      <c r="K294" s="532" t="s">
        <v>647</v>
      </c>
      <c r="L294" s="535">
        <f>E295/1000</f>
        <v>0.13200000000000001</v>
      </c>
      <c r="M294" s="530" t="s">
        <v>0</v>
      </c>
    </row>
    <row r="295" spans="1:13" ht="15.75" customHeight="1">
      <c r="A295" s="532" t="s">
        <v>588</v>
      </c>
      <c r="B295" s="533">
        <v>57121</v>
      </c>
      <c r="C295" s="533">
        <v>56653</v>
      </c>
      <c r="D295" s="533">
        <v>467</v>
      </c>
      <c r="E295" s="533">
        <v>132</v>
      </c>
      <c r="F295" s="533">
        <v>335</v>
      </c>
      <c r="G295" s="533">
        <v>0</v>
      </c>
      <c r="H295" s="533">
        <v>0</v>
      </c>
      <c r="K295" s="532" t="s">
        <v>96</v>
      </c>
      <c r="L295" s="535">
        <f>F295/1000</f>
        <v>0.33500000000000002</v>
      </c>
      <c r="M295" s="530" t="s">
        <v>0</v>
      </c>
    </row>
    <row r="297" spans="1:13">
      <c r="A297" s="529" t="s">
        <v>589</v>
      </c>
    </row>
    <row r="298" spans="1:13">
      <c r="A298" s="529" t="s">
        <v>36</v>
      </c>
      <c r="B298" s="529" t="s">
        <v>590</v>
      </c>
    </row>
    <row r="300" spans="1:13">
      <c r="A300" s="529" t="s">
        <v>340</v>
      </c>
      <c r="B300" s="529" t="s">
        <v>576</v>
      </c>
    </row>
    <row r="301" spans="1:13">
      <c r="A301" s="529" t="s">
        <v>578</v>
      </c>
      <c r="B301" s="529" t="s">
        <v>298</v>
      </c>
    </row>
    <row r="302" spans="1:13">
      <c r="A302" s="529" t="s">
        <v>343</v>
      </c>
      <c r="B302" s="529" t="s">
        <v>192</v>
      </c>
    </row>
    <row r="304" spans="1:13">
      <c r="A304" s="532" t="s">
        <v>592</v>
      </c>
      <c r="B304" s="532" t="s">
        <v>308</v>
      </c>
      <c r="C304" s="532" t="s">
        <v>429</v>
      </c>
      <c r="D304" s="532" t="s">
        <v>646</v>
      </c>
      <c r="E304" s="532" t="s">
        <v>647</v>
      </c>
      <c r="F304" s="532" t="s">
        <v>96</v>
      </c>
      <c r="G304" s="532" t="s">
        <v>648</v>
      </c>
      <c r="H304" s="532" t="s">
        <v>649</v>
      </c>
      <c r="L304" s="530" t="str">
        <f>B302</f>
        <v>Austria</v>
      </c>
    </row>
    <row r="305" spans="1:13">
      <c r="A305" s="532" t="s">
        <v>607</v>
      </c>
      <c r="B305" s="533">
        <v>118742</v>
      </c>
      <c r="C305" s="533">
        <v>104549</v>
      </c>
      <c r="D305" s="533">
        <v>14193</v>
      </c>
      <c r="E305" s="533">
        <v>2099</v>
      </c>
      <c r="F305" s="533">
        <v>12094</v>
      </c>
      <c r="G305" s="533">
        <v>0</v>
      </c>
      <c r="H305" s="533">
        <v>0</v>
      </c>
      <c r="K305" s="532" t="s">
        <v>308</v>
      </c>
      <c r="L305" s="530">
        <f>B310/1000</f>
        <v>22.137</v>
      </c>
    </row>
    <row r="306" spans="1:13">
      <c r="A306" s="532" t="s">
        <v>583</v>
      </c>
      <c r="B306" s="533">
        <v>85066</v>
      </c>
      <c r="C306" s="533">
        <v>85066</v>
      </c>
      <c r="D306" s="533">
        <v>0</v>
      </c>
      <c r="E306" s="533">
        <v>0</v>
      </c>
      <c r="F306" s="533">
        <v>0</v>
      </c>
      <c r="G306" s="533">
        <v>0</v>
      </c>
      <c r="H306" s="533">
        <v>0</v>
      </c>
      <c r="K306" s="532" t="s">
        <v>646</v>
      </c>
      <c r="L306" s="535">
        <f>D310/1000</f>
        <v>13.206</v>
      </c>
      <c r="M306" s="530" t="s">
        <v>1065</v>
      </c>
    </row>
    <row r="307" spans="1:13">
      <c r="A307" s="532" t="s">
        <v>584</v>
      </c>
      <c r="B307" s="533">
        <v>46198</v>
      </c>
      <c r="C307" s="533">
        <v>46198</v>
      </c>
      <c r="D307" s="533">
        <v>0</v>
      </c>
      <c r="E307" s="533">
        <v>0</v>
      </c>
      <c r="F307" s="533">
        <v>0</v>
      </c>
      <c r="G307" s="533">
        <v>0</v>
      </c>
      <c r="H307" s="533">
        <v>0</v>
      </c>
      <c r="K307" s="532" t="s">
        <v>646</v>
      </c>
      <c r="L307" s="535">
        <f>D311/1000</f>
        <v>0.98699999999999999</v>
      </c>
      <c r="M307" s="530" t="s">
        <v>0</v>
      </c>
    </row>
    <row r="308" spans="1:13">
      <c r="A308" s="532" t="s">
        <v>585</v>
      </c>
      <c r="B308" s="533">
        <v>38868</v>
      </c>
      <c r="C308" s="533">
        <v>38868</v>
      </c>
      <c r="D308" s="533">
        <v>0</v>
      </c>
      <c r="E308" s="533">
        <v>0</v>
      </c>
      <c r="F308" s="533">
        <v>0</v>
      </c>
      <c r="G308" s="533">
        <v>0</v>
      </c>
      <c r="H308" s="533">
        <v>0</v>
      </c>
      <c r="K308" s="532" t="s">
        <v>647</v>
      </c>
      <c r="L308" s="535">
        <f>E310/1000</f>
        <v>1.9139999999999999</v>
      </c>
      <c r="M308" s="530" t="s">
        <v>1065</v>
      </c>
    </row>
    <row r="309" spans="1:13">
      <c r="A309" s="532" t="s">
        <v>586</v>
      </c>
      <c r="B309" s="533">
        <v>33676</v>
      </c>
      <c r="C309" s="533">
        <v>19483</v>
      </c>
      <c r="D309" s="533">
        <v>14193</v>
      </c>
      <c r="E309" s="533">
        <v>2099</v>
      </c>
      <c r="F309" s="533">
        <v>12094</v>
      </c>
      <c r="G309" s="533">
        <v>0</v>
      </c>
      <c r="H309" s="533">
        <v>0</v>
      </c>
      <c r="K309" s="532" t="s">
        <v>96</v>
      </c>
      <c r="L309" s="535">
        <f>F310/1000</f>
        <v>11.292</v>
      </c>
      <c r="M309" s="530" t="s">
        <v>1065</v>
      </c>
    </row>
    <row r="310" spans="1:13">
      <c r="A310" s="532" t="s">
        <v>587</v>
      </c>
      <c r="B310" s="533">
        <v>22137</v>
      </c>
      <c r="C310" s="533">
        <v>8931</v>
      </c>
      <c r="D310" s="533">
        <v>13206</v>
      </c>
      <c r="E310" s="533">
        <v>1914</v>
      </c>
      <c r="F310" s="533">
        <v>11292</v>
      </c>
      <c r="G310" s="533">
        <v>0</v>
      </c>
      <c r="H310" s="533">
        <v>0</v>
      </c>
      <c r="K310" s="532" t="s">
        <v>647</v>
      </c>
      <c r="L310" s="535">
        <f>E311/1000</f>
        <v>0.185</v>
      </c>
      <c r="M310" s="530" t="s">
        <v>0</v>
      </c>
    </row>
    <row r="311" spans="1:13">
      <c r="A311" s="532" t="s">
        <v>588</v>
      </c>
      <c r="B311" s="533">
        <v>11539</v>
      </c>
      <c r="C311" s="533">
        <v>10553</v>
      </c>
      <c r="D311" s="533">
        <v>987</v>
      </c>
      <c r="E311" s="533">
        <v>185</v>
      </c>
      <c r="F311" s="533">
        <v>802</v>
      </c>
      <c r="G311" s="533">
        <v>0</v>
      </c>
      <c r="H311" s="533">
        <v>0</v>
      </c>
      <c r="K311" s="532" t="s">
        <v>96</v>
      </c>
      <c r="L311" s="535">
        <f>F311/1000</f>
        <v>0.80200000000000005</v>
      </c>
      <c r="M311" s="530" t="s">
        <v>0</v>
      </c>
    </row>
    <row r="313" spans="1:13">
      <c r="A313" s="529" t="s">
        <v>589</v>
      </c>
    </row>
    <row r="314" spans="1:13">
      <c r="A314" s="529" t="s">
        <v>36</v>
      </c>
      <c r="B314" s="529" t="s">
        <v>590</v>
      </c>
    </row>
    <row r="316" spans="1:13">
      <c r="A316" s="529" t="s">
        <v>340</v>
      </c>
      <c r="B316" s="529" t="s">
        <v>576</v>
      </c>
    </row>
    <row r="317" spans="1:13">
      <c r="A317" s="529" t="s">
        <v>578</v>
      </c>
      <c r="B317" s="529" t="s">
        <v>298</v>
      </c>
    </row>
    <row r="318" spans="1:13">
      <c r="A318" s="529" t="s">
        <v>343</v>
      </c>
      <c r="B318" s="529" t="s">
        <v>193</v>
      </c>
    </row>
    <row r="320" spans="1:13">
      <c r="A320" s="532" t="s">
        <v>592</v>
      </c>
      <c r="B320" s="532" t="s">
        <v>308</v>
      </c>
      <c r="C320" s="532" t="s">
        <v>429</v>
      </c>
      <c r="D320" s="532" t="s">
        <v>646</v>
      </c>
      <c r="E320" s="532" t="s">
        <v>647</v>
      </c>
      <c r="F320" s="532" t="s">
        <v>96</v>
      </c>
      <c r="G320" s="532" t="s">
        <v>648</v>
      </c>
      <c r="H320" s="532" t="s">
        <v>649</v>
      </c>
      <c r="L320" s="530" t="str">
        <f>B318</f>
        <v>Poland</v>
      </c>
    </row>
    <row r="321" spans="1:13">
      <c r="A321" s="532" t="s">
        <v>607</v>
      </c>
      <c r="B321" s="533">
        <v>62103</v>
      </c>
      <c r="C321" s="533">
        <v>44756</v>
      </c>
      <c r="D321" s="533">
        <v>17347</v>
      </c>
      <c r="E321" s="533">
        <v>13206</v>
      </c>
      <c r="F321" s="533">
        <v>4141</v>
      </c>
      <c r="G321" s="533">
        <v>0</v>
      </c>
      <c r="H321" s="533">
        <v>0</v>
      </c>
      <c r="K321" s="532" t="s">
        <v>308</v>
      </c>
      <c r="L321" s="530">
        <f>B326/1000</f>
        <v>0</v>
      </c>
    </row>
    <row r="322" spans="1:13">
      <c r="A322" s="532" t="s">
        <v>583</v>
      </c>
      <c r="B322" s="533">
        <v>47516</v>
      </c>
      <c r="C322" s="533">
        <v>39884</v>
      </c>
      <c r="D322" s="533">
        <v>7633</v>
      </c>
      <c r="E322" s="533">
        <v>7633</v>
      </c>
      <c r="F322" s="533">
        <v>0</v>
      </c>
      <c r="G322" s="533">
        <v>0</v>
      </c>
      <c r="H322" s="533">
        <v>0</v>
      </c>
      <c r="K322" s="532" t="s">
        <v>646</v>
      </c>
      <c r="L322" s="535">
        <f>D326/1000</f>
        <v>0</v>
      </c>
      <c r="M322" s="530" t="s">
        <v>1065</v>
      </c>
    </row>
    <row r="323" spans="1:13">
      <c r="A323" s="532" t="s">
        <v>584</v>
      </c>
      <c r="B323" s="533">
        <v>0</v>
      </c>
      <c r="C323" s="533">
        <v>0</v>
      </c>
      <c r="D323" s="533">
        <v>0</v>
      </c>
      <c r="E323" s="533">
        <v>0</v>
      </c>
      <c r="F323" s="533">
        <v>0</v>
      </c>
      <c r="G323" s="533">
        <v>0</v>
      </c>
      <c r="H323" s="533">
        <v>0</v>
      </c>
      <c r="K323" s="532" t="s">
        <v>646</v>
      </c>
      <c r="L323" s="535">
        <f>D327/1000</f>
        <v>9.7140000000000004</v>
      </c>
      <c r="M323" s="530" t="s">
        <v>0</v>
      </c>
    </row>
    <row r="324" spans="1:13">
      <c r="A324" s="532" t="s">
        <v>585</v>
      </c>
      <c r="B324" s="533">
        <v>47516</v>
      </c>
      <c r="C324" s="533">
        <v>39884</v>
      </c>
      <c r="D324" s="533">
        <v>7633</v>
      </c>
      <c r="E324" s="533">
        <v>7633</v>
      </c>
      <c r="F324" s="533">
        <v>0</v>
      </c>
      <c r="G324" s="533">
        <v>0</v>
      </c>
      <c r="H324" s="533">
        <v>0</v>
      </c>
      <c r="K324" s="532" t="s">
        <v>647</v>
      </c>
      <c r="L324" s="535">
        <f>E326/1000</f>
        <v>0</v>
      </c>
      <c r="M324" s="530" t="s">
        <v>1065</v>
      </c>
    </row>
    <row r="325" spans="1:13">
      <c r="A325" s="532" t="s">
        <v>586</v>
      </c>
      <c r="B325" s="533">
        <v>14586</v>
      </c>
      <c r="C325" s="533">
        <v>4873</v>
      </c>
      <c r="D325" s="533">
        <v>9714</v>
      </c>
      <c r="E325" s="533">
        <v>5573</v>
      </c>
      <c r="F325" s="533">
        <v>4141</v>
      </c>
      <c r="G325" s="533">
        <v>0</v>
      </c>
      <c r="H325" s="533">
        <v>0</v>
      </c>
      <c r="K325" s="532" t="s">
        <v>96</v>
      </c>
      <c r="L325" s="535">
        <f>F326/1000</f>
        <v>0</v>
      </c>
      <c r="M325" s="530" t="s">
        <v>1065</v>
      </c>
    </row>
    <row r="326" spans="1:13">
      <c r="A326" s="532" t="s">
        <v>587</v>
      </c>
      <c r="B326" s="533">
        <v>0</v>
      </c>
      <c r="C326" s="533">
        <v>0</v>
      </c>
      <c r="D326" s="533">
        <v>0</v>
      </c>
      <c r="E326" s="533">
        <v>0</v>
      </c>
      <c r="F326" s="533">
        <v>0</v>
      </c>
      <c r="G326" s="533">
        <v>0</v>
      </c>
      <c r="H326" s="533">
        <v>0</v>
      </c>
      <c r="K326" s="532" t="s">
        <v>647</v>
      </c>
      <c r="L326" s="535">
        <f>E327/1000</f>
        <v>5.5730000000000004</v>
      </c>
      <c r="M326" s="530" t="s">
        <v>0</v>
      </c>
    </row>
    <row r="327" spans="1:13">
      <c r="A327" s="532" t="s">
        <v>588</v>
      </c>
      <c r="B327" s="533">
        <v>14586</v>
      </c>
      <c r="C327" s="533">
        <v>4873</v>
      </c>
      <c r="D327" s="533">
        <v>9714</v>
      </c>
      <c r="E327" s="533">
        <v>5573</v>
      </c>
      <c r="F327" s="533">
        <v>4141</v>
      </c>
      <c r="G327" s="533">
        <v>0</v>
      </c>
      <c r="H327" s="533">
        <v>0</v>
      </c>
      <c r="K327" s="532" t="s">
        <v>96</v>
      </c>
      <c r="L327" s="535">
        <f>F327/1000</f>
        <v>4.141</v>
      </c>
      <c r="M327" s="530" t="s">
        <v>0</v>
      </c>
    </row>
    <row r="329" spans="1:13">
      <c r="A329" s="529" t="s">
        <v>589</v>
      </c>
    </row>
    <row r="330" spans="1:13">
      <c r="A330" s="529" t="s">
        <v>36</v>
      </c>
      <c r="B330" s="529" t="s">
        <v>590</v>
      </c>
    </row>
    <row r="332" spans="1:13">
      <c r="A332" s="529" t="s">
        <v>340</v>
      </c>
      <c r="B332" s="529" t="s">
        <v>576</v>
      </c>
    </row>
    <row r="333" spans="1:13">
      <c r="A333" s="529" t="s">
        <v>578</v>
      </c>
      <c r="B333" s="529" t="s">
        <v>298</v>
      </c>
    </row>
    <row r="334" spans="1:13">
      <c r="A334" s="529" t="s">
        <v>343</v>
      </c>
      <c r="B334" s="529" t="s">
        <v>194</v>
      </c>
    </row>
    <row r="336" spans="1:13">
      <c r="A336" s="532" t="s">
        <v>592</v>
      </c>
      <c r="B336" s="532" t="s">
        <v>308</v>
      </c>
      <c r="C336" s="532" t="s">
        <v>429</v>
      </c>
      <c r="D336" s="532" t="s">
        <v>646</v>
      </c>
      <c r="E336" s="532" t="s">
        <v>647</v>
      </c>
      <c r="F336" s="532" t="s">
        <v>96</v>
      </c>
      <c r="G336" s="532" t="s">
        <v>648</v>
      </c>
      <c r="H336" s="532" t="s">
        <v>649</v>
      </c>
      <c r="L336" s="530" t="str">
        <f>B334</f>
        <v>Portugal</v>
      </c>
    </row>
    <row r="337" spans="1:13">
      <c r="A337" s="532" t="s">
        <v>607</v>
      </c>
      <c r="B337" s="533">
        <v>96663</v>
      </c>
      <c r="C337" s="533">
        <v>96663</v>
      </c>
      <c r="D337" s="533">
        <v>0</v>
      </c>
      <c r="E337" s="533">
        <v>0</v>
      </c>
      <c r="F337" s="533">
        <v>0</v>
      </c>
      <c r="G337" s="533">
        <v>0</v>
      </c>
      <c r="H337" s="533">
        <v>0</v>
      </c>
      <c r="K337" s="532" t="s">
        <v>308</v>
      </c>
      <c r="L337" s="530">
        <f>B342/1000</f>
        <v>7.2999999999999995E-2</v>
      </c>
    </row>
    <row r="338" spans="1:13">
      <c r="A338" s="532" t="s">
        <v>583</v>
      </c>
      <c r="B338" s="533">
        <v>78859</v>
      </c>
      <c r="C338" s="533">
        <v>78859</v>
      </c>
      <c r="D338" s="533">
        <v>0</v>
      </c>
      <c r="E338" s="533">
        <v>0</v>
      </c>
      <c r="F338" s="533">
        <v>0</v>
      </c>
      <c r="G338" s="533">
        <v>0</v>
      </c>
      <c r="H338" s="533">
        <v>0</v>
      </c>
      <c r="K338" s="532" t="s">
        <v>646</v>
      </c>
      <c r="L338" s="535">
        <f>D342/1000</f>
        <v>0</v>
      </c>
      <c r="M338" s="530" t="s">
        <v>1065</v>
      </c>
    </row>
    <row r="339" spans="1:13">
      <c r="A339" s="532" t="s">
        <v>584</v>
      </c>
      <c r="B339" s="533">
        <v>75396</v>
      </c>
      <c r="C339" s="533">
        <v>75396</v>
      </c>
      <c r="D339" s="533">
        <v>0</v>
      </c>
      <c r="E339" s="533">
        <v>0</v>
      </c>
      <c r="F339" s="533">
        <v>0</v>
      </c>
      <c r="G339" s="533">
        <v>0</v>
      </c>
      <c r="H339" s="533">
        <v>0</v>
      </c>
      <c r="K339" s="532" t="s">
        <v>646</v>
      </c>
      <c r="L339" s="535">
        <f>D343/1000</f>
        <v>0</v>
      </c>
      <c r="M339" s="530" t="s">
        <v>0</v>
      </c>
    </row>
    <row r="340" spans="1:13">
      <c r="A340" s="532" t="s">
        <v>585</v>
      </c>
      <c r="B340" s="533">
        <v>3463</v>
      </c>
      <c r="C340" s="533">
        <v>3463</v>
      </c>
      <c r="D340" s="533">
        <v>0</v>
      </c>
      <c r="E340" s="533">
        <v>0</v>
      </c>
      <c r="F340" s="533">
        <v>0</v>
      </c>
      <c r="G340" s="533">
        <v>0</v>
      </c>
      <c r="H340" s="533">
        <v>0</v>
      </c>
      <c r="K340" s="532" t="s">
        <v>647</v>
      </c>
      <c r="L340" s="535">
        <f>E342/1000</f>
        <v>0</v>
      </c>
      <c r="M340" s="530" t="s">
        <v>1065</v>
      </c>
    </row>
    <row r="341" spans="1:13">
      <c r="A341" s="532" t="s">
        <v>586</v>
      </c>
      <c r="B341" s="533">
        <v>17804</v>
      </c>
      <c r="C341" s="533">
        <v>17804</v>
      </c>
      <c r="D341" s="533">
        <v>0</v>
      </c>
      <c r="E341" s="533">
        <v>0</v>
      </c>
      <c r="F341" s="533">
        <v>0</v>
      </c>
      <c r="G341" s="533">
        <v>0</v>
      </c>
      <c r="H341" s="533">
        <v>0</v>
      </c>
      <c r="K341" s="532" t="s">
        <v>96</v>
      </c>
      <c r="L341" s="535">
        <f>F342/1000</f>
        <v>0</v>
      </c>
      <c r="M341" s="530" t="s">
        <v>1065</v>
      </c>
    </row>
    <row r="342" spans="1:13">
      <c r="A342" s="532" t="s">
        <v>587</v>
      </c>
      <c r="B342" s="533">
        <v>73</v>
      </c>
      <c r="C342" s="533">
        <v>73</v>
      </c>
      <c r="D342" s="533">
        <v>0</v>
      </c>
      <c r="E342" s="533">
        <v>0</v>
      </c>
      <c r="F342" s="533">
        <v>0</v>
      </c>
      <c r="G342" s="533">
        <v>0</v>
      </c>
      <c r="H342" s="533">
        <v>0</v>
      </c>
      <c r="K342" s="532" t="s">
        <v>647</v>
      </c>
      <c r="L342" s="535">
        <f>E343/1000</f>
        <v>0</v>
      </c>
      <c r="M342" s="530" t="s">
        <v>0</v>
      </c>
    </row>
    <row r="343" spans="1:13">
      <c r="A343" s="532" t="s">
        <v>588</v>
      </c>
      <c r="B343" s="533">
        <v>17731</v>
      </c>
      <c r="C343" s="533">
        <v>17731</v>
      </c>
      <c r="D343" s="533">
        <v>0</v>
      </c>
      <c r="E343" s="533">
        <v>0</v>
      </c>
      <c r="F343" s="533">
        <v>0</v>
      </c>
      <c r="G343" s="533">
        <v>0</v>
      </c>
      <c r="H343" s="533">
        <v>0</v>
      </c>
      <c r="K343" s="532" t="s">
        <v>96</v>
      </c>
      <c r="L343" s="535">
        <f>F343/1000</f>
        <v>0</v>
      </c>
      <c r="M343" s="530" t="s">
        <v>0</v>
      </c>
    </row>
    <row r="345" spans="1:13">
      <c r="A345" s="529" t="s">
        <v>589</v>
      </c>
    </row>
    <row r="346" spans="1:13">
      <c r="A346" s="529" t="s">
        <v>36</v>
      </c>
      <c r="B346" s="529" t="s">
        <v>590</v>
      </c>
    </row>
    <row r="348" spans="1:13">
      <c r="A348" s="529" t="s">
        <v>340</v>
      </c>
      <c r="B348" s="529" t="s">
        <v>576</v>
      </c>
    </row>
    <row r="349" spans="1:13">
      <c r="A349" s="529" t="s">
        <v>578</v>
      </c>
      <c r="B349" s="529" t="s">
        <v>298</v>
      </c>
    </row>
    <row r="350" spans="1:13">
      <c r="A350" s="529" t="s">
        <v>343</v>
      </c>
      <c r="B350" s="529" t="s">
        <v>195</v>
      </c>
    </row>
    <row r="352" spans="1:13">
      <c r="A352" s="532" t="s">
        <v>592</v>
      </c>
      <c r="B352" s="532" t="s">
        <v>308</v>
      </c>
      <c r="C352" s="532" t="s">
        <v>429</v>
      </c>
      <c r="D352" s="532" t="s">
        <v>646</v>
      </c>
      <c r="E352" s="532" t="s">
        <v>647</v>
      </c>
      <c r="F352" s="532" t="s">
        <v>96</v>
      </c>
      <c r="G352" s="532" t="s">
        <v>648</v>
      </c>
      <c r="H352" s="532" t="s">
        <v>649</v>
      </c>
      <c r="L352" s="530" t="str">
        <f>B350</f>
        <v>Romania</v>
      </c>
    </row>
    <row r="353" spans="1:13">
      <c r="A353" s="532" t="s">
        <v>607</v>
      </c>
      <c r="B353" s="533">
        <v>139955</v>
      </c>
      <c r="C353" s="533">
        <v>137602</v>
      </c>
      <c r="D353" s="533">
        <v>2353</v>
      </c>
      <c r="E353" s="533">
        <v>174</v>
      </c>
      <c r="F353" s="533">
        <v>2179</v>
      </c>
      <c r="G353" s="533">
        <v>0</v>
      </c>
      <c r="H353" s="533">
        <v>0</v>
      </c>
      <c r="K353" s="532" t="s">
        <v>308</v>
      </c>
      <c r="L353" s="530">
        <f>B358/1000</f>
        <v>0.22600000000000001</v>
      </c>
    </row>
    <row r="354" spans="1:13">
      <c r="A354" s="532" t="s">
        <v>583</v>
      </c>
      <c r="B354" s="533">
        <v>134796</v>
      </c>
      <c r="C354" s="533">
        <v>133545</v>
      </c>
      <c r="D354" s="533">
        <v>1252</v>
      </c>
      <c r="E354" s="533">
        <v>174</v>
      </c>
      <c r="F354" s="533">
        <v>1078</v>
      </c>
      <c r="G354" s="533">
        <v>0</v>
      </c>
      <c r="H354" s="533">
        <v>0</v>
      </c>
      <c r="K354" s="532" t="s">
        <v>646</v>
      </c>
      <c r="L354" s="535">
        <f>D358/1000</f>
        <v>0</v>
      </c>
      <c r="M354" s="530" t="s">
        <v>1065</v>
      </c>
    </row>
    <row r="355" spans="1:13">
      <c r="A355" s="532" t="s">
        <v>584</v>
      </c>
      <c r="B355" s="533">
        <v>26015</v>
      </c>
      <c r="C355" s="533">
        <v>26015</v>
      </c>
      <c r="D355" s="533">
        <v>0</v>
      </c>
      <c r="E355" s="533">
        <v>0</v>
      </c>
      <c r="F355" s="533">
        <v>0</v>
      </c>
      <c r="G355" s="533">
        <v>0</v>
      </c>
      <c r="H355" s="533">
        <v>0</v>
      </c>
      <c r="K355" s="532" t="s">
        <v>646</v>
      </c>
      <c r="L355" s="535">
        <f>D359/1000</f>
        <v>1.101</v>
      </c>
      <c r="M355" s="530" t="s">
        <v>0</v>
      </c>
    </row>
    <row r="356" spans="1:13">
      <c r="A356" s="532" t="s">
        <v>585</v>
      </c>
      <c r="B356" s="533">
        <v>108782</v>
      </c>
      <c r="C356" s="533">
        <v>107530</v>
      </c>
      <c r="D356" s="533">
        <v>1252</v>
      </c>
      <c r="E356" s="533">
        <v>174</v>
      </c>
      <c r="F356" s="533">
        <v>1078</v>
      </c>
      <c r="G356" s="533">
        <v>0</v>
      </c>
      <c r="H356" s="533">
        <v>0</v>
      </c>
      <c r="K356" s="532" t="s">
        <v>647</v>
      </c>
      <c r="L356" s="535">
        <f>E358/1000</f>
        <v>0</v>
      </c>
      <c r="M356" s="530" t="s">
        <v>1065</v>
      </c>
    </row>
    <row r="357" spans="1:13">
      <c r="A357" s="532" t="s">
        <v>586</v>
      </c>
      <c r="B357" s="533">
        <v>5158</v>
      </c>
      <c r="C357" s="533">
        <v>4057</v>
      </c>
      <c r="D357" s="533">
        <v>1101</v>
      </c>
      <c r="E357" s="533">
        <v>0</v>
      </c>
      <c r="F357" s="533">
        <v>1101</v>
      </c>
      <c r="G357" s="533">
        <v>0</v>
      </c>
      <c r="H357" s="533">
        <v>0</v>
      </c>
      <c r="K357" s="532" t="s">
        <v>96</v>
      </c>
      <c r="L357" s="535">
        <f>F358/1000</f>
        <v>0</v>
      </c>
      <c r="M357" s="530" t="s">
        <v>1065</v>
      </c>
    </row>
    <row r="358" spans="1:13">
      <c r="A358" s="532" t="s">
        <v>587</v>
      </c>
      <c r="B358" s="533">
        <v>226</v>
      </c>
      <c r="C358" s="533">
        <v>226</v>
      </c>
      <c r="D358" s="533">
        <v>0</v>
      </c>
      <c r="E358" s="533">
        <v>0</v>
      </c>
      <c r="F358" s="533">
        <v>0</v>
      </c>
      <c r="G358" s="533">
        <v>0</v>
      </c>
      <c r="H358" s="533">
        <v>0</v>
      </c>
      <c r="K358" s="532" t="s">
        <v>647</v>
      </c>
      <c r="L358" s="535">
        <f>E359/1000</f>
        <v>0</v>
      </c>
      <c r="M358" s="530" t="s">
        <v>0</v>
      </c>
    </row>
    <row r="359" spans="1:13">
      <c r="A359" s="532" t="s">
        <v>588</v>
      </c>
      <c r="B359" s="533">
        <v>4932</v>
      </c>
      <c r="C359" s="533">
        <v>3831</v>
      </c>
      <c r="D359" s="533">
        <v>1101</v>
      </c>
      <c r="E359" s="533">
        <v>0</v>
      </c>
      <c r="F359" s="533">
        <v>1101</v>
      </c>
      <c r="G359" s="533">
        <v>0</v>
      </c>
      <c r="H359" s="533">
        <v>0</v>
      </c>
      <c r="K359" s="532" t="s">
        <v>96</v>
      </c>
      <c r="L359" s="535">
        <f>F359/1000</f>
        <v>1.101</v>
      </c>
      <c r="M359" s="530" t="s">
        <v>0</v>
      </c>
    </row>
    <row r="361" spans="1:13">
      <c r="A361" s="529" t="s">
        <v>589</v>
      </c>
    </row>
    <row r="362" spans="1:13">
      <c r="A362" s="529" t="s">
        <v>36</v>
      </c>
      <c r="B362" s="529" t="s">
        <v>590</v>
      </c>
    </row>
    <row r="364" spans="1:13">
      <c r="A364" s="529" t="s">
        <v>340</v>
      </c>
      <c r="B364" s="529" t="s">
        <v>576</v>
      </c>
    </row>
    <row r="365" spans="1:13">
      <c r="A365" s="529" t="s">
        <v>578</v>
      </c>
      <c r="B365" s="529" t="s">
        <v>298</v>
      </c>
    </row>
    <row r="366" spans="1:13">
      <c r="A366" s="529" t="s">
        <v>343</v>
      </c>
      <c r="B366" s="529" t="s">
        <v>196</v>
      </c>
    </row>
    <row r="368" spans="1:13">
      <c r="A368" s="532" t="s">
        <v>592</v>
      </c>
      <c r="B368" s="532" t="s">
        <v>308</v>
      </c>
      <c r="C368" s="532" t="s">
        <v>429</v>
      </c>
      <c r="D368" s="532" t="s">
        <v>646</v>
      </c>
      <c r="E368" s="532" t="s">
        <v>647</v>
      </c>
      <c r="F368" s="532" t="s">
        <v>96</v>
      </c>
      <c r="G368" s="532" t="s">
        <v>648</v>
      </c>
      <c r="H368" s="532" t="s">
        <v>649</v>
      </c>
      <c r="L368" s="530" t="str">
        <f>B366</f>
        <v>Slovenia</v>
      </c>
    </row>
    <row r="369" spans="1:13">
      <c r="A369" s="532" t="s">
        <v>607</v>
      </c>
      <c r="B369" s="533">
        <v>2435</v>
      </c>
      <c r="C369" s="533">
        <v>2435</v>
      </c>
      <c r="D369" s="533">
        <v>0</v>
      </c>
      <c r="E369" s="533">
        <v>0</v>
      </c>
      <c r="F369" s="533">
        <v>0</v>
      </c>
      <c r="G369" s="533">
        <v>0</v>
      </c>
      <c r="H369" s="533">
        <v>0</v>
      </c>
      <c r="K369" s="532" t="s">
        <v>308</v>
      </c>
      <c r="L369" s="530">
        <f>B374/1000</f>
        <v>0</v>
      </c>
    </row>
    <row r="370" spans="1:13">
      <c r="A370" s="532" t="s">
        <v>583</v>
      </c>
      <c r="B370" s="533">
        <v>1583</v>
      </c>
      <c r="C370" s="533">
        <v>1583</v>
      </c>
      <c r="D370" s="533">
        <v>0</v>
      </c>
      <c r="E370" s="533">
        <v>0</v>
      </c>
      <c r="F370" s="533">
        <v>0</v>
      </c>
      <c r="G370" s="533">
        <v>0</v>
      </c>
      <c r="H370" s="533">
        <v>0</v>
      </c>
      <c r="K370" s="532" t="s">
        <v>646</v>
      </c>
      <c r="L370" s="535">
        <f>D374/1000</f>
        <v>0</v>
      </c>
      <c r="M370" s="530" t="s">
        <v>1065</v>
      </c>
    </row>
    <row r="371" spans="1:13">
      <c r="A371" s="532" t="s">
        <v>584</v>
      </c>
      <c r="B371" s="533">
        <v>368</v>
      </c>
      <c r="C371" s="533">
        <v>368</v>
      </c>
      <c r="D371" s="533">
        <v>0</v>
      </c>
      <c r="E371" s="533">
        <v>0</v>
      </c>
      <c r="F371" s="533">
        <v>0</v>
      </c>
      <c r="G371" s="533">
        <v>0</v>
      </c>
      <c r="H371" s="533">
        <v>0</v>
      </c>
      <c r="K371" s="532" t="s">
        <v>646</v>
      </c>
      <c r="L371" s="535">
        <f>D375/1000</f>
        <v>0</v>
      </c>
      <c r="M371" s="530" t="s">
        <v>0</v>
      </c>
    </row>
    <row r="372" spans="1:13">
      <c r="A372" s="532" t="s">
        <v>585</v>
      </c>
      <c r="B372" s="533">
        <v>1215</v>
      </c>
      <c r="C372" s="533">
        <v>1215</v>
      </c>
      <c r="D372" s="533">
        <v>0</v>
      </c>
      <c r="E372" s="533">
        <v>0</v>
      </c>
      <c r="F372" s="533">
        <v>0</v>
      </c>
      <c r="G372" s="533">
        <v>0</v>
      </c>
      <c r="H372" s="533">
        <v>0</v>
      </c>
      <c r="K372" s="532" t="s">
        <v>647</v>
      </c>
      <c r="L372" s="535">
        <f>E374/1000</f>
        <v>0</v>
      </c>
      <c r="M372" s="530" t="s">
        <v>1065</v>
      </c>
    </row>
    <row r="373" spans="1:13">
      <c r="A373" s="532" t="s">
        <v>586</v>
      </c>
      <c r="B373" s="533">
        <v>851</v>
      </c>
      <c r="C373" s="533">
        <v>851</v>
      </c>
      <c r="D373" s="533">
        <v>0</v>
      </c>
      <c r="E373" s="533">
        <v>0</v>
      </c>
      <c r="F373" s="533">
        <v>0</v>
      </c>
      <c r="G373" s="533">
        <v>0</v>
      </c>
      <c r="H373" s="533">
        <v>0</v>
      </c>
      <c r="K373" s="532" t="s">
        <v>96</v>
      </c>
      <c r="L373" s="535">
        <f>F374/1000</f>
        <v>0</v>
      </c>
      <c r="M373" s="530" t="s">
        <v>1065</v>
      </c>
    </row>
    <row r="374" spans="1:13">
      <c r="A374" s="532" t="s">
        <v>587</v>
      </c>
      <c r="B374" s="533">
        <v>0</v>
      </c>
      <c r="C374" s="533">
        <v>0</v>
      </c>
      <c r="D374" s="533">
        <v>0</v>
      </c>
      <c r="E374" s="533">
        <v>0</v>
      </c>
      <c r="F374" s="533">
        <v>0</v>
      </c>
      <c r="G374" s="533">
        <v>0</v>
      </c>
      <c r="H374" s="533">
        <v>0</v>
      </c>
      <c r="K374" s="532" t="s">
        <v>647</v>
      </c>
      <c r="L374" s="535">
        <f>E375/1000</f>
        <v>0</v>
      </c>
      <c r="M374" s="530" t="s">
        <v>0</v>
      </c>
    </row>
    <row r="375" spans="1:13">
      <c r="A375" s="532" t="s">
        <v>588</v>
      </c>
      <c r="B375" s="533">
        <v>851</v>
      </c>
      <c r="C375" s="533">
        <v>851</v>
      </c>
      <c r="D375" s="533">
        <v>0</v>
      </c>
      <c r="E375" s="533">
        <v>0</v>
      </c>
      <c r="F375" s="533">
        <v>0</v>
      </c>
      <c r="G375" s="533">
        <v>0</v>
      </c>
      <c r="H375" s="533">
        <v>0</v>
      </c>
      <c r="K375" s="532" t="s">
        <v>96</v>
      </c>
      <c r="L375" s="535">
        <f>F375/1000</f>
        <v>0</v>
      </c>
      <c r="M375" s="530" t="s">
        <v>0</v>
      </c>
    </row>
    <row r="377" spans="1:13">
      <c r="A377" s="529" t="s">
        <v>589</v>
      </c>
    </row>
    <row r="378" spans="1:13">
      <c r="A378" s="529" t="s">
        <v>36</v>
      </c>
      <c r="B378" s="529" t="s">
        <v>590</v>
      </c>
    </row>
    <row r="380" spans="1:13">
      <c r="A380" s="529" t="s">
        <v>340</v>
      </c>
      <c r="B380" s="529" t="s">
        <v>576</v>
      </c>
    </row>
    <row r="381" spans="1:13">
      <c r="A381" s="529" t="s">
        <v>578</v>
      </c>
      <c r="B381" s="529" t="s">
        <v>298</v>
      </c>
    </row>
    <row r="382" spans="1:13">
      <c r="A382" s="529" t="s">
        <v>343</v>
      </c>
      <c r="B382" s="529" t="s">
        <v>197</v>
      </c>
    </row>
    <row r="384" spans="1:13">
      <c r="A384" s="532" t="s">
        <v>592</v>
      </c>
      <c r="B384" s="532" t="s">
        <v>308</v>
      </c>
      <c r="C384" s="532" t="s">
        <v>429</v>
      </c>
      <c r="D384" s="532" t="s">
        <v>646</v>
      </c>
      <c r="E384" s="532" t="s">
        <v>647</v>
      </c>
      <c r="F384" s="532" t="s">
        <v>96</v>
      </c>
      <c r="G384" s="532" t="s">
        <v>648</v>
      </c>
      <c r="H384" s="532" t="s">
        <v>649</v>
      </c>
      <c r="L384" s="530" t="str">
        <f>B382</f>
        <v>Slovakia</v>
      </c>
    </row>
    <row r="385" spans="1:13">
      <c r="A385" s="532" t="s">
        <v>607</v>
      </c>
      <c r="B385" s="533">
        <v>29356</v>
      </c>
      <c r="C385" s="533">
        <v>26691</v>
      </c>
      <c r="D385" s="533">
        <v>2665</v>
      </c>
      <c r="E385" s="533">
        <v>938</v>
      </c>
      <c r="F385" s="533">
        <v>1628</v>
      </c>
      <c r="G385" s="533">
        <v>0</v>
      </c>
      <c r="H385" s="533">
        <v>99</v>
      </c>
      <c r="K385" s="532" t="s">
        <v>308</v>
      </c>
      <c r="L385" s="530">
        <f>B390/1000</f>
        <v>0</v>
      </c>
    </row>
    <row r="386" spans="1:13">
      <c r="A386" s="532" t="s">
        <v>583</v>
      </c>
      <c r="B386" s="533">
        <v>24685</v>
      </c>
      <c r="C386" s="533">
        <v>24685</v>
      </c>
      <c r="D386" s="533">
        <v>0</v>
      </c>
      <c r="E386" s="533">
        <v>0</v>
      </c>
      <c r="F386" s="533">
        <v>0</v>
      </c>
      <c r="G386" s="533">
        <v>0</v>
      </c>
      <c r="H386" s="533">
        <v>0</v>
      </c>
      <c r="K386" s="532" t="s">
        <v>646</v>
      </c>
      <c r="L386" s="535">
        <f>D390/1000</f>
        <v>0</v>
      </c>
      <c r="M386" s="530" t="s">
        <v>1065</v>
      </c>
    </row>
    <row r="387" spans="1:13">
      <c r="A387" s="532" t="s">
        <v>584</v>
      </c>
      <c r="B387" s="533">
        <v>0</v>
      </c>
      <c r="C387" s="533">
        <v>0</v>
      </c>
      <c r="D387" s="533">
        <v>0</v>
      </c>
      <c r="E387" s="533">
        <v>0</v>
      </c>
      <c r="F387" s="533">
        <v>0</v>
      </c>
      <c r="G387" s="533">
        <v>0</v>
      </c>
      <c r="H387" s="533">
        <v>0</v>
      </c>
      <c r="K387" s="532" t="s">
        <v>646</v>
      </c>
      <c r="L387" s="535">
        <f>D391/1000</f>
        <v>2.665</v>
      </c>
      <c r="M387" s="530" t="s">
        <v>0</v>
      </c>
    </row>
    <row r="388" spans="1:13">
      <c r="A388" s="532" t="s">
        <v>585</v>
      </c>
      <c r="B388" s="533">
        <v>24685</v>
      </c>
      <c r="C388" s="533">
        <v>24685</v>
      </c>
      <c r="D388" s="533">
        <v>0</v>
      </c>
      <c r="E388" s="533">
        <v>0</v>
      </c>
      <c r="F388" s="533">
        <v>0</v>
      </c>
      <c r="G388" s="533">
        <v>0</v>
      </c>
      <c r="H388" s="533">
        <v>0</v>
      </c>
      <c r="K388" s="532" t="s">
        <v>647</v>
      </c>
      <c r="L388" s="535">
        <f>E390/1000</f>
        <v>0</v>
      </c>
      <c r="M388" s="530" t="s">
        <v>1065</v>
      </c>
    </row>
    <row r="389" spans="1:13">
      <c r="A389" s="532" t="s">
        <v>586</v>
      </c>
      <c r="B389" s="533">
        <v>4671</v>
      </c>
      <c r="C389" s="533">
        <v>2006</v>
      </c>
      <c r="D389" s="533">
        <v>2665</v>
      </c>
      <c r="E389" s="533">
        <v>938</v>
      </c>
      <c r="F389" s="533">
        <v>1628</v>
      </c>
      <c r="G389" s="533">
        <v>0</v>
      </c>
      <c r="H389" s="533">
        <v>99</v>
      </c>
      <c r="K389" s="532" t="s">
        <v>96</v>
      </c>
      <c r="L389" s="535">
        <f>F390/1000</f>
        <v>0</v>
      </c>
      <c r="M389" s="530" t="s">
        <v>1065</v>
      </c>
    </row>
    <row r="390" spans="1:13">
      <c r="A390" s="532" t="s">
        <v>587</v>
      </c>
      <c r="B390" s="533">
        <v>0</v>
      </c>
      <c r="C390" s="533">
        <v>0</v>
      </c>
      <c r="D390" s="533">
        <v>0</v>
      </c>
      <c r="E390" s="533">
        <v>0</v>
      </c>
      <c r="F390" s="533">
        <v>0</v>
      </c>
      <c r="G390" s="533">
        <v>0</v>
      </c>
      <c r="H390" s="533">
        <v>0</v>
      </c>
      <c r="K390" s="532" t="s">
        <v>647</v>
      </c>
      <c r="L390" s="535">
        <f>E391/1000</f>
        <v>0.93799999999999994</v>
      </c>
      <c r="M390" s="530" t="s">
        <v>0</v>
      </c>
    </row>
    <row r="391" spans="1:13">
      <c r="A391" s="532" t="s">
        <v>588</v>
      </c>
      <c r="B391" s="533">
        <v>4671</v>
      </c>
      <c r="C391" s="533">
        <v>2006</v>
      </c>
      <c r="D391" s="533">
        <v>2665</v>
      </c>
      <c r="E391" s="533">
        <v>938</v>
      </c>
      <c r="F391" s="533">
        <v>1628</v>
      </c>
      <c r="G391" s="533">
        <v>0</v>
      </c>
      <c r="H391" s="533">
        <v>99</v>
      </c>
      <c r="K391" s="532" t="s">
        <v>96</v>
      </c>
      <c r="L391" s="535">
        <f>F391/1000</f>
        <v>1.6279999999999999</v>
      </c>
      <c r="M391" s="530" t="s">
        <v>0</v>
      </c>
    </row>
    <row r="393" spans="1:13">
      <c r="A393" s="529" t="s">
        <v>589</v>
      </c>
    </row>
    <row r="394" spans="1:13">
      <c r="A394" s="529" t="s">
        <v>36</v>
      </c>
      <c r="B394" s="529" t="s">
        <v>590</v>
      </c>
    </row>
    <row r="396" spans="1:13">
      <c r="A396" s="529" t="s">
        <v>340</v>
      </c>
      <c r="B396" s="529" t="s">
        <v>576</v>
      </c>
    </row>
    <row r="397" spans="1:13">
      <c r="A397" s="529" t="s">
        <v>578</v>
      </c>
      <c r="B397" s="529" t="s">
        <v>298</v>
      </c>
    </row>
    <row r="398" spans="1:13">
      <c r="A398" s="529" t="s">
        <v>343</v>
      </c>
      <c r="B398" s="529" t="s">
        <v>198</v>
      </c>
    </row>
    <row r="400" spans="1:13">
      <c r="A400" s="532" t="s">
        <v>592</v>
      </c>
      <c r="B400" s="532" t="s">
        <v>308</v>
      </c>
      <c r="C400" s="532" t="s">
        <v>429</v>
      </c>
      <c r="D400" s="532" t="s">
        <v>646</v>
      </c>
      <c r="E400" s="532" t="s">
        <v>647</v>
      </c>
      <c r="F400" s="532" t="s">
        <v>96</v>
      </c>
      <c r="G400" s="532" t="s">
        <v>648</v>
      </c>
      <c r="H400" s="532" t="s">
        <v>649</v>
      </c>
      <c r="L400" s="530" t="str">
        <f>B398</f>
        <v>Finland</v>
      </c>
    </row>
    <row r="401" spans="1:13">
      <c r="A401" s="532" t="s">
        <v>607</v>
      </c>
      <c r="B401" s="533">
        <v>98399</v>
      </c>
      <c r="C401" s="533">
        <v>90342</v>
      </c>
      <c r="D401" s="533">
        <v>8057</v>
      </c>
      <c r="E401" s="533">
        <v>404</v>
      </c>
      <c r="F401" s="533">
        <v>7653</v>
      </c>
      <c r="G401" s="533">
        <v>0</v>
      </c>
      <c r="H401" s="533">
        <v>0</v>
      </c>
      <c r="K401" s="532" t="s">
        <v>308</v>
      </c>
      <c r="L401" s="530">
        <f>B406/1000</f>
        <v>7.9240000000000004</v>
      </c>
    </row>
    <row r="402" spans="1:13">
      <c r="A402" s="532" t="s">
        <v>583</v>
      </c>
      <c r="B402" s="533">
        <v>77977</v>
      </c>
      <c r="C402" s="533">
        <v>77977</v>
      </c>
      <c r="D402" s="533">
        <v>0</v>
      </c>
      <c r="E402" s="533">
        <v>0</v>
      </c>
      <c r="F402" s="533">
        <v>0</v>
      </c>
      <c r="G402" s="533">
        <v>0</v>
      </c>
      <c r="H402" s="533">
        <v>0</v>
      </c>
      <c r="K402" s="532" t="s">
        <v>646</v>
      </c>
      <c r="L402" s="535">
        <f>D406/1000</f>
        <v>7.657</v>
      </c>
      <c r="M402" s="530" t="s">
        <v>1065</v>
      </c>
    </row>
    <row r="403" spans="1:13">
      <c r="A403" s="532" t="s">
        <v>584</v>
      </c>
      <c r="B403" s="533">
        <v>2190</v>
      </c>
      <c r="C403" s="533">
        <v>2190</v>
      </c>
      <c r="D403" s="533">
        <v>0</v>
      </c>
      <c r="E403" s="533">
        <v>0</v>
      </c>
      <c r="F403" s="533">
        <v>0</v>
      </c>
      <c r="G403" s="533">
        <v>0</v>
      </c>
      <c r="H403" s="533">
        <v>0</v>
      </c>
      <c r="K403" s="532" t="s">
        <v>646</v>
      </c>
      <c r="L403" s="535">
        <f>D407/1000</f>
        <v>0.4</v>
      </c>
      <c r="M403" s="530" t="s">
        <v>0</v>
      </c>
    </row>
    <row r="404" spans="1:13">
      <c r="A404" s="532" t="s">
        <v>585</v>
      </c>
      <c r="B404" s="533">
        <v>75787</v>
      </c>
      <c r="C404" s="533">
        <v>75787</v>
      </c>
      <c r="D404" s="533">
        <v>0</v>
      </c>
      <c r="E404" s="533">
        <v>0</v>
      </c>
      <c r="F404" s="533">
        <v>0</v>
      </c>
      <c r="G404" s="533">
        <v>0</v>
      </c>
      <c r="H404" s="533">
        <v>0</v>
      </c>
      <c r="K404" s="532" t="s">
        <v>647</v>
      </c>
      <c r="L404" s="535">
        <f>E406/1000</f>
        <v>0.377</v>
      </c>
      <c r="M404" s="530" t="s">
        <v>1065</v>
      </c>
    </row>
    <row r="405" spans="1:13">
      <c r="A405" s="532" t="s">
        <v>586</v>
      </c>
      <c r="B405" s="533">
        <v>20422</v>
      </c>
      <c r="C405" s="533">
        <v>12365</v>
      </c>
      <c r="D405" s="533">
        <v>8057</v>
      </c>
      <c r="E405" s="533">
        <v>404</v>
      </c>
      <c r="F405" s="533">
        <v>7653</v>
      </c>
      <c r="G405" s="533">
        <v>0</v>
      </c>
      <c r="H405" s="533">
        <v>0</v>
      </c>
      <c r="K405" s="532" t="s">
        <v>96</v>
      </c>
      <c r="L405" s="535">
        <f>F406/1000</f>
        <v>7.28</v>
      </c>
      <c r="M405" s="530" t="s">
        <v>1065</v>
      </c>
    </row>
    <row r="406" spans="1:13">
      <c r="A406" s="532" t="s">
        <v>587</v>
      </c>
      <c r="B406" s="533">
        <v>7924</v>
      </c>
      <c r="C406" s="533">
        <v>267</v>
      </c>
      <c r="D406" s="533">
        <v>7657</v>
      </c>
      <c r="E406" s="533">
        <v>377</v>
      </c>
      <c r="F406" s="533">
        <v>7280</v>
      </c>
      <c r="G406" s="533">
        <v>0</v>
      </c>
      <c r="H406" s="533">
        <v>0</v>
      </c>
      <c r="K406" s="532" t="s">
        <v>647</v>
      </c>
      <c r="L406" s="535">
        <f>E407/1000</f>
        <v>2.7E-2</v>
      </c>
      <c r="M406" s="530" t="s">
        <v>0</v>
      </c>
    </row>
    <row r="407" spans="1:13">
      <c r="A407" s="532" t="s">
        <v>588</v>
      </c>
      <c r="B407" s="533">
        <v>12498</v>
      </c>
      <c r="C407" s="533">
        <v>12098</v>
      </c>
      <c r="D407" s="533">
        <v>400</v>
      </c>
      <c r="E407" s="533">
        <v>27</v>
      </c>
      <c r="F407" s="533">
        <v>373</v>
      </c>
      <c r="G407" s="533">
        <v>0</v>
      </c>
      <c r="H407" s="533">
        <v>0</v>
      </c>
      <c r="K407" s="532" t="s">
        <v>96</v>
      </c>
      <c r="L407" s="535">
        <f>F407/1000</f>
        <v>0.373</v>
      </c>
      <c r="M407" s="530" t="s">
        <v>0</v>
      </c>
    </row>
    <row r="409" spans="1:13">
      <c r="A409" s="529" t="s">
        <v>589</v>
      </c>
    </row>
    <row r="410" spans="1:13">
      <c r="A410" s="529" t="s">
        <v>36</v>
      </c>
      <c r="B410" s="529" t="s">
        <v>590</v>
      </c>
    </row>
    <row r="412" spans="1:13">
      <c r="A412" s="529" t="s">
        <v>340</v>
      </c>
      <c r="B412" s="529" t="s">
        <v>576</v>
      </c>
    </row>
    <row r="413" spans="1:13">
      <c r="A413" s="529" t="s">
        <v>578</v>
      </c>
      <c r="B413" s="529" t="s">
        <v>298</v>
      </c>
    </row>
    <row r="414" spans="1:13">
      <c r="A414" s="529" t="s">
        <v>343</v>
      </c>
      <c r="B414" s="529" t="s">
        <v>199</v>
      </c>
    </row>
    <row r="416" spans="1:13">
      <c r="A416" s="532" t="s">
        <v>592</v>
      </c>
      <c r="B416" s="532" t="s">
        <v>308</v>
      </c>
      <c r="C416" s="532" t="s">
        <v>429</v>
      </c>
      <c r="D416" s="532" t="s">
        <v>646</v>
      </c>
      <c r="E416" s="532" t="s">
        <v>647</v>
      </c>
      <c r="F416" s="532" t="s">
        <v>96</v>
      </c>
      <c r="G416" s="532" t="s">
        <v>648</v>
      </c>
      <c r="H416" s="532" t="s">
        <v>649</v>
      </c>
      <c r="L416" s="530" t="str">
        <f>B414</f>
        <v>Sweden</v>
      </c>
    </row>
    <row r="417" spans="1:13">
      <c r="A417" s="532" t="s">
        <v>607</v>
      </c>
      <c r="B417" s="533">
        <v>20501</v>
      </c>
      <c r="C417" s="533">
        <v>8274</v>
      </c>
      <c r="D417" s="533">
        <v>12227</v>
      </c>
      <c r="E417" s="533">
        <v>1008</v>
      </c>
      <c r="F417" s="533">
        <v>9736</v>
      </c>
      <c r="G417" s="533">
        <v>0</v>
      </c>
      <c r="H417" s="533">
        <v>1483</v>
      </c>
      <c r="K417" s="532" t="s">
        <v>308</v>
      </c>
      <c r="L417" s="530">
        <f>B422/1000</f>
        <v>3.0609999999999999</v>
      </c>
    </row>
    <row r="418" spans="1:13">
      <c r="A418" s="532" t="s">
        <v>583</v>
      </c>
      <c r="B418" s="533">
        <v>17020</v>
      </c>
      <c r="C418" s="533">
        <v>7857</v>
      </c>
      <c r="D418" s="533">
        <v>9163</v>
      </c>
      <c r="E418" s="533">
        <v>824</v>
      </c>
      <c r="F418" s="533">
        <v>6856</v>
      </c>
      <c r="G418" s="533">
        <v>0</v>
      </c>
      <c r="H418" s="533">
        <v>1483</v>
      </c>
      <c r="K418" s="532" t="s">
        <v>646</v>
      </c>
      <c r="L418" s="535">
        <f>D422/1000</f>
        <v>3.0609999999999999</v>
      </c>
      <c r="M418" s="530" t="s">
        <v>1065</v>
      </c>
    </row>
    <row r="419" spans="1:13">
      <c r="A419" s="532" t="s">
        <v>584</v>
      </c>
      <c r="B419" s="533">
        <v>0</v>
      </c>
      <c r="C419" s="533">
        <v>0</v>
      </c>
      <c r="D419" s="533">
        <v>0</v>
      </c>
      <c r="E419" s="533">
        <v>0</v>
      </c>
      <c r="F419" s="533">
        <v>0</v>
      </c>
      <c r="G419" s="533">
        <v>0</v>
      </c>
      <c r="H419" s="533">
        <v>0</v>
      </c>
      <c r="K419" s="532" t="s">
        <v>646</v>
      </c>
      <c r="L419" s="535">
        <f>D423/1000</f>
        <v>4.0000000000000001E-3</v>
      </c>
      <c r="M419" s="530" t="s">
        <v>0</v>
      </c>
    </row>
    <row r="420" spans="1:13">
      <c r="A420" s="532" t="s">
        <v>585</v>
      </c>
      <c r="B420" s="533">
        <v>17020</v>
      </c>
      <c r="C420" s="533">
        <v>7857</v>
      </c>
      <c r="D420" s="533">
        <v>9163</v>
      </c>
      <c r="E420" s="533">
        <v>824</v>
      </c>
      <c r="F420" s="533">
        <v>6856</v>
      </c>
      <c r="G420" s="533">
        <v>0</v>
      </c>
      <c r="H420" s="533">
        <v>1483</v>
      </c>
      <c r="K420" s="532" t="s">
        <v>647</v>
      </c>
      <c r="L420" s="535">
        <f>E422/1000</f>
        <v>0.18099999999999999</v>
      </c>
      <c r="M420" s="530" t="s">
        <v>1065</v>
      </c>
    </row>
    <row r="421" spans="1:13">
      <c r="A421" s="532" t="s">
        <v>586</v>
      </c>
      <c r="B421" s="533">
        <v>3481</v>
      </c>
      <c r="C421" s="533">
        <v>417</v>
      </c>
      <c r="D421" s="533">
        <v>3065</v>
      </c>
      <c r="E421" s="533">
        <v>185</v>
      </c>
      <c r="F421" s="533">
        <v>2880</v>
      </c>
      <c r="G421" s="533">
        <v>0</v>
      </c>
      <c r="H421" s="533">
        <v>0</v>
      </c>
      <c r="K421" s="532" t="s">
        <v>96</v>
      </c>
      <c r="L421" s="535">
        <f>F422/1000</f>
        <v>2.88</v>
      </c>
      <c r="M421" s="530" t="s">
        <v>1065</v>
      </c>
    </row>
    <row r="422" spans="1:13">
      <c r="A422" s="532" t="s">
        <v>587</v>
      </c>
      <c r="B422" s="533">
        <v>3061</v>
      </c>
      <c r="C422" s="533">
        <v>0</v>
      </c>
      <c r="D422" s="533">
        <v>3061</v>
      </c>
      <c r="E422" s="533">
        <v>181</v>
      </c>
      <c r="F422" s="533">
        <v>2880</v>
      </c>
      <c r="G422" s="533">
        <v>0</v>
      </c>
      <c r="H422" s="533">
        <v>0</v>
      </c>
      <c r="K422" s="532" t="s">
        <v>647</v>
      </c>
      <c r="L422" s="535">
        <f>E423/1000</f>
        <v>4.0000000000000001E-3</v>
      </c>
      <c r="M422" s="530" t="s">
        <v>0</v>
      </c>
    </row>
    <row r="423" spans="1:13">
      <c r="A423" s="532" t="s">
        <v>588</v>
      </c>
      <c r="B423" s="533">
        <v>420</v>
      </c>
      <c r="C423" s="533">
        <v>417</v>
      </c>
      <c r="D423" s="533">
        <v>4</v>
      </c>
      <c r="E423" s="533">
        <v>4</v>
      </c>
      <c r="F423" s="533">
        <v>0</v>
      </c>
      <c r="G423" s="533">
        <v>0</v>
      </c>
      <c r="H423" s="533">
        <v>0</v>
      </c>
      <c r="K423" s="532" t="s">
        <v>96</v>
      </c>
      <c r="L423" s="535">
        <f>F423/1000</f>
        <v>0</v>
      </c>
      <c r="M423" s="530" t="s">
        <v>0</v>
      </c>
    </row>
    <row r="425" spans="1:13">
      <c r="A425" s="529" t="s">
        <v>589</v>
      </c>
    </row>
    <row r="426" spans="1:13">
      <c r="A426" s="529" t="s">
        <v>36</v>
      </c>
      <c r="B426" s="529" t="s">
        <v>590</v>
      </c>
    </row>
    <row r="428" spans="1:13">
      <c r="A428" s="529" t="s">
        <v>340</v>
      </c>
      <c r="B428" s="529" t="s">
        <v>576</v>
      </c>
    </row>
    <row r="429" spans="1:13">
      <c r="A429" s="529" t="s">
        <v>578</v>
      </c>
      <c r="B429" s="529" t="s">
        <v>298</v>
      </c>
    </row>
    <row r="430" spans="1:13">
      <c r="A430" s="529" t="s">
        <v>343</v>
      </c>
      <c r="B430" s="529" t="s">
        <v>221</v>
      </c>
    </row>
    <row r="432" spans="1:13">
      <c r="A432" s="532" t="s">
        <v>592</v>
      </c>
      <c r="B432" s="532" t="s">
        <v>308</v>
      </c>
      <c r="C432" s="532" t="s">
        <v>429</v>
      </c>
      <c r="D432" s="532" t="s">
        <v>646</v>
      </c>
      <c r="E432" s="532" t="s">
        <v>647</v>
      </c>
      <c r="F432" s="532" t="s">
        <v>96</v>
      </c>
      <c r="G432" s="532" t="s">
        <v>648</v>
      </c>
      <c r="H432" s="532" t="s">
        <v>649</v>
      </c>
      <c r="L432" s="530" t="str">
        <f>B430</f>
        <v>United Kingdom</v>
      </c>
    </row>
    <row r="433" spans="1:13">
      <c r="A433" s="532" t="s">
        <v>607</v>
      </c>
      <c r="B433" s="533">
        <v>1115239</v>
      </c>
      <c r="C433" s="533">
        <v>1074571</v>
      </c>
      <c r="D433" s="533">
        <v>40668</v>
      </c>
      <c r="E433" s="533">
        <v>7150</v>
      </c>
      <c r="F433" s="533">
        <v>33518</v>
      </c>
      <c r="G433" s="533">
        <v>0</v>
      </c>
      <c r="H433" s="533">
        <v>0</v>
      </c>
      <c r="K433" s="532" t="s">
        <v>308</v>
      </c>
      <c r="L433" s="530">
        <f>B438/1000</f>
        <v>58.959000000000003</v>
      </c>
    </row>
    <row r="434" spans="1:13">
      <c r="A434" s="532" t="s">
        <v>583</v>
      </c>
      <c r="B434" s="533">
        <v>900253</v>
      </c>
      <c r="C434" s="533">
        <v>900253</v>
      </c>
      <c r="D434" s="533">
        <v>0</v>
      </c>
      <c r="E434" s="533">
        <v>0</v>
      </c>
      <c r="F434" s="533">
        <v>0</v>
      </c>
      <c r="G434" s="533">
        <v>0</v>
      </c>
      <c r="H434" s="533">
        <v>0</v>
      </c>
      <c r="K434" s="532" t="s">
        <v>646</v>
      </c>
      <c r="L434" s="535">
        <f>D438/1000</f>
        <v>38.575000000000003</v>
      </c>
      <c r="M434" s="530" t="s">
        <v>1065</v>
      </c>
    </row>
    <row r="435" spans="1:13">
      <c r="A435" s="532" t="s">
        <v>584</v>
      </c>
      <c r="B435" s="533">
        <v>900253</v>
      </c>
      <c r="C435" s="533">
        <v>900253</v>
      </c>
      <c r="D435" s="533">
        <v>0</v>
      </c>
      <c r="E435" s="533">
        <v>0</v>
      </c>
      <c r="F435" s="533">
        <v>0</v>
      </c>
      <c r="G435" s="533">
        <v>0</v>
      </c>
      <c r="H435" s="533">
        <v>0</v>
      </c>
      <c r="K435" s="532" t="s">
        <v>646</v>
      </c>
      <c r="L435" s="535">
        <f>D439/1000</f>
        <v>2.0920000000000001</v>
      </c>
      <c r="M435" s="530" t="s">
        <v>0</v>
      </c>
    </row>
    <row r="436" spans="1:13">
      <c r="A436" s="532" t="s">
        <v>585</v>
      </c>
      <c r="B436" s="533">
        <v>0</v>
      </c>
      <c r="C436" s="533">
        <v>0</v>
      </c>
      <c r="D436" s="533">
        <v>0</v>
      </c>
      <c r="E436" s="533">
        <v>0</v>
      </c>
      <c r="F436" s="533">
        <v>0</v>
      </c>
      <c r="G436" s="533">
        <v>0</v>
      </c>
      <c r="H436" s="533">
        <v>0</v>
      </c>
      <c r="K436" s="532" t="s">
        <v>647</v>
      </c>
      <c r="L436" s="535">
        <f>E438/1000</f>
        <v>6.5570000000000004</v>
      </c>
      <c r="M436" s="530" t="s">
        <v>1065</v>
      </c>
    </row>
    <row r="437" spans="1:13">
      <c r="A437" s="532" t="s">
        <v>586</v>
      </c>
      <c r="B437" s="533">
        <v>214986</v>
      </c>
      <c r="C437" s="533">
        <v>174318</v>
      </c>
      <c r="D437" s="533">
        <v>40668</v>
      </c>
      <c r="E437" s="533">
        <v>7150</v>
      </c>
      <c r="F437" s="533">
        <v>33518</v>
      </c>
      <c r="G437" s="533">
        <v>0</v>
      </c>
      <c r="H437" s="533">
        <v>0</v>
      </c>
      <c r="K437" s="532" t="s">
        <v>96</v>
      </c>
      <c r="L437" s="535">
        <f>F438/1000</f>
        <v>32.018000000000001</v>
      </c>
      <c r="M437" s="530" t="s">
        <v>1065</v>
      </c>
    </row>
    <row r="438" spans="1:13">
      <c r="A438" s="532" t="s">
        <v>587</v>
      </c>
      <c r="B438" s="533">
        <v>58959</v>
      </c>
      <c r="C438" s="533">
        <v>20383</v>
      </c>
      <c r="D438" s="533">
        <v>38575</v>
      </c>
      <c r="E438" s="533">
        <v>6557</v>
      </c>
      <c r="F438" s="533">
        <v>32018</v>
      </c>
      <c r="G438" s="533">
        <v>0</v>
      </c>
      <c r="H438" s="533">
        <v>0</v>
      </c>
      <c r="K438" s="532" t="s">
        <v>647</v>
      </c>
      <c r="L438" s="535">
        <f>E439/1000</f>
        <v>0.59199999999999997</v>
      </c>
      <c r="M438" s="530" t="s">
        <v>0</v>
      </c>
    </row>
    <row r="439" spans="1:13">
      <c r="A439" s="532" t="s">
        <v>588</v>
      </c>
      <c r="B439" s="533">
        <v>156027</v>
      </c>
      <c r="C439" s="533">
        <v>153935</v>
      </c>
      <c r="D439" s="533">
        <v>2092</v>
      </c>
      <c r="E439" s="533">
        <v>592</v>
      </c>
      <c r="F439" s="533">
        <v>1500</v>
      </c>
      <c r="G439" s="533">
        <v>0</v>
      </c>
      <c r="H439" s="533">
        <v>0</v>
      </c>
      <c r="K439" s="532" t="s">
        <v>96</v>
      </c>
      <c r="L439" s="535">
        <f>F439/1000</f>
        <v>1.5</v>
      </c>
      <c r="M439" s="530" t="s">
        <v>0</v>
      </c>
    </row>
    <row r="441" spans="1:13">
      <c r="A441" s="529" t="s">
        <v>589</v>
      </c>
    </row>
    <row r="442" spans="1:13">
      <c r="A442" s="529" t="s">
        <v>36</v>
      </c>
      <c r="B442" s="529" t="s">
        <v>590</v>
      </c>
    </row>
    <row r="444" spans="1:13">
      <c r="A444" s="529" t="s">
        <v>340</v>
      </c>
      <c r="B444" s="529" t="s">
        <v>576</v>
      </c>
    </row>
    <row r="445" spans="1:13">
      <c r="A445" s="529" t="s">
        <v>578</v>
      </c>
      <c r="B445" s="529" t="s">
        <v>298</v>
      </c>
    </row>
    <row r="446" spans="1:13">
      <c r="A446" s="529" t="s">
        <v>343</v>
      </c>
      <c r="B446" s="529" t="s">
        <v>179</v>
      </c>
    </row>
    <row r="448" spans="1:13">
      <c r="A448" s="532" t="s">
        <v>592</v>
      </c>
      <c r="B448" s="532" t="s">
        <v>308</v>
      </c>
      <c r="C448" s="532" t="s">
        <v>429</v>
      </c>
      <c r="D448" s="532" t="s">
        <v>646</v>
      </c>
      <c r="E448" s="532" t="s">
        <v>647</v>
      </c>
      <c r="F448" s="532" t="s">
        <v>96</v>
      </c>
      <c r="G448" s="532" t="s">
        <v>648</v>
      </c>
      <c r="H448" s="532" t="s">
        <v>649</v>
      </c>
      <c r="L448" s="530" t="str">
        <f>B446</f>
        <v>Iceland</v>
      </c>
    </row>
    <row r="449" spans="1:13">
      <c r="A449" s="532" t="s">
        <v>607</v>
      </c>
      <c r="B449" s="533">
        <v>0</v>
      </c>
      <c r="C449" s="534" t="s">
        <v>36</v>
      </c>
      <c r="D449" s="533">
        <v>0</v>
      </c>
      <c r="E449" s="533">
        <v>0</v>
      </c>
      <c r="F449" s="533">
        <v>0</v>
      </c>
      <c r="G449" s="533">
        <v>0</v>
      </c>
      <c r="H449" s="533">
        <v>0</v>
      </c>
      <c r="K449" s="532" t="s">
        <v>308</v>
      </c>
      <c r="L449" s="530">
        <f>B454/1000</f>
        <v>0</v>
      </c>
    </row>
    <row r="450" spans="1:13">
      <c r="A450" s="532" t="s">
        <v>583</v>
      </c>
      <c r="B450" s="533">
        <v>0</v>
      </c>
      <c r="C450" s="534" t="s">
        <v>36</v>
      </c>
      <c r="D450" s="533">
        <v>0</v>
      </c>
      <c r="E450" s="533">
        <v>0</v>
      </c>
      <c r="F450" s="533">
        <v>0</v>
      </c>
      <c r="G450" s="533">
        <v>0</v>
      </c>
      <c r="H450" s="533">
        <v>0</v>
      </c>
      <c r="K450" s="532" t="s">
        <v>646</v>
      </c>
      <c r="L450" s="535">
        <f>D454/1000</f>
        <v>0</v>
      </c>
      <c r="M450" s="530" t="s">
        <v>1065</v>
      </c>
    </row>
    <row r="451" spans="1:13">
      <c r="A451" s="532" t="s">
        <v>584</v>
      </c>
      <c r="B451" s="533">
        <v>0</v>
      </c>
      <c r="C451" s="534" t="s">
        <v>36</v>
      </c>
      <c r="D451" s="533">
        <v>0</v>
      </c>
      <c r="E451" s="533">
        <v>0</v>
      </c>
      <c r="F451" s="533">
        <v>0</v>
      </c>
      <c r="G451" s="533">
        <v>0</v>
      </c>
      <c r="H451" s="533">
        <v>0</v>
      </c>
      <c r="K451" s="532" t="s">
        <v>646</v>
      </c>
      <c r="L451" s="535">
        <f>D455/1000</f>
        <v>0</v>
      </c>
      <c r="M451" s="530" t="s">
        <v>0</v>
      </c>
    </row>
    <row r="452" spans="1:13">
      <c r="A452" s="532" t="s">
        <v>585</v>
      </c>
      <c r="B452" s="533">
        <v>0</v>
      </c>
      <c r="C452" s="534" t="s">
        <v>36</v>
      </c>
      <c r="D452" s="533">
        <v>0</v>
      </c>
      <c r="E452" s="533">
        <v>0</v>
      </c>
      <c r="F452" s="533">
        <v>0</v>
      </c>
      <c r="G452" s="533">
        <v>0</v>
      </c>
      <c r="H452" s="533">
        <v>0</v>
      </c>
      <c r="K452" s="532" t="s">
        <v>647</v>
      </c>
      <c r="L452" s="535">
        <f>E454/1000</f>
        <v>0</v>
      </c>
      <c r="M452" s="530" t="s">
        <v>1065</v>
      </c>
    </row>
    <row r="453" spans="1:13">
      <c r="A453" s="532" t="s">
        <v>586</v>
      </c>
      <c r="B453" s="533">
        <v>0</v>
      </c>
      <c r="C453" s="534" t="s">
        <v>36</v>
      </c>
      <c r="D453" s="533">
        <v>0</v>
      </c>
      <c r="E453" s="533">
        <v>0</v>
      </c>
      <c r="F453" s="533">
        <v>0</v>
      </c>
      <c r="G453" s="533">
        <v>0</v>
      </c>
      <c r="H453" s="533">
        <v>0</v>
      </c>
      <c r="K453" s="532" t="s">
        <v>96</v>
      </c>
      <c r="L453" s="535">
        <f>F454/1000</f>
        <v>0</v>
      </c>
      <c r="M453" s="530" t="s">
        <v>1065</v>
      </c>
    </row>
    <row r="454" spans="1:13">
      <c r="A454" s="532" t="s">
        <v>587</v>
      </c>
      <c r="B454" s="533">
        <v>0</v>
      </c>
      <c r="C454" s="534" t="s">
        <v>36</v>
      </c>
      <c r="D454" s="533">
        <v>0</v>
      </c>
      <c r="E454" s="533">
        <v>0</v>
      </c>
      <c r="F454" s="533">
        <v>0</v>
      </c>
      <c r="G454" s="533">
        <v>0</v>
      </c>
      <c r="H454" s="533">
        <v>0</v>
      </c>
      <c r="K454" s="532" t="s">
        <v>647</v>
      </c>
      <c r="L454" s="535">
        <f>E455/1000</f>
        <v>0</v>
      </c>
      <c r="M454" s="530" t="s">
        <v>0</v>
      </c>
    </row>
    <row r="455" spans="1:13">
      <c r="A455" s="532" t="s">
        <v>588</v>
      </c>
      <c r="B455" s="533">
        <v>0</v>
      </c>
      <c r="C455" s="534" t="s">
        <v>36</v>
      </c>
      <c r="D455" s="533">
        <v>0</v>
      </c>
      <c r="E455" s="533">
        <v>0</v>
      </c>
      <c r="F455" s="533">
        <v>0</v>
      </c>
      <c r="G455" s="533">
        <v>0</v>
      </c>
      <c r="H455" s="533">
        <v>0</v>
      </c>
      <c r="K455" s="532" t="s">
        <v>96</v>
      </c>
      <c r="L455" s="535">
        <f>F455/1000</f>
        <v>0</v>
      </c>
      <c r="M455" s="530" t="s">
        <v>0</v>
      </c>
    </row>
    <row r="457" spans="1:13">
      <c r="A457" s="529" t="s">
        <v>589</v>
      </c>
    </row>
    <row r="458" spans="1:13">
      <c r="A458" s="529" t="s">
        <v>36</v>
      </c>
      <c r="B458" s="529" t="s">
        <v>590</v>
      </c>
    </row>
    <row r="460" spans="1:13">
      <c r="A460" s="529" t="s">
        <v>340</v>
      </c>
      <c r="B460" s="529" t="s">
        <v>576</v>
      </c>
    </row>
    <row r="461" spans="1:13">
      <c r="A461" s="529" t="s">
        <v>578</v>
      </c>
      <c r="B461" s="529" t="s">
        <v>298</v>
      </c>
    </row>
    <row r="462" spans="1:13">
      <c r="A462" s="529" t="s">
        <v>343</v>
      </c>
      <c r="B462" s="529" t="s">
        <v>178</v>
      </c>
    </row>
    <row r="464" spans="1:13">
      <c r="A464" s="532" t="s">
        <v>592</v>
      </c>
      <c r="B464" s="532" t="s">
        <v>308</v>
      </c>
      <c r="C464" s="532" t="s">
        <v>429</v>
      </c>
      <c r="D464" s="532" t="s">
        <v>646</v>
      </c>
      <c r="E464" s="532" t="s">
        <v>647</v>
      </c>
      <c r="F464" s="532" t="s">
        <v>96</v>
      </c>
      <c r="G464" s="532" t="s">
        <v>648</v>
      </c>
      <c r="H464" s="532" t="s">
        <v>649</v>
      </c>
      <c r="L464" s="530" t="str">
        <f>B462</f>
        <v>Norway</v>
      </c>
    </row>
    <row r="465" spans="1:13">
      <c r="A465" s="532" t="s">
        <v>607</v>
      </c>
      <c r="B465" s="533">
        <v>2505</v>
      </c>
      <c r="C465" s="533">
        <v>2042</v>
      </c>
      <c r="D465" s="533">
        <v>463</v>
      </c>
      <c r="E465" s="533">
        <v>0</v>
      </c>
      <c r="F465" s="533">
        <v>463</v>
      </c>
      <c r="G465" s="533">
        <v>0</v>
      </c>
      <c r="H465" s="533">
        <v>0</v>
      </c>
      <c r="K465" s="532" t="s">
        <v>308</v>
      </c>
      <c r="L465" s="530">
        <f>B470/1000</f>
        <v>2.0299999999999998</v>
      </c>
    </row>
    <row r="466" spans="1:13">
      <c r="A466" s="532" t="s">
        <v>583</v>
      </c>
      <c r="B466" s="533">
        <v>475</v>
      </c>
      <c r="C466" s="533">
        <v>12</v>
      </c>
      <c r="D466" s="533">
        <v>463</v>
      </c>
      <c r="E466" s="533">
        <v>0</v>
      </c>
      <c r="F466" s="533">
        <v>463</v>
      </c>
      <c r="G466" s="533">
        <v>0</v>
      </c>
      <c r="H466" s="533">
        <v>0</v>
      </c>
      <c r="K466" s="532" t="s">
        <v>646</v>
      </c>
      <c r="L466" s="535">
        <f>D470/1000</f>
        <v>0</v>
      </c>
      <c r="M466" s="530" t="s">
        <v>1065</v>
      </c>
    </row>
    <row r="467" spans="1:13">
      <c r="A467" s="532" t="s">
        <v>584</v>
      </c>
      <c r="B467" s="533">
        <v>463</v>
      </c>
      <c r="C467" s="533">
        <v>0</v>
      </c>
      <c r="D467" s="533">
        <v>463</v>
      </c>
      <c r="E467" s="533">
        <v>0</v>
      </c>
      <c r="F467" s="533">
        <v>463</v>
      </c>
      <c r="G467" s="533">
        <v>0</v>
      </c>
      <c r="H467" s="533">
        <v>0</v>
      </c>
      <c r="K467" s="532" t="s">
        <v>646</v>
      </c>
      <c r="L467" s="535">
        <f>D471/1000</f>
        <v>0</v>
      </c>
      <c r="M467" s="530" t="s">
        <v>0</v>
      </c>
    </row>
    <row r="468" spans="1:13">
      <c r="A468" s="532" t="s">
        <v>585</v>
      </c>
      <c r="B468" s="533">
        <v>12</v>
      </c>
      <c r="C468" s="533">
        <v>12</v>
      </c>
      <c r="D468" s="533">
        <v>0</v>
      </c>
      <c r="E468" s="533">
        <v>0</v>
      </c>
      <c r="F468" s="533">
        <v>0</v>
      </c>
      <c r="G468" s="533">
        <v>0</v>
      </c>
      <c r="H468" s="533">
        <v>0</v>
      </c>
      <c r="K468" s="532" t="s">
        <v>647</v>
      </c>
      <c r="L468" s="535">
        <f>E470/1000</f>
        <v>0</v>
      </c>
      <c r="M468" s="530" t="s">
        <v>1065</v>
      </c>
    </row>
    <row r="469" spans="1:13">
      <c r="A469" s="532" t="s">
        <v>586</v>
      </c>
      <c r="B469" s="533">
        <v>2030</v>
      </c>
      <c r="C469" s="533">
        <v>2030</v>
      </c>
      <c r="D469" s="533">
        <v>0</v>
      </c>
      <c r="E469" s="533">
        <v>0</v>
      </c>
      <c r="F469" s="533">
        <v>0</v>
      </c>
      <c r="G469" s="533">
        <v>0</v>
      </c>
      <c r="H469" s="533">
        <v>0</v>
      </c>
      <c r="K469" s="532" t="s">
        <v>96</v>
      </c>
      <c r="L469" s="535">
        <f>F470/1000</f>
        <v>0</v>
      </c>
      <c r="M469" s="530" t="s">
        <v>1065</v>
      </c>
    </row>
    <row r="470" spans="1:13">
      <c r="A470" s="532" t="s">
        <v>587</v>
      </c>
      <c r="B470" s="533">
        <v>2030</v>
      </c>
      <c r="C470" s="533">
        <v>2030</v>
      </c>
      <c r="D470" s="533">
        <v>0</v>
      </c>
      <c r="E470" s="533">
        <v>0</v>
      </c>
      <c r="F470" s="533">
        <v>0</v>
      </c>
      <c r="G470" s="533">
        <v>0</v>
      </c>
      <c r="H470" s="533">
        <v>0</v>
      </c>
      <c r="K470" s="532" t="s">
        <v>647</v>
      </c>
      <c r="L470" s="535">
        <f>E471/1000</f>
        <v>0</v>
      </c>
      <c r="M470" s="530" t="s">
        <v>0</v>
      </c>
    </row>
    <row r="471" spans="1:13">
      <c r="A471" s="532" t="s">
        <v>588</v>
      </c>
      <c r="B471" s="533">
        <v>0</v>
      </c>
      <c r="C471" s="533">
        <v>0</v>
      </c>
      <c r="D471" s="533">
        <v>0</v>
      </c>
      <c r="E471" s="533">
        <v>0</v>
      </c>
      <c r="F471" s="533">
        <v>0</v>
      </c>
      <c r="G471" s="533">
        <v>0</v>
      </c>
      <c r="H471" s="533">
        <v>0</v>
      </c>
      <c r="K471" s="532" t="s">
        <v>96</v>
      </c>
      <c r="L471" s="535">
        <f>F471/1000</f>
        <v>0</v>
      </c>
      <c r="M471" s="530" t="s">
        <v>0</v>
      </c>
    </row>
    <row r="473" spans="1:13">
      <c r="A473" s="529" t="s">
        <v>589</v>
      </c>
    </row>
    <row r="474" spans="1:13">
      <c r="A474" s="529" t="s">
        <v>36</v>
      </c>
      <c r="B474" s="529" t="s">
        <v>590</v>
      </c>
    </row>
    <row r="476" spans="1:13">
      <c r="A476" s="529" t="s">
        <v>340</v>
      </c>
      <c r="B476" s="529" t="s">
        <v>576</v>
      </c>
    </row>
    <row r="477" spans="1:13">
      <c r="A477" s="529" t="s">
        <v>578</v>
      </c>
      <c r="B477" s="529" t="s">
        <v>298</v>
      </c>
    </row>
    <row r="478" spans="1:13">
      <c r="A478" s="529" t="s">
        <v>343</v>
      </c>
      <c r="B478" s="529" t="s">
        <v>222</v>
      </c>
    </row>
    <row r="480" spans="1:13">
      <c r="A480" s="532" t="s">
        <v>592</v>
      </c>
      <c r="B480" s="532" t="s">
        <v>308</v>
      </c>
      <c r="C480" s="532" t="s">
        <v>429</v>
      </c>
      <c r="D480" s="532" t="s">
        <v>646</v>
      </c>
      <c r="E480" s="532" t="s">
        <v>647</v>
      </c>
      <c r="F480" s="532" t="s">
        <v>96</v>
      </c>
      <c r="G480" s="532" t="s">
        <v>648</v>
      </c>
      <c r="H480" s="532" t="s">
        <v>649</v>
      </c>
      <c r="L480" s="530" t="str">
        <f>B478</f>
        <v>Switzerland</v>
      </c>
    </row>
    <row r="481" spans="1:13">
      <c r="A481" s="532" t="s">
        <v>607</v>
      </c>
      <c r="B481" s="533">
        <v>5369</v>
      </c>
      <c r="C481" s="533">
        <v>5369</v>
      </c>
      <c r="D481" s="533">
        <v>0</v>
      </c>
      <c r="E481" s="533">
        <v>0</v>
      </c>
      <c r="F481" s="533">
        <v>0</v>
      </c>
      <c r="G481" s="533">
        <v>0</v>
      </c>
      <c r="H481" s="533">
        <v>0</v>
      </c>
      <c r="K481" s="532" t="s">
        <v>308</v>
      </c>
      <c r="L481" s="530">
        <f>B486/1000</f>
        <v>5.0000000000000001E-3</v>
      </c>
    </row>
    <row r="482" spans="1:13">
      <c r="A482" s="532" t="s">
        <v>583</v>
      </c>
      <c r="B482" s="533">
        <v>1638</v>
      </c>
      <c r="C482" s="533">
        <v>1638</v>
      </c>
      <c r="D482" s="533">
        <v>0</v>
      </c>
      <c r="E482" s="533">
        <v>0</v>
      </c>
      <c r="F482" s="533">
        <v>0</v>
      </c>
      <c r="G482" s="533">
        <v>0</v>
      </c>
      <c r="H482" s="533">
        <v>0</v>
      </c>
      <c r="K482" s="532" t="s">
        <v>646</v>
      </c>
      <c r="L482" s="535">
        <f>D486/1000</f>
        <v>0</v>
      </c>
      <c r="M482" s="530" t="s">
        <v>1065</v>
      </c>
    </row>
    <row r="483" spans="1:13">
      <c r="A483" s="532" t="s">
        <v>584</v>
      </c>
      <c r="B483" s="533">
        <v>0</v>
      </c>
      <c r="C483" s="533">
        <v>0</v>
      </c>
      <c r="D483" s="533">
        <v>0</v>
      </c>
      <c r="E483" s="533">
        <v>0</v>
      </c>
      <c r="F483" s="533">
        <v>0</v>
      </c>
      <c r="G483" s="533">
        <v>0</v>
      </c>
      <c r="H483" s="533">
        <v>0</v>
      </c>
      <c r="K483" s="532" t="s">
        <v>646</v>
      </c>
      <c r="L483" s="535">
        <f>D487/1000</f>
        <v>0</v>
      </c>
      <c r="M483" s="530" t="s">
        <v>0</v>
      </c>
    </row>
    <row r="484" spans="1:13">
      <c r="A484" s="532" t="s">
        <v>585</v>
      </c>
      <c r="B484" s="533">
        <v>1638</v>
      </c>
      <c r="C484" s="533">
        <v>1638</v>
      </c>
      <c r="D484" s="533">
        <v>0</v>
      </c>
      <c r="E484" s="533">
        <v>0</v>
      </c>
      <c r="F484" s="533">
        <v>0</v>
      </c>
      <c r="G484" s="533">
        <v>0</v>
      </c>
      <c r="H484" s="533">
        <v>0</v>
      </c>
      <c r="K484" s="532" t="s">
        <v>647</v>
      </c>
      <c r="L484" s="535">
        <f>E486/1000</f>
        <v>0</v>
      </c>
      <c r="M484" s="530" t="s">
        <v>1065</v>
      </c>
    </row>
    <row r="485" spans="1:13">
      <c r="A485" s="532" t="s">
        <v>586</v>
      </c>
      <c r="B485" s="533">
        <v>3731</v>
      </c>
      <c r="C485" s="533">
        <v>3731</v>
      </c>
      <c r="D485" s="533">
        <v>0</v>
      </c>
      <c r="E485" s="533">
        <v>0</v>
      </c>
      <c r="F485" s="533">
        <v>0</v>
      </c>
      <c r="G485" s="533">
        <v>0</v>
      </c>
      <c r="H485" s="533">
        <v>0</v>
      </c>
      <c r="K485" s="532" t="s">
        <v>96</v>
      </c>
      <c r="L485" s="535">
        <f>F486/1000</f>
        <v>0</v>
      </c>
      <c r="M485" s="530" t="s">
        <v>1065</v>
      </c>
    </row>
    <row r="486" spans="1:13">
      <c r="A486" s="532" t="s">
        <v>587</v>
      </c>
      <c r="B486" s="533">
        <v>5</v>
      </c>
      <c r="C486" s="533">
        <v>5</v>
      </c>
      <c r="D486" s="533">
        <v>0</v>
      </c>
      <c r="E486" s="533">
        <v>0</v>
      </c>
      <c r="F486" s="533">
        <v>0</v>
      </c>
      <c r="G486" s="533">
        <v>0</v>
      </c>
      <c r="H486" s="533">
        <v>0</v>
      </c>
      <c r="K486" s="532" t="s">
        <v>647</v>
      </c>
      <c r="L486" s="535">
        <f>E487/1000</f>
        <v>0</v>
      </c>
      <c r="M486" s="530" t="s">
        <v>0</v>
      </c>
    </row>
    <row r="487" spans="1:13">
      <c r="A487" s="532" t="s">
        <v>588</v>
      </c>
      <c r="B487" s="533">
        <v>3726</v>
      </c>
      <c r="C487" s="533">
        <v>3726</v>
      </c>
      <c r="D487" s="533">
        <v>0</v>
      </c>
      <c r="E487" s="533">
        <v>0</v>
      </c>
      <c r="F487" s="533">
        <v>0</v>
      </c>
      <c r="G487" s="533">
        <v>0</v>
      </c>
      <c r="H487" s="533">
        <v>0</v>
      </c>
      <c r="K487" s="532" t="s">
        <v>96</v>
      </c>
      <c r="L487" s="535">
        <f>F487/1000</f>
        <v>0</v>
      </c>
      <c r="M487" s="530" t="s">
        <v>0</v>
      </c>
    </row>
    <row r="489" spans="1:13">
      <c r="A489" s="529" t="s">
        <v>589</v>
      </c>
    </row>
    <row r="490" spans="1:13">
      <c r="A490" s="529" t="s">
        <v>36</v>
      </c>
      <c r="B490" s="529" t="s">
        <v>590</v>
      </c>
    </row>
    <row r="492" spans="1:13">
      <c r="A492" s="529" t="s">
        <v>340</v>
      </c>
      <c r="B492" s="529" t="s">
        <v>576</v>
      </c>
    </row>
    <row r="493" spans="1:13">
      <c r="A493" s="529" t="s">
        <v>578</v>
      </c>
      <c r="B493" s="529" t="s">
        <v>298</v>
      </c>
    </row>
    <row r="494" spans="1:13">
      <c r="A494" s="529" t="s">
        <v>343</v>
      </c>
      <c r="B494" s="529" t="s">
        <v>299</v>
      </c>
    </row>
    <row r="496" spans="1:13">
      <c r="A496" s="532" t="s">
        <v>592</v>
      </c>
      <c r="B496" s="532" t="s">
        <v>308</v>
      </c>
      <c r="C496" s="532" t="s">
        <v>429</v>
      </c>
      <c r="D496" s="532" t="s">
        <v>646</v>
      </c>
      <c r="E496" s="532" t="s">
        <v>647</v>
      </c>
      <c r="F496" s="532" t="s">
        <v>96</v>
      </c>
      <c r="G496" s="532" t="s">
        <v>648</v>
      </c>
      <c r="H496" s="532" t="s">
        <v>649</v>
      </c>
      <c r="L496" s="530" t="str">
        <f>B494</f>
        <v>Croatia</v>
      </c>
    </row>
    <row r="497" spans="1:13">
      <c r="A497" s="532" t="s">
        <v>607</v>
      </c>
      <c r="B497" s="533">
        <v>20526</v>
      </c>
      <c r="C497" s="533">
        <v>20526</v>
      </c>
      <c r="D497" s="533">
        <v>0</v>
      </c>
      <c r="E497" s="533">
        <v>0</v>
      </c>
      <c r="F497" s="533">
        <v>0</v>
      </c>
      <c r="G497" s="533">
        <v>0</v>
      </c>
      <c r="H497" s="533">
        <v>0</v>
      </c>
      <c r="K497" s="532" t="s">
        <v>308</v>
      </c>
      <c r="L497" s="530">
        <f>B502/1000</f>
        <v>0</v>
      </c>
    </row>
    <row r="498" spans="1:13">
      <c r="A498" s="532" t="s">
        <v>583</v>
      </c>
      <c r="B498" s="533">
        <v>17623</v>
      </c>
      <c r="C498" s="533">
        <v>17623</v>
      </c>
      <c r="D498" s="533">
        <v>0</v>
      </c>
      <c r="E498" s="533">
        <v>0</v>
      </c>
      <c r="F498" s="533">
        <v>0</v>
      </c>
      <c r="G498" s="533">
        <v>0</v>
      </c>
      <c r="H498" s="533">
        <v>0</v>
      </c>
      <c r="K498" s="532" t="s">
        <v>646</v>
      </c>
      <c r="L498" s="535">
        <f>D502/1000</f>
        <v>0</v>
      </c>
      <c r="M498" s="530" t="s">
        <v>1065</v>
      </c>
    </row>
    <row r="499" spans="1:13">
      <c r="A499" s="532" t="s">
        <v>584</v>
      </c>
      <c r="B499" s="533">
        <v>1241</v>
      </c>
      <c r="C499" s="533">
        <v>1241</v>
      </c>
      <c r="D499" s="533">
        <v>0</v>
      </c>
      <c r="E499" s="533">
        <v>0</v>
      </c>
      <c r="F499" s="533">
        <v>0</v>
      </c>
      <c r="G499" s="533">
        <v>0</v>
      </c>
      <c r="H499" s="533">
        <v>0</v>
      </c>
      <c r="K499" s="532" t="s">
        <v>646</v>
      </c>
      <c r="L499" s="535">
        <f>D503/1000</f>
        <v>0</v>
      </c>
      <c r="M499" s="530" t="s">
        <v>0</v>
      </c>
    </row>
    <row r="500" spans="1:13">
      <c r="A500" s="532" t="s">
        <v>585</v>
      </c>
      <c r="B500" s="533">
        <v>16382</v>
      </c>
      <c r="C500" s="533">
        <v>16382</v>
      </c>
      <c r="D500" s="533">
        <v>0</v>
      </c>
      <c r="E500" s="533">
        <v>0</v>
      </c>
      <c r="F500" s="533">
        <v>0</v>
      </c>
      <c r="G500" s="533">
        <v>0</v>
      </c>
      <c r="H500" s="533">
        <v>0</v>
      </c>
      <c r="K500" s="532" t="s">
        <v>647</v>
      </c>
      <c r="L500" s="535">
        <f>E502/1000</f>
        <v>0</v>
      </c>
      <c r="M500" s="530" t="s">
        <v>1065</v>
      </c>
    </row>
    <row r="501" spans="1:13">
      <c r="A501" s="532" t="s">
        <v>586</v>
      </c>
      <c r="B501" s="533">
        <v>2903</v>
      </c>
      <c r="C501" s="533">
        <v>2903</v>
      </c>
      <c r="D501" s="533">
        <v>0</v>
      </c>
      <c r="E501" s="533">
        <v>0</v>
      </c>
      <c r="F501" s="533">
        <v>0</v>
      </c>
      <c r="G501" s="533">
        <v>0</v>
      </c>
      <c r="H501" s="533">
        <v>0</v>
      </c>
      <c r="K501" s="532" t="s">
        <v>96</v>
      </c>
      <c r="L501" s="535">
        <f>F502/1000</f>
        <v>0</v>
      </c>
      <c r="M501" s="530" t="s">
        <v>1065</v>
      </c>
    </row>
    <row r="502" spans="1:13">
      <c r="A502" s="532" t="s">
        <v>587</v>
      </c>
      <c r="B502" s="533">
        <v>0</v>
      </c>
      <c r="C502" s="533">
        <v>0</v>
      </c>
      <c r="D502" s="533">
        <v>0</v>
      </c>
      <c r="E502" s="533">
        <v>0</v>
      </c>
      <c r="F502" s="533">
        <v>0</v>
      </c>
      <c r="G502" s="533">
        <v>0</v>
      </c>
      <c r="H502" s="533">
        <v>0</v>
      </c>
      <c r="K502" s="532" t="s">
        <v>647</v>
      </c>
      <c r="L502" s="535">
        <f>E503/1000</f>
        <v>0</v>
      </c>
      <c r="M502" s="530" t="s">
        <v>0</v>
      </c>
    </row>
    <row r="503" spans="1:13">
      <c r="A503" s="532" t="s">
        <v>588</v>
      </c>
      <c r="B503" s="533">
        <v>2903</v>
      </c>
      <c r="C503" s="533">
        <v>2903</v>
      </c>
      <c r="D503" s="533">
        <v>0</v>
      </c>
      <c r="E503" s="533">
        <v>0</v>
      </c>
      <c r="F503" s="533">
        <v>0</v>
      </c>
      <c r="G503" s="533">
        <v>0</v>
      </c>
      <c r="H503" s="533">
        <v>0</v>
      </c>
      <c r="K503" s="532" t="s">
        <v>96</v>
      </c>
      <c r="L503" s="535">
        <f>F503/1000</f>
        <v>0</v>
      </c>
      <c r="M503" s="530" t="s">
        <v>0</v>
      </c>
    </row>
    <row r="505" spans="1:13">
      <c r="A505" s="529" t="s">
        <v>589</v>
      </c>
    </row>
    <row r="506" spans="1:13">
      <c r="A506" s="529" t="s">
        <v>36</v>
      </c>
      <c r="B506" s="529" t="s">
        <v>590</v>
      </c>
    </row>
    <row r="508" spans="1:13">
      <c r="A508" s="529" t="s">
        <v>340</v>
      </c>
      <c r="B508" s="529" t="s">
        <v>576</v>
      </c>
    </row>
    <row r="509" spans="1:13">
      <c r="A509" s="529" t="s">
        <v>578</v>
      </c>
      <c r="B509" s="529" t="s">
        <v>298</v>
      </c>
    </row>
    <row r="510" spans="1:13">
      <c r="A510" s="529" t="s">
        <v>343</v>
      </c>
      <c r="B510" s="529" t="s">
        <v>582</v>
      </c>
    </row>
    <row r="512" spans="1:13">
      <c r="A512" s="532" t="s">
        <v>592</v>
      </c>
      <c r="B512" s="532" t="s">
        <v>308</v>
      </c>
      <c r="C512" s="532" t="s">
        <v>429</v>
      </c>
      <c r="D512" s="532" t="s">
        <v>646</v>
      </c>
      <c r="E512" s="532" t="s">
        <v>647</v>
      </c>
      <c r="F512" s="532" t="s">
        <v>96</v>
      </c>
      <c r="G512" s="532" t="s">
        <v>648</v>
      </c>
      <c r="H512" s="532" t="s">
        <v>649</v>
      </c>
      <c r="L512" s="530" t="str">
        <f>B510</f>
        <v>Former Yugoslav Republic of Macedonia, the</v>
      </c>
    </row>
    <row r="513" spans="1:13">
      <c r="A513" s="532" t="s">
        <v>607</v>
      </c>
      <c r="B513" s="533">
        <v>95</v>
      </c>
      <c r="C513" s="533">
        <v>95</v>
      </c>
      <c r="D513" s="533">
        <v>0</v>
      </c>
      <c r="E513" s="533">
        <v>0</v>
      </c>
      <c r="F513" s="533">
        <v>0</v>
      </c>
      <c r="G513" s="533">
        <v>0</v>
      </c>
      <c r="H513" s="533">
        <v>0</v>
      </c>
      <c r="K513" s="532" t="s">
        <v>308</v>
      </c>
      <c r="L513" s="530">
        <f>B518/1000</f>
        <v>0</v>
      </c>
    </row>
    <row r="514" spans="1:13">
      <c r="A514" s="532" t="s">
        <v>583</v>
      </c>
      <c r="B514" s="533">
        <v>0</v>
      </c>
      <c r="C514" s="533">
        <v>0</v>
      </c>
      <c r="D514" s="533">
        <v>0</v>
      </c>
      <c r="E514" s="533">
        <v>0</v>
      </c>
      <c r="F514" s="533">
        <v>0</v>
      </c>
      <c r="G514" s="533">
        <v>0</v>
      </c>
      <c r="H514" s="533">
        <v>0</v>
      </c>
      <c r="K514" s="532" t="s">
        <v>646</v>
      </c>
      <c r="L514" s="535">
        <f>D518/1000</f>
        <v>0</v>
      </c>
      <c r="M514" s="530" t="s">
        <v>1065</v>
      </c>
    </row>
    <row r="515" spans="1:13">
      <c r="A515" s="532" t="s">
        <v>584</v>
      </c>
      <c r="B515" s="533">
        <v>0</v>
      </c>
      <c r="C515" s="533">
        <v>0</v>
      </c>
      <c r="D515" s="533">
        <v>0</v>
      </c>
      <c r="E515" s="533">
        <v>0</v>
      </c>
      <c r="F515" s="533">
        <v>0</v>
      </c>
      <c r="G515" s="533">
        <v>0</v>
      </c>
      <c r="H515" s="533">
        <v>0</v>
      </c>
      <c r="K515" s="532" t="s">
        <v>646</v>
      </c>
      <c r="L515" s="535">
        <f>D519/1000</f>
        <v>0</v>
      </c>
      <c r="M515" s="530" t="s">
        <v>0</v>
      </c>
    </row>
    <row r="516" spans="1:13">
      <c r="A516" s="532" t="s">
        <v>585</v>
      </c>
      <c r="B516" s="533">
        <v>0</v>
      </c>
      <c r="C516" s="533">
        <v>0</v>
      </c>
      <c r="D516" s="533">
        <v>0</v>
      </c>
      <c r="E516" s="533">
        <v>0</v>
      </c>
      <c r="F516" s="533">
        <v>0</v>
      </c>
      <c r="G516" s="533">
        <v>0</v>
      </c>
      <c r="H516" s="533">
        <v>0</v>
      </c>
      <c r="K516" s="532" t="s">
        <v>647</v>
      </c>
      <c r="L516" s="535">
        <f>E518/1000</f>
        <v>0</v>
      </c>
      <c r="M516" s="530" t="s">
        <v>1065</v>
      </c>
    </row>
    <row r="517" spans="1:13">
      <c r="A517" s="532" t="s">
        <v>586</v>
      </c>
      <c r="B517" s="533">
        <v>95</v>
      </c>
      <c r="C517" s="533">
        <v>95</v>
      </c>
      <c r="D517" s="533">
        <v>0</v>
      </c>
      <c r="E517" s="533">
        <v>0</v>
      </c>
      <c r="F517" s="533">
        <v>0</v>
      </c>
      <c r="G517" s="533">
        <v>0</v>
      </c>
      <c r="H517" s="533">
        <v>0</v>
      </c>
      <c r="K517" s="532" t="s">
        <v>96</v>
      </c>
      <c r="L517" s="535">
        <f>F518/1000</f>
        <v>0</v>
      </c>
      <c r="M517" s="530" t="s">
        <v>1065</v>
      </c>
    </row>
    <row r="518" spans="1:13">
      <c r="A518" s="532" t="s">
        <v>587</v>
      </c>
      <c r="B518" s="533">
        <v>0</v>
      </c>
      <c r="C518" s="533">
        <v>0</v>
      </c>
      <c r="D518" s="533">
        <v>0</v>
      </c>
      <c r="E518" s="533">
        <v>0</v>
      </c>
      <c r="F518" s="533">
        <v>0</v>
      </c>
      <c r="G518" s="533">
        <v>0</v>
      </c>
      <c r="H518" s="533">
        <v>0</v>
      </c>
      <c r="K518" s="532" t="s">
        <v>647</v>
      </c>
      <c r="L518" s="535">
        <f>E519/1000</f>
        <v>0</v>
      </c>
      <c r="M518" s="530" t="s">
        <v>0</v>
      </c>
    </row>
    <row r="519" spans="1:13">
      <c r="A519" s="532" t="s">
        <v>588</v>
      </c>
      <c r="B519" s="533">
        <v>95</v>
      </c>
      <c r="C519" s="533">
        <v>95</v>
      </c>
      <c r="D519" s="533">
        <v>0</v>
      </c>
      <c r="E519" s="533">
        <v>0</v>
      </c>
      <c r="F519" s="533">
        <v>0</v>
      </c>
      <c r="G519" s="533">
        <v>0</v>
      </c>
      <c r="H519" s="533">
        <v>0</v>
      </c>
      <c r="K519" s="532" t="s">
        <v>96</v>
      </c>
      <c r="L519" s="535">
        <f>F519/1000</f>
        <v>0</v>
      </c>
      <c r="M519" s="530" t="s">
        <v>0</v>
      </c>
    </row>
    <row r="521" spans="1:13">
      <c r="A521" s="529" t="s">
        <v>589</v>
      </c>
    </row>
    <row r="522" spans="1:13">
      <c r="A522" s="529" t="s">
        <v>36</v>
      </c>
      <c r="B522" s="529" t="s">
        <v>590</v>
      </c>
    </row>
    <row r="524" spans="1:13">
      <c r="A524" s="529" t="s">
        <v>340</v>
      </c>
      <c r="B524" s="529" t="s">
        <v>576</v>
      </c>
    </row>
    <row r="525" spans="1:13">
      <c r="A525" s="529" t="s">
        <v>578</v>
      </c>
      <c r="B525" s="529" t="s">
        <v>298</v>
      </c>
    </row>
    <row r="526" spans="1:13">
      <c r="A526" s="529" t="s">
        <v>343</v>
      </c>
      <c r="B526" s="529" t="s">
        <v>300</v>
      </c>
    </row>
    <row r="528" spans="1:13">
      <c r="A528" s="532" t="s">
        <v>592</v>
      </c>
      <c r="B528" s="532" t="s">
        <v>308</v>
      </c>
      <c r="C528" s="532" t="s">
        <v>429</v>
      </c>
      <c r="D528" s="532" t="s">
        <v>646</v>
      </c>
      <c r="E528" s="532" t="s">
        <v>647</v>
      </c>
      <c r="F528" s="532" t="s">
        <v>96</v>
      </c>
      <c r="G528" s="532" t="s">
        <v>648</v>
      </c>
      <c r="H528" s="532" t="s">
        <v>649</v>
      </c>
      <c r="L528" s="530" t="str">
        <f>B526</f>
        <v>Turkey</v>
      </c>
    </row>
    <row r="529" spans="1:13">
      <c r="A529" s="532" t="s">
        <v>607</v>
      </c>
      <c r="B529" s="533">
        <v>541720</v>
      </c>
      <c r="C529" s="533">
        <v>528431</v>
      </c>
      <c r="D529" s="533">
        <v>13288</v>
      </c>
      <c r="E529" s="533">
        <v>2462</v>
      </c>
      <c r="F529" s="533">
        <v>10826</v>
      </c>
      <c r="G529" s="533">
        <v>0</v>
      </c>
      <c r="H529" s="533">
        <v>0</v>
      </c>
      <c r="K529" s="532" t="s">
        <v>308</v>
      </c>
      <c r="L529" s="530">
        <f>B534/1000</f>
        <v>62.884</v>
      </c>
    </row>
    <row r="530" spans="1:13">
      <c r="A530" s="532" t="s">
        <v>583</v>
      </c>
      <c r="B530" s="533">
        <v>441865</v>
      </c>
      <c r="C530" s="533">
        <v>441865</v>
      </c>
      <c r="D530" s="533">
        <v>0</v>
      </c>
      <c r="E530" s="533">
        <v>0</v>
      </c>
      <c r="F530" s="533">
        <v>0</v>
      </c>
      <c r="G530" s="533">
        <v>0</v>
      </c>
      <c r="H530" s="533">
        <v>0</v>
      </c>
      <c r="K530" s="532" t="s">
        <v>646</v>
      </c>
      <c r="L530" s="535">
        <f>D534/1000</f>
        <v>11.98</v>
      </c>
      <c r="M530" s="530" t="s">
        <v>1065</v>
      </c>
    </row>
    <row r="531" spans="1:13">
      <c r="A531" s="532" t="s">
        <v>584</v>
      </c>
      <c r="B531" s="533">
        <v>416366</v>
      </c>
      <c r="C531" s="533">
        <v>416366</v>
      </c>
      <c r="D531" s="533">
        <v>0</v>
      </c>
      <c r="E531" s="533">
        <v>0</v>
      </c>
      <c r="F531" s="533">
        <v>0</v>
      </c>
      <c r="G531" s="533">
        <v>0</v>
      </c>
      <c r="H531" s="533">
        <v>0</v>
      </c>
      <c r="K531" s="532" t="s">
        <v>646</v>
      </c>
      <c r="L531" s="535">
        <f>D535/1000</f>
        <v>1.3089999999999999</v>
      </c>
      <c r="M531" s="530" t="s">
        <v>0</v>
      </c>
    </row>
    <row r="532" spans="1:13">
      <c r="A532" s="532" t="s">
        <v>585</v>
      </c>
      <c r="B532" s="533">
        <v>25499</v>
      </c>
      <c r="C532" s="533">
        <v>25499</v>
      </c>
      <c r="D532" s="533">
        <v>0</v>
      </c>
      <c r="E532" s="533">
        <v>0</v>
      </c>
      <c r="F532" s="533">
        <v>0</v>
      </c>
      <c r="G532" s="533">
        <v>0</v>
      </c>
      <c r="H532" s="533">
        <v>0</v>
      </c>
      <c r="K532" s="532" t="s">
        <v>647</v>
      </c>
      <c r="L532" s="535">
        <f>E534/1000</f>
        <v>2.0030000000000001</v>
      </c>
      <c r="M532" s="530" t="s">
        <v>1065</v>
      </c>
    </row>
    <row r="533" spans="1:13">
      <c r="A533" s="532" t="s">
        <v>586</v>
      </c>
      <c r="B533" s="533">
        <v>99855</v>
      </c>
      <c r="C533" s="533">
        <v>86567</v>
      </c>
      <c r="D533" s="533">
        <v>13288</v>
      </c>
      <c r="E533" s="533">
        <v>2462</v>
      </c>
      <c r="F533" s="533">
        <v>10826</v>
      </c>
      <c r="G533" s="533">
        <v>0</v>
      </c>
      <c r="H533" s="533">
        <v>0</v>
      </c>
      <c r="K533" s="532" t="s">
        <v>96</v>
      </c>
      <c r="L533" s="535">
        <f>F534/1000</f>
        <v>9.9770000000000003</v>
      </c>
      <c r="M533" s="530" t="s">
        <v>1065</v>
      </c>
    </row>
    <row r="534" spans="1:13">
      <c r="A534" s="532" t="s">
        <v>587</v>
      </c>
      <c r="B534" s="533">
        <v>62884</v>
      </c>
      <c r="C534" s="533">
        <v>50904</v>
      </c>
      <c r="D534" s="533">
        <v>11980</v>
      </c>
      <c r="E534" s="533">
        <v>2003</v>
      </c>
      <c r="F534" s="533">
        <v>9977</v>
      </c>
      <c r="G534" s="533">
        <v>0</v>
      </c>
      <c r="H534" s="533">
        <v>0</v>
      </c>
      <c r="K534" s="532" t="s">
        <v>647</v>
      </c>
      <c r="L534" s="535">
        <f>E535/1000</f>
        <v>0.46</v>
      </c>
      <c r="M534" s="530" t="s">
        <v>0</v>
      </c>
    </row>
    <row r="535" spans="1:13">
      <c r="A535" s="532" t="s">
        <v>588</v>
      </c>
      <c r="B535" s="533">
        <v>36971</v>
      </c>
      <c r="C535" s="533">
        <v>35663</v>
      </c>
      <c r="D535" s="533">
        <v>1309</v>
      </c>
      <c r="E535" s="533">
        <v>460</v>
      </c>
      <c r="F535" s="533">
        <v>849</v>
      </c>
      <c r="G535" s="533">
        <v>0</v>
      </c>
      <c r="H535" s="533">
        <v>0</v>
      </c>
      <c r="K535" s="532" t="s">
        <v>96</v>
      </c>
      <c r="L535" s="535">
        <f>F535/1000</f>
        <v>0.84899999999999998</v>
      </c>
      <c r="M535" s="530" t="s">
        <v>0</v>
      </c>
    </row>
    <row r="537" spans="1:13">
      <c r="A537" s="529" t="s">
        <v>589</v>
      </c>
    </row>
    <row r="538" spans="1:13">
      <c r="A538" s="529" t="s">
        <v>36</v>
      </c>
      <c r="B538" s="529" t="s">
        <v>590</v>
      </c>
    </row>
  </sheetData>
  <pageMargins left="0.7" right="0.7" top="0.75" bottom="0.75" header="0.3" footer="0.3"/>
  <cellWatches>
    <cellWatch r="N14"/>
    <cellWatch r="N15"/>
  </cellWatch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AI97"/>
  <sheetViews>
    <sheetView topLeftCell="G58" workbookViewId="0">
      <selection activeCell="AA98" sqref="AA98"/>
    </sheetView>
  </sheetViews>
  <sheetFormatPr defaultColWidth="9.140625" defaultRowHeight="14.25"/>
  <cols>
    <col min="1" max="1" width="65.7109375" style="530" customWidth="1"/>
    <col min="2" max="19" width="9.140625" style="530"/>
    <col min="20" max="20" width="9.42578125" style="530" bestFit="1" customWidth="1"/>
    <col min="21" max="16384" width="9.140625" style="530"/>
  </cols>
  <sheetData>
    <row r="2" spans="1:35">
      <c r="C2" s="530" t="str">
        <f>C69</f>
        <v>Belgium</v>
      </c>
      <c r="D2" s="530" t="str">
        <f t="shared" ref="D2:AI2" si="0">D69</f>
        <v>Bulgaria</v>
      </c>
      <c r="E2" s="530" t="str">
        <f t="shared" si="0"/>
        <v>Czech Republic</v>
      </c>
      <c r="F2" s="530" t="str">
        <f t="shared" si="0"/>
        <v>Denmark</v>
      </c>
      <c r="G2" s="530" t="str">
        <f t="shared" si="0"/>
        <v>Germany (until 1990 former territory of the FRG)</v>
      </c>
      <c r="H2" s="530" t="str">
        <f t="shared" si="0"/>
        <v>Estonia</v>
      </c>
      <c r="I2" s="530" t="str">
        <f t="shared" si="0"/>
        <v>Ireland</v>
      </c>
      <c r="J2" s="530" t="str">
        <f t="shared" si="0"/>
        <v>Greece</v>
      </c>
      <c r="K2" s="530" t="str">
        <f t="shared" si="0"/>
        <v>Spain</v>
      </c>
      <c r="L2" s="530" t="str">
        <f t="shared" si="0"/>
        <v>France</v>
      </c>
      <c r="M2" s="530" t="str">
        <f t="shared" si="0"/>
        <v>Italy</v>
      </c>
      <c r="N2" s="530" t="str">
        <f t="shared" si="0"/>
        <v>Cyprus</v>
      </c>
      <c r="O2" s="530" t="str">
        <f t="shared" si="0"/>
        <v>Latvia</v>
      </c>
      <c r="P2" s="530" t="str">
        <f t="shared" si="0"/>
        <v>Lithuania</v>
      </c>
      <c r="Q2" s="530" t="str">
        <f t="shared" si="0"/>
        <v>Luxembourg</v>
      </c>
      <c r="R2" s="530" t="str">
        <f t="shared" si="0"/>
        <v>Hungary</v>
      </c>
      <c r="S2" s="530" t="str">
        <f t="shared" si="0"/>
        <v>Malta</v>
      </c>
      <c r="T2" s="530" t="str">
        <f t="shared" si="0"/>
        <v>Netherlands</v>
      </c>
      <c r="U2" s="530" t="str">
        <f t="shared" si="0"/>
        <v>Austria</v>
      </c>
      <c r="V2" s="530" t="str">
        <f t="shared" si="0"/>
        <v>Poland</v>
      </c>
      <c r="W2" s="530" t="str">
        <f t="shared" si="0"/>
        <v>Portugal</v>
      </c>
      <c r="X2" s="530" t="str">
        <f t="shared" si="0"/>
        <v>Romania</v>
      </c>
      <c r="Y2" s="530" t="str">
        <f t="shared" si="0"/>
        <v>Slovenia</v>
      </c>
      <c r="Z2" s="530" t="str">
        <f t="shared" si="0"/>
        <v>Slovakia</v>
      </c>
      <c r="AA2" s="530" t="str">
        <f t="shared" si="0"/>
        <v>Finland</v>
      </c>
      <c r="AB2" s="530" t="str">
        <f t="shared" si="0"/>
        <v>Sweden</v>
      </c>
      <c r="AC2" s="530" t="str">
        <f t="shared" si="0"/>
        <v>United Kingdom</v>
      </c>
      <c r="AD2" s="530" t="str">
        <f t="shared" si="0"/>
        <v>Iceland</v>
      </c>
      <c r="AE2" s="530" t="str">
        <f t="shared" si="0"/>
        <v>Norway</v>
      </c>
      <c r="AF2" s="530" t="str">
        <f t="shared" si="0"/>
        <v>Switzerland</v>
      </c>
      <c r="AG2" s="530" t="str">
        <f t="shared" si="0"/>
        <v>Croatia</v>
      </c>
      <c r="AH2" s="530" t="str">
        <f t="shared" si="0"/>
        <v>Former Yugoslav Republic of Macedonia, the</v>
      </c>
      <c r="AI2" s="530" t="str">
        <f t="shared" si="0"/>
        <v>Turkey</v>
      </c>
    </row>
    <row r="3" spans="1:35">
      <c r="C3" s="530">
        <f>(C75-C91)/1000</f>
        <v>1.9E-2</v>
      </c>
      <c r="D3" s="530">
        <f t="shared" ref="D3:AI3" si="1">(D75-D91)/1000</f>
        <v>0</v>
      </c>
      <c r="E3" s="530">
        <f t="shared" si="1"/>
        <v>0.44600000000000001</v>
      </c>
      <c r="F3" s="530">
        <f t="shared" si="1"/>
        <v>0.02</v>
      </c>
      <c r="G3" s="530">
        <f t="shared" si="1"/>
        <v>0</v>
      </c>
      <c r="H3" s="530">
        <f t="shared" si="1"/>
        <v>1.6E-2</v>
      </c>
      <c r="I3" s="530">
        <f t="shared" si="1"/>
        <v>0</v>
      </c>
      <c r="J3" s="530">
        <f t="shared" si="1"/>
        <v>0</v>
      </c>
      <c r="K3" s="530">
        <f t="shared" si="1"/>
        <v>11.215</v>
      </c>
      <c r="L3" s="530">
        <f t="shared" si="1"/>
        <v>18.812000000000001</v>
      </c>
      <c r="M3" s="530">
        <f t="shared" si="1"/>
        <v>0.6</v>
      </c>
      <c r="N3" s="530">
        <f t="shared" si="1"/>
        <v>0</v>
      </c>
      <c r="O3" s="530">
        <f t="shared" si="1"/>
        <v>1.9E-2</v>
      </c>
      <c r="P3" s="530">
        <f t="shared" si="1"/>
        <v>0</v>
      </c>
      <c r="Q3" s="530">
        <f t="shared" si="1"/>
        <v>0</v>
      </c>
      <c r="R3" s="530">
        <f t="shared" si="1"/>
        <v>0</v>
      </c>
      <c r="S3" s="530">
        <f t="shared" si="1"/>
        <v>0</v>
      </c>
      <c r="T3" s="530">
        <f t="shared" si="1"/>
        <v>15.29</v>
      </c>
      <c r="U3" s="530">
        <f t="shared" si="1"/>
        <v>0.98199999999999998</v>
      </c>
      <c r="V3" s="530">
        <f t="shared" si="1"/>
        <v>0</v>
      </c>
      <c r="W3" s="530">
        <f t="shared" si="1"/>
        <v>4.6680000000000001</v>
      </c>
      <c r="X3" s="530">
        <f t="shared" si="1"/>
        <v>0</v>
      </c>
      <c r="Y3" s="530">
        <f t="shared" si="1"/>
        <v>0.10100000000000001</v>
      </c>
      <c r="Z3" s="530">
        <f t="shared" si="1"/>
        <v>6.0000000000000001E-3</v>
      </c>
      <c r="AA3" s="530">
        <f t="shared" si="1"/>
        <v>0</v>
      </c>
      <c r="AB3" s="530">
        <f t="shared" si="1"/>
        <v>0</v>
      </c>
      <c r="AC3" s="530">
        <f t="shared" si="1"/>
        <v>65.518000000000001</v>
      </c>
      <c r="AD3" s="530">
        <f t="shared" si="1"/>
        <v>0</v>
      </c>
      <c r="AE3" s="530">
        <f t="shared" si="1"/>
        <v>0</v>
      </c>
      <c r="AF3" s="530">
        <f t="shared" si="1"/>
        <v>1.597</v>
      </c>
      <c r="AG3" s="530">
        <f t="shared" si="1"/>
        <v>0</v>
      </c>
      <c r="AH3" s="530">
        <f t="shared" si="1"/>
        <v>0</v>
      </c>
      <c r="AI3" s="530">
        <f t="shared" si="1"/>
        <v>0.28199999999999997</v>
      </c>
    </row>
    <row r="4" spans="1:35">
      <c r="C4" s="530">
        <f>B91/1000</f>
        <v>35.658000000000001</v>
      </c>
      <c r="D4" s="530">
        <f t="shared" ref="D4:AI4" si="2">C91/1000</f>
        <v>8.9999999999999993E-3</v>
      </c>
      <c r="E4" s="530">
        <f t="shared" si="2"/>
        <v>0</v>
      </c>
      <c r="F4" s="530">
        <f t="shared" si="2"/>
        <v>0</v>
      </c>
      <c r="G4" s="530">
        <f t="shared" si="2"/>
        <v>0</v>
      </c>
      <c r="H4" s="530">
        <f t="shared" si="2"/>
        <v>0</v>
      </c>
      <c r="I4" s="530">
        <f t="shared" si="2"/>
        <v>1.6E-2</v>
      </c>
      <c r="J4" s="530">
        <f t="shared" si="2"/>
        <v>0</v>
      </c>
      <c r="K4" s="530">
        <f t="shared" si="2"/>
        <v>0</v>
      </c>
      <c r="L4" s="530">
        <f t="shared" si="2"/>
        <v>4.9130000000000003</v>
      </c>
      <c r="M4" s="530">
        <f t="shared" si="2"/>
        <v>13.222</v>
      </c>
      <c r="N4" s="530">
        <f t="shared" si="2"/>
        <v>0.224</v>
      </c>
      <c r="O4" s="530">
        <f t="shared" si="2"/>
        <v>0</v>
      </c>
      <c r="P4" s="530">
        <f t="shared" si="2"/>
        <v>0</v>
      </c>
      <c r="Q4" s="530">
        <f t="shared" si="2"/>
        <v>0</v>
      </c>
      <c r="R4" s="530">
        <f t="shared" si="2"/>
        <v>0</v>
      </c>
      <c r="S4" s="530">
        <f t="shared" si="2"/>
        <v>0</v>
      </c>
      <c r="T4" s="530">
        <f t="shared" si="2"/>
        <v>0</v>
      </c>
      <c r="U4" s="530">
        <f t="shared" si="2"/>
        <v>0</v>
      </c>
      <c r="V4" s="530">
        <f t="shared" si="2"/>
        <v>3.7370000000000001</v>
      </c>
      <c r="W4" s="530">
        <f t="shared" si="2"/>
        <v>0</v>
      </c>
      <c r="X4" s="530">
        <f t="shared" si="2"/>
        <v>0.28499999999999998</v>
      </c>
      <c r="Y4" s="530">
        <f t="shared" si="2"/>
        <v>3.5000000000000003E-2</v>
      </c>
      <c r="Z4" s="530">
        <f t="shared" si="2"/>
        <v>0</v>
      </c>
      <c r="AA4" s="530">
        <f t="shared" si="2"/>
        <v>0</v>
      </c>
      <c r="AB4" s="530">
        <f t="shared" si="2"/>
        <v>3.1139999999999999</v>
      </c>
      <c r="AC4" s="530">
        <f t="shared" si="2"/>
        <v>0</v>
      </c>
      <c r="AD4" s="530">
        <f t="shared" si="2"/>
        <v>10.103</v>
      </c>
      <c r="AE4" s="530">
        <f t="shared" si="2"/>
        <v>0</v>
      </c>
      <c r="AF4" s="530">
        <f t="shared" si="2"/>
        <v>1.5129999999999999</v>
      </c>
      <c r="AG4" s="530">
        <f t="shared" si="2"/>
        <v>0</v>
      </c>
      <c r="AH4" s="530">
        <f t="shared" si="2"/>
        <v>0</v>
      </c>
      <c r="AI4" s="530">
        <f t="shared" si="2"/>
        <v>0</v>
      </c>
    </row>
    <row r="7" spans="1:35">
      <c r="C7" s="530" t="s">
        <v>56</v>
      </c>
      <c r="D7" s="530" t="s">
        <v>39</v>
      </c>
      <c r="E7" s="530" t="s">
        <v>40</v>
      </c>
      <c r="F7" s="530" t="s">
        <v>49</v>
      </c>
      <c r="G7" s="530" t="s">
        <v>41</v>
      </c>
      <c r="H7" s="530" t="s">
        <v>43</v>
      </c>
      <c r="I7" s="530" t="s">
        <v>42</v>
      </c>
      <c r="J7" s="530" t="s">
        <v>44</v>
      </c>
      <c r="K7" s="530" t="s">
        <v>45</v>
      </c>
      <c r="L7" s="530" t="s">
        <v>62</v>
      </c>
      <c r="M7" s="530" t="s">
        <v>46</v>
      </c>
      <c r="N7" s="530" t="s">
        <v>82</v>
      </c>
      <c r="O7" s="530" t="s">
        <v>53</v>
      </c>
      <c r="P7" s="530" t="s">
        <v>47</v>
      </c>
      <c r="Q7" s="530" t="s">
        <v>48</v>
      </c>
      <c r="R7" s="530" t="s">
        <v>51</v>
      </c>
      <c r="S7" s="530" t="s">
        <v>52</v>
      </c>
      <c r="T7" s="530" t="s">
        <v>50</v>
      </c>
      <c r="U7" s="530" t="s">
        <v>54</v>
      </c>
      <c r="V7" s="530" t="s">
        <v>55</v>
      </c>
      <c r="W7" s="530" t="s">
        <v>57</v>
      </c>
      <c r="X7" s="530" t="s">
        <v>58</v>
      </c>
      <c r="Y7" s="530" t="s">
        <v>59</v>
      </c>
      <c r="Z7" s="530" t="s">
        <v>63</v>
      </c>
      <c r="AA7" s="530" t="s">
        <v>60</v>
      </c>
      <c r="AB7" s="530" t="s">
        <v>61</v>
      </c>
      <c r="AC7" s="530" t="s">
        <v>64</v>
      </c>
    </row>
    <row r="8" spans="1:35">
      <c r="C8" s="530">
        <f>U3</f>
        <v>0.98199999999999998</v>
      </c>
      <c r="D8" s="530">
        <f>C3</f>
        <v>1.9E-2</v>
      </c>
      <c r="E8" s="530">
        <f>D3</f>
        <v>0</v>
      </c>
      <c r="F8" s="530">
        <f>N3</f>
        <v>0</v>
      </c>
      <c r="G8" s="530">
        <f>E3</f>
        <v>0.44600000000000001</v>
      </c>
      <c r="H8" s="530">
        <f>G3</f>
        <v>0</v>
      </c>
      <c r="I8" s="530">
        <f>F3</f>
        <v>0.02</v>
      </c>
      <c r="J8" s="530">
        <f>H3</f>
        <v>1.6E-2</v>
      </c>
      <c r="K8" s="530">
        <f>K3</f>
        <v>11.215</v>
      </c>
      <c r="L8" s="530">
        <f>AA3</f>
        <v>0</v>
      </c>
      <c r="M8" s="530">
        <f>L3</f>
        <v>18.812000000000001</v>
      </c>
      <c r="N8" s="530">
        <f>J3</f>
        <v>0</v>
      </c>
      <c r="O8" s="530">
        <f>R3</f>
        <v>0</v>
      </c>
      <c r="P8" s="530">
        <f>I3</f>
        <v>0</v>
      </c>
      <c r="Q8" s="530">
        <f>M3</f>
        <v>0.6</v>
      </c>
      <c r="R8" s="530">
        <f>P3</f>
        <v>0</v>
      </c>
      <c r="S8" s="530">
        <f>Q3</f>
        <v>0</v>
      </c>
      <c r="T8" s="530">
        <f>O3</f>
        <v>1.9E-2</v>
      </c>
      <c r="U8" s="530">
        <f>S3</f>
        <v>0</v>
      </c>
      <c r="V8" s="530">
        <f>T3</f>
        <v>15.29</v>
      </c>
      <c r="W8" s="530">
        <f t="shared" ref="W8:Y9" si="3">V3</f>
        <v>0</v>
      </c>
      <c r="X8" s="530">
        <f t="shared" si="3"/>
        <v>4.6680000000000001</v>
      </c>
      <c r="Y8" s="530">
        <f t="shared" si="3"/>
        <v>0</v>
      </c>
      <c r="Z8" s="530">
        <f>AB3</f>
        <v>0</v>
      </c>
      <c r="AA8" s="530">
        <f>Y3</f>
        <v>0.10100000000000001</v>
      </c>
      <c r="AB8" s="530">
        <f>Z3</f>
        <v>6.0000000000000001E-3</v>
      </c>
      <c r="AC8" s="530">
        <f>AC3</f>
        <v>65.518000000000001</v>
      </c>
    </row>
    <row r="9" spans="1:35">
      <c r="C9" s="530">
        <f>U4</f>
        <v>0</v>
      </c>
      <c r="D9" s="530">
        <f>C4</f>
        <v>35.658000000000001</v>
      </c>
      <c r="E9" s="530">
        <f>D4</f>
        <v>8.9999999999999993E-3</v>
      </c>
      <c r="F9" s="530">
        <f>N4</f>
        <v>0.224</v>
      </c>
      <c r="G9" s="530">
        <f>E4</f>
        <v>0</v>
      </c>
      <c r="H9" s="530">
        <f>G4</f>
        <v>0</v>
      </c>
      <c r="I9" s="530">
        <f>F4</f>
        <v>0</v>
      </c>
      <c r="J9" s="530">
        <f>H4</f>
        <v>0</v>
      </c>
      <c r="K9" s="530">
        <f>K4</f>
        <v>0</v>
      </c>
      <c r="L9" s="530">
        <f>AA4</f>
        <v>0</v>
      </c>
      <c r="M9" s="530">
        <f>L4</f>
        <v>4.9130000000000003</v>
      </c>
      <c r="N9" s="530">
        <f>J4</f>
        <v>0</v>
      </c>
      <c r="O9" s="530">
        <f>R4</f>
        <v>0</v>
      </c>
      <c r="P9" s="530">
        <f>I4</f>
        <v>1.6E-2</v>
      </c>
      <c r="Q9" s="530">
        <f>M4</f>
        <v>13.222</v>
      </c>
      <c r="R9" s="530">
        <f>P4</f>
        <v>0</v>
      </c>
      <c r="S9" s="530">
        <f>Q4</f>
        <v>0</v>
      </c>
      <c r="T9" s="530">
        <f>O4</f>
        <v>0</v>
      </c>
      <c r="U9" s="530">
        <f>S4</f>
        <v>0</v>
      </c>
      <c r="V9" s="530">
        <f>T4</f>
        <v>0</v>
      </c>
      <c r="W9" s="530">
        <f t="shared" si="3"/>
        <v>3.7370000000000001</v>
      </c>
      <c r="X9" s="530">
        <f t="shared" si="3"/>
        <v>0</v>
      </c>
      <c r="Y9" s="530">
        <f t="shared" si="3"/>
        <v>0.28499999999999998</v>
      </c>
      <c r="Z9" s="530">
        <f>AB4</f>
        <v>3.1139999999999999</v>
      </c>
      <c r="AA9" s="530">
        <f>Y4</f>
        <v>3.5000000000000003E-2</v>
      </c>
      <c r="AB9" s="530">
        <f>Z4</f>
        <v>0</v>
      </c>
      <c r="AC9" s="530">
        <f>AC4</f>
        <v>0</v>
      </c>
    </row>
    <row r="11" spans="1:35">
      <c r="A11" s="529" t="s">
        <v>650</v>
      </c>
    </row>
    <row r="13" spans="1:35">
      <c r="A13" s="529" t="s">
        <v>269</v>
      </c>
      <c r="B13" s="531">
        <v>41353.593923611115</v>
      </c>
    </row>
    <row r="14" spans="1:35">
      <c r="A14" s="529" t="s">
        <v>271</v>
      </c>
      <c r="B14" s="531">
        <v>41389.438878136571</v>
      </c>
    </row>
    <row r="15" spans="1:35">
      <c r="A15" s="529" t="s">
        <v>273</v>
      </c>
      <c r="B15" s="529" t="s">
        <v>67</v>
      </c>
    </row>
    <row r="17" spans="1:35">
      <c r="A17" s="529" t="s">
        <v>340</v>
      </c>
      <c r="B17" s="529" t="s">
        <v>576</v>
      </c>
    </row>
    <row r="18" spans="1:35">
      <c r="A18" s="529" t="s">
        <v>341</v>
      </c>
      <c r="B18" s="529" t="s">
        <v>651</v>
      </c>
    </row>
    <row r="19" spans="1:35">
      <c r="A19" s="529" t="s">
        <v>578</v>
      </c>
      <c r="B19" s="529" t="s">
        <v>298</v>
      </c>
    </row>
    <row r="21" spans="1:35">
      <c r="A21" s="532" t="s">
        <v>579</v>
      </c>
      <c r="B21" s="532" t="s">
        <v>580</v>
      </c>
      <c r="C21" s="532" t="s">
        <v>180</v>
      </c>
      <c r="D21" s="532" t="s">
        <v>181</v>
      </c>
      <c r="E21" s="532" t="s">
        <v>215</v>
      </c>
      <c r="F21" s="532" t="s">
        <v>182</v>
      </c>
      <c r="G21" s="532" t="s">
        <v>581</v>
      </c>
      <c r="H21" s="532" t="s">
        <v>217</v>
      </c>
      <c r="I21" s="532" t="s">
        <v>218</v>
      </c>
      <c r="J21" s="532" t="s">
        <v>183</v>
      </c>
      <c r="K21" s="532" t="s">
        <v>184</v>
      </c>
      <c r="L21" s="532" t="s">
        <v>185</v>
      </c>
      <c r="M21" s="532" t="s">
        <v>186</v>
      </c>
      <c r="N21" s="532" t="s">
        <v>187</v>
      </c>
      <c r="O21" s="532" t="s">
        <v>219</v>
      </c>
      <c r="P21" s="532" t="s">
        <v>188</v>
      </c>
      <c r="Q21" s="532" t="s">
        <v>474</v>
      </c>
      <c r="R21" s="532" t="s">
        <v>189</v>
      </c>
      <c r="S21" s="532" t="s">
        <v>190</v>
      </c>
      <c r="T21" s="532" t="s">
        <v>191</v>
      </c>
      <c r="U21" s="532" t="s">
        <v>192</v>
      </c>
      <c r="V21" s="532" t="s">
        <v>193</v>
      </c>
      <c r="W21" s="532" t="s">
        <v>194</v>
      </c>
      <c r="X21" s="532" t="s">
        <v>195</v>
      </c>
      <c r="Y21" s="532" t="s">
        <v>196</v>
      </c>
      <c r="Z21" s="532" t="s">
        <v>197</v>
      </c>
      <c r="AA21" s="532" t="s">
        <v>198</v>
      </c>
      <c r="AB21" s="532" t="s">
        <v>199</v>
      </c>
      <c r="AC21" s="532" t="s">
        <v>221</v>
      </c>
      <c r="AD21" s="532" t="s">
        <v>179</v>
      </c>
      <c r="AE21" s="532" t="s">
        <v>178</v>
      </c>
      <c r="AF21" s="532" t="s">
        <v>222</v>
      </c>
      <c r="AG21" s="532" t="s">
        <v>299</v>
      </c>
      <c r="AH21" s="532" t="s">
        <v>582</v>
      </c>
      <c r="AI21" s="532" t="s">
        <v>300</v>
      </c>
    </row>
    <row r="22" spans="1:35">
      <c r="A22" s="532" t="s">
        <v>607</v>
      </c>
      <c r="B22" s="533">
        <v>1081090</v>
      </c>
      <c r="C22" s="533">
        <v>19108</v>
      </c>
      <c r="D22" s="533">
        <v>0</v>
      </c>
      <c r="E22" s="533">
        <v>8643</v>
      </c>
      <c r="F22" s="533">
        <v>42147</v>
      </c>
      <c r="G22" s="533">
        <v>174119</v>
      </c>
      <c r="H22" s="533">
        <v>317</v>
      </c>
      <c r="I22" s="533">
        <v>1247</v>
      </c>
      <c r="J22" s="533">
        <v>1156</v>
      </c>
      <c r="K22" s="533">
        <v>50146</v>
      </c>
      <c r="L22" s="533">
        <v>55254</v>
      </c>
      <c r="M22" s="533">
        <v>261148</v>
      </c>
      <c r="N22" s="533">
        <v>0</v>
      </c>
      <c r="O22" s="533">
        <v>896</v>
      </c>
      <c r="P22" s="533">
        <v>218</v>
      </c>
      <c r="Q22" s="533">
        <v>600</v>
      </c>
      <c r="R22" s="533">
        <v>20824</v>
      </c>
      <c r="S22" s="533">
        <v>0</v>
      </c>
      <c r="T22" s="533">
        <v>59673</v>
      </c>
      <c r="U22" s="533">
        <v>28308</v>
      </c>
      <c r="V22" s="533">
        <v>17654</v>
      </c>
      <c r="W22" s="533">
        <v>16177</v>
      </c>
      <c r="X22" s="533">
        <v>69</v>
      </c>
      <c r="Y22" s="533">
        <v>1217</v>
      </c>
      <c r="Z22" s="533">
        <v>1043</v>
      </c>
      <c r="AA22" s="533">
        <v>93563</v>
      </c>
      <c r="AB22" s="533">
        <v>116636</v>
      </c>
      <c r="AC22" s="533">
        <v>110928</v>
      </c>
      <c r="AD22" s="533">
        <v>59342</v>
      </c>
      <c r="AE22" s="533">
        <v>3452</v>
      </c>
      <c r="AF22" s="533">
        <v>19828</v>
      </c>
      <c r="AG22" s="533">
        <v>177</v>
      </c>
      <c r="AH22" s="533">
        <v>0</v>
      </c>
      <c r="AI22" s="533">
        <v>3739</v>
      </c>
    </row>
    <row r="23" spans="1:35">
      <c r="A23" s="532" t="s">
        <v>583</v>
      </c>
      <c r="B23" s="533">
        <v>704540</v>
      </c>
      <c r="C23" s="533">
        <v>17005</v>
      </c>
      <c r="D23" s="533">
        <v>0</v>
      </c>
      <c r="E23" s="533">
        <v>3507</v>
      </c>
      <c r="F23" s="533">
        <v>29534</v>
      </c>
      <c r="G23" s="533">
        <v>135305</v>
      </c>
      <c r="H23" s="533">
        <v>104</v>
      </c>
      <c r="I23" s="533">
        <v>1044</v>
      </c>
      <c r="J23" s="533">
        <v>990</v>
      </c>
      <c r="K23" s="533">
        <v>20900</v>
      </c>
      <c r="L23" s="533">
        <v>3641</v>
      </c>
      <c r="M23" s="533">
        <v>258631</v>
      </c>
      <c r="N23" s="533">
        <v>0</v>
      </c>
      <c r="O23" s="533">
        <v>718</v>
      </c>
      <c r="P23" s="533">
        <v>17</v>
      </c>
      <c r="Q23" s="533">
        <v>487</v>
      </c>
      <c r="R23" s="533">
        <v>20648</v>
      </c>
      <c r="S23" s="533">
        <v>0</v>
      </c>
      <c r="T23" s="533">
        <v>34691</v>
      </c>
      <c r="U23" s="533">
        <v>14260</v>
      </c>
      <c r="V23" s="533">
        <v>9662</v>
      </c>
      <c r="W23" s="533">
        <v>3553</v>
      </c>
      <c r="X23" s="533">
        <v>0</v>
      </c>
      <c r="Y23" s="533">
        <v>156</v>
      </c>
      <c r="Z23" s="533">
        <v>121</v>
      </c>
      <c r="AA23" s="533">
        <v>55313</v>
      </c>
      <c r="AB23" s="533">
        <v>64913</v>
      </c>
      <c r="AC23" s="533">
        <v>29341</v>
      </c>
      <c r="AD23" s="533">
        <v>59342</v>
      </c>
      <c r="AE23" s="533">
        <v>1939</v>
      </c>
      <c r="AF23" s="533">
        <v>483</v>
      </c>
      <c r="AG23" s="533">
        <v>141</v>
      </c>
      <c r="AH23" s="533">
        <v>0</v>
      </c>
      <c r="AI23" s="533">
        <v>3398</v>
      </c>
    </row>
    <row r="24" spans="1:35">
      <c r="A24" s="532" t="s">
        <v>584</v>
      </c>
      <c r="B24" s="533">
        <v>355785</v>
      </c>
      <c r="C24" s="533">
        <v>12630</v>
      </c>
      <c r="D24" s="533">
        <v>0</v>
      </c>
      <c r="E24" s="533">
        <v>2173</v>
      </c>
      <c r="F24" s="533">
        <v>0</v>
      </c>
      <c r="G24" s="533">
        <v>8</v>
      </c>
      <c r="H24" s="533">
        <v>0</v>
      </c>
      <c r="I24" s="533">
        <v>1044</v>
      </c>
      <c r="J24" s="533">
        <v>990</v>
      </c>
      <c r="K24" s="533">
        <v>20900</v>
      </c>
      <c r="L24" s="533">
        <v>304</v>
      </c>
      <c r="M24" s="533">
        <v>225425</v>
      </c>
      <c r="N24" s="533">
        <v>0</v>
      </c>
      <c r="O24" s="533">
        <v>0</v>
      </c>
      <c r="P24" s="533">
        <v>0</v>
      </c>
      <c r="Q24" s="533">
        <v>487</v>
      </c>
      <c r="R24" s="533">
        <v>18941</v>
      </c>
      <c r="S24" s="533">
        <v>0</v>
      </c>
      <c r="T24" s="533">
        <v>22613</v>
      </c>
      <c r="U24" s="533">
        <v>8545</v>
      </c>
      <c r="V24" s="533">
        <v>0</v>
      </c>
      <c r="W24" s="533">
        <v>3553</v>
      </c>
      <c r="X24" s="533">
        <v>0</v>
      </c>
      <c r="Y24" s="533">
        <v>0</v>
      </c>
      <c r="Z24" s="533">
        <v>0</v>
      </c>
      <c r="AA24" s="533">
        <v>8832</v>
      </c>
      <c r="AB24" s="533">
        <v>0</v>
      </c>
      <c r="AC24" s="533">
        <v>29341</v>
      </c>
      <c r="AD24" s="533">
        <v>18366</v>
      </c>
      <c r="AE24" s="533">
        <v>28</v>
      </c>
      <c r="AF24" s="533">
        <v>0</v>
      </c>
      <c r="AG24" s="533">
        <v>141</v>
      </c>
      <c r="AH24" s="533">
        <v>0</v>
      </c>
      <c r="AI24" s="533">
        <v>3398</v>
      </c>
    </row>
    <row r="25" spans="1:35">
      <c r="A25" s="532" t="s">
        <v>585</v>
      </c>
      <c r="B25" s="533">
        <v>348755</v>
      </c>
      <c r="C25" s="533">
        <v>4375</v>
      </c>
      <c r="D25" s="533">
        <v>0</v>
      </c>
      <c r="E25" s="533">
        <v>1334</v>
      </c>
      <c r="F25" s="533">
        <v>29534</v>
      </c>
      <c r="G25" s="533">
        <v>135297</v>
      </c>
      <c r="H25" s="533">
        <v>104</v>
      </c>
      <c r="I25" s="533">
        <v>0</v>
      </c>
      <c r="J25" s="533">
        <v>0</v>
      </c>
      <c r="K25" s="533">
        <v>0</v>
      </c>
      <c r="L25" s="533">
        <v>3337</v>
      </c>
      <c r="M25" s="533">
        <v>33206</v>
      </c>
      <c r="N25" s="533">
        <v>0</v>
      </c>
      <c r="O25" s="533">
        <v>718</v>
      </c>
      <c r="P25" s="533">
        <v>17</v>
      </c>
      <c r="Q25" s="533">
        <v>0</v>
      </c>
      <c r="R25" s="533">
        <v>1707</v>
      </c>
      <c r="S25" s="533">
        <v>0</v>
      </c>
      <c r="T25" s="533">
        <v>12078</v>
      </c>
      <c r="U25" s="533">
        <v>5715</v>
      </c>
      <c r="V25" s="533">
        <v>9662</v>
      </c>
      <c r="W25" s="533">
        <v>0</v>
      </c>
      <c r="X25" s="533">
        <v>0</v>
      </c>
      <c r="Y25" s="533">
        <v>156</v>
      </c>
      <c r="Z25" s="533">
        <v>121</v>
      </c>
      <c r="AA25" s="533">
        <v>46481</v>
      </c>
      <c r="AB25" s="533">
        <v>64913</v>
      </c>
      <c r="AC25" s="533">
        <v>0</v>
      </c>
      <c r="AD25" s="533">
        <v>40976</v>
      </c>
      <c r="AE25" s="533">
        <v>1911</v>
      </c>
      <c r="AF25" s="533">
        <v>483</v>
      </c>
      <c r="AG25" s="533">
        <v>0</v>
      </c>
      <c r="AH25" s="533">
        <v>0</v>
      </c>
      <c r="AI25" s="533">
        <v>0</v>
      </c>
    </row>
    <row r="26" spans="1:35">
      <c r="A26" s="532" t="s">
        <v>586</v>
      </c>
      <c r="B26" s="533">
        <v>376550</v>
      </c>
      <c r="C26" s="533">
        <v>2103</v>
      </c>
      <c r="D26" s="533">
        <v>0</v>
      </c>
      <c r="E26" s="533">
        <v>5136</v>
      </c>
      <c r="F26" s="533">
        <v>12613</v>
      </c>
      <c r="G26" s="533">
        <v>38814</v>
      </c>
      <c r="H26" s="533">
        <v>213</v>
      </c>
      <c r="I26" s="533">
        <v>203</v>
      </c>
      <c r="J26" s="533">
        <v>166</v>
      </c>
      <c r="K26" s="533">
        <v>29246</v>
      </c>
      <c r="L26" s="533">
        <v>51613</v>
      </c>
      <c r="M26" s="533">
        <v>2517</v>
      </c>
      <c r="N26" s="533">
        <v>0</v>
      </c>
      <c r="O26" s="533">
        <v>178</v>
      </c>
      <c r="P26" s="533">
        <v>201</v>
      </c>
      <c r="Q26" s="533">
        <v>113</v>
      </c>
      <c r="R26" s="533">
        <v>176</v>
      </c>
      <c r="S26" s="533">
        <v>0</v>
      </c>
      <c r="T26" s="533">
        <v>24982</v>
      </c>
      <c r="U26" s="533">
        <v>14048</v>
      </c>
      <c r="V26" s="533">
        <v>7992</v>
      </c>
      <c r="W26" s="533">
        <v>12624</v>
      </c>
      <c r="X26" s="533">
        <v>69</v>
      </c>
      <c r="Y26" s="533">
        <v>1061</v>
      </c>
      <c r="Z26" s="533">
        <v>922</v>
      </c>
      <c r="AA26" s="533">
        <v>38250</v>
      </c>
      <c r="AB26" s="533">
        <v>51723</v>
      </c>
      <c r="AC26" s="533">
        <v>81587</v>
      </c>
      <c r="AD26" s="533">
        <v>0</v>
      </c>
      <c r="AE26" s="533">
        <v>1513</v>
      </c>
      <c r="AF26" s="533">
        <v>19345</v>
      </c>
      <c r="AG26" s="533">
        <v>36</v>
      </c>
      <c r="AH26" s="533">
        <v>0</v>
      </c>
      <c r="AI26" s="533">
        <v>341</v>
      </c>
    </row>
    <row r="27" spans="1:35">
      <c r="A27" s="532" t="s">
        <v>587</v>
      </c>
      <c r="B27" s="533">
        <v>153370</v>
      </c>
      <c r="C27" s="533">
        <v>28</v>
      </c>
      <c r="D27" s="533">
        <v>0</v>
      </c>
      <c r="E27" s="533">
        <v>446</v>
      </c>
      <c r="F27" s="533">
        <v>20</v>
      </c>
      <c r="G27" s="533">
        <v>0</v>
      </c>
      <c r="H27" s="533">
        <v>32</v>
      </c>
      <c r="I27" s="533">
        <v>0</v>
      </c>
      <c r="J27" s="533">
        <v>0</v>
      </c>
      <c r="K27" s="533">
        <v>16128</v>
      </c>
      <c r="L27" s="533">
        <v>32034</v>
      </c>
      <c r="M27" s="533">
        <v>824</v>
      </c>
      <c r="N27" s="533">
        <v>0</v>
      </c>
      <c r="O27" s="533">
        <v>19</v>
      </c>
      <c r="P27" s="533">
        <v>0</v>
      </c>
      <c r="Q27" s="533">
        <v>0</v>
      </c>
      <c r="R27" s="533">
        <v>0</v>
      </c>
      <c r="S27" s="533">
        <v>0</v>
      </c>
      <c r="T27" s="533">
        <v>15290</v>
      </c>
      <c r="U27" s="533">
        <v>4719</v>
      </c>
      <c r="V27" s="533">
        <v>0</v>
      </c>
      <c r="W27" s="533">
        <v>4953</v>
      </c>
      <c r="X27" s="533">
        <v>35</v>
      </c>
      <c r="Y27" s="533">
        <v>101</v>
      </c>
      <c r="Z27" s="533">
        <v>6</v>
      </c>
      <c r="AA27" s="533">
        <v>3114</v>
      </c>
      <c r="AB27" s="533">
        <v>0</v>
      </c>
      <c r="AC27" s="533">
        <v>75621</v>
      </c>
      <c r="AD27" s="533">
        <v>0</v>
      </c>
      <c r="AE27" s="533">
        <v>1513</v>
      </c>
      <c r="AF27" s="533">
        <v>1597</v>
      </c>
      <c r="AG27" s="533">
        <v>0</v>
      </c>
      <c r="AH27" s="533">
        <v>0</v>
      </c>
      <c r="AI27" s="533">
        <v>299</v>
      </c>
    </row>
    <row r="28" spans="1:35">
      <c r="A28" s="532" t="s">
        <v>588</v>
      </c>
      <c r="B28" s="533">
        <v>223180</v>
      </c>
      <c r="C28" s="533">
        <v>2075</v>
      </c>
      <c r="D28" s="533">
        <v>0</v>
      </c>
      <c r="E28" s="533">
        <v>4690</v>
      </c>
      <c r="F28" s="533">
        <v>12593</v>
      </c>
      <c r="G28" s="533">
        <v>38814</v>
      </c>
      <c r="H28" s="533">
        <v>181</v>
      </c>
      <c r="I28" s="533">
        <v>203</v>
      </c>
      <c r="J28" s="533">
        <v>166</v>
      </c>
      <c r="K28" s="533">
        <v>13118</v>
      </c>
      <c r="L28" s="533">
        <v>19579</v>
      </c>
      <c r="M28" s="533">
        <v>1693</v>
      </c>
      <c r="N28" s="533">
        <v>0</v>
      </c>
      <c r="O28" s="533">
        <v>159</v>
      </c>
      <c r="P28" s="533">
        <v>201</v>
      </c>
      <c r="Q28" s="533">
        <v>113</v>
      </c>
      <c r="R28" s="533">
        <v>176</v>
      </c>
      <c r="S28" s="533">
        <v>0</v>
      </c>
      <c r="T28" s="533">
        <v>9692</v>
      </c>
      <c r="U28" s="533">
        <v>9329</v>
      </c>
      <c r="V28" s="533">
        <v>7992</v>
      </c>
      <c r="W28" s="533">
        <v>7671</v>
      </c>
      <c r="X28" s="533">
        <v>34</v>
      </c>
      <c r="Y28" s="533">
        <v>960</v>
      </c>
      <c r="Z28" s="533">
        <v>916</v>
      </c>
      <c r="AA28" s="533">
        <v>35136</v>
      </c>
      <c r="AB28" s="533">
        <v>51723</v>
      </c>
      <c r="AC28" s="533">
        <v>5966</v>
      </c>
      <c r="AD28" s="533">
        <v>0</v>
      </c>
      <c r="AE28" s="533">
        <v>0</v>
      </c>
      <c r="AF28" s="533">
        <v>17748</v>
      </c>
      <c r="AG28" s="533">
        <v>36</v>
      </c>
      <c r="AH28" s="533">
        <v>0</v>
      </c>
      <c r="AI28" s="533">
        <v>42</v>
      </c>
    </row>
    <row r="30" spans="1:35">
      <c r="A30" s="529" t="s">
        <v>589</v>
      </c>
    </row>
    <row r="31" spans="1:35">
      <c r="A31" s="529" t="s">
        <v>36</v>
      </c>
      <c r="B31" s="529" t="s">
        <v>590</v>
      </c>
    </row>
    <row r="33" spans="1:35">
      <c r="A33" s="529" t="s">
        <v>340</v>
      </c>
      <c r="B33" s="529" t="s">
        <v>576</v>
      </c>
    </row>
    <row r="34" spans="1:35">
      <c r="A34" s="529" t="s">
        <v>341</v>
      </c>
      <c r="B34" s="529" t="s">
        <v>652</v>
      </c>
    </row>
    <row r="35" spans="1:35">
      <c r="A35" s="529" t="s">
        <v>578</v>
      </c>
      <c r="B35" s="529" t="s">
        <v>298</v>
      </c>
    </row>
    <row r="37" spans="1:35">
      <c r="A37" s="532" t="s">
        <v>579</v>
      </c>
      <c r="B37" s="532" t="s">
        <v>580</v>
      </c>
      <c r="C37" s="532" t="s">
        <v>180</v>
      </c>
      <c r="D37" s="532" t="s">
        <v>181</v>
      </c>
      <c r="E37" s="532" t="s">
        <v>215</v>
      </c>
      <c r="F37" s="532" t="s">
        <v>182</v>
      </c>
      <c r="G37" s="532" t="s">
        <v>581</v>
      </c>
      <c r="H37" s="532" t="s">
        <v>217</v>
      </c>
      <c r="I37" s="532" t="s">
        <v>218</v>
      </c>
      <c r="J37" s="532" t="s">
        <v>183</v>
      </c>
      <c r="K37" s="532" t="s">
        <v>184</v>
      </c>
      <c r="L37" s="532" t="s">
        <v>185</v>
      </c>
      <c r="M37" s="532" t="s">
        <v>186</v>
      </c>
      <c r="N37" s="532" t="s">
        <v>187</v>
      </c>
      <c r="O37" s="532" t="s">
        <v>219</v>
      </c>
      <c r="P37" s="532" t="s">
        <v>188</v>
      </c>
      <c r="Q37" s="532" t="s">
        <v>474</v>
      </c>
      <c r="R37" s="532" t="s">
        <v>189</v>
      </c>
      <c r="S37" s="532" t="s">
        <v>190</v>
      </c>
      <c r="T37" s="532" t="s">
        <v>191</v>
      </c>
      <c r="U37" s="532" t="s">
        <v>192</v>
      </c>
      <c r="V37" s="532" t="s">
        <v>193</v>
      </c>
      <c r="W37" s="532" t="s">
        <v>194</v>
      </c>
      <c r="X37" s="532" t="s">
        <v>195</v>
      </c>
      <c r="Y37" s="532" t="s">
        <v>196</v>
      </c>
      <c r="Z37" s="532" t="s">
        <v>197</v>
      </c>
      <c r="AA37" s="532" t="s">
        <v>198</v>
      </c>
      <c r="AB37" s="532" t="s">
        <v>199</v>
      </c>
      <c r="AC37" s="532" t="s">
        <v>221</v>
      </c>
      <c r="AD37" s="532" t="s">
        <v>179</v>
      </c>
      <c r="AE37" s="532" t="s">
        <v>178</v>
      </c>
      <c r="AF37" s="532" t="s">
        <v>222</v>
      </c>
      <c r="AG37" s="532" t="s">
        <v>299</v>
      </c>
      <c r="AH37" s="532" t="s">
        <v>582</v>
      </c>
      <c r="AI37" s="532" t="s">
        <v>300</v>
      </c>
    </row>
    <row r="38" spans="1:35">
      <c r="A38" s="532" t="s">
        <v>607</v>
      </c>
      <c r="B38" s="533">
        <v>0</v>
      </c>
      <c r="C38" s="533">
        <v>0</v>
      </c>
      <c r="D38" s="533">
        <v>0</v>
      </c>
      <c r="E38" s="533">
        <v>0</v>
      </c>
      <c r="F38" s="533">
        <v>0</v>
      </c>
      <c r="G38" s="533">
        <v>0</v>
      </c>
      <c r="H38" s="533">
        <v>0</v>
      </c>
      <c r="I38" s="533">
        <v>0</v>
      </c>
      <c r="J38" s="533">
        <v>0</v>
      </c>
      <c r="K38" s="533">
        <v>0</v>
      </c>
      <c r="L38" s="533">
        <v>0</v>
      </c>
      <c r="M38" s="533">
        <v>0</v>
      </c>
      <c r="N38" s="533">
        <v>0</v>
      </c>
      <c r="O38" s="533">
        <v>0</v>
      </c>
      <c r="P38" s="533">
        <v>0</v>
      </c>
      <c r="Q38" s="533">
        <v>0</v>
      </c>
      <c r="R38" s="533">
        <v>0</v>
      </c>
      <c r="S38" s="534" t="s">
        <v>36</v>
      </c>
      <c r="T38" s="533">
        <v>0</v>
      </c>
      <c r="U38" s="533">
        <v>0</v>
      </c>
      <c r="V38" s="533">
        <v>0</v>
      </c>
      <c r="W38" s="533">
        <v>0</v>
      </c>
      <c r="X38" s="533">
        <v>0</v>
      </c>
      <c r="Y38" s="533">
        <v>0</v>
      </c>
      <c r="Z38" s="533">
        <v>0</v>
      </c>
      <c r="AA38" s="533">
        <v>0</v>
      </c>
      <c r="AB38" s="533">
        <v>0</v>
      </c>
      <c r="AC38" s="533">
        <v>0</v>
      </c>
      <c r="AD38" s="533">
        <v>0</v>
      </c>
      <c r="AE38" s="533">
        <v>0</v>
      </c>
      <c r="AF38" s="533">
        <v>0</v>
      </c>
      <c r="AG38" s="533">
        <v>0</v>
      </c>
      <c r="AH38" s="533">
        <v>0</v>
      </c>
      <c r="AI38" s="533">
        <v>0</v>
      </c>
    </row>
    <row r="39" spans="1:35">
      <c r="A39" s="532" t="s">
        <v>583</v>
      </c>
      <c r="B39" s="533">
        <v>0</v>
      </c>
      <c r="C39" s="533">
        <v>0</v>
      </c>
      <c r="D39" s="533">
        <v>0</v>
      </c>
      <c r="E39" s="533">
        <v>0</v>
      </c>
      <c r="F39" s="533">
        <v>0</v>
      </c>
      <c r="G39" s="533">
        <v>0</v>
      </c>
      <c r="H39" s="533">
        <v>0</v>
      </c>
      <c r="I39" s="533">
        <v>0</v>
      </c>
      <c r="J39" s="533">
        <v>0</v>
      </c>
      <c r="K39" s="533">
        <v>0</v>
      </c>
      <c r="L39" s="533">
        <v>0</v>
      </c>
      <c r="M39" s="533">
        <v>0</v>
      </c>
      <c r="N39" s="533">
        <v>0</v>
      </c>
      <c r="O39" s="533">
        <v>0</v>
      </c>
      <c r="P39" s="533">
        <v>0</v>
      </c>
      <c r="Q39" s="533">
        <v>0</v>
      </c>
      <c r="R39" s="533">
        <v>0</v>
      </c>
      <c r="S39" s="534" t="s">
        <v>36</v>
      </c>
      <c r="T39" s="533">
        <v>0</v>
      </c>
      <c r="U39" s="533">
        <v>0</v>
      </c>
      <c r="V39" s="533">
        <v>0</v>
      </c>
      <c r="W39" s="533">
        <v>0</v>
      </c>
      <c r="X39" s="533">
        <v>0</v>
      </c>
      <c r="Y39" s="533">
        <v>0</v>
      </c>
      <c r="Z39" s="533">
        <v>0</v>
      </c>
      <c r="AA39" s="533">
        <v>0</v>
      </c>
      <c r="AB39" s="533">
        <v>0</v>
      </c>
      <c r="AC39" s="533">
        <v>0</v>
      </c>
      <c r="AD39" s="533">
        <v>0</v>
      </c>
      <c r="AE39" s="533">
        <v>0</v>
      </c>
      <c r="AF39" s="533">
        <v>0</v>
      </c>
      <c r="AG39" s="533">
        <v>0</v>
      </c>
      <c r="AH39" s="533">
        <v>0</v>
      </c>
      <c r="AI39" s="533">
        <v>0</v>
      </c>
    </row>
    <row r="40" spans="1:35">
      <c r="A40" s="532" t="s">
        <v>584</v>
      </c>
      <c r="B40" s="533">
        <v>0</v>
      </c>
      <c r="C40" s="533">
        <v>0</v>
      </c>
      <c r="D40" s="533">
        <v>0</v>
      </c>
      <c r="E40" s="533">
        <v>0</v>
      </c>
      <c r="F40" s="533">
        <v>0</v>
      </c>
      <c r="G40" s="533">
        <v>0</v>
      </c>
      <c r="H40" s="533">
        <v>0</v>
      </c>
      <c r="I40" s="533">
        <v>0</v>
      </c>
      <c r="J40" s="533">
        <v>0</v>
      </c>
      <c r="K40" s="533">
        <v>0</v>
      </c>
      <c r="L40" s="533">
        <v>0</v>
      </c>
      <c r="M40" s="533">
        <v>0</v>
      </c>
      <c r="N40" s="533">
        <v>0</v>
      </c>
      <c r="O40" s="533">
        <v>0</v>
      </c>
      <c r="P40" s="533">
        <v>0</v>
      </c>
      <c r="Q40" s="533">
        <v>0</v>
      </c>
      <c r="R40" s="533">
        <v>0</v>
      </c>
      <c r="S40" s="534" t="s">
        <v>36</v>
      </c>
      <c r="T40" s="533">
        <v>0</v>
      </c>
      <c r="U40" s="533">
        <v>0</v>
      </c>
      <c r="V40" s="533">
        <v>0</v>
      </c>
      <c r="W40" s="533">
        <v>0</v>
      </c>
      <c r="X40" s="533">
        <v>0</v>
      </c>
      <c r="Y40" s="533">
        <v>0</v>
      </c>
      <c r="Z40" s="533">
        <v>0</v>
      </c>
      <c r="AA40" s="533">
        <v>0</v>
      </c>
      <c r="AB40" s="533">
        <v>0</v>
      </c>
      <c r="AC40" s="533">
        <v>0</v>
      </c>
      <c r="AD40" s="533">
        <v>0</v>
      </c>
      <c r="AE40" s="533">
        <v>0</v>
      </c>
      <c r="AF40" s="533">
        <v>0</v>
      </c>
      <c r="AG40" s="533">
        <v>0</v>
      </c>
      <c r="AH40" s="533">
        <v>0</v>
      </c>
      <c r="AI40" s="533">
        <v>0</v>
      </c>
    </row>
    <row r="41" spans="1:35">
      <c r="A41" s="532" t="s">
        <v>585</v>
      </c>
      <c r="B41" s="533">
        <v>0</v>
      </c>
      <c r="C41" s="533">
        <v>0</v>
      </c>
      <c r="D41" s="533">
        <v>0</v>
      </c>
      <c r="E41" s="533">
        <v>0</v>
      </c>
      <c r="F41" s="533">
        <v>0</v>
      </c>
      <c r="G41" s="533">
        <v>0</v>
      </c>
      <c r="H41" s="533">
        <v>0</v>
      </c>
      <c r="I41" s="533">
        <v>0</v>
      </c>
      <c r="J41" s="533">
        <v>0</v>
      </c>
      <c r="K41" s="533">
        <v>0</v>
      </c>
      <c r="L41" s="533">
        <v>0</v>
      </c>
      <c r="M41" s="533">
        <v>0</v>
      </c>
      <c r="N41" s="533">
        <v>0</v>
      </c>
      <c r="O41" s="533">
        <v>0</v>
      </c>
      <c r="P41" s="533">
        <v>0</v>
      </c>
      <c r="Q41" s="533">
        <v>0</v>
      </c>
      <c r="R41" s="533">
        <v>0</v>
      </c>
      <c r="S41" s="534" t="s">
        <v>36</v>
      </c>
      <c r="T41" s="533">
        <v>0</v>
      </c>
      <c r="U41" s="533">
        <v>0</v>
      </c>
      <c r="V41" s="533">
        <v>0</v>
      </c>
      <c r="W41" s="533">
        <v>0</v>
      </c>
      <c r="X41" s="533">
        <v>0</v>
      </c>
      <c r="Y41" s="533">
        <v>0</v>
      </c>
      <c r="Z41" s="533">
        <v>0</v>
      </c>
      <c r="AA41" s="533">
        <v>0</v>
      </c>
      <c r="AB41" s="533">
        <v>0</v>
      </c>
      <c r="AC41" s="533">
        <v>0</v>
      </c>
      <c r="AD41" s="533">
        <v>0</v>
      </c>
      <c r="AE41" s="533">
        <v>0</v>
      </c>
      <c r="AF41" s="533">
        <v>0</v>
      </c>
      <c r="AG41" s="533">
        <v>0</v>
      </c>
      <c r="AH41" s="533">
        <v>0</v>
      </c>
      <c r="AI41" s="533">
        <v>0</v>
      </c>
    </row>
    <row r="42" spans="1:35">
      <c r="A42" s="532" t="s">
        <v>586</v>
      </c>
      <c r="B42" s="533">
        <v>0</v>
      </c>
      <c r="C42" s="533">
        <v>0</v>
      </c>
      <c r="D42" s="533">
        <v>0</v>
      </c>
      <c r="E42" s="533">
        <v>0</v>
      </c>
      <c r="F42" s="533">
        <v>0</v>
      </c>
      <c r="G42" s="533">
        <v>0</v>
      </c>
      <c r="H42" s="533">
        <v>0</v>
      </c>
      <c r="I42" s="533">
        <v>0</v>
      </c>
      <c r="J42" s="533">
        <v>0</v>
      </c>
      <c r="K42" s="533">
        <v>0</v>
      </c>
      <c r="L42" s="533">
        <v>0</v>
      </c>
      <c r="M42" s="533">
        <v>0</v>
      </c>
      <c r="N42" s="533">
        <v>0</v>
      </c>
      <c r="O42" s="533">
        <v>0</v>
      </c>
      <c r="P42" s="533">
        <v>0</v>
      </c>
      <c r="Q42" s="533">
        <v>0</v>
      </c>
      <c r="R42" s="533">
        <v>0</v>
      </c>
      <c r="S42" s="534" t="s">
        <v>36</v>
      </c>
      <c r="T42" s="533">
        <v>0</v>
      </c>
      <c r="U42" s="533">
        <v>0</v>
      </c>
      <c r="V42" s="533">
        <v>0</v>
      </c>
      <c r="W42" s="533">
        <v>0</v>
      </c>
      <c r="X42" s="533">
        <v>0</v>
      </c>
      <c r="Y42" s="533">
        <v>0</v>
      </c>
      <c r="Z42" s="533">
        <v>0</v>
      </c>
      <c r="AA42" s="533">
        <v>0</v>
      </c>
      <c r="AB42" s="533">
        <v>0</v>
      </c>
      <c r="AC42" s="533">
        <v>0</v>
      </c>
      <c r="AD42" s="533">
        <v>0</v>
      </c>
      <c r="AE42" s="533">
        <v>0</v>
      </c>
      <c r="AF42" s="533">
        <v>0</v>
      </c>
      <c r="AG42" s="533">
        <v>0</v>
      </c>
      <c r="AH42" s="533">
        <v>0</v>
      </c>
      <c r="AI42" s="533">
        <v>0</v>
      </c>
    </row>
    <row r="43" spans="1:35">
      <c r="A43" s="532" t="s">
        <v>587</v>
      </c>
      <c r="B43" s="533">
        <v>0</v>
      </c>
      <c r="C43" s="533">
        <v>0</v>
      </c>
      <c r="D43" s="533">
        <v>0</v>
      </c>
      <c r="E43" s="533">
        <v>0</v>
      </c>
      <c r="F43" s="533">
        <v>0</v>
      </c>
      <c r="G43" s="533">
        <v>0</v>
      </c>
      <c r="H43" s="533">
        <v>0</v>
      </c>
      <c r="I43" s="533">
        <v>0</v>
      </c>
      <c r="J43" s="533">
        <v>0</v>
      </c>
      <c r="K43" s="533">
        <v>0</v>
      </c>
      <c r="L43" s="533">
        <v>0</v>
      </c>
      <c r="M43" s="533">
        <v>0</v>
      </c>
      <c r="N43" s="533">
        <v>0</v>
      </c>
      <c r="O43" s="533">
        <v>0</v>
      </c>
      <c r="P43" s="533">
        <v>0</v>
      </c>
      <c r="Q43" s="533">
        <v>0</v>
      </c>
      <c r="R43" s="533">
        <v>0</v>
      </c>
      <c r="S43" s="534" t="s">
        <v>36</v>
      </c>
      <c r="T43" s="533">
        <v>0</v>
      </c>
      <c r="U43" s="533">
        <v>0</v>
      </c>
      <c r="V43" s="533">
        <v>0</v>
      </c>
      <c r="W43" s="533">
        <v>0</v>
      </c>
      <c r="X43" s="533">
        <v>0</v>
      </c>
      <c r="Y43" s="533">
        <v>0</v>
      </c>
      <c r="Z43" s="533">
        <v>0</v>
      </c>
      <c r="AA43" s="533">
        <v>0</v>
      </c>
      <c r="AB43" s="533">
        <v>0</v>
      </c>
      <c r="AC43" s="533">
        <v>0</v>
      </c>
      <c r="AD43" s="533">
        <v>0</v>
      </c>
      <c r="AE43" s="533">
        <v>0</v>
      </c>
      <c r="AF43" s="533">
        <v>0</v>
      </c>
      <c r="AG43" s="533">
        <v>0</v>
      </c>
      <c r="AH43" s="533">
        <v>0</v>
      </c>
      <c r="AI43" s="533">
        <v>0</v>
      </c>
    </row>
    <row r="44" spans="1:35">
      <c r="A44" s="532" t="s">
        <v>588</v>
      </c>
      <c r="B44" s="533">
        <v>0</v>
      </c>
      <c r="C44" s="533">
        <v>0</v>
      </c>
      <c r="D44" s="533">
        <v>0</v>
      </c>
      <c r="E44" s="533">
        <v>0</v>
      </c>
      <c r="F44" s="533">
        <v>0</v>
      </c>
      <c r="G44" s="533">
        <v>0</v>
      </c>
      <c r="H44" s="533">
        <v>0</v>
      </c>
      <c r="I44" s="533">
        <v>0</v>
      </c>
      <c r="J44" s="533">
        <v>0</v>
      </c>
      <c r="K44" s="533">
        <v>0</v>
      </c>
      <c r="L44" s="533">
        <v>0</v>
      </c>
      <c r="M44" s="533">
        <v>0</v>
      </c>
      <c r="N44" s="533">
        <v>0</v>
      </c>
      <c r="O44" s="533">
        <v>0</v>
      </c>
      <c r="P44" s="533">
        <v>0</v>
      </c>
      <c r="Q44" s="533">
        <v>0</v>
      </c>
      <c r="R44" s="533">
        <v>0</v>
      </c>
      <c r="S44" s="534" t="s">
        <v>36</v>
      </c>
      <c r="T44" s="533">
        <v>0</v>
      </c>
      <c r="U44" s="533">
        <v>0</v>
      </c>
      <c r="V44" s="533">
        <v>0</v>
      </c>
      <c r="W44" s="533">
        <v>0</v>
      </c>
      <c r="X44" s="533">
        <v>0</v>
      </c>
      <c r="Y44" s="533">
        <v>0</v>
      </c>
      <c r="Z44" s="533">
        <v>0</v>
      </c>
      <c r="AA44" s="533">
        <v>0</v>
      </c>
      <c r="AB44" s="533">
        <v>0</v>
      </c>
      <c r="AC44" s="533">
        <v>0</v>
      </c>
      <c r="AD44" s="533">
        <v>0</v>
      </c>
      <c r="AE44" s="533">
        <v>0</v>
      </c>
      <c r="AF44" s="533">
        <v>0</v>
      </c>
      <c r="AG44" s="533">
        <v>0</v>
      </c>
      <c r="AH44" s="533">
        <v>0</v>
      </c>
      <c r="AI44" s="533">
        <v>0</v>
      </c>
    </row>
    <row r="46" spans="1:35">
      <c r="A46" s="529" t="s">
        <v>589</v>
      </c>
    </row>
    <row r="47" spans="1:35">
      <c r="A47" s="529" t="s">
        <v>36</v>
      </c>
      <c r="B47" s="529" t="s">
        <v>590</v>
      </c>
    </row>
    <row r="49" spans="1:35">
      <c r="A49" s="529" t="s">
        <v>340</v>
      </c>
      <c r="B49" s="529" t="s">
        <v>576</v>
      </c>
    </row>
    <row r="50" spans="1:35">
      <c r="A50" s="529" t="s">
        <v>341</v>
      </c>
      <c r="B50" s="529" t="s">
        <v>653</v>
      </c>
    </row>
    <row r="51" spans="1:35">
      <c r="A51" s="529" t="s">
        <v>578</v>
      </c>
      <c r="B51" s="529" t="s">
        <v>298</v>
      </c>
    </row>
    <row r="53" spans="1:35">
      <c r="A53" s="532" t="s">
        <v>579</v>
      </c>
      <c r="B53" s="532" t="s">
        <v>580</v>
      </c>
      <c r="C53" s="532" t="s">
        <v>180</v>
      </c>
      <c r="D53" s="532" t="s">
        <v>181</v>
      </c>
      <c r="E53" s="532" t="s">
        <v>215</v>
      </c>
      <c r="F53" s="532" t="s">
        <v>182</v>
      </c>
      <c r="G53" s="532" t="s">
        <v>581</v>
      </c>
      <c r="H53" s="532" t="s">
        <v>217</v>
      </c>
      <c r="I53" s="532" t="s">
        <v>218</v>
      </c>
      <c r="J53" s="532" t="s">
        <v>183</v>
      </c>
      <c r="K53" s="532" t="s">
        <v>184</v>
      </c>
      <c r="L53" s="532" t="s">
        <v>185</v>
      </c>
      <c r="M53" s="532" t="s">
        <v>186</v>
      </c>
      <c r="N53" s="532" t="s">
        <v>187</v>
      </c>
      <c r="O53" s="532" t="s">
        <v>219</v>
      </c>
      <c r="P53" s="532" t="s">
        <v>188</v>
      </c>
      <c r="Q53" s="532" t="s">
        <v>474</v>
      </c>
      <c r="R53" s="532" t="s">
        <v>189</v>
      </c>
      <c r="S53" s="532" t="s">
        <v>190</v>
      </c>
      <c r="T53" s="532" t="s">
        <v>191</v>
      </c>
      <c r="U53" s="532" t="s">
        <v>192</v>
      </c>
      <c r="V53" s="532" t="s">
        <v>193</v>
      </c>
      <c r="W53" s="532" t="s">
        <v>194</v>
      </c>
      <c r="X53" s="532" t="s">
        <v>195</v>
      </c>
      <c r="Y53" s="532" t="s">
        <v>196</v>
      </c>
      <c r="Z53" s="532" t="s">
        <v>197</v>
      </c>
      <c r="AA53" s="532" t="s">
        <v>198</v>
      </c>
      <c r="AB53" s="532" t="s">
        <v>199</v>
      </c>
      <c r="AC53" s="532" t="s">
        <v>221</v>
      </c>
      <c r="AD53" s="532" t="s">
        <v>179</v>
      </c>
      <c r="AE53" s="532" t="s">
        <v>178</v>
      </c>
      <c r="AF53" s="532" t="s">
        <v>222</v>
      </c>
      <c r="AG53" s="532" t="s">
        <v>299</v>
      </c>
      <c r="AH53" s="532" t="s">
        <v>582</v>
      </c>
      <c r="AI53" s="532" t="s">
        <v>300</v>
      </c>
    </row>
    <row r="54" spans="1:35">
      <c r="A54" s="532" t="s">
        <v>607</v>
      </c>
      <c r="B54" s="533">
        <v>0</v>
      </c>
      <c r="C54" s="533">
        <v>0</v>
      </c>
      <c r="D54" s="533">
        <v>0</v>
      </c>
      <c r="E54" s="533">
        <v>0</v>
      </c>
      <c r="F54" s="533">
        <v>0</v>
      </c>
      <c r="G54" s="533">
        <v>0</v>
      </c>
      <c r="H54" s="533">
        <v>0</v>
      </c>
      <c r="I54" s="533">
        <v>0</v>
      </c>
      <c r="J54" s="533">
        <v>0</v>
      </c>
      <c r="K54" s="533">
        <v>0</v>
      </c>
      <c r="L54" s="533">
        <v>0</v>
      </c>
      <c r="M54" s="533">
        <v>0</v>
      </c>
      <c r="N54" s="533">
        <v>0</v>
      </c>
      <c r="O54" s="533">
        <v>0</v>
      </c>
      <c r="P54" s="533">
        <v>0</v>
      </c>
      <c r="Q54" s="533">
        <v>0</v>
      </c>
      <c r="R54" s="533">
        <v>0</v>
      </c>
      <c r="S54" s="534" t="s">
        <v>36</v>
      </c>
      <c r="T54" s="533">
        <v>0</v>
      </c>
      <c r="U54" s="533">
        <v>0</v>
      </c>
      <c r="V54" s="533">
        <v>0</v>
      </c>
      <c r="W54" s="533">
        <v>0</v>
      </c>
      <c r="X54" s="533">
        <v>0</v>
      </c>
      <c r="Y54" s="533">
        <v>0</v>
      </c>
      <c r="Z54" s="533">
        <v>0</v>
      </c>
      <c r="AA54" s="533">
        <v>0</v>
      </c>
      <c r="AB54" s="533">
        <v>0</v>
      </c>
      <c r="AC54" s="533">
        <v>0</v>
      </c>
      <c r="AD54" s="533">
        <v>0</v>
      </c>
      <c r="AE54" s="533">
        <v>0</v>
      </c>
      <c r="AF54" s="533">
        <v>0</v>
      </c>
      <c r="AG54" s="533">
        <v>0</v>
      </c>
      <c r="AH54" s="533">
        <v>0</v>
      </c>
      <c r="AI54" s="533">
        <v>0</v>
      </c>
    </row>
    <row r="55" spans="1:35">
      <c r="A55" s="532" t="s">
        <v>583</v>
      </c>
      <c r="B55" s="533">
        <v>0</v>
      </c>
      <c r="C55" s="533">
        <v>0</v>
      </c>
      <c r="D55" s="533">
        <v>0</v>
      </c>
      <c r="E55" s="533">
        <v>0</v>
      </c>
      <c r="F55" s="533">
        <v>0</v>
      </c>
      <c r="G55" s="533">
        <v>0</v>
      </c>
      <c r="H55" s="533">
        <v>0</v>
      </c>
      <c r="I55" s="533">
        <v>0</v>
      </c>
      <c r="J55" s="533">
        <v>0</v>
      </c>
      <c r="K55" s="533">
        <v>0</v>
      </c>
      <c r="L55" s="533">
        <v>0</v>
      </c>
      <c r="M55" s="533">
        <v>0</v>
      </c>
      <c r="N55" s="533">
        <v>0</v>
      </c>
      <c r="O55" s="533">
        <v>0</v>
      </c>
      <c r="P55" s="533">
        <v>0</v>
      </c>
      <c r="Q55" s="533">
        <v>0</v>
      </c>
      <c r="R55" s="533">
        <v>0</v>
      </c>
      <c r="S55" s="534" t="s">
        <v>36</v>
      </c>
      <c r="T55" s="533">
        <v>0</v>
      </c>
      <c r="U55" s="533">
        <v>0</v>
      </c>
      <c r="V55" s="533">
        <v>0</v>
      </c>
      <c r="W55" s="533">
        <v>0</v>
      </c>
      <c r="X55" s="533">
        <v>0</v>
      </c>
      <c r="Y55" s="533">
        <v>0</v>
      </c>
      <c r="Z55" s="533">
        <v>0</v>
      </c>
      <c r="AA55" s="533">
        <v>0</v>
      </c>
      <c r="AB55" s="533">
        <v>0</v>
      </c>
      <c r="AC55" s="533">
        <v>0</v>
      </c>
      <c r="AD55" s="533">
        <v>0</v>
      </c>
      <c r="AE55" s="533">
        <v>0</v>
      </c>
      <c r="AF55" s="533">
        <v>0</v>
      </c>
      <c r="AG55" s="533">
        <v>0</v>
      </c>
      <c r="AH55" s="533">
        <v>0</v>
      </c>
      <c r="AI55" s="533">
        <v>0</v>
      </c>
    </row>
    <row r="56" spans="1:35">
      <c r="A56" s="532" t="s">
        <v>584</v>
      </c>
      <c r="B56" s="533">
        <v>0</v>
      </c>
      <c r="C56" s="533">
        <v>0</v>
      </c>
      <c r="D56" s="533">
        <v>0</v>
      </c>
      <c r="E56" s="533">
        <v>0</v>
      </c>
      <c r="F56" s="533">
        <v>0</v>
      </c>
      <c r="G56" s="533">
        <v>0</v>
      </c>
      <c r="H56" s="533">
        <v>0</v>
      </c>
      <c r="I56" s="533">
        <v>0</v>
      </c>
      <c r="J56" s="533">
        <v>0</v>
      </c>
      <c r="K56" s="533">
        <v>0</v>
      </c>
      <c r="L56" s="533">
        <v>0</v>
      </c>
      <c r="M56" s="533">
        <v>0</v>
      </c>
      <c r="N56" s="533">
        <v>0</v>
      </c>
      <c r="O56" s="533">
        <v>0</v>
      </c>
      <c r="P56" s="533">
        <v>0</v>
      </c>
      <c r="Q56" s="533">
        <v>0</v>
      </c>
      <c r="R56" s="533">
        <v>0</v>
      </c>
      <c r="S56" s="534" t="s">
        <v>36</v>
      </c>
      <c r="T56" s="533">
        <v>0</v>
      </c>
      <c r="U56" s="533">
        <v>0</v>
      </c>
      <c r="V56" s="533">
        <v>0</v>
      </c>
      <c r="W56" s="533">
        <v>0</v>
      </c>
      <c r="X56" s="533">
        <v>0</v>
      </c>
      <c r="Y56" s="533">
        <v>0</v>
      </c>
      <c r="Z56" s="533">
        <v>0</v>
      </c>
      <c r="AA56" s="533">
        <v>0</v>
      </c>
      <c r="AB56" s="533">
        <v>0</v>
      </c>
      <c r="AC56" s="533">
        <v>0</v>
      </c>
      <c r="AD56" s="533">
        <v>0</v>
      </c>
      <c r="AE56" s="533">
        <v>0</v>
      </c>
      <c r="AF56" s="533">
        <v>0</v>
      </c>
      <c r="AG56" s="533">
        <v>0</v>
      </c>
      <c r="AH56" s="533">
        <v>0</v>
      </c>
      <c r="AI56" s="533">
        <v>0</v>
      </c>
    </row>
    <row r="57" spans="1:35">
      <c r="A57" s="532" t="s">
        <v>585</v>
      </c>
      <c r="B57" s="533">
        <v>0</v>
      </c>
      <c r="C57" s="533">
        <v>0</v>
      </c>
      <c r="D57" s="533">
        <v>0</v>
      </c>
      <c r="E57" s="533">
        <v>0</v>
      </c>
      <c r="F57" s="533">
        <v>0</v>
      </c>
      <c r="G57" s="533">
        <v>0</v>
      </c>
      <c r="H57" s="533">
        <v>0</v>
      </c>
      <c r="I57" s="533">
        <v>0</v>
      </c>
      <c r="J57" s="533">
        <v>0</v>
      </c>
      <c r="K57" s="533">
        <v>0</v>
      </c>
      <c r="L57" s="533">
        <v>0</v>
      </c>
      <c r="M57" s="533">
        <v>0</v>
      </c>
      <c r="N57" s="533">
        <v>0</v>
      </c>
      <c r="O57" s="533">
        <v>0</v>
      </c>
      <c r="P57" s="533">
        <v>0</v>
      </c>
      <c r="Q57" s="533">
        <v>0</v>
      </c>
      <c r="R57" s="533">
        <v>0</v>
      </c>
      <c r="S57" s="534" t="s">
        <v>36</v>
      </c>
      <c r="T57" s="533">
        <v>0</v>
      </c>
      <c r="U57" s="533">
        <v>0</v>
      </c>
      <c r="V57" s="533">
        <v>0</v>
      </c>
      <c r="W57" s="533">
        <v>0</v>
      </c>
      <c r="X57" s="533">
        <v>0</v>
      </c>
      <c r="Y57" s="533">
        <v>0</v>
      </c>
      <c r="Z57" s="533">
        <v>0</v>
      </c>
      <c r="AA57" s="533">
        <v>0</v>
      </c>
      <c r="AB57" s="533">
        <v>0</v>
      </c>
      <c r="AC57" s="533">
        <v>0</v>
      </c>
      <c r="AD57" s="533">
        <v>0</v>
      </c>
      <c r="AE57" s="533">
        <v>0</v>
      </c>
      <c r="AF57" s="533">
        <v>0</v>
      </c>
      <c r="AG57" s="533">
        <v>0</v>
      </c>
      <c r="AH57" s="533">
        <v>0</v>
      </c>
      <c r="AI57" s="533">
        <v>0</v>
      </c>
    </row>
    <row r="58" spans="1:35">
      <c r="A58" s="532" t="s">
        <v>586</v>
      </c>
      <c r="B58" s="533">
        <v>0</v>
      </c>
      <c r="C58" s="533">
        <v>0</v>
      </c>
      <c r="D58" s="533">
        <v>0</v>
      </c>
      <c r="E58" s="533">
        <v>0</v>
      </c>
      <c r="F58" s="533">
        <v>0</v>
      </c>
      <c r="G58" s="533">
        <v>0</v>
      </c>
      <c r="H58" s="533">
        <v>0</v>
      </c>
      <c r="I58" s="533">
        <v>0</v>
      </c>
      <c r="J58" s="533">
        <v>0</v>
      </c>
      <c r="K58" s="533">
        <v>0</v>
      </c>
      <c r="L58" s="533">
        <v>0</v>
      </c>
      <c r="M58" s="533">
        <v>0</v>
      </c>
      <c r="N58" s="533">
        <v>0</v>
      </c>
      <c r="O58" s="533">
        <v>0</v>
      </c>
      <c r="P58" s="533">
        <v>0</v>
      </c>
      <c r="Q58" s="533">
        <v>0</v>
      </c>
      <c r="R58" s="533">
        <v>0</v>
      </c>
      <c r="S58" s="534" t="s">
        <v>36</v>
      </c>
      <c r="T58" s="533">
        <v>0</v>
      </c>
      <c r="U58" s="533">
        <v>0</v>
      </c>
      <c r="V58" s="533">
        <v>0</v>
      </c>
      <c r="W58" s="533">
        <v>0</v>
      </c>
      <c r="X58" s="533">
        <v>0</v>
      </c>
      <c r="Y58" s="533">
        <v>0</v>
      </c>
      <c r="Z58" s="533">
        <v>0</v>
      </c>
      <c r="AA58" s="533">
        <v>0</v>
      </c>
      <c r="AB58" s="533">
        <v>0</v>
      </c>
      <c r="AC58" s="533">
        <v>0</v>
      </c>
      <c r="AD58" s="533">
        <v>0</v>
      </c>
      <c r="AE58" s="533">
        <v>0</v>
      </c>
      <c r="AF58" s="533">
        <v>0</v>
      </c>
      <c r="AG58" s="533">
        <v>0</v>
      </c>
      <c r="AH58" s="533">
        <v>0</v>
      </c>
      <c r="AI58" s="533">
        <v>0</v>
      </c>
    </row>
    <row r="59" spans="1:35">
      <c r="A59" s="532" t="s">
        <v>587</v>
      </c>
      <c r="B59" s="533">
        <v>0</v>
      </c>
      <c r="C59" s="533">
        <v>0</v>
      </c>
      <c r="D59" s="533">
        <v>0</v>
      </c>
      <c r="E59" s="533">
        <v>0</v>
      </c>
      <c r="F59" s="533">
        <v>0</v>
      </c>
      <c r="G59" s="533">
        <v>0</v>
      </c>
      <c r="H59" s="533">
        <v>0</v>
      </c>
      <c r="I59" s="533">
        <v>0</v>
      </c>
      <c r="J59" s="533">
        <v>0</v>
      </c>
      <c r="K59" s="533">
        <v>0</v>
      </c>
      <c r="L59" s="533">
        <v>0</v>
      </c>
      <c r="M59" s="533">
        <v>0</v>
      </c>
      <c r="N59" s="533">
        <v>0</v>
      </c>
      <c r="O59" s="533">
        <v>0</v>
      </c>
      <c r="P59" s="533">
        <v>0</v>
      </c>
      <c r="Q59" s="533">
        <v>0</v>
      </c>
      <c r="R59" s="533">
        <v>0</v>
      </c>
      <c r="S59" s="534" t="s">
        <v>36</v>
      </c>
      <c r="T59" s="533">
        <v>0</v>
      </c>
      <c r="U59" s="533">
        <v>0</v>
      </c>
      <c r="V59" s="533">
        <v>0</v>
      </c>
      <c r="W59" s="533">
        <v>0</v>
      </c>
      <c r="X59" s="533">
        <v>0</v>
      </c>
      <c r="Y59" s="533">
        <v>0</v>
      </c>
      <c r="Z59" s="533">
        <v>0</v>
      </c>
      <c r="AA59" s="533">
        <v>0</v>
      </c>
      <c r="AB59" s="533">
        <v>0</v>
      </c>
      <c r="AC59" s="533">
        <v>0</v>
      </c>
      <c r="AD59" s="533">
        <v>0</v>
      </c>
      <c r="AE59" s="533">
        <v>0</v>
      </c>
      <c r="AF59" s="533">
        <v>0</v>
      </c>
      <c r="AG59" s="533">
        <v>0</v>
      </c>
      <c r="AH59" s="533">
        <v>0</v>
      </c>
      <c r="AI59" s="533">
        <v>0</v>
      </c>
    </row>
    <row r="60" spans="1:35">
      <c r="A60" s="532" t="s">
        <v>588</v>
      </c>
      <c r="B60" s="533">
        <v>0</v>
      </c>
      <c r="C60" s="533">
        <v>0</v>
      </c>
      <c r="D60" s="533">
        <v>0</v>
      </c>
      <c r="E60" s="533">
        <v>0</v>
      </c>
      <c r="F60" s="533">
        <v>0</v>
      </c>
      <c r="G60" s="533">
        <v>0</v>
      </c>
      <c r="H60" s="533">
        <v>0</v>
      </c>
      <c r="I60" s="533">
        <v>0</v>
      </c>
      <c r="J60" s="533">
        <v>0</v>
      </c>
      <c r="K60" s="533">
        <v>0</v>
      </c>
      <c r="L60" s="533">
        <v>0</v>
      </c>
      <c r="M60" s="533">
        <v>0</v>
      </c>
      <c r="N60" s="533">
        <v>0</v>
      </c>
      <c r="O60" s="533">
        <v>0</v>
      </c>
      <c r="P60" s="533">
        <v>0</v>
      </c>
      <c r="Q60" s="533">
        <v>0</v>
      </c>
      <c r="R60" s="533">
        <v>0</v>
      </c>
      <c r="S60" s="534" t="s">
        <v>36</v>
      </c>
      <c r="T60" s="533">
        <v>0</v>
      </c>
      <c r="U60" s="533">
        <v>0</v>
      </c>
      <c r="V60" s="533">
        <v>0</v>
      </c>
      <c r="W60" s="533">
        <v>0</v>
      </c>
      <c r="X60" s="533">
        <v>0</v>
      </c>
      <c r="Y60" s="533">
        <v>0</v>
      </c>
      <c r="Z60" s="533">
        <v>0</v>
      </c>
      <c r="AA60" s="533">
        <v>0</v>
      </c>
      <c r="AB60" s="533">
        <v>0</v>
      </c>
      <c r="AC60" s="533">
        <v>0</v>
      </c>
      <c r="AD60" s="533">
        <v>0</v>
      </c>
      <c r="AE60" s="533">
        <v>0</v>
      </c>
      <c r="AF60" s="533">
        <v>0</v>
      </c>
      <c r="AG60" s="533">
        <v>0</v>
      </c>
      <c r="AH60" s="533">
        <v>0</v>
      </c>
      <c r="AI60" s="533">
        <v>0</v>
      </c>
    </row>
    <row r="62" spans="1:35">
      <c r="A62" s="529" t="s">
        <v>589</v>
      </c>
    </row>
    <row r="63" spans="1:35">
      <c r="A63" s="529" t="s">
        <v>36</v>
      </c>
      <c r="B63" s="529" t="s">
        <v>590</v>
      </c>
    </row>
    <row r="65" spans="1:35">
      <c r="A65" s="529" t="s">
        <v>340</v>
      </c>
      <c r="B65" s="529" t="s">
        <v>576</v>
      </c>
    </row>
    <row r="66" spans="1:35">
      <c r="A66" s="529" t="s">
        <v>341</v>
      </c>
      <c r="B66" s="529" t="s">
        <v>654</v>
      </c>
    </row>
    <row r="67" spans="1:35">
      <c r="A67" s="529" t="s">
        <v>578</v>
      </c>
      <c r="B67" s="529" t="s">
        <v>298</v>
      </c>
    </row>
    <row r="69" spans="1:35">
      <c r="A69" s="532" t="s">
        <v>579</v>
      </c>
      <c r="B69" s="532" t="s">
        <v>580</v>
      </c>
      <c r="C69" s="532" t="s">
        <v>180</v>
      </c>
      <c r="D69" s="532" t="s">
        <v>181</v>
      </c>
      <c r="E69" s="532" t="s">
        <v>215</v>
      </c>
      <c r="F69" s="532" t="s">
        <v>182</v>
      </c>
      <c r="G69" s="532" t="s">
        <v>581</v>
      </c>
      <c r="H69" s="532" t="s">
        <v>217</v>
      </c>
      <c r="I69" s="532" t="s">
        <v>218</v>
      </c>
      <c r="J69" s="532" t="s">
        <v>183</v>
      </c>
      <c r="K69" s="532" t="s">
        <v>184</v>
      </c>
      <c r="L69" s="532" t="s">
        <v>185</v>
      </c>
      <c r="M69" s="532" t="s">
        <v>186</v>
      </c>
      <c r="N69" s="532" t="s">
        <v>187</v>
      </c>
      <c r="O69" s="532" t="s">
        <v>219</v>
      </c>
      <c r="P69" s="532" t="s">
        <v>188</v>
      </c>
      <c r="Q69" s="532" t="s">
        <v>474</v>
      </c>
      <c r="R69" s="532" t="s">
        <v>189</v>
      </c>
      <c r="S69" s="532" t="s">
        <v>190</v>
      </c>
      <c r="T69" s="532" t="s">
        <v>191</v>
      </c>
      <c r="U69" s="532" t="s">
        <v>192</v>
      </c>
      <c r="V69" s="532" t="s">
        <v>193</v>
      </c>
      <c r="W69" s="532" t="s">
        <v>194</v>
      </c>
      <c r="X69" s="532" t="s">
        <v>195</v>
      </c>
      <c r="Y69" s="532" t="s">
        <v>196</v>
      </c>
      <c r="Z69" s="532" t="s">
        <v>197</v>
      </c>
      <c r="AA69" s="532" t="s">
        <v>198</v>
      </c>
      <c r="AB69" s="532" t="s">
        <v>199</v>
      </c>
      <c r="AC69" s="532" t="s">
        <v>221</v>
      </c>
      <c r="AD69" s="532" t="s">
        <v>179</v>
      </c>
      <c r="AE69" s="532" t="s">
        <v>178</v>
      </c>
      <c r="AF69" s="532" t="s">
        <v>222</v>
      </c>
      <c r="AG69" s="532" t="s">
        <v>299</v>
      </c>
      <c r="AH69" s="532" t="s">
        <v>582</v>
      </c>
      <c r="AI69" s="532" t="s">
        <v>300</v>
      </c>
    </row>
    <row r="70" spans="1:35">
      <c r="A70" s="532" t="s">
        <v>607</v>
      </c>
      <c r="B70" s="533">
        <v>886611</v>
      </c>
      <c r="C70" s="533">
        <v>19108</v>
      </c>
      <c r="D70" s="533">
        <v>0</v>
      </c>
      <c r="E70" s="533">
        <v>8643</v>
      </c>
      <c r="F70" s="533">
        <v>42147</v>
      </c>
      <c r="G70" s="533">
        <v>174111</v>
      </c>
      <c r="H70" s="533">
        <v>317</v>
      </c>
      <c r="I70" s="533">
        <v>1247</v>
      </c>
      <c r="J70" s="533">
        <v>1156</v>
      </c>
      <c r="K70" s="533">
        <v>50146</v>
      </c>
      <c r="L70" s="533">
        <v>55254</v>
      </c>
      <c r="M70" s="533">
        <v>69467</v>
      </c>
      <c r="N70" s="533">
        <v>0</v>
      </c>
      <c r="O70" s="533">
        <v>896</v>
      </c>
      <c r="P70" s="533">
        <v>218</v>
      </c>
      <c r="Q70" s="533">
        <v>600</v>
      </c>
      <c r="R70" s="533">
        <v>20824</v>
      </c>
      <c r="S70" s="533">
        <v>0</v>
      </c>
      <c r="T70" s="533">
        <v>59673</v>
      </c>
      <c r="U70" s="533">
        <v>28225</v>
      </c>
      <c r="V70" s="533">
        <v>17654</v>
      </c>
      <c r="W70" s="533">
        <v>13470</v>
      </c>
      <c r="X70" s="533">
        <v>69</v>
      </c>
      <c r="Y70" s="533">
        <v>1217</v>
      </c>
      <c r="Z70" s="533">
        <v>1043</v>
      </c>
      <c r="AA70" s="533">
        <v>93563</v>
      </c>
      <c r="AB70" s="533">
        <v>116636</v>
      </c>
      <c r="AC70" s="533">
        <v>110928</v>
      </c>
      <c r="AD70" s="533">
        <v>42</v>
      </c>
      <c r="AE70" s="533">
        <v>3452</v>
      </c>
      <c r="AF70" s="533">
        <v>19828</v>
      </c>
      <c r="AG70" s="533">
        <v>177</v>
      </c>
      <c r="AH70" s="533">
        <v>0</v>
      </c>
      <c r="AI70" s="533">
        <v>341</v>
      </c>
    </row>
    <row r="71" spans="1:35">
      <c r="A71" s="532" t="s">
        <v>583</v>
      </c>
      <c r="B71" s="533">
        <v>510061</v>
      </c>
      <c r="C71" s="533">
        <v>17005</v>
      </c>
      <c r="D71" s="533">
        <v>0</v>
      </c>
      <c r="E71" s="533">
        <v>3507</v>
      </c>
      <c r="F71" s="533">
        <v>29534</v>
      </c>
      <c r="G71" s="533">
        <v>135297</v>
      </c>
      <c r="H71" s="533">
        <v>104</v>
      </c>
      <c r="I71" s="533">
        <v>1044</v>
      </c>
      <c r="J71" s="533">
        <v>990</v>
      </c>
      <c r="K71" s="533">
        <v>20900</v>
      </c>
      <c r="L71" s="533">
        <v>3641</v>
      </c>
      <c r="M71" s="533">
        <v>66950</v>
      </c>
      <c r="N71" s="533">
        <v>0</v>
      </c>
      <c r="O71" s="533">
        <v>718</v>
      </c>
      <c r="P71" s="533">
        <v>17</v>
      </c>
      <c r="Q71" s="533">
        <v>487</v>
      </c>
      <c r="R71" s="533">
        <v>20648</v>
      </c>
      <c r="S71" s="533">
        <v>0</v>
      </c>
      <c r="T71" s="533">
        <v>34691</v>
      </c>
      <c r="U71" s="533">
        <v>14177</v>
      </c>
      <c r="V71" s="533">
        <v>9662</v>
      </c>
      <c r="W71" s="533">
        <v>846</v>
      </c>
      <c r="X71" s="533">
        <v>0</v>
      </c>
      <c r="Y71" s="533">
        <v>156</v>
      </c>
      <c r="Z71" s="533">
        <v>121</v>
      </c>
      <c r="AA71" s="533">
        <v>55313</v>
      </c>
      <c r="AB71" s="533">
        <v>64913</v>
      </c>
      <c r="AC71" s="533">
        <v>29341</v>
      </c>
      <c r="AD71" s="533">
        <v>42</v>
      </c>
      <c r="AE71" s="533">
        <v>1939</v>
      </c>
      <c r="AF71" s="533">
        <v>483</v>
      </c>
      <c r="AG71" s="533">
        <v>141</v>
      </c>
      <c r="AH71" s="533">
        <v>0</v>
      </c>
      <c r="AI71" s="533">
        <v>0</v>
      </c>
    </row>
    <row r="72" spans="1:35">
      <c r="A72" s="532" t="s">
        <v>584</v>
      </c>
      <c r="B72" s="533">
        <v>161306</v>
      </c>
      <c r="C72" s="533">
        <v>12630</v>
      </c>
      <c r="D72" s="533">
        <v>0</v>
      </c>
      <c r="E72" s="533">
        <v>2173</v>
      </c>
      <c r="F72" s="533">
        <v>0</v>
      </c>
      <c r="G72" s="533">
        <v>0</v>
      </c>
      <c r="H72" s="533">
        <v>0</v>
      </c>
      <c r="I72" s="533">
        <v>1044</v>
      </c>
      <c r="J72" s="533">
        <v>990</v>
      </c>
      <c r="K72" s="533">
        <v>20900</v>
      </c>
      <c r="L72" s="533">
        <v>304</v>
      </c>
      <c r="M72" s="533">
        <v>33744</v>
      </c>
      <c r="N72" s="533">
        <v>0</v>
      </c>
      <c r="O72" s="533">
        <v>0</v>
      </c>
      <c r="P72" s="533">
        <v>0</v>
      </c>
      <c r="Q72" s="533">
        <v>487</v>
      </c>
      <c r="R72" s="533">
        <v>18941</v>
      </c>
      <c r="S72" s="533">
        <v>0</v>
      </c>
      <c r="T72" s="533">
        <v>22613</v>
      </c>
      <c r="U72" s="533">
        <v>8462</v>
      </c>
      <c r="V72" s="533">
        <v>0</v>
      </c>
      <c r="W72" s="533">
        <v>846</v>
      </c>
      <c r="X72" s="533">
        <v>0</v>
      </c>
      <c r="Y72" s="533">
        <v>0</v>
      </c>
      <c r="Z72" s="533">
        <v>0</v>
      </c>
      <c r="AA72" s="533">
        <v>8832</v>
      </c>
      <c r="AB72" s="533">
        <v>0</v>
      </c>
      <c r="AC72" s="533">
        <v>29341</v>
      </c>
      <c r="AD72" s="533">
        <v>42</v>
      </c>
      <c r="AE72" s="533">
        <v>28</v>
      </c>
      <c r="AF72" s="533">
        <v>0</v>
      </c>
      <c r="AG72" s="533">
        <v>141</v>
      </c>
      <c r="AH72" s="533">
        <v>0</v>
      </c>
      <c r="AI72" s="533">
        <v>0</v>
      </c>
    </row>
    <row r="73" spans="1:35">
      <c r="A73" s="532" t="s">
        <v>585</v>
      </c>
      <c r="B73" s="533">
        <v>348755</v>
      </c>
      <c r="C73" s="533">
        <v>4375</v>
      </c>
      <c r="D73" s="533">
        <v>0</v>
      </c>
      <c r="E73" s="533">
        <v>1334</v>
      </c>
      <c r="F73" s="533">
        <v>29534</v>
      </c>
      <c r="G73" s="533">
        <v>135297</v>
      </c>
      <c r="H73" s="533">
        <v>104</v>
      </c>
      <c r="I73" s="533">
        <v>0</v>
      </c>
      <c r="J73" s="533">
        <v>0</v>
      </c>
      <c r="K73" s="533">
        <v>0</v>
      </c>
      <c r="L73" s="533">
        <v>3337</v>
      </c>
      <c r="M73" s="533">
        <v>33206</v>
      </c>
      <c r="N73" s="533">
        <v>0</v>
      </c>
      <c r="O73" s="533">
        <v>718</v>
      </c>
      <c r="P73" s="533">
        <v>17</v>
      </c>
      <c r="Q73" s="533">
        <v>0</v>
      </c>
      <c r="R73" s="533">
        <v>1707</v>
      </c>
      <c r="S73" s="533">
        <v>0</v>
      </c>
      <c r="T73" s="533">
        <v>12078</v>
      </c>
      <c r="U73" s="533">
        <v>5715</v>
      </c>
      <c r="V73" s="533">
        <v>9662</v>
      </c>
      <c r="W73" s="533">
        <v>0</v>
      </c>
      <c r="X73" s="533">
        <v>0</v>
      </c>
      <c r="Y73" s="533">
        <v>156</v>
      </c>
      <c r="Z73" s="533">
        <v>121</v>
      </c>
      <c r="AA73" s="533">
        <v>46481</v>
      </c>
      <c r="AB73" s="533">
        <v>64913</v>
      </c>
      <c r="AC73" s="533">
        <v>0</v>
      </c>
      <c r="AD73" s="533">
        <v>0</v>
      </c>
      <c r="AE73" s="533">
        <v>1911</v>
      </c>
      <c r="AF73" s="533">
        <v>483</v>
      </c>
      <c r="AG73" s="533">
        <v>0</v>
      </c>
      <c r="AH73" s="533">
        <v>0</v>
      </c>
      <c r="AI73" s="533">
        <v>0</v>
      </c>
    </row>
    <row r="74" spans="1:35">
      <c r="A74" s="532" t="s">
        <v>586</v>
      </c>
      <c r="B74" s="533">
        <v>376550</v>
      </c>
      <c r="C74" s="533">
        <v>2103</v>
      </c>
      <c r="D74" s="533">
        <v>0</v>
      </c>
      <c r="E74" s="533">
        <v>5136</v>
      </c>
      <c r="F74" s="533">
        <v>12613</v>
      </c>
      <c r="G74" s="533">
        <v>38814</v>
      </c>
      <c r="H74" s="533">
        <v>213</v>
      </c>
      <c r="I74" s="533">
        <v>203</v>
      </c>
      <c r="J74" s="533">
        <v>166</v>
      </c>
      <c r="K74" s="533">
        <v>29246</v>
      </c>
      <c r="L74" s="533">
        <v>51613</v>
      </c>
      <c r="M74" s="533">
        <v>2517</v>
      </c>
      <c r="N74" s="533">
        <v>0</v>
      </c>
      <c r="O74" s="533">
        <v>178</v>
      </c>
      <c r="P74" s="533">
        <v>201</v>
      </c>
      <c r="Q74" s="533">
        <v>113</v>
      </c>
      <c r="R74" s="533">
        <v>176</v>
      </c>
      <c r="S74" s="533">
        <v>0</v>
      </c>
      <c r="T74" s="533">
        <v>24982</v>
      </c>
      <c r="U74" s="533">
        <v>14048</v>
      </c>
      <c r="V74" s="533">
        <v>7992</v>
      </c>
      <c r="W74" s="533">
        <v>12624</v>
      </c>
      <c r="X74" s="533">
        <v>69</v>
      </c>
      <c r="Y74" s="533">
        <v>1061</v>
      </c>
      <c r="Z74" s="533">
        <v>922</v>
      </c>
      <c r="AA74" s="533">
        <v>38250</v>
      </c>
      <c r="AB74" s="533">
        <v>51723</v>
      </c>
      <c r="AC74" s="533">
        <v>81587</v>
      </c>
      <c r="AD74" s="533">
        <v>0</v>
      </c>
      <c r="AE74" s="533">
        <v>1513</v>
      </c>
      <c r="AF74" s="533">
        <v>19345</v>
      </c>
      <c r="AG74" s="533">
        <v>36</v>
      </c>
      <c r="AH74" s="533">
        <v>0</v>
      </c>
      <c r="AI74" s="533">
        <v>341</v>
      </c>
    </row>
    <row r="75" spans="1:35">
      <c r="A75" s="532" t="s">
        <v>587</v>
      </c>
      <c r="B75" s="533">
        <v>153370</v>
      </c>
      <c r="C75" s="533">
        <v>28</v>
      </c>
      <c r="D75" s="533">
        <v>0</v>
      </c>
      <c r="E75" s="533">
        <v>446</v>
      </c>
      <c r="F75" s="533">
        <v>20</v>
      </c>
      <c r="G75" s="533">
        <v>0</v>
      </c>
      <c r="H75" s="533">
        <v>32</v>
      </c>
      <c r="I75" s="533">
        <v>0</v>
      </c>
      <c r="J75" s="533">
        <v>0</v>
      </c>
      <c r="K75" s="533">
        <v>16128</v>
      </c>
      <c r="L75" s="533">
        <v>32034</v>
      </c>
      <c r="M75" s="533">
        <v>824</v>
      </c>
      <c r="N75" s="533">
        <v>0</v>
      </c>
      <c r="O75" s="533">
        <v>19</v>
      </c>
      <c r="P75" s="533">
        <v>0</v>
      </c>
      <c r="Q75" s="533">
        <v>0</v>
      </c>
      <c r="R75" s="533">
        <v>0</v>
      </c>
      <c r="S75" s="533">
        <v>0</v>
      </c>
      <c r="T75" s="533">
        <v>15290</v>
      </c>
      <c r="U75" s="533">
        <v>4719</v>
      </c>
      <c r="V75" s="533">
        <v>0</v>
      </c>
      <c r="W75" s="533">
        <v>4953</v>
      </c>
      <c r="X75" s="533">
        <v>35</v>
      </c>
      <c r="Y75" s="533">
        <v>101</v>
      </c>
      <c r="Z75" s="533">
        <v>6</v>
      </c>
      <c r="AA75" s="533">
        <v>3114</v>
      </c>
      <c r="AB75" s="533">
        <v>0</v>
      </c>
      <c r="AC75" s="533">
        <v>75621</v>
      </c>
      <c r="AD75" s="533">
        <v>0</v>
      </c>
      <c r="AE75" s="533">
        <v>1513</v>
      </c>
      <c r="AF75" s="533">
        <v>1597</v>
      </c>
      <c r="AG75" s="533">
        <v>0</v>
      </c>
      <c r="AH75" s="533">
        <v>0</v>
      </c>
      <c r="AI75" s="533">
        <v>299</v>
      </c>
    </row>
    <row r="76" spans="1:35">
      <c r="A76" s="532" t="s">
        <v>588</v>
      </c>
      <c r="B76" s="533">
        <v>223180</v>
      </c>
      <c r="C76" s="533">
        <v>2075</v>
      </c>
      <c r="D76" s="533">
        <v>0</v>
      </c>
      <c r="E76" s="533">
        <v>4690</v>
      </c>
      <c r="F76" s="533">
        <v>12593</v>
      </c>
      <c r="G76" s="533">
        <v>38814</v>
      </c>
      <c r="H76" s="533">
        <v>181</v>
      </c>
      <c r="I76" s="533">
        <v>203</v>
      </c>
      <c r="J76" s="533">
        <v>166</v>
      </c>
      <c r="K76" s="533">
        <v>13118</v>
      </c>
      <c r="L76" s="533">
        <v>19579</v>
      </c>
      <c r="M76" s="533">
        <v>1693</v>
      </c>
      <c r="N76" s="533">
        <v>0</v>
      </c>
      <c r="O76" s="533">
        <v>159</v>
      </c>
      <c r="P76" s="533">
        <v>201</v>
      </c>
      <c r="Q76" s="533">
        <v>113</v>
      </c>
      <c r="R76" s="533">
        <v>176</v>
      </c>
      <c r="S76" s="533">
        <v>0</v>
      </c>
      <c r="T76" s="533">
        <v>9692</v>
      </c>
      <c r="U76" s="533">
        <v>9329</v>
      </c>
      <c r="V76" s="533">
        <v>7992</v>
      </c>
      <c r="W76" s="533">
        <v>7671</v>
      </c>
      <c r="X76" s="533">
        <v>34</v>
      </c>
      <c r="Y76" s="533">
        <v>960</v>
      </c>
      <c r="Z76" s="533">
        <v>916</v>
      </c>
      <c r="AA76" s="533">
        <v>35136</v>
      </c>
      <c r="AB76" s="533">
        <v>51723</v>
      </c>
      <c r="AC76" s="533">
        <v>5966</v>
      </c>
      <c r="AD76" s="533">
        <v>0</v>
      </c>
      <c r="AE76" s="533">
        <v>0</v>
      </c>
      <c r="AF76" s="533">
        <v>17748</v>
      </c>
      <c r="AG76" s="533">
        <v>36</v>
      </c>
      <c r="AH76" s="533">
        <v>0</v>
      </c>
      <c r="AI76" s="533">
        <v>42</v>
      </c>
    </row>
    <row r="78" spans="1:35">
      <c r="A78" s="529" t="s">
        <v>589</v>
      </c>
    </row>
    <row r="79" spans="1:35">
      <c r="A79" s="529" t="s">
        <v>36</v>
      </c>
      <c r="B79" s="529" t="s">
        <v>590</v>
      </c>
    </row>
    <row r="81" spans="1:35">
      <c r="A81" s="529" t="s">
        <v>340</v>
      </c>
      <c r="B81" s="529" t="s">
        <v>576</v>
      </c>
    </row>
    <row r="82" spans="1:35">
      <c r="A82" s="529" t="s">
        <v>341</v>
      </c>
      <c r="B82" s="529" t="s">
        <v>236</v>
      </c>
    </row>
    <row r="83" spans="1:35">
      <c r="A83" s="529" t="s">
        <v>578</v>
      </c>
      <c r="B83" s="529" t="s">
        <v>298</v>
      </c>
    </row>
    <row r="85" spans="1:35">
      <c r="A85" s="532" t="s">
        <v>579</v>
      </c>
      <c r="B85" s="532" t="s">
        <v>580</v>
      </c>
      <c r="C85" s="532" t="s">
        <v>180</v>
      </c>
      <c r="D85" s="532" t="s">
        <v>181</v>
      </c>
      <c r="E85" s="532" t="s">
        <v>215</v>
      </c>
      <c r="F85" s="532" t="s">
        <v>182</v>
      </c>
      <c r="G85" s="532" t="s">
        <v>581</v>
      </c>
      <c r="H85" s="532" t="s">
        <v>217</v>
      </c>
      <c r="I85" s="532" t="s">
        <v>218</v>
      </c>
      <c r="J85" s="532" t="s">
        <v>183</v>
      </c>
      <c r="K85" s="532" t="s">
        <v>184</v>
      </c>
      <c r="L85" s="532" t="s">
        <v>185</v>
      </c>
      <c r="M85" s="532" t="s">
        <v>186</v>
      </c>
      <c r="N85" s="532" t="s">
        <v>187</v>
      </c>
      <c r="O85" s="532" t="s">
        <v>219</v>
      </c>
      <c r="P85" s="532" t="s">
        <v>188</v>
      </c>
      <c r="Q85" s="532" t="s">
        <v>474</v>
      </c>
      <c r="R85" s="532" t="s">
        <v>189</v>
      </c>
      <c r="S85" s="532" t="s">
        <v>190</v>
      </c>
      <c r="T85" s="532" t="s">
        <v>191</v>
      </c>
      <c r="U85" s="532" t="s">
        <v>192</v>
      </c>
      <c r="V85" s="532" t="s">
        <v>193</v>
      </c>
      <c r="W85" s="532" t="s">
        <v>194</v>
      </c>
      <c r="X85" s="532" t="s">
        <v>195</v>
      </c>
      <c r="Y85" s="532" t="s">
        <v>196</v>
      </c>
      <c r="Z85" s="532" t="s">
        <v>197</v>
      </c>
      <c r="AA85" s="532" t="s">
        <v>198</v>
      </c>
      <c r="AB85" s="532" t="s">
        <v>199</v>
      </c>
      <c r="AC85" s="532" t="s">
        <v>221</v>
      </c>
      <c r="AD85" s="532" t="s">
        <v>179</v>
      </c>
      <c r="AE85" s="532" t="s">
        <v>178</v>
      </c>
      <c r="AF85" s="532" t="s">
        <v>222</v>
      </c>
      <c r="AG85" s="532" t="s">
        <v>299</v>
      </c>
      <c r="AH85" s="532" t="s">
        <v>582</v>
      </c>
      <c r="AI85" s="532" t="s">
        <v>300</v>
      </c>
    </row>
    <row r="86" spans="1:35">
      <c r="A86" s="532" t="s">
        <v>607</v>
      </c>
      <c r="B86" s="533">
        <v>517878</v>
      </c>
      <c r="C86" s="533">
        <v>8131</v>
      </c>
      <c r="D86" s="533">
        <v>0</v>
      </c>
      <c r="E86" s="533">
        <v>6166</v>
      </c>
      <c r="F86" s="533">
        <v>22113</v>
      </c>
      <c r="G86" s="533">
        <v>78200</v>
      </c>
      <c r="H86" s="533">
        <v>197</v>
      </c>
      <c r="I86" s="533">
        <v>102</v>
      </c>
      <c r="J86" s="533">
        <v>0</v>
      </c>
      <c r="K86" s="533">
        <v>30632</v>
      </c>
      <c r="L86" s="533">
        <v>19210</v>
      </c>
      <c r="M86" s="533">
        <v>32649</v>
      </c>
      <c r="N86" s="533">
        <v>0</v>
      </c>
      <c r="O86" s="533">
        <v>631</v>
      </c>
      <c r="P86" s="533">
        <v>191</v>
      </c>
      <c r="Q86" s="533">
        <v>0</v>
      </c>
      <c r="R86" s="533">
        <v>19320</v>
      </c>
      <c r="S86" s="534" t="s">
        <v>36</v>
      </c>
      <c r="T86" s="533">
        <v>20315</v>
      </c>
      <c r="U86" s="533">
        <v>19659</v>
      </c>
      <c r="V86" s="533">
        <v>15835</v>
      </c>
      <c r="W86" s="533">
        <v>8713</v>
      </c>
      <c r="X86" s="533">
        <v>69</v>
      </c>
      <c r="Y86" s="533">
        <v>994</v>
      </c>
      <c r="Z86" s="533">
        <v>345</v>
      </c>
      <c r="AA86" s="533">
        <v>89899</v>
      </c>
      <c r="AB86" s="533">
        <v>105063</v>
      </c>
      <c r="AC86" s="533">
        <v>39444</v>
      </c>
      <c r="AD86" s="533">
        <v>0</v>
      </c>
      <c r="AE86" s="533">
        <v>1513</v>
      </c>
      <c r="AF86" s="533">
        <v>955</v>
      </c>
      <c r="AG86" s="533">
        <v>36</v>
      </c>
      <c r="AH86" s="533">
        <v>0</v>
      </c>
      <c r="AI86" s="533">
        <v>46</v>
      </c>
    </row>
    <row r="87" spans="1:35">
      <c r="A87" s="532" t="s">
        <v>583</v>
      </c>
      <c r="B87" s="533">
        <v>321443</v>
      </c>
      <c r="C87" s="533">
        <v>6421</v>
      </c>
      <c r="D87" s="533">
        <v>0</v>
      </c>
      <c r="E87" s="533">
        <v>2755</v>
      </c>
      <c r="F87" s="533">
        <v>21951</v>
      </c>
      <c r="G87" s="533">
        <v>53033</v>
      </c>
      <c r="H87" s="533">
        <v>0</v>
      </c>
      <c r="I87" s="533">
        <v>0</v>
      </c>
      <c r="J87" s="533">
        <v>0</v>
      </c>
      <c r="K87" s="533">
        <v>12975</v>
      </c>
      <c r="L87" s="533">
        <v>0</v>
      </c>
      <c r="M87" s="533">
        <v>31647</v>
      </c>
      <c r="N87" s="533">
        <v>0</v>
      </c>
      <c r="O87" s="533">
        <v>623</v>
      </c>
      <c r="P87" s="533">
        <v>0</v>
      </c>
      <c r="Q87" s="533">
        <v>0</v>
      </c>
      <c r="R87" s="533">
        <v>19266</v>
      </c>
      <c r="S87" s="534" t="s">
        <v>36</v>
      </c>
      <c r="T87" s="533">
        <v>20315</v>
      </c>
      <c r="U87" s="533">
        <v>6968</v>
      </c>
      <c r="V87" s="533">
        <v>9641</v>
      </c>
      <c r="W87" s="533">
        <v>846</v>
      </c>
      <c r="X87" s="533">
        <v>0</v>
      </c>
      <c r="Y87" s="533">
        <v>156</v>
      </c>
      <c r="Z87" s="533">
        <v>121</v>
      </c>
      <c r="AA87" s="533">
        <v>52040</v>
      </c>
      <c r="AB87" s="533">
        <v>53344</v>
      </c>
      <c r="AC87" s="533">
        <v>29341</v>
      </c>
      <c r="AD87" s="533">
        <v>0</v>
      </c>
      <c r="AE87" s="533">
        <v>0</v>
      </c>
      <c r="AF87" s="533">
        <v>483</v>
      </c>
      <c r="AG87" s="533">
        <v>0</v>
      </c>
      <c r="AH87" s="533">
        <v>0</v>
      </c>
      <c r="AI87" s="533">
        <v>0</v>
      </c>
    </row>
    <row r="88" spans="1:35">
      <c r="A88" s="532" t="s">
        <v>584</v>
      </c>
      <c r="B88" s="533">
        <v>104815</v>
      </c>
      <c r="C88" s="533">
        <v>6421</v>
      </c>
      <c r="D88" s="533">
        <v>0</v>
      </c>
      <c r="E88" s="533">
        <v>2018</v>
      </c>
      <c r="F88" s="533">
        <v>0</v>
      </c>
      <c r="G88" s="533">
        <v>0</v>
      </c>
      <c r="H88" s="533">
        <v>0</v>
      </c>
      <c r="I88" s="533">
        <v>0</v>
      </c>
      <c r="J88" s="533">
        <v>0</v>
      </c>
      <c r="K88" s="533">
        <v>12975</v>
      </c>
      <c r="L88" s="533">
        <v>0</v>
      </c>
      <c r="M88" s="533">
        <v>14701</v>
      </c>
      <c r="N88" s="533">
        <v>0</v>
      </c>
      <c r="O88" s="533">
        <v>0</v>
      </c>
      <c r="P88" s="533">
        <v>0</v>
      </c>
      <c r="Q88" s="533">
        <v>0</v>
      </c>
      <c r="R88" s="533">
        <v>18941</v>
      </c>
      <c r="S88" s="534" t="s">
        <v>36</v>
      </c>
      <c r="T88" s="533">
        <v>8420</v>
      </c>
      <c r="U88" s="533">
        <v>2859</v>
      </c>
      <c r="V88" s="533">
        <v>0</v>
      </c>
      <c r="W88" s="533">
        <v>846</v>
      </c>
      <c r="X88" s="533">
        <v>0</v>
      </c>
      <c r="Y88" s="533">
        <v>0</v>
      </c>
      <c r="Z88" s="533">
        <v>0</v>
      </c>
      <c r="AA88" s="533">
        <v>8293</v>
      </c>
      <c r="AB88" s="533">
        <v>0</v>
      </c>
      <c r="AC88" s="533">
        <v>29341</v>
      </c>
      <c r="AD88" s="533">
        <v>0</v>
      </c>
      <c r="AE88" s="533">
        <v>0</v>
      </c>
      <c r="AF88" s="533">
        <v>0</v>
      </c>
      <c r="AG88" s="533">
        <v>0</v>
      </c>
      <c r="AH88" s="533">
        <v>0</v>
      </c>
      <c r="AI88" s="533">
        <v>0</v>
      </c>
    </row>
    <row r="89" spans="1:35">
      <c r="A89" s="532" t="s">
        <v>585</v>
      </c>
      <c r="B89" s="533">
        <v>216628</v>
      </c>
      <c r="C89" s="533">
        <v>0</v>
      </c>
      <c r="D89" s="533">
        <v>0</v>
      </c>
      <c r="E89" s="533">
        <v>737</v>
      </c>
      <c r="F89" s="533">
        <v>21951</v>
      </c>
      <c r="G89" s="533">
        <v>53033</v>
      </c>
      <c r="H89" s="533">
        <v>0</v>
      </c>
      <c r="I89" s="533">
        <v>0</v>
      </c>
      <c r="J89" s="533">
        <v>0</v>
      </c>
      <c r="K89" s="533">
        <v>0</v>
      </c>
      <c r="L89" s="533">
        <v>0</v>
      </c>
      <c r="M89" s="533">
        <v>16946</v>
      </c>
      <c r="N89" s="533">
        <v>0</v>
      </c>
      <c r="O89" s="533">
        <v>623</v>
      </c>
      <c r="P89" s="533">
        <v>0</v>
      </c>
      <c r="Q89" s="533">
        <v>0</v>
      </c>
      <c r="R89" s="533">
        <v>325</v>
      </c>
      <c r="S89" s="534" t="s">
        <v>36</v>
      </c>
      <c r="T89" s="533">
        <v>11895</v>
      </c>
      <c r="U89" s="533">
        <v>4109</v>
      </c>
      <c r="V89" s="533">
        <v>9641</v>
      </c>
      <c r="W89" s="533">
        <v>0</v>
      </c>
      <c r="X89" s="533">
        <v>0</v>
      </c>
      <c r="Y89" s="533">
        <v>156</v>
      </c>
      <c r="Z89" s="533">
        <v>121</v>
      </c>
      <c r="AA89" s="533">
        <v>43747</v>
      </c>
      <c r="AB89" s="533">
        <v>53344</v>
      </c>
      <c r="AC89" s="533">
        <v>0</v>
      </c>
      <c r="AD89" s="533">
        <v>0</v>
      </c>
      <c r="AE89" s="533">
        <v>0</v>
      </c>
      <c r="AF89" s="533">
        <v>483</v>
      </c>
      <c r="AG89" s="533">
        <v>0</v>
      </c>
      <c r="AH89" s="533">
        <v>0</v>
      </c>
      <c r="AI89" s="533">
        <v>0</v>
      </c>
    </row>
    <row r="90" spans="1:35">
      <c r="A90" s="532" t="s">
        <v>586</v>
      </c>
      <c r="B90" s="533">
        <v>196435</v>
      </c>
      <c r="C90" s="533">
        <v>1710</v>
      </c>
      <c r="D90" s="533">
        <v>0</v>
      </c>
      <c r="E90" s="533">
        <v>3411</v>
      </c>
      <c r="F90" s="533">
        <v>162</v>
      </c>
      <c r="G90" s="533">
        <v>25167</v>
      </c>
      <c r="H90" s="533">
        <v>197</v>
      </c>
      <c r="I90" s="533">
        <v>102</v>
      </c>
      <c r="J90" s="533">
        <v>0</v>
      </c>
      <c r="K90" s="533">
        <v>17657</v>
      </c>
      <c r="L90" s="533">
        <v>19210</v>
      </c>
      <c r="M90" s="533">
        <v>1002</v>
      </c>
      <c r="N90" s="533">
        <v>0</v>
      </c>
      <c r="O90" s="533">
        <v>8</v>
      </c>
      <c r="P90" s="533">
        <v>191</v>
      </c>
      <c r="Q90" s="533">
        <v>0</v>
      </c>
      <c r="R90" s="533">
        <v>54</v>
      </c>
      <c r="S90" s="534" t="s">
        <v>36</v>
      </c>
      <c r="T90" s="533">
        <v>0</v>
      </c>
      <c r="U90" s="533">
        <v>12691</v>
      </c>
      <c r="V90" s="533">
        <v>6194</v>
      </c>
      <c r="W90" s="533">
        <v>7867</v>
      </c>
      <c r="X90" s="533">
        <v>69</v>
      </c>
      <c r="Y90" s="533">
        <v>838</v>
      </c>
      <c r="Z90" s="533">
        <v>224</v>
      </c>
      <c r="AA90" s="533">
        <v>37859</v>
      </c>
      <c r="AB90" s="533">
        <v>51719</v>
      </c>
      <c r="AC90" s="533">
        <v>10103</v>
      </c>
      <c r="AD90" s="533">
        <v>0</v>
      </c>
      <c r="AE90" s="533">
        <v>1513</v>
      </c>
      <c r="AF90" s="533">
        <v>472</v>
      </c>
      <c r="AG90" s="533">
        <v>36</v>
      </c>
      <c r="AH90" s="533">
        <v>0</v>
      </c>
      <c r="AI90" s="533">
        <v>46</v>
      </c>
    </row>
    <row r="91" spans="1:35">
      <c r="A91" s="532" t="s">
        <v>587</v>
      </c>
      <c r="B91" s="533">
        <v>35658</v>
      </c>
      <c r="C91" s="533">
        <v>9</v>
      </c>
      <c r="D91" s="533">
        <v>0</v>
      </c>
      <c r="E91" s="533">
        <v>0</v>
      </c>
      <c r="F91" s="533">
        <v>0</v>
      </c>
      <c r="G91" s="533">
        <v>0</v>
      </c>
      <c r="H91" s="533">
        <v>16</v>
      </c>
      <c r="I91" s="533">
        <v>0</v>
      </c>
      <c r="J91" s="533">
        <v>0</v>
      </c>
      <c r="K91" s="533">
        <v>4913</v>
      </c>
      <c r="L91" s="533">
        <v>13222</v>
      </c>
      <c r="M91" s="533">
        <v>224</v>
      </c>
      <c r="N91" s="533">
        <v>0</v>
      </c>
      <c r="O91" s="533">
        <v>0</v>
      </c>
      <c r="P91" s="533">
        <v>0</v>
      </c>
      <c r="Q91" s="533">
        <v>0</v>
      </c>
      <c r="R91" s="533">
        <v>0</v>
      </c>
      <c r="S91" s="534">
        <v>0</v>
      </c>
      <c r="T91" s="533">
        <v>0</v>
      </c>
      <c r="U91" s="533">
        <v>3737</v>
      </c>
      <c r="V91" s="533">
        <v>0</v>
      </c>
      <c r="W91" s="533">
        <v>285</v>
      </c>
      <c r="X91" s="533">
        <v>35</v>
      </c>
      <c r="Y91" s="533">
        <v>0</v>
      </c>
      <c r="Z91" s="533">
        <v>0</v>
      </c>
      <c r="AA91" s="533">
        <v>3114</v>
      </c>
      <c r="AB91" s="533">
        <v>0</v>
      </c>
      <c r="AC91" s="533">
        <v>10103</v>
      </c>
      <c r="AD91" s="533">
        <v>0</v>
      </c>
      <c r="AE91" s="533">
        <v>1513</v>
      </c>
      <c r="AF91" s="533">
        <v>0</v>
      </c>
      <c r="AG91" s="533">
        <v>0</v>
      </c>
      <c r="AH91" s="533">
        <v>0</v>
      </c>
      <c r="AI91" s="533">
        <v>17</v>
      </c>
    </row>
    <row r="92" spans="1:35">
      <c r="A92" s="532" t="s">
        <v>588</v>
      </c>
      <c r="B92" s="533">
        <v>160777</v>
      </c>
      <c r="C92" s="533">
        <v>1701</v>
      </c>
      <c r="D92" s="533">
        <v>0</v>
      </c>
      <c r="E92" s="533">
        <v>3411</v>
      </c>
      <c r="F92" s="533">
        <v>162</v>
      </c>
      <c r="G92" s="533">
        <v>25167</v>
      </c>
      <c r="H92" s="533">
        <v>181</v>
      </c>
      <c r="I92" s="533">
        <v>102</v>
      </c>
      <c r="J92" s="533">
        <v>0</v>
      </c>
      <c r="K92" s="533">
        <v>12744</v>
      </c>
      <c r="L92" s="533">
        <v>5988</v>
      </c>
      <c r="M92" s="533">
        <v>778</v>
      </c>
      <c r="N92" s="533">
        <v>0</v>
      </c>
      <c r="O92" s="533">
        <v>8</v>
      </c>
      <c r="P92" s="533">
        <v>191</v>
      </c>
      <c r="Q92" s="533">
        <v>0</v>
      </c>
      <c r="R92" s="533">
        <v>54</v>
      </c>
      <c r="S92" s="534" t="s">
        <v>36</v>
      </c>
      <c r="T92" s="533">
        <v>0</v>
      </c>
      <c r="U92" s="533">
        <v>8954</v>
      </c>
      <c r="V92" s="533">
        <v>6194</v>
      </c>
      <c r="W92" s="533">
        <v>7582</v>
      </c>
      <c r="X92" s="533">
        <v>34</v>
      </c>
      <c r="Y92" s="533">
        <v>838</v>
      </c>
      <c r="Z92" s="533">
        <v>224</v>
      </c>
      <c r="AA92" s="533">
        <v>34745</v>
      </c>
      <c r="AB92" s="533">
        <v>51719</v>
      </c>
      <c r="AC92" s="533">
        <v>0</v>
      </c>
      <c r="AD92" s="533">
        <v>0</v>
      </c>
      <c r="AE92" s="533">
        <v>0</v>
      </c>
      <c r="AF92" s="533">
        <v>472</v>
      </c>
      <c r="AG92" s="533">
        <v>36</v>
      </c>
      <c r="AH92" s="533">
        <v>0</v>
      </c>
      <c r="AI92" s="533">
        <v>29</v>
      </c>
    </row>
    <row r="94" spans="1:35">
      <c r="A94" s="529" t="s">
        <v>589</v>
      </c>
    </row>
    <row r="95" spans="1:35">
      <c r="A95" s="529" t="s">
        <v>36</v>
      </c>
      <c r="B95" s="529" t="s">
        <v>590</v>
      </c>
    </row>
    <row r="97" spans="2:35">
      <c r="B97" s="535">
        <f>B76-B92</f>
        <v>62403</v>
      </c>
      <c r="C97" s="535">
        <f t="shared" ref="C97:AI97" si="4">C76-C92</f>
        <v>374</v>
      </c>
      <c r="D97" s="535">
        <f t="shared" si="4"/>
        <v>0</v>
      </c>
      <c r="E97" s="535">
        <f t="shared" si="4"/>
        <v>1279</v>
      </c>
      <c r="F97" s="535">
        <f t="shared" si="4"/>
        <v>12431</v>
      </c>
      <c r="G97" s="535">
        <f t="shared" si="4"/>
        <v>13647</v>
      </c>
      <c r="H97" s="535">
        <f t="shared" si="4"/>
        <v>0</v>
      </c>
      <c r="I97" s="535">
        <f t="shared" si="4"/>
        <v>101</v>
      </c>
      <c r="J97" s="535">
        <f t="shared" si="4"/>
        <v>166</v>
      </c>
      <c r="K97" s="535">
        <f t="shared" si="4"/>
        <v>374</v>
      </c>
      <c r="L97" s="535">
        <f t="shared" si="4"/>
        <v>13591</v>
      </c>
      <c r="M97" s="535">
        <f t="shared" si="4"/>
        <v>915</v>
      </c>
      <c r="N97" s="535">
        <f t="shared" si="4"/>
        <v>0</v>
      </c>
      <c r="O97" s="535">
        <f t="shared" si="4"/>
        <v>151</v>
      </c>
      <c r="P97" s="535">
        <f t="shared" si="4"/>
        <v>10</v>
      </c>
      <c r="Q97" s="535">
        <f t="shared" si="4"/>
        <v>113</v>
      </c>
      <c r="R97" s="535">
        <f t="shared" si="4"/>
        <v>122</v>
      </c>
      <c r="S97" s="535" t="e">
        <f t="shared" si="4"/>
        <v>#VALUE!</v>
      </c>
      <c r="T97" s="535">
        <f t="shared" si="4"/>
        <v>9692</v>
      </c>
      <c r="U97" s="535">
        <f>U76-U92</f>
        <v>375</v>
      </c>
      <c r="V97" s="535">
        <f t="shared" si="4"/>
        <v>1798</v>
      </c>
      <c r="W97" s="535">
        <f t="shared" si="4"/>
        <v>89</v>
      </c>
      <c r="X97" s="535">
        <f t="shared" si="4"/>
        <v>0</v>
      </c>
      <c r="Y97" s="535">
        <f t="shared" si="4"/>
        <v>122</v>
      </c>
      <c r="Z97" s="535">
        <f t="shared" si="4"/>
        <v>692</v>
      </c>
      <c r="AA97" s="535">
        <f>AA76-AA92</f>
        <v>391</v>
      </c>
      <c r="AB97" s="535">
        <f t="shared" si="4"/>
        <v>4</v>
      </c>
      <c r="AC97" s="535">
        <f t="shared" si="4"/>
        <v>5966</v>
      </c>
      <c r="AD97" s="535">
        <f t="shared" si="4"/>
        <v>0</v>
      </c>
      <c r="AE97" s="535">
        <f t="shared" si="4"/>
        <v>0</v>
      </c>
      <c r="AF97" s="535">
        <f t="shared" si="4"/>
        <v>17276</v>
      </c>
      <c r="AG97" s="535">
        <f t="shared" si="4"/>
        <v>0</v>
      </c>
      <c r="AH97" s="535">
        <f t="shared" si="4"/>
        <v>0</v>
      </c>
      <c r="AI97" s="535">
        <f t="shared" si="4"/>
        <v>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25"/>
  <sheetViews>
    <sheetView topLeftCell="G1" workbookViewId="0">
      <selection activeCell="AE219" sqref="AE219"/>
    </sheetView>
  </sheetViews>
  <sheetFormatPr defaultColWidth="9.140625" defaultRowHeight="14.25"/>
  <cols>
    <col min="1" max="1" width="64.5703125" style="530" bestFit="1" customWidth="1"/>
    <col min="2" max="16384" width="9.140625" style="530"/>
  </cols>
  <sheetData>
    <row r="1" spans="1:35">
      <c r="A1" s="529" t="s">
        <v>271</v>
      </c>
      <c r="B1" s="531">
        <v>41389.431388680554</v>
      </c>
    </row>
    <row r="2" spans="1:35">
      <c r="A2" s="529" t="s">
        <v>273</v>
      </c>
      <c r="B2" s="529" t="s">
        <v>67</v>
      </c>
    </row>
    <row r="4" spans="1:35">
      <c r="A4" s="529" t="s">
        <v>340</v>
      </c>
      <c r="B4" s="529" t="s">
        <v>576</v>
      </c>
    </row>
    <row r="5" spans="1:35">
      <c r="A5" s="529" t="s">
        <v>341</v>
      </c>
      <c r="B5" s="529" t="s">
        <v>559</v>
      </c>
    </row>
    <row r="6" spans="1:35">
      <c r="A6" s="529" t="s">
        <v>578</v>
      </c>
      <c r="B6" s="529" t="s">
        <v>298</v>
      </c>
    </row>
    <row r="8" spans="1:35">
      <c r="A8" s="532" t="s">
        <v>579</v>
      </c>
      <c r="B8" s="532" t="s">
        <v>580</v>
      </c>
      <c r="C8" s="532" t="s">
        <v>180</v>
      </c>
      <c r="D8" s="532" t="s">
        <v>181</v>
      </c>
      <c r="E8" s="532" t="s">
        <v>215</v>
      </c>
      <c r="F8" s="532" t="s">
        <v>182</v>
      </c>
      <c r="G8" s="532" t="s">
        <v>581</v>
      </c>
      <c r="H8" s="532" t="s">
        <v>217</v>
      </c>
      <c r="I8" s="532" t="s">
        <v>218</v>
      </c>
      <c r="J8" s="532" t="s">
        <v>183</v>
      </c>
      <c r="K8" s="532" t="s">
        <v>184</v>
      </c>
      <c r="L8" s="532" t="s">
        <v>185</v>
      </c>
      <c r="M8" s="532" t="s">
        <v>186</v>
      </c>
      <c r="N8" s="532" t="s">
        <v>187</v>
      </c>
      <c r="O8" s="532" t="s">
        <v>219</v>
      </c>
      <c r="P8" s="532" t="s">
        <v>188</v>
      </c>
      <c r="Q8" s="532" t="s">
        <v>474</v>
      </c>
      <c r="R8" s="532" t="s">
        <v>189</v>
      </c>
      <c r="S8" s="532" t="s">
        <v>190</v>
      </c>
      <c r="T8" s="532" t="s">
        <v>191</v>
      </c>
      <c r="U8" s="532" t="s">
        <v>192</v>
      </c>
      <c r="V8" s="532" t="s">
        <v>193</v>
      </c>
      <c r="W8" s="532" t="s">
        <v>194</v>
      </c>
      <c r="X8" s="532" t="s">
        <v>195</v>
      </c>
      <c r="Y8" s="532" t="s">
        <v>196</v>
      </c>
      <c r="Z8" s="532" t="s">
        <v>197</v>
      </c>
      <c r="AA8" s="532" t="s">
        <v>198</v>
      </c>
      <c r="AB8" s="532" t="s">
        <v>199</v>
      </c>
      <c r="AC8" s="532" t="s">
        <v>221</v>
      </c>
      <c r="AD8" s="532" t="s">
        <v>179</v>
      </c>
      <c r="AE8" s="532" t="s">
        <v>178</v>
      </c>
      <c r="AF8" s="532" t="s">
        <v>222</v>
      </c>
      <c r="AG8" s="532" t="s">
        <v>299</v>
      </c>
      <c r="AH8" s="532" t="s">
        <v>582</v>
      </c>
      <c r="AI8" s="532" t="s">
        <v>300</v>
      </c>
    </row>
    <row r="9" spans="1:35">
      <c r="A9" s="532" t="s">
        <v>607</v>
      </c>
      <c r="B9" s="533">
        <v>28394</v>
      </c>
      <c r="C9" s="533">
        <v>697</v>
      </c>
      <c r="D9" s="533">
        <v>0</v>
      </c>
      <c r="E9" s="533">
        <v>0</v>
      </c>
      <c r="F9" s="533">
        <v>0</v>
      </c>
      <c r="G9" s="533">
        <v>11741</v>
      </c>
      <c r="H9" s="533">
        <v>0</v>
      </c>
      <c r="I9" s="533">
        <v>0</v>
      </c>
      <c r="J9" s="533">
        <v>0</v>
      </c>
      <c r="K9" s="533">
        <v>0</v>
      </c>
      <c r="L9" s="533">
        <v>0</v>
      </c>
      <c r="M9" s="533">
        <v>0</v>
      </c>
      <c r="N9" s="533">
        <v>0</v>
      </c>
      <c r="O9" s="533">
        <v>0</v>
      </c>
      <c r="P9" s="533">
        <v>0</v>
      </c>
      <c r="Q9" s="533">
        <v>0</v>
      </c>
      <c r="R9" s="533">
        <v>0</v>
      </c>
      <c r="S9" s="533">
        <v>0</v>
      </c>
      <c r="T9" s="533">
        <v>13731</v>
      </c>
      <c r="U9" s="533">
        <v>1046</v>
      </c>
      <c r="V9" s="533">
        <v>0</v>
      </c>
      <c r="W9" s="533">
        <v>0</v>
      </c>
      <c r="X9" s="533">
        <v>0</v>
      </c>
      <c r="Y9" s="533">
        <v>0</v>
      </c>
      <c r="Z9" s="533">
        <v>0</v>
      </c>
      <c r="AA9" s="533">
        <v>0</v>
      </c>
      <c r="AB9" s="533">
        <v>1180</v>
      </c>
      <c r="AC9" s="533">
        <v>0</v>
      </c>
      <c r="AD9" s="533">
        <v>0</v>
      </c>
      <c r="AE9" s="533">
        <v>0</v>
      </c>
      <c r="AF9" s="533">
        <v>0</v>
      </c>
      <c r="AG9" s="533">
        <v>0</v>
      </c>
      <c r="AH9" s="533">
        <v>0</v>
      </c>
      <c r="AI9" s="533">
        <v>0</v>
      </c>
    </row>
    <row r="10" spans="1:35">
      <c r="A10" s="532" t="s">
        <v>583</v>
      </c>
      <c r="B10" s="533">
        <v>17267</v>
      </c>
      <c r="C10" s="533">
        <v>675</v>
      </c>
      <c r="D10" s="533">
        <v>0</v>
      </c>
      <c r="E10" s="533">
        <v>0</v>
      </c>
      <c r="F10" s="533">
        <v>0</v>
      </c>
      <c r="G10" s="533">
        <v>799</v>
      </c>
      <c r="H10" s="533">
        <v>0</v>
      </c>
      <c r="I10" s="533">
        <v>0</v>
      </c>
      <c r="J10" s="533">
        <v>0</v>
      </c>
      <c r="K10" s="533">
        <v>0</v>
      </c>
      <c r="L10" s="533">
        <v>0</v>
      </c>
      <c r="M10" s="533">
        <v>0</v>
      </c>
      <c r="N10" s="533">
        <v>0</v>
      </c>
      <c r="O10" s="533">
        <v>0</v>
      </c>
      <c r="P10" s="533">
        <v>0</v>
      </c>
      <c r="Q10" s="533">
        <v>0</v>
      </c>
      <c r="R10" s="533">
        <v>0</v>
      </c>
      <c r="S10" s="533">
        <v>0</v>
      </c>
      <c r="T10" s="533">
        <v>13731</v>
      </c>
      <c r="U10" s="533">
        <v>887</v>
      </c>
      <c r="V10" s="533">
        <v>0</v>
      </c>
      <c r="W10" s="533">
        <v>0</v>
      </c>
      <c r="X10" s="533">
        <v>0</v>
      </c>
      <c r="Y10" s="533">
        <v>0</v>
      </c>
      <c r="Z10" s="533">
        <v>0</v>
      </c>
      <c r="AA10" s="533">
        <v>0</v>
      </c>
      <c r="AB10" s="533">
        <v>1176</v>
      </c>
      <c r="AC10" s="533">
        <v>0</v>
      </c>
      <c r="AD10" s="533">
        <v>0</v>
      </c>
      <c r="AE10" s="533">
        <v>0</v>
      </c>
      <c r="AF10" s="533">
        <v>0</v>
      </c>
      <c r="AG10" s="533">
        <v>0</v>
      </c>
      <c r="AH10" s="533">
        <v>0</v>
      </c>
      <c r="AI10" s="533">
        <v>0</v>
      </c>
    </row>
    <row r="11" spans="1:35">
      <c r="A11" s="532" t="s">
        <v>584</v>
      </c>
      <c r="B11" s="533">
        <v>14843</v>
      </c>
      <c r="C11" s="533">
        <v>675</v>
      </c>
      <c r="D11" s="533">
        <v>0</v>
      </c>
      <c r="E11" s="533">
        <v>0</v>
      </c>
      <c r="F11" s="533">
        <v>0</v>
      </c>
      <c r="G11" s="533">
        <v>0</v>
      </c>
      <c r="H11" s="533">
        <v>0</v>
      </c>
      <c r="I11" s="533">
        <v>0</v>
      </c>
      <c r="J11" s="533">
        <v>0</v>
      </c>
      <c r="K11" s="533">
        <v>0</v>
      </c>
      <c r="L11" s="533">
        <v>0</v>
      </c>
      <c r="M11" s="533">
        <v>0</v>
      </c>
      <c r="N11" s="533">
        <v>0</v>
      </c>
      <c r="O11" s="533">
        <v>0</v>
      </c>
      <c r="P11" s="533">
        <v>0</v>
      </c>
      <c r="Q11" s="533">
        <v>0</v>
      </c>
      <c r="R11" s="533">
        <v>0</v>
      </c>
      <c r="S11" s="533">
        <v>0</v>
      </c>
      <c r="T11" s="533">
        <v>13731</v>
      </c>
      <c r="U11" s="533">
        <v>438</v>
      </c>
      <c r="V11" s="533">
        <v>0</v>
      </c>
      <c r="W11" s="533">
        <v>0</v>
      </c>
      <c r="X11" s="533">
        <v>0</v>
      </c>
      <c r="Y11" s="533">
        <v>0</v>
      </c>
      <c r="Z11" s="533">
        <v>0</v>
      </c>
      <c r="AA11" s="533">
        <v>0</v>
      </c>
      <c r="AB11" s="533">
        <v>0</v>
      </c>
      <c r="AC11" s="533">
        <v>0</v>
      </c>
      <c r="AD11" s="533">
        <v>0</v>
      </c>
      <c r="AE11" s="533">
        <v>0</v>
      </c>
      <c r="AF11" s="533">
        <v>0</v>
      </c>
      <c r="AG11" s="533">
        <v>0</v>
      </c>
      <c r="AH11" s="533">
        <v>0</v>
      </c>
      <c r="AI11" s="533">
        <v>0</v>
      </c>
    </row>
    <row r="12" spans="1:35">
      <c r="A12" s="532" t="s">
        <v>585</v>
      </c>
      <c r="B12" s="533">
        <v>2424</v>
      </c>
      <c r="C12" s="533">
        <v>0</v>
      </c>
      <c r="D12" s="533">
        <v>0</v>
      </c>
      <c r="E12" s="533">
        <v>0</v>
      </c>
      <c r="F12" s="533">
        <v>0</v>
      </c>
      <c r="G12" s="533">
        <v>799</v>
      </c>
      <c r="H12" s="533">
        <v>0</v>
      </c>
      <c r="I12" s="533">
        <v>0</v>
      </c>
      <c r="J12" s="533">
        <v>0</v>
      </c>
      <c r="K12" s="533">
        <v>0</v>
      </c>
      <c r="L12" s="533">
        <v>0</v>
      </c>
      <c r="M12" s="533">
        <v>0</v>
      </c>
      <c r="N12" s="533">
        <v>0</v>
      </c>
      <c r="O12" s="533">
        <v>0</v>
      </c>
      <c r="P12" s="533">
        <v>0</v>
      </c>
      <c r="Q12" s="533">
        <v>0</v>
      </c>
      <c r="R12" s="533">
        <v>0</v>
      </c>
      <c r="S12" s="533">
        <v>0</v>
      </c>
      <c r="T12" s="533">
        <v>0</v>
      </c>
      <c r="U12" s="533">
        <v>449</v>
      </c>
      <c r="V12" s="533">
        <v>0</v>
      </c>
      <c r="W12" s="533">
        <v>0</v>
      </c>
      <c r="X12" s="533">
        <v>0</v>
      </c>
      <c r="Y12" s="533">
        <v>0</v>
      </c>
      <c r="Z12" s="533">
        <v>0</v>
      </c>
      <c r="AA12" s="533">
        <v>0</v>
      </c>
      <c r="AB12" s="533">
        <v>1176</v>
      </c>
      <c r="AC12" s="533">
        <v>0</v>
      </c>
      <c r="AD12" s="533">
        <v>0</v>
      </c>
      <c r="AE12" s="533">
        <v>0</v>
      </c>
      <c r="AF12" s="533">
        <v>0</v>
      </c>
      <c r="AG12" s="533">
        <v>0</v>
      </c>
      <c r="AH12" s="533">
        <v>0</v>
      </c>
      <c r="AI12" s="533">
        <v>0</v>
      </c>
    </row>
    <row r="13" spans="1:35">
      <c r="A13" s="532" t="s">
        <v>586</v>
      </c>
      <c r="B13" s="533">
        <v>11127</v>
      </c>
      <c r="C13" s="533">
        <v>22</v>
      </c>
      <c r="D13" s="533">
        <v>0</v>
      </c>
      <c r="E13" s="533">
        <v>0</v>
      </c>
      <c r="F13" s="533">
        <v>0</v>
      </c>
      <c r="G13" s="533">
        <v>10942</v>
      </c>
      <c r="H13" s="533">
        <v>0</v>
      </c>
      <c r="I13" s="533">
        <v>0</v>
      </c>
      <c r="J13" s="533">
        <v>0</v>
      </c>
      <c r="K13" s="533">
        <v>0</v>
      </c>
      <c r="L13" s="533">
        <v>0</v>
      </c>
      <c r="M13" s="533">
        <v>0</v>
      </c>
      <c r="N13" s="533">
        <v>0</v>
      </c>
      <c r="O13" s="533">
        <v>0</v>
      </c>
      <c r="P13" s="533">
        <v>0</v>
      </c>
      <c r="Q13" s="533">
        <v>0</v>
      </c>
      <c r="R13" s="533">
        <v>0</v>
      </c>
      <c r="S13" s="533">
        <v>0</v>
      </c>
      <c r="T13" s="533">
        <v>0</v>
      </c>
      <c r="U13" s="533">
        <v>159</v>
      </c>
      <c r="V13" s="533">
        <v>0</v>
      </c>
      <c r="W13" s="533">
        <v>0</v>
      </c>
      <c r="X13" s="533">
        <v>0</v>
      </c>
      <c r="Y13" s="533">
        <v>0</v>
      </c>
      <c r="Z13" s="533">
        <v>0</v>
      </c>
      <c r="AA13" s="533">
        <v>0</v>
      </c>
      <c r="AB13" s="533">
        <v>4</v>
      </c>
      <c r="AC13" s="533">
        <v>0</v>
      </c>
      <c r="AD13" s="533">
        <v>0</v>
      </c>
      <c r="AE13" s="533">
        <v>0</v>
      </c>
      <c r="AF13" s="533">
        <v>0</v>
      </c>
      <c r="AG13" s="533">
        <v>0</v>
      </c>
      <c r="AH13" s="533">
        <v>0</v>
      </c>
      <c r="AI13" s="533">
        <v>0</v>
      </c>
    </row>
    <row r="14" spans="1:35">
      <c r="A14" s="532" t="s">
        <v>587</v>
      </c>
      <c r="B14" s="533">
        <v>71</v>
      </c>
      <c r="C14" s="533">
        <v>19</v>
      </c>
      <c r="D14" s="533">
        <v>0</v>
      </c>
      <c r="E14" s="533">
        <v>0</v>
      </c>
      <c r="F14" s="533">
        <v>0</v>
      </c>
      <c r="G14" s="533">
        <v>0</v>
      </c>
      <c r="H14" s="533">
        <v>0</v>
      </c>
      <c r="I14" s="533">
        <v>0</v>
      </c>
      <c r="J14" s="533">
        <v>0</v>
      </c>
      <c r="K14" s="533">
        <v>0</v>
      </c>
      <c r="L14" s="533">
        <v>0</v>
      </c>
      <c r="M14" s="533">
        <v>0</v>
      </c>
      <c r="N14" s="533">
        <v>0</v>
      </c>
      <c r="O14" s="533">
        <v>0</v>
      </c>
      <c r="P14" s="533">
        <v>0</v>
      </c>
      <c r="Q14" s="533">
        <v>0</v>
      </c>
      <c r="R14" s="533">
        <v>0</v>
      </c>
      <c r="S14" s="533">
        <v>0</v>
      </c>
      <c r="T14" s="533">
        <v>0</v>
      </c>
      <c r="U14" s="533">
        <v>52</v>
      </c>
      <c r="V14" s="533">
        <v>0</v>
      </c>
      <c r="W14" s="533">
        <v>0</v>
      </c>
      <c r="X14" s="533">
        <v>0</v>
      </c>
      <c r="Y14" s="533">
        <v>0</v>
      </c>
      <c r="Z14" s="533">
        <v>0</v>
      </c>
      <c r="AA14" s="533">
        <v>0</v>
      </c>
      <c r="AB14" s="533">
        <v>0</v>
      </c>
      <c r="AC14" s="533">
        <v>0</v>
      </c>
      <c r="AD14" s="533">
        <v>0</v>
      </c>
      <c r="AE14" s="533">
        <v>0</v>
      </c>
      <c r="AF14" s="533">
        <v>0</v>
      </c>
      <c r="AG14" s="533">
        <v>0</v>
      </c>
      <c r="AH14" s="533">
        <v>0</v>
      </c>
      <c r="AI14" s="533">
        <v>0</v>
      </c>
    </row>
    <row r="15" spans="1:35">
      <c r="A15" s="532" t="s">
        <v>588</v>
      </c>
      <c r="B15" s="533">
        <v>11056</v>
      </c>
      <c r="C15" s="533">
        <v>3</v>
      </c>
      <c r="D15" s="533">
        <v>0</v>
      </c>
      <c r="E15" s="533">
        <v>0</v>
      </c>
      <c r="F15" s="533">
        <v>0</v>
      </c>
      <c r="G15" s="533">
        <v>10942</v>
      </c>
      <c r="H15" s="533">
        <v>0</v>
      </c>
      <c r="I15" s="533">
        <v>0</v>
      </c>
      <c r="J15" s="533">
        <v>0</v>
      </c>
      <c r="K15" s="533">
        <v>0</v>
      </c>
      <c r="L15" s="533">
        <v>0</v>
      </c>
      <c r="M15" s="533">
        <v>0</v>
      </c>
      <c r="N15" s="533">
        <v>0</v>
      </c>
      <c r="O15" s="533">
        <v>0</v>
      </c>
      <c r="P15" s="533">
        <v>0</v>
      </c>
      <c r="Q15" s="533">
        <v>0</v>
      </c>
      <c r="R15" s="533">
        <v>0</v>
      </c>
      <c r="S15" s="533">
        <v>0</v>
      </c>
      <c r="T15" s="533">
        <v>0</v>
      </c>
      <c r="U15" s="533">
        <v>107</v>
      </c>
      <c r="V15" s="533">
        <v>0</v>
      </c>
      <c r="W15" s="533">
        <v>0</v>
      </c>
      <c r="X15" s="533">
        <v>0</v>
      </c>
      <c r="Y15" s="533">
        <v>0</v>
      </c>
      <c r="Z15" s="533">
        <v>0</v>
      </c>
      <c r="AA15" s="533">
        <v>0</v>
      </c>
      <c r="AB15" s="533">
        <v>4</v>
      </c>
      <c r="AC15" s="533">
        <v>0</v>
      </c>
      <c r="AD15" s="533">
        <v>0</v>
      </c>
      <c r="AE15" s="533">
        <v>0</v>
      </c>
      <c r="AF15" s="533">
        <v>0</v>
      </c>
      <c r="AG15" s="533">
        <v>0</v>
      </c>
      <c r="AH15" s="533">
        <v>0</v>
      </c>
      <c r="AI15" s="533">
        <v>0</v>
      </c>
    </row>
    <row r="19" spans="3:29">
      <c r="C19" s="530" t="str">
        <f>C8</f>
        <v>Belgium</v>
      </c>
      <c r="D19" s="530" t="str">
        <f t="shared" ref="D19:AC19" si="0">D8</f>
        <v>Bulgaria</v>
      </c>
      <c r="E19" s="530" t="str">
        <f t="shared" si="0"/>
        <v>Czech Republic</v>
      </c>
      <c r="F19" s="530" t="str">
        <f t="shared" si="0"/>
        <v>Denmark</v>
      </c>
      <c r="G19" s="530" t="str">
        <f t="shared" si="0"/>
        <v>Germany (until 1990 former territory of the FRG)</v>
      </c>
      <c r="H19" s="530" t="str">
        <f t="shared" si="0"/>
        <v>Estonia</v>
      </c>
      <c r="I19" s="530" t="str">
        <f t="shared" si="0"/>
        <v>Ireland</v>
      </c>
      <c r="J19" s="530" t="str">
        <f t="shared" si="0"/>
        <v>Greece</v>
      </c>
      <c r="K19" s="530" t="str">
        <f t="shared" si="0"/>
        <v>Spain</v>
      </c>
      <c r="L19" s="530" t="str">
        <f t="shared" si="0"/>
        <v>France</v>
      </c>
      <c r="M19" s="530" t="str">
        <f t="shared" si="0"/>
        <v>Italy</v>
      </c>
      <c r="N19" s="530" t="str">
        <f t="shared" si="0"/>
        <v>Cyprus</v>
      </c>
      <c r="O19" s="530" t="str">
        <f t="shared" si="0"/>
        <v>Latvia</v>
      </c>
      <c r="P19" s="530" t="str">
        <f t="shared" si="0"/>
        <v>Lithuania</v>
      </c>
      <c r="Q19" s="530" t="str">
        <f t="shared" si="0"/>
        <v>Luxembourg</v>
      </c>
      <c r="R19" s="530" t="str">
        <f t="shared" si="0"/>
        <v>Hungary</v>
      </c>
      <c r="S19" s="530" t="str">
        <f t="shared" si="0"/>
        <v>Malta</v>
      </c>
      <c r="T19" s="530" t="str">
        <f t="shared" si="0"/>
        <v>Netherlands</v>
      </c>
      <c r="U19" s="530" t="str">
        <f t="shared" si="0"/>
        <v>Austria</v>
      </c>
      <c r="V19" s="530" t="str">
        <f t="shared" si="0"/>
        <v>Poland</v>
      </c>
      <c r="W19" s="530" t="str">
        <f t="shared" si="0"/>
        <v>Portugal</v>
      </c>
      <c r="X19" s="530" t="str">
        <f t="shared" si="0"/>
        <v>Romania</v>
      </c>
      <c r="Y19" s="530" t="str">
        <f t="shared" si="0"/>
        <v>Slovenia</v>
      </c>
      <c r="Z19" s="530" t="str">
        <f t="shared" si="0"/>
        <v>Slovakia</v>
      </c>
      <c r="AA19" s="530" t="str">
        <f t="shared" si="0"/>
        <v>Finland</v>
      </c>
      <c r="AB19" s="530" t="str">
        <f t="shared" si="0"/>
        <v>Sweden</v>
      </c>
      <c r="AC19" s="530" t="str">
        <f t="shared" si="0"/>
        <v>United Kingdom</v>
      </c>
    </row>
    <row r="20" spans="3:29">
      <c r="C20" s="530">
        <f>C14/1000</f>
        <v>1.9E-2</v>
      </c>
      <c r="D20" s="530">
        <f t="shared" ref="D20:AC20" si="1">D14/1000</f>
        <v>0</v>
      </c>
      <c r="E20" s="530">
        <f t="shared" si="1"/>
        <v>0</v>
      </c>
      <c r="F20" s="530">
        <f t="shared" si="1"/>
        <v>0</v>
      </c>
      <c r="G20" s="530">
        <f t="shared" si="1"/>
        <v>0</v>
      </c>
      <c r="H20" s="530">
        <f t="shared" si="1"/>
        <v>0</v>
      </c>
      <c r="I20" s="530">
        <f t="shared" si="1"/>
        <v>0</v>
      </c>
      <c r="J20" s="530">
        <f t="shared" si="1"/>
        <v>0</v>
      </c>
      <c r="K20" s="530">
        <f t="shared" si="1"/>
        <v>0</v>
      </c>
      <c r="L20" s="530">
        <f t="shared" si="1"/>
        <v>0</v>
      </c>
      <c r="M20" s="530">
        <f t="shared" si="1"/>
        <v>0</v>
      </c>
      <c r="N20" s="530">
        <f t="shared" si="1"/>
        <v>0</v>
      </c>
      <c r="O20" s="530">
        <f t="shared" si="1"/>
        <v>0</v>
      </c>
      <c r="P20" s="530">
        <f t="shared" si="1"/>
        <v>0</v>
      </c>
      <c r="Q20" s="530">
        <f t="shared" si="1"/>
        <v>0</v>
      </c>
      <c r="R20" s="530">
        <f t="shared" si="1"/>
        <v>0</v>
      </c>
      <c r="S20" s="530">
        <f t="shared" si="1"/>
        <v>0</v>
      </c>
      <c r="T20" s="530">
        <f t="shared" si="1"/>
        <v>0</v>
      </c>
      <c r="U20" s="530">
        <f t="shared" si="1"/>
        <v>5.1999999999999998E-2</v>
      </c>
      <c r="V20" s="530">
        <f t="shared" si="1"/>
        <v>0</v>
      </c>
      <c r="W20" s="530">
        <f t="shared" si="1"/>
        <v>0</v>
      </c>
      <c r="X20" s="530">
        <f t="shared" si="1"/>
        <v>0</v>
      </c>
      <c r="Y20" s="530">
        <f t="shared" si="1"/>
        <v>0</v>
      </c>
      <c r="Z20" s="530">
        <f t="shared" si="1"/>
        <v>0</v>
      </c>
      <c r="AA20" s="530">
        <f t="shared" si="1"/>
        <v>0</v>
      </c>
      <c r="AB20" s="530">
        <f t="shared" si="1"/>
        <v>0</v>
      </c>
      <c r="AC20" s="530">
        <f t="shared" si="1"/>
        <v>0</v>
      </c>
    </row>
    <row r="24" spans="3:29">
      <c r="C24" s="530" t="s">
        <v>56</v>
      </c>
      <c r="D24" s="530" t="s">
        <v>39</v>
      </c>
      <c r="E24" s="530" t="s">
        <v>40</v>
      </c>
      <c r="F24" s="530" t="s">
        <v>49</v>
      </c>
      <c r="G24" s="530" t="s">
        <v>41</v>
      </c>
      <c r="H24" s="530" t="s">
        <v>43</v>
      </c>
      <c r="I24" s="530" t="s">
        <v>42</v>
      </c>
      <c r="J24" s="530" t="s">
        <v>44</v>
      </c>
      <c r="K24" s="530" t="s">
        <v>45</v>
      </c>
      <c r="L24" s="530" t="s">
        <v>62</v>
      </c>
      <c r="M24" s="530" t="s">
        <v>46</v>
      </c>
      <c r="N24" s="530" t="s">
        <v>82</v>
      </c>
      <c r="O24" s="530" t="s">
        <v>53</v>
      </c>
      <c r="P24" s="530" t="s">
        <v>47</v>
      </c>
      <c r="Q24" s="530" t="s">
        <v>48</v>
      </c>
      <c r="R24" s="530" t="s">
        <v>51</v>
      </c>
      <c r="S24" s="530" t="s">
        <v>52</v>
      </c>
      <c r="T24" s="530" t="s">
        <v>50</v>
      </c>
      <c r="U24" s="530" t="s">
        <v>54</v>
      </c>
      <c r="V24" s="530" t="s">
        <v>55</v>
      </c>
      <c r="W24" s="530" t="s">
        <v>57</v>
      </c>
      <c r="X24" s="530" t="s">
        <v>58</v>
      </c>
      <c r="Y24" s="530" t="s">
        <v>59</v>
      </c>
      <c r="Z24" s="530" t="s">
        <v>63</v>
      </c>
      <c r="AA24" s="530" t="s">
        <v>60</v>
      </c>
      <c r="AB24" s="530" t="s">
        <v>61</v>
      </c>
      <c r="AC24" s="530" t="s">
        <v>64</v>
      </c>
    </row>
    <row r="25" spans="3:29">
      <c r="C25" s="530">
        <f>U20</f>
        <v>5.1999999999999998E-2</v>
      </c>
      <c r="D25" s="530">
        <f>C20</f>
        <v>1.9E-2</v>
      </c>
      <c r="E25" s="530">
        <f>D20</f>
        <v>0</v>
      </c>
      <c r="F25" s="530">
        <f>N20</f>
        <v>0</v>
      </c>
      <c r="G25" s="530">
        <f>E20</f>
        <v>0</v>
      </c>
      <c r="H25" s="530">
        <f>G20</f>
        <v>0</v>
      </c>
      <c r="I25" s="530">
        <f>F20</f>
        <v>0</v>
      </c>
      <c r="J25" s="530">
        <f>H20</f>
        <v>0</v>
      </c>
      <c r="K25" s="530">
        <f>K20</f>
        <v>0</v>
      </c>
      <c r="L25" s="530">
        <f>AA20</f>
        <v>0</v>
      </c>
      <c r="M25" s="530">
        <f>L20</f>
        <v>0</v>
      </c>
      <c r="N25" s="530">
        <f>J20</f>
        <v>0</v>
      </c>
      <c r="O25" s="530">
        <f>R20</f>
        <v>0</v>
      </c>
      <c r="P25" s="530">
        <f>I20</f>
        <v>0</v>
      </c>
      <c r="Q25" s="530">
        <f>M20</f>
        <v>0</v>
      </c>
      <c r="R25" s="530">
        <f>P20</f>
        <v>0</v>
      </c>
      <c r="S25" s="530">
        <f>Q20</f>
        <v>0</v>
      </c>
      <c r="T25" s="530">
        <f>O20</f>
        <v>0</v>
      </c>
      <c r="U25" s="530">
        <f>S20</f>
        <v>0</v>
      </c>
      <c r="V25" s="530">
        <f>T20</f>
        <v>0</v>
      </c>
      <c r="W25" s="530">
        <f>V20</f>
        <v>0</v>
      </c>
      <c r="X25" s="530">
        <f>W20</f>
        <v>0</v>
      </c>
      <c r="Y25" s="530">
        <f>X20</f>
        <v>0</v>
      </c>
      <c r="Z25" s="530">
        <f>AB20</f>
        <v>0</v>
      </c>
      <c r="AA25" s="530">
        <f>Y20</f>
        <v>0</v>
      </c>
      <c r="AB25" s="530">
        <f>Z20</f>
        <v>0</v>
      </c>
      <c r="AC25" s="530">
        <f>AC20</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AK50"/>
  <sheetViews>
    <sheetView workbookViewId="0">
      <pane xSplit="3" ySplit="13" topLeftCell="T14" activePane="bottomRight" state="frozen"/>
      <selection activeCell="AE219" sqref="AE219"/>
      <selection pane="topRight" activeCell="AE219" sqref="AE219"/>
      <selection pane="bottomLeft" activeCell="AE219" sqref="AE219"/>
      <selection pane="bottomRight" activeCell="AE24" sqref="AE24:AE26"/>
    </sheetView>
  </sheetViews>
  <sheetFormatPr defaultColWidth="9.140625" defaultRowHeight="14.25"/>
  <cols>
    <col min="1" max="2" width="9.140625" style="530"/>
    <col min="3" max="3" width="67.7109375" style="530" customWidth="1"/>
    <col min="4" max="16384" width="9.140625" style="530"/>
  </cols>
  <sheetData>
    <row r="1" spans="1:37">
      <c r="C1" s="529" t="s">
        <v>873</v>
      </c>
    </row>
    <row r="3" spans="1:37">
      <c r="C3" s="529" t="s">
        <v>269</v>
      </c>
      <c r="D3" s="531">
        <v>41353.593611111108</v>
      </c>
    </row>
    <row r="4" spans="1:37">
      <c r="C4" s="529" t="s">
        <v>271</v>
      </c>
      <c r="D4" s="531">
        <v>41389.482117743057</v>
      </c>
    </row>
    <row r="5" spans="1:37">
      <c r="C5" s="529" t="s">
        <v>273</v>
      </c>
      <c r="D5" s="529" t="s">
        <v>67</v>
      </c>
    </row>
    <row r="7" spans="1:37">
      <c r="C7" s="529" t="s">
        <v>340</v>
      </c>
      <c r="D7" s="529" t="s">
        <v>576</v>
      </c>
    </row>
    <row r="8" spans="1:37">
      <c r="C8" s="529" t="s">
        <v>341</v>
      </c>
      <c r="D8" s="529" t="s">
        <v>874</v>
      </c>
    </row>
    <row r="9" spans="1:37">
      <c r="C9" s="529" t="s">
        <v>578</v>
      </c>
      <c r="D9" s="529" t="s">
        <v>298</v>
      </c>
    </row>
    <row r="11" spans="1:37">
      <c r="A11" s="539" t="s">
        <v>139</v>
      </c>
      <c r="B11" s="539" t="s">
        <v>875</v>
      </c>
      <c r="C11" s="538" t="s">
        <v>579</v>
      </c>
      <c r="D11" s="538" t="s">
        <v>580</v>
      </c>
      <c r="E11" s="538" t="s">
        <v>180</v>
      </c>
      <c r="F11" s="538" t="s">
        <v>181</v>
      </c>
      <c r="G11" s="538" t="s">
        <v>215</v>
      </c>
      <c r="H11" s="538" t="s">
        <v>182</v>
      </c>
      <c r="I11" s="538" t="s">
        <v>581</v>
      </c>
      <c r="J11" s="538" t="s">
        <v>217</v>
      </c>
      <c r="K11" s="538" t="s">
        <v>218</v>
      </c>
      <c r="L11" s="538" t="s">
        <v>183</v>
      </c>
      <c r="M11" s="538" t="s">
        <v>184</v>
      </c>
      <c r="N11" s="538" t="s">
        <v>185</v>
      </c>
      <c r="O11" s="538" t="s">
        <v>186</v>
      </c>
      <c r="P11" s="538" t="s">
        <v>187</v>
      </c>
      <c r="Q11" s="538" t="s">
        <v>219</v>
      </c>
      <c r="R11" s="538" t="s">
        <v>188</v>
      </c>
      <c r="S11" s="538" t="s">
        <v>474</v>
      </c>
      <c r="T11" s="538" t="s">
        <v>189</v>
      </c>
      <c r="U11" s="538" t="s">
        <v>190</v>
      </c>
      <c r="V11" s="538" t="s">
        <v>191</v>
      </c>
      <c r="W11" s="538" t="s">
        <v>192</v>
      </c>
      <c r="X11" s="538" t="s">
        <v>193</v>
      </c>
      <c r="Y11" s="538" t="s">
        <v>194</v>
      </c>
      <c r="Z11" s="538" t="s">
        <v>195</v>
      </c>
      <c r="AA11" s="538" t="s">
        <v>196</v>
      </c>
      <c r="AB11" s="538" t="s">
        <v>197</v>
      </c>
      <c r="AC11" s="538" t="s">
        <v>198</v>
      </c>
      <c r="AD11" s="538" t="s">
        <v>199</v>
      </c>
      <c r="AE11" s="538" t="s">
        <v>221</v>
      </c>
      <c r="AF11" s="538" t="s">
        <v>179</v>
      </c>
      <c r="AG11" s="538" t="s">
        <v>178</v>
      </c>
      <c r="AH11" s="538" t="s">
        <v>222</v>
      </c>
      <c r="AI11" s="538" t="s">
        <v>299</v>
      </c>
      <c r="AJ11" s="538" t="s">
        <v>582</v>
      </c>
      <c r="AK11" s="538" t="s">
        <v>300</v>
      </c>
    </row>
    <row r="12" spans="1:37">
      <c r="A12" s="539" t="s">
        <v>660</v>
      </c>
      <c r="B12" s="539" t="s">
        <v>668</v>
      </c>
      <c r="C12" s="538" t="s">
        <v>876</v>
      </c>
      <c r="D12" s="540">
        <v>4985</v>
      </c>
      <c r="E12" s="540">
        <v>0</v>
      </c>
      <c r="F12" s="540">
        <v>406</v>
      </c>
      <c r="G12" s="540">
        <v>1096</v>
      </c>
      <c r="H12" s="540">
        <v>0</v>
      </c>
      <c r="I12" s="540">
        <v>0</v>
      </c>
      <c r="J12" s="540">
        <v>0</v>
      </c>
      <c r="K12" s="540">
        <v>0</v>
      </c>
      <c r="L12" s="540">
        <v>0</v>
      </c>
      <c r="M12" s="540">
        <v>0</v>
      </c>
      <c r="N12" s="540">
        <v>0</v>
      </c>
      <c r="O12" s="540">
        <v>0</v>
      </c>
      <c r="P12" s="540">
        <v>0</v>
      </c>
      <c r="Q12" s="540">
        <v>0</v>
      </c>
      <c r="R12" s="540">
        <v>1156</v>
      </c>
      <c r="S12" s="540">
        <v>0</v>
      </c>
      <c r="T12" s="540">
        <v>669</v>
      </c>
      <c r="U12" s="540">
        <v>0</v>
      </c>
      <c r="V12" s="540">
        <v>0</v>
      </c>
      <c r="W12" s="540">
        <v>0</v>
      </c>
      <c r="X12" s="540">
        <v>0</v>
      </c>
      <c r="Y12" s="540">
        <v>0</v>
      </c>
      <c r="Z12" s="540">
        <v>0</v>
      </c>
      <c r="AA12" s="540">
        <v>0</v>
      </c>
      <c r="AB12" s="540">
        <v>1658</v>
      </c>
      <c r="AC12" s="540">
        <v>0</v>
      </c>
      <c r="AD12" s="540">
        <v>0</v>
      </c>
      <c r="AE12" s="540">
        <v>0</v>
      </c>
      <c r="AF12" s="540">
        <v>0</v>
      </c>
      <c r="AG12" s="540">
        <v>0</v>
      </c>
      <c r="AH12" s="540">
        <v>1100</v>
      </c>
      <c r="AI12" s="540">
        <v>0</v>
      </c>
      <c r="AJ12" s="540">
        <v>0</v>
      </c>
      <c r="AK12" s="540">
        <v>0</v>
      </c>
    </row>
    <row r="13" spans="1:37" hidden="1">
      <c r="A13" s="539" t="s">
        <v>660</v>
      </c>
      <c r="B13" s="539" t="s">
        <v>877</v>
      </c>
      <c r="C13" s="538" t="s">
        <v>878</v>
      </c>
      <c r="D13" s="540">
        <v>0</v>
      </c>
      <c r="E13" s="540">
        <v>0</v>
      </c>
      <c r="F13" s="540">
        <v>0</v>
      </c>
      <c r="G13" s="540">
        <v>0</v>
      </c>
      <c r="H13" s="540">
        <v>0</v>
      </c>
      <c r="I13" s="540">
        <v>0</v>
      </c>
      <c r="J13" s="540">
        <v>0</v>
      </c>
      <c r="K13" s="540">
        <v>0</v>
      </c>
      <c r="L13" s="540">
        <v>0</v>
      </c>
      <c r="M13" s="540">
        <v>0</v>
      </c>
      <c r="N13" s="540">
        <v>0</v>
      </c>
      <c r="O13" s="540">
        <v>0</v>
      </c>
      <c r="P13" s="540">
        <v>0</v>
      </c>
      <c r="Q13" s="540">
        <v>0</v>
      </c>
      <c r="R13" s="540">
        <v>0</v>
      </c>
      <c r="S13" s="540">
        <v>0</v>
      </c>
      <c r="T13" s="540">
        <v>0</v>
      </c>
      <c r="U13" s="540">
        <v>0</v>
      </c>
      <c r="V13" s="540">
        <v>0</v>
      </c>
      <c r="W13" s="540">
        <v>0</v>
      </c>
      <c r="X13" s="540">
        <v>0</v>
      </c>
      <c r="Y13" s="540">
        <v>0</v>
      </c>
      <c r="Z13" s="540">
        <v>0</v>
      </c>
      <c r="AA13" s="540">
        <v>0</v>
      </c>
      <c r="AB13" s="540">
        <v>0</v>
      </c>
      <c r="AC13" s="540">
        <v>0</v>
      </c>
      <c r="AD13" s="540">
        <v>0</v>
      </c>
      <c r="AE13" s="540">
        <v>0</v>
      </c>
      <c r="AF13" s="540">
        <v>0</v>
      </c>
      <c r="AG13" s="540">
        <v>0</v>
      </c>
      <c r="AH13" s="540">
        <v>0</v>
      </c>
      <c r="AI13" s="540">
        <v>0</v>
      </c>
      <c r="AJ13" s="540">
        <v>0</v>
      </c>
      <c r="AK13" s="540">
        <v>0</v>
      </c>
    </row>
    <row r="14" spans="1:37">
      <c r="A14" s="539" t="s">
        <v>664</v>
      </c>
      <c r="B14" s="539" t="s">
        <v>668</v>
      </c>
      <c r="C14" s="538" t="s">
        <v>879</v>
      </c>
      <c r="D14" s="540">
        <v>0</v>
      </c>
      <c r="E14" s="540">
        <v>0</v>
      </c>
      <c r="F14" s="540">
        <v>0</v>
      </c>
      <c r="G14" s="540">
        <v>0</v>
      </c>
      <c r="H14" s="540">
        <v>0</v>
      </c>
      <c r="I14" s="540">
        <v>0</v>
      </c>
      <c r="J14" s="540">
        <v>0</v>
      </c>
      <c r="K14" s="540">
        <v>0</v>
      </c>
      <c r="L14" s="540">
        <v>0</v>
      </c>
      <c r="M14" s="540">
        <v>0</v>
      </c>
      <c r="N14" s="540">
        <v>0</v>
      </c>
      <c r="O14" s="540">
        <v>0</v>
      </c>
      <c r="P14" s="540">
        <v>0</v>
      </c>
      <c r="Q14" s="540">
        <v>0</v>
      </c>
      <c r="R14" s="540">
        <v>0</v>
      </c>
      <c r="S14" s="540">
        <v>0</v>
      </c>
      <c r="T14" s="540">
        <v>0</v>
      </c>
      <c r="U14" s="540">
        <v>0</v>
      </c>
      <c r="V14" s="540">
        <v>0</v>
      </c>
      <c r="W14" s="540">
        <v>0</v>
      </c>
      <c r="X14" s="540">
        <v>0</v>
      </c>
      <c r="Y14" s="540">
        <v>0</v>
      </c>
      <c r="Z14" s="540">
        <v>0</v>
      </c>
      <c r="AA14" s="540">
        <v>0</v>
      </c>
      <c r="AB14" s="540">
        <v>0</v>
      </c>
      <c r="AC14" s="540">
        <v>0</v>
      </c>
      <c r="AD14" s="540">
        <v>0</v>
      </c>
      <c r="AE14" s="540">
        <v>0</v>
      </c>
      <c r="AF14" s="540">
        <v>0</v>
      </c>
      <c r="AG14" s="540">
        <v>0</v>
      </c>
      <c r="AH14" s="540">
        <v>0</v>
      </c>
      <c r="AI14" s="540">
        <v>0</v>
      </c>
      <c r="AJ14" s="540">
        <v>0</v>
      </c>
      <c r="AK14" s="540">
        <v>0</v>
      </c>
    </row>
    <row r="15" spans="1:37" hidden="1">
      <c r="A15" s="539" t="s">
        <v>664</v>
      </c>
      <c r="B15" s="539" t="s">
        <v>877</v>
      </c>
      <c r="C15" s="538" t="s">
        <v>880</v>
      </c>
      <c r="D15" s="540">
        <v>0</v>
      </c>
      <c r="E15" s="540">
        <v>0</v>
      </c>
      <c r="F15" s="540">
        <v>0</v>
      </c>
      <c r="G15" s="540">
        <v>0</v>
      </c>
      <c r="H15" s="540">
        <v>0</v>
      </c>
      <c r="I15" s="540">
        <v>0</v>
      </c>
      <c r="J15" s="540">
        <v>0</v>
      </c>
      <c r="K15" s="540">
        <v>0</v>
      </c>
      <c r="L15" s="540">
        <v>0</v>
      </c>
      <c r="M15" s="540">
        <v>0</v>
      </c>
      <c r="N15" s="540">
        <v>0</v>
      </c>
      <c r="O15" s="540">
        <v>0</v>
      </c>
      <c r="P15" s="540">
        <v>0</v>
      </c>
      <c r="Q15" s="540">
        <v>0</v>
      </c>
      <c r="R15" s="540">
        <v>0</v>
      </c>
      <c r="S15" s="540">
        <v>0</v>
      </c>
      <c r="T15" s="540">
        <v>0</v>
      </c>
      <c r="U15" s="540">
        <v>0</v>
      </c>
      <c r="V15" s="540">
        <v>0</v>
      </c>
      <c r="W15" s="540">
        <v>0</v>
      </c>
      <c r="X15" s="540">
        <v>0</v>
      </c>
      <c r="Y15" s="540">
        <v>0</v>
      </c>
      <c r="Z15" s="540">
        <v>0</v>
      </c>
      <c r="AA15" s="540">
        <v>0</v>
      </c>
      <c r="AB15" s="540">
        <v>0</v>
      </c>
      <c r="AC15" s="540">
        <v>0</v>
      </c>
      <c r="AD15" s="540">
        <v>0</v>
      </c>
      <c r="AE15" s="540">
        <v>0</v>
      </c>
      <c r="AF15" s="540">
        <v>0</v>
      </c>
      <c r="AG15" s="540">
        <v>0</v>
      </c>
      <c r="AH15" s="540">
        <v>0</v>
      </c>
      <c r="AI15" s="540">
        <v>0</v>
      </c>
      <c r="AJ15" s="540">
        <v>0</v>
      </c>
      <c r="AK15" s="540">
        <v>0</v>
      </c>
    </row>
    <row r="16" spans="1:37">
      <c r="A16" s="539" t="s">
        <v>660</v>
      </c>
      <c r="B16" s="539" t="s">
        <v>668</v>
      </c>
      <c r="C16" s="538" t="s">
        <v>881</v>
      </c>
      <c r="D16" s="540">
        <v>0</v>
      </c>
      <c r="E16" s="540">
        <v>0</v>
      </c>
      <c r="F16" s="540">
        <v>0</v>
      </c>
      <c r="G16" s="540">
        <v>0</v>
      </c>
      <c r="H16" s="540">
        <v>0</v>
      </c>
      <c r="I16" s="540">
        <v>0</v>
      </c>
      <c r="J16" s="540">
        <v>0</v>
      </c>
      <c r="K16" s="540">
        <v>0</v>
      </c>
      <c r="L16" s="540">
        <v>0</v>
      </c>
      <c r="M16" s="540">
        <v>0</v>
      </c>
      <c r="N16" s="540">
        <v>0</v>
      </c>
      <c r="O16" s="540">
        <v>0</v>
      </c>
      <c r="P16" s="540">
        <v>0</v>
      </c>
      <c r="Q16" s="540">
        <v>0</v>
      </c>
      <c r="R16" s="540">
        <v>0</v>
      </c>
      <c r="S16" s="540">
        <v>0</v>
      </c>
      <c r="T16" s="540">
        <v>0</v>
      </c>
      <c r="U16" s="540">
        <v>0</v>
      </c>
      <c r="V16" s="540">
        <v>0</v>
      </c>
      <c r="W16" s="540">
        <v>0</v>
      </c>
      <c r="X16" s="540">
        <v>0</v>
      </c>
      <c r="Y16" s="540">
        <v>0</v>
      </c>
      <c r="Z16" s="540">
        <v>0</v>
      </c>
      <c r="AA16" s="540">
        <v>0</v>
      </c>
      <c r="AB16" s="540">
        <v>0</v>
      </c>
      <c r="AC16" s="540">
        <v>0</v>
      </c>
      <c r="AD16" s="540">
        <v>0</v>
      </c>
      <c r="AE16" s="540">
        <v>0</v>
      </c>
      <c r="AF16" s="540">
        <v>8071</v>
      </c>
      <c r="AG16" s="540">
        <v>0</v>
      </c>
      <c r="AH16" s="540">
        <v>0</v>
      </c>
      <c r="AI16" s="540">
        <v>0</v>
      </c>
      <c r="AJ16" s="540">
        <v>0</v>
      </c>
      <c r="AK16" s="540">
        <v>0</v>
      </c>
    </row>
    <row r="17" spans="1:37" hidden="1">
      <c r="A17" s="539" t="s">
        <v>660</v>
      </c>
      <c r="B17" s="539" t="s">
        <v>877</v>
      </c>
      <c r="C17" s="538" t="s">
        <v>882</v>
      </c>
      <c r="D17" s="540">
        <v>1452</v>
      </c>
      <c r="E17" s="540">
        <v>51</v>
      </c>
      <c r="F17" s="540">
        <v>0</v>
      </c>
      <c r="G17" s="540">
        <v>0</v>
      </c>
      <c r="H17" s="540">
        <v>172</v>
      </c>
      <c r="I17" s="540">
        <v>450</v>
      </c>
      <c r="J17" s="540">
        <v>0</v>
      </c>
      <c r="K17" s="540">
        <v>0</v>
      </c>
      <c r="L17" s="540">
        <v>0</v>
      </c>
      <c r="M17" s="540">
        <v>0</v>
      </c>
      <c r="N17" s="540">
        <v>0</v>
      </c>
      <c r="O17" s="540">
        <v>0</v>
      </c>
      <c r="P17" s="540">
        <v>0</v>
      </c>
      <c r="Q17" s="540">
        <v>0</v>
      </c>
      <c r="R17" s="540">
        <v>61</v>
      </c>
      <c r="S17" s="540">
        <v>0</v>
      </c>
      <c r="T17" s="540">
        <v>234</v>
      </c>
      <c r="U17" s="540">
        <v>0</v>
      </c>
      <c r="V17" s="540">
        <v>0</v>
      </c>
      <c r="W17" s="540">
        <v>387</v>
      </c>
      <c r="X17" s="540">
        <v>0</v>
      </c>
      <c r="Y17" s="540">
        <v>0</v>
      </c>
      <c r="Z17" s="540">
        <v>17</v>
      </c>
      <c r="AA17" s="540">
        <v>0</v>
      </c>
      <c r="AB17" s="540">
        <v>80</v>
      </c>
      <c r="AC17" s="540">
        <v>0</v>
      </c>
      <c r="AD17" s="540">
        <v>0</v>
      </c>
      <c r="AE17" s="540">
        <v>0</v>
      </c>
      <c r="AF17" s="540">
        <v>599</v>
      </c>
      <c r="AG17" s="540">
        <v>0</v>
      </c>
      <c r="AH17" s="540">
        <v>0</v>
      </c>
      <c r="AI17" s="540">
        <v>0</v>
      </c>
      <c r="AJ17" s="540">
        <v>0</v>
      </c>
      <c r="AK17" s="540">
        <v>0</v>
      </c>
    </row>
    <row r="18" spans="1:37">
      <c r="A18" s="539" t="s">
        <v>664</v>
      </c>
      <c r="B18" s="539" t="s">
        <v>668</v>
      </c>
      <c r="C18" s="538" t="s">
        <v>883</v>
      </c>
      <c r="D18" s="540">
        <v>0</v>
      </c>
      <c r="E18" s="540">
        <v>0</v>
      </c>
      <c r="F18" s="540">
        <v>0</v>
      </c>
      <c r="G18" s="540">
        <v>0</v>
      </c>
      <c r="H18" s="540">
        <v>0</v>
      </c>
      <c r="I18" s="540">
        <v>0</v>
      </c>
      <c r="J18" s="540">
        <v>0</v>
      </c>
      <c r="K18" s="540">
        <v>0</v>
      </c>
      <c r="L18" s="540">
        <v>0</v>
      </c>
      <c r="M18" s="540">
        <v>0</v>
      </c>
      <c r="N18" s="540">
        <v>0</v>
      </c>
      <c r="O18" s="540">
        <v>0</v>
      </c>
      <c r="P18" s="540">
        <v>0</v>
      </c>
      <c r="Q18" s="540">
        <v>0</v>
      </c>
      <c r="R18" s="540">
        <v>0</v>
      </c>
      <c r="S18" s="540">
        <v>0</v>
      </c>
      <c r="T18" s="540">
        <v>0</v>
      </c>
      <c r="U18" s="540">
        <v>0</v>
      </c>
      <c r="V18" s="540">
        <v>0</v>
      </c>
      <c r="W18" s="540">
        <v>0</v>
      </c>
      <c r="X18" s="540">
        <v>0</v>
      </c>
      <c r="Y18" s="540">
        <v>0</v>
      </c>
      <c r="Z18" s="540">
        <v>0</v>
      </c>
      <c r="AA18" s="540">
        <v>0</v>
      </c>
      <c r="AB18" s="540">
        <v>0</v>
      </c>
      <c r="AC18" s="540">
        <v>0</v>
      </c>
      <c r="AD18" s="540">
        <v>0</v>
      </c>
      <c r="AE18" s="540">
        <v>0</v>
      </c>
      <c r="AF18" s="540">
        <v>0</v>
      </c>
      <c r="AG18" s="540">
        <v>0</v>
      </c>
      <c r="AH18" s="540">
        <v>0</v>
      </c>
      <c r="AI18" s="540">
        <v>0</v>
      </c>
      <c r="AJ18" s="540">
        <v>0</v>
      </c>
      <c r="AK18" s="540">
        <v>0</v>
      </c>
    </row>
    <row r="19" spans="1:37" hidden="1">
      <c r="A19" s="539" t="s">
        <v>664</v>
      </c>
      <c r="B19" s="539" t="s">
        <v>877</v>
      </c>
      <c r="C19" s="538" t="s">
        <v>884</v>
      </c>
      <c r="D19" s="540">
        <v>135</v>
      </c>
      <c r="E19" s="540">
        <v>0</v>
      </c>
      <c r="F19" s="540">
        <v>0</v>
      </c>
      <c r="G19" s="540">
        <v>0</v>
      </c>
      <c r="H19" s="540">
        <v>0</v>
      </c>
      <c r="I19" s="540">
        <v>0</v>
      </c>
      <c r="J19" s="540">
        <v>0</v>
      </c>
      <c r="K19" s="540">
        <v>0</v>
      </c>
      <c r="L19" s="540">
        <v>0</v>
      </c>
      <c r="M19" s="540">
        <v>0</v>
      </c>
      <c r="N19" s="540">
        <v>0</v>
      </c>
      <c r="O19" s="540">
        <v>0</v>
      </c>
      <c r="P19" s="540">
        <v>0</v>
      </c>
      <c r="Q19" s="540">
        <v>0</v>
      </c>
      <c r="R19" s="540">
        <v>0</v>
      </c>
      <c r="S19" s="540">
        <v>0</v>
      </c>
      <c r="T19" s="540">
        <v>0</v>
      </c>
      <c r="U19" s="540">
        <v>0</v>
      </c>
      <c r="V19" s="540">
        <v>0</v>
      </c>
      <c r="W19" s="540">
        <v>60</v>
      </c>
      <c r="X19" s="540">
        <v>0</v>
      </c>
      <c r="Y19" s="540">
        <v>0</v>
      </c>
      <c r="Z19" s="540">
        <v>15</v>
      </c>
      <c r="AA19" s="540">
        <v>0</v>
      </c>
      <c r="AB19" s="540">
        <v>60</v>
      </c>
      <c r="AC19" s="540">
        <v>0</v>
      </c>
      <c r="AD19" s="540">
        <v>0</v>
      </c>
      <c r="AE19" s="540">
        <v>0</v>
      </c>
      <c r="AF19" s="540">
        <v>0</v>
      </c>
      <c r="AG19" s="540">
        <v>0</v>
      </c>
      <c r="AH19" s="540">
        <v>0</v>
      </c>
      <c r="AI19" s="540">
        <v>0</v>
      </c>
      <c r="AJ19" s="540">
        <v>0</v>
      </c>
      <c r="AK19" s="540">
        <v>0</v>
      </c>
    </row>
    <row r="20" spans="1:37">
      <c r="A20" s="539" t="s">
        <v>660</v>
      </c>
      <c r="B20" s="539" t="s">
        <v>668</v>
      </c>
      <c r="C20" s="538" t="s">
        <v>885</v>
      </c>
      <c r="D20" s="540">
        <v>0</v>
      </c>
      <c r="E20" s="540">
        <v>0</v>
      </c>
      <c r="F20" s="540">
        <v>0</v>
      </c>
      <c r="G20" s="540">
        <v>0</v>
      </c>
      <c r="H20" s="540">
        <v>0</v>
      </c>
      <c r="I20" s="540">
        <v>0</v>
      </c>
      <c r="J20" s="540">
        <v>0</v>
      </c>
      <c r="K20" s="540">
        <v>0</v>
      </c>
      <c r="L20" s="540">
        <v>0</v>
      </c>
      <c r="M20" s="540">
        <v>0</v>
      </c>
      <c r="N20" s="540">
        <v>0</v>
      </c>
      <c r="O20" s="540">
        <v>0</v>
      </c>
      <c r="P20" s="540">
        <v>0</v>
      </c>
      <c r="Q20" s="540">
        <v>0</v>
      </c>
      <c r="R20" s="540">
        <v>0</v>
      </c>
      <c r="S20" s="540">
        <v>0</v>
      </c>
      <c r="T20" s="540">
        <v>0</v>
      </c>
      <c r="U20" s="540">
        <v>0</v>
      </c>
      <c r="V20" s="540">
        <v>0</v>
      </c>
      <c r="W20" s="540">
        <v>0</v>
      </c>
      <c r="X20" s="540">
        <v>0</v>
      </c>
      <c r="Y20" s="540">
        <v>0</v>
      </c>
      <c r="Z20" s="540">
        <v>0</v>
      </c>
      <c r="AA20" s="540">
        <v>0</v>
      </c>
      <c r="AB20" s="540">
        <v>0</v>
      </c>
      <c r="AC20" s="540">
        <v>0</v>
      </c>
      <c r="AD20" s="540">
        <v>0</v>
      </c>
      <c r="AE20" s="540">
        <v>0</v>
      </c>
      <c r="AF20" s="540">
        <v>0</v>
      </c>
      <c r="AG20" s="540">
        <v>0</v>
      </c>
      <c r="AH20" s="540">
        <v>0</v>
      </c>
      <c r="AI20" s="540">
        <v>0</v>
      </c>
      <c r="AJ20" s="540">
        <v>0</v>
      </c>
      <c r="AK20" s="540">
        <v>0</v>
      </c>
    </row>
    <row r="21" spans="1:37" hidden="1">
      <c r="A21" s="539" t="s">
        <v>660</v>
      </c>
      <c r="B21" s="539" t="s">
        <v>877</v>
      </c>
      <c r="C21" s="538" t="s">
        <v>886</v>
      </c>
      <c r="D21" s="540">
        <v>54</v>
      </c>
      <c r="E21" s="540">
        <v>0</v>
      </c>
      <c r="F21" s="540">
        <v>0</v>
      </c>
      <c r="G21" s="540">
        <v>0</v>
      </c>
      <c r="H21" s="540">
        <v>53</v>
      </c>
      <c r="I21" s="540">
        <v>0</v>
      </c>
      <c r="J21" s="540">
        <v>0</v>
      </c>
      <c r="K21" s="540">
        <v>0</v>
      </c>
      <c r="L21" s="540">
        <v>0</v>
      </c>
      <c r="M21" s="540">
        <v>0</v>
      </c>
      <c r="N21" s="540">
        <v>0</v>
      </c>
      <c r="O21" s="540">
        <v>0</v>
      </c>
      <c r="P21" s="540">
        <v>0</v>
      </c>
      <c r="Q21" s="540">
        <v>0</v>
      </c>
      <c r="R21" s="540">
        <v>0</v>
      </c>
      <c r="S21" s="540">
        <v>0</v>
      </c>
      <c r="T21" s="540">
        <v>1</v>
      </c>
      <c r="U21" s="540">
        <v>0</v>
      </c>
      <c r="V21" s="540">
        <v>0</v>
      </c>
      <c r="W21" s="540">
        <v>0</v>
      </c>
      <c r="X21" s="540">
        <v>0</v>
      </c>
      <c r="Y21" s="540">
        <v>0</v>
      </c>
      <c r="Z21" s="540">
        <v>0</v>
      </c>
      <c r="AA21" s="540">
        <v>0</v>
      </c>
      <c r="AB21" s="540">
        <v>0</v>
      </c>
      <c r="AC21" s="540">
        <v>0</v>
      </c>
      <c r="AD21" s="540">
        <v>0</v>
      </c>
      <c r="AE21" s="540">
        <v>0</v>
      </c>
      <c r="AF21" s="540">
        <v>0</v>
      </c>
      <c r="AG21" s="540">
        <v>0</v>
      </c>
      <c r="AH21" s="540">
        <v>0</v>
      </c>
      <c r="AI21" s="540">
        <v>0</v>
      </c>
      <c r="AJ21" s="540">
        <v>0</v>
      </c>
      <c r="AK21" s="540">
        <v>0</v>
      </c>
    </row>
    <row r="22" spans="1:37">
      <c r="A22" s="539" t="s">
        <v>664</v>
      </c>
      <c r="B22" s="539" t="s">
        <v>668</v>
      </c>
      <c r="C22" s="538" t="s">
        <v>887</v>
      </c>
      <c r="D22" s="540">
        <v>0</v>
      </c>
      <c r="E22" s="540">
        <v>0</v>
      </c>
      <c r="F22" s="540">
        <v>0</v>
      </c>
      <c r="G22" s="540">
        <v>0</v>
      </c>
      <c r="H22" s="540">
        <v>0</v>
      </c>
      <c r="I22" s="540">
        <v>0</v>
      </c>
      <c r="J22" s="540">
        <v>0</v>
      </c>
      <c r="K22" s="540">
        <v>0</v>
      </c>
      <c r="L22" s="540">
        <v>0</v>
      </c>
      <c r="M22" s="540">
        <v>0</v>
      </c>
      <c r="N22" s="540">
        <v>0</v>
      </c>
      <c r="O22" s="540">
        <v>0</v>
      </c>
      <c r="P22" s="540">
        <v>0</v>
      </c>
      <c r="Q22" s="540">
        <v>0</v>
      </c>
      <c r="R22" s="540">
        <v>0</v>
      </c>
      <c r="S22" s="540">
        <v>0</v>
      </c>
      <c r="T22" s="540">
        <v>0</v>
      </c>
      <c r="U22" s="540">
        <v>0</v>
      </c>
      <c r="V22" s="540">
        <v>0</v>
      </c>
      <c r="W22" s="540">
        <v>0</v>
      </c>
      <c r="X22" s="540">
        <v>0</v>
      </c>
      <c r="Y22" s="540">
        <v>0</v>
      </c>
      <c r="Z22" s="540">
        <v>0</v>
      </c>
      <c r="AA22" s="540">
        <v>0</v>
      </c>
      <c r="AB22" s="540">
        <v>0</v>
      </c>
      <c r="AC22" s="540">
        <v>0</v>
      </c>
      <c r="AD22" s="540">
        <v>0</v>
      </c>
      <c r="AE22" s="540">
        <v>0</v>
      </c>
      <c r="AF22" s="540">
        <v>0</v>
      </c>
      <c r="AG22" s="540">
        <v>0</v>
      </c>
      <c r="AH22" s="540">
        <v>0</v>
      </c>
      <c r="AI22" s="540">
        <v>0</v>
      </c>
      <c r="AJ22" s="540">
        <v>0</v>
      </c>
      <c r="AK22" s="540">
        <v>0</v>
      </c>
    </row>
    <row r="23" spans="1:37" hidden="1">
      <c r="A23" s="539" t="s">
        <v>664</v>
      </c>
      <c r="B23" s="539" t="s">
        <v>877</v>
      </c>
      <c r="C23" s="538" t="s">
        <v>888</v>
      </c>
      <c r="D23" s="540">
        <v>1</v>
      </c>
      <c r="E23" s="540">
        <v>0</v>
      </c>
      <c r="F23" s="540">
        <v>0</v>
      </c>
      <c r="G23" s="540">
        <v>0</v>
      </c>
      <c r="H23" s="540">
        <v>0</v>
      </c>
      <c r="I23" s="540">
        <v>0</v>
      </c>
      <c r="J23" s="540">
        <v>0</v>
      </c>
      <c r="K23" s="540">
        <v>0</v>
      </c>
      <c r="L23" s="540">
        <v>0</v>
      </c>
      <c r="M23" s="540">
        <v>0</v>
      </c>
      <c r="N23" s="540">
        <v>0</v>
      </c>
      <c r="O23" s="540">
        <v>0</v>
      </c>
      <c r="P23" s="540">
        <v>0</v>
      </c>
      <c r="Q23" s="540">
        <v>0</v>
      </c>
      <c r="R23" s="540">
        <v>0</v>
      </c>
      <c r="S23" s="540">
        <v>0</v>
      </c>
      <c r="T23" s="540">
        <v>0</v>
      </c>
      <c r="U23" s="540">
        <v>0</v>
      </c>
      <c r="V23" s="540">
        <v>0</v>
      </c>
      <c r="W23" s="540">
        <v>0</v>
      </c>
      <c r="X23" s="540">
        <v>0</v>
      </c>
      <c r="Y23" s="540">
        <v>0</v>
      </c>
      <c r="Z23" s="540">
        <v>0</v>
      </c>
      <c r="AA23" s="540">
        <v>0</v>
      </c>
      <c r="AB23" s="540">
        <v>1</v>
      </c>
      <c r="AC23" s="540">
        <v>0</v>
      </c>
      <c r="AD23" s="540">
        <v>0</v>
      </c>
      <c r="AE23" s="540">
        <v>0</v>
      </c>
      <c r="AF23" s="540">
        <v>0</v>
      </c>
      <c r="AG23" s="540">
        <v>0</v>
      </c>
      <c r="AH23" s="540">
        <v>0</v>
      </c>
      <c r="AI23" s="540">
        <v>0</v>
      </c>
      <c r="AJ23" s="540">
        <v>0</v>
      </c>
      <c r="AK23" s="540">
        <v>0</v>
      </c>
    </row>
    <row r="24" spans="1:37">
      <c r="A24" s="539" t="s">
        <v>660</v>
      </c>
      <c r="B24" s="539" t="s">
        <v>668</v>
      </c>
      <c r="C24" s="538" t="s">
        <v>889</v>
      </c>
      <c r="D24" s="540">
        <v>1480739</v>
      </c>
      <c r="E24" s="540">
        <v>19172</v>
      </c>
      <c r="F24" s="540">
        <v>33907</v>
      </c>
      <c r="G24" s="540">
        <v>89699</v>
      </c>
      <c r="H24" s="540">
        <v>89928</v>
      </c>
      <c r="I24" s="540">
        <v>360677</v>
      </c>
      <c r="J24" s="540">
        <v>9282</v>
      </c>
      <c r="K24" s="540">
        <v>0</v>
      </c>
      <c r="L24" s="540">
        <v>2049</v>
      </c>
      <c r="M24" s="540">
        <v>0</v>
      </c>
      <c r="N24" s="540">
        <v>59635</v>
      </c>
      <c r="O24" s="540">
        <v>72641</v>
      </c>
      <c r="P24" s="540">
        <v>0</v>
      </c>
      <c r="Q24" s="540">
        <v>13677</v>
      </c>
      <c r="R24" s="540">
        <v>22741</v>
      </c>
      <c r="S24" s="540">
        <v>853</v>
      </c>
      <c r="T24" s="540">
        <v>40709</v>
      </c>
      <c r="U24" s="540">
        <v>0</v>
      </c>
      <c r="V24" s="540">
        <v>132026</v>
      </c>
      <c r="W24" s="540">
        <v>37566</v>
      </c>
      <c r="X24" s="540">
        <v>178197</v>
      </c>
      <c r="Y24" s="540">
        <v>3835</v>
      </c>
      <c r="Z24" s="540">
        <v>89004</v>
      </c>
      <c r="AA24" s="540">
        <v>6922</v>
      </c>
      <c r="AB24" s="540">
        <v>20063</v>
      </c>
      <c r="AC24" s="540">
        <v>117450</v>
      </c>
      <c r="AD24" s="540">
        <v>80706</v>
      </c>
      <c r="AE24" s="540">
        <v>0</v>
      </c>
      <c r="AF24" s="540">
        <v>0</v>
      </c>
      <c r="AG24" s="540">
        <v>3273</v>
      </c>
      <c r="AH24" s="540">
        <v>1091</v>
      </c>
      <c r="AI24" s="540">
        <v>9150</v>
      </c>
      <c r="AJ24" s="540">
        <v>0</v>
      </c>
      <c r="AK24" s="540">
        <v>14669</v>
      </c>
    </row>
    <row r="25" spans="1:37" hidden="1">
      <c r="A25" s="539" t="s">
        <v>660</v>
      </c>
      <c r="B25" s="539" t="s">
        <v>877</v>
      </c>
      <c r="C25" s="538" t="s">
        <v>890</v>
      </c>
      <c r="D25" s="540">
        <v>514229</v>
      </c>
      <c r="E25" s="540">
        <v>241</v>
      </c>
      <c r="F25" s="540">
        <v>12335</v>
      </c>
      <c r="G25" s="540">
        <v>24585</v>
      </c>
      <c r="H25" s="540">
        <v>16272</v>
      </c>
      <c r="I25" s="540">
        <v>128963</v>
      </c>
      <c r="J25" s="540">
        <v>13889</v>
      </c>
      <c r="K25" s="540">
        <v>0</v>
      </c>
      <c r="L25" s="540">
        <v>0</v>
      </c>
      <c r="M25" s="540">
        <v>0</v>
      </c>
      <c r="N25" s="540">
        <v>1104</v>
      </c>
      <c r="O25" s="540">
        <v>0</v>
      </c>
      <c r="P25" s="540">
        <v>0</v>
      </c>
      <c r="Q25" s="540">
        <v>13075</v>
      </c>
      <c r="R25" s="540">
        <v>15862</v>
      </c>
      <c r="S25" s="540">
        <v>73</v>
      </c>
      <c r="T25" s="540">
        <v>19895</v>
      </c>
      <c r="U25" s="540">
        <v>0</v>
      </c>
      <c r="V25" s="540">
        <v>3481</v>
      </c>
      <c r="W25" s="540">
        <v>19034</v>
      </c>
      <c r="X25" s="540">
        <v>109595</v>
      </c>
      <c r="Y25" s="540">
        <v>0</v>
      </c>
      <c r="Z25" s="540">
        <v>21073</v>
      </c>
      <c r="AA25" s="540">
        <v>2811</v>
      </c>
      <c r="AB25" s="540">
        <v>17943</v>
      </c>
      <c r="AC25" s="540">
        <v>43676</v>
      </c>
      <c r="AD25" s="540">
        <v>50322</v>
      </c>
      <c r="AE25" s="540">
        <v>0</v>
      </c>
      <c r="AF25" s="540">
        <v>56</v>
      </c>
      <c r="AG25" s="540">
        <v>4611</v>
      </c>
      <c r="AH25" s="540">
        <v>4374</v>
      </c>
      <c r="AI25" s="540">
        <v>3304</v>
      </c>
      <c r="AJ25" s="540">
        <v>3160</v>
      </c>
      <c r="AK25" s="540">
        <v>0</v>
      </c>
    </row>
    <row r="26" spans="1:37">
      <c r="A26" s="539" t="s">
        <v>664</v>
      </c>
      <c r="B26" s="539" t="s">
        <v>668</v>
      </c>
      <c r="C26" s="538" t="s">
        <v>891</v>
      </c>
      <c r="D26" s="540">
        <v>668457</v>
      </c>
      <c r="E26" s="540">
        <v>0</v>
      </c>
      <c r="F26" s="540">
        <v>568</v>
      </c>
      <c r="G26" s="540">
        <v>15970</v>
      </c>
      <c r="H26" s="540">
        <v>14885</v>
      </c>
      <c r="I26" s="540">
        <v>287905</v>
      </c>
      <c r="J26" s="540">
        <v>240</v>
      </c>
      <c r="K26" s="540">
        <v>0</v>
      </c>
      <c r="L26" s="540">
        <v>0</v>
      </c>
      <c r="M26" s="540">
        <v>0</v>
      </c>
      <c r="N26" s="540">
        <v>109135</v>
      </c>
      <c r="O26" s="540">
        <v>120423</v>
      </c>
      <c r="P26" s="540">
        <v>0</v>
      </c>
      <c r="Q26" s="540">
        <v>439</v>
      </c>
      <c r="R26" s="540">
        <v>332</v>
      </c>
      <c r="S26" s="540">
        <v>0</v>
      </c>
      <c r="T26" s="540">
        <v>301</v>
      </c>
      <c r="U26" s="540">
        <v>0</v>
      </c>
      <c r="V26" s="540">
        <v>23163</v>
      </c>
      <c r="W26" s="540">
        <v>4029</v>
      </c>
      <c r="X26" s="540">
        <v>35752</v>
      </c>
      <c r="Y26" s="540">
        <v>9877</v>
      </c>
      <c r="Z26" s="540">
        <v>5635</v>
      </c>
      <c r="AA26" s="540">
        <v>157</v>
      </c>
      <c r="AB26" s="540">
        <v>2138</v>
      </c>
      <c r="AC26" s="540">
        <v>10930</v>
      </c>
      <c r="AD26" s="540">
        <v>26578</v>
      </c>
      <c r="AE26" s="540">
        <v>0</v>
      </c>
      <c r="AF26" s="540">
        <v>0</v>
      </c>
      <c r="AG26" s="540">
        <v>0</v>
      </c>
      <c r="AH26" s="540">
        <v>9757</v>
      </c>
      <c r="AI26" s="540">
        <v>0</v>
      </c>
      <c r="AJ26" s="540">
        <v>553</v>
      </c>
      <c r="AK26" s="540">
        <v>20928</v>
      </c>
    </row>
    <row r="27" spans="1:37" hidden="1">
      <c r="A27" s="539" t="s">
        <v>664</v>
      </c>
      <c r="B27" s="539" t="s">
        <v>877</v>
      </c>
      <c r="C27" s="538" t="s">
        <v>892</v>
      </c>
      <c r="D27" s="540">
        <v>158133</v>
      </c>
      <c r="E27" s="540">
        <v>0</v>
      </c>
      <c r="F27" s="540">
        <v>312</v>
      </c>
      <c r="G27" s="540">
        <v>7574</v>
      </c>
      <c r="H27" s="540">
        <v>2930</v>
      </c>
      <c r="I27" s="540">
        <v>36760</v>
      </c>
      <c r="J27" s="540">
        <v>3366</v>
      </c>
      <c r="K27" s="540">
        <v>0</v>
      </c>
      <c r="L27" s="540">
        <v>0</v>
      </c>
      <c r="M27" s="540">
        <v>0</v>
      </c>
      <c r="N27" s="540">
        <v>4430</v>
      </c>
      <c r="O27" s="540">
        <v>0</v>
      </c>
      <c r="P27" s="540">
        <v>0</v>
      </c>
      <c r="Q27" s="540">
        <v>3100</v>
      </c>
      <c r="R27" s="540">
        <v>1495</v>
      </c>
      <c r="S27" s="540">
        <v>0</v>
      </c>
      <c r="T27" s="540">
        <v>1788</v>
      </c>
      <c r="U27" s="540">
        <v>0</v>
      </c>
      <c r="V27" s="540">
        <v>12193</v>
      </c>
      <c r="W27" s="540">
        <v>494</v>
      </c>
      <c r="X27" s="540">
        <v>10699</v>
      </c>
      <c r="Y27" s="540">
        <v>0</v>
      </c>
      <c r="Z27" s="540">
        <v>6037</v>
      </c>
      <c r="AA27" s="540">
        <v>41</v>
      </c>
      <c r="AB27" s="540">
        <v>6843</v>
      </c>
      <c r="AC27" s="540">
        <v>2887</v>
      </c>
      <c r="AD27" s="540">
        <v>0</v>
      </c>
      <c r="AE27" s="540">
        <v>57184</v>
      </c>
      <c r="AF27" s="540">
        <v>0</v>
      </c>
      <c r="AG27" s="540">
        <v>33</v>
      </c>
      <c r="AH27" s="540">
        <v>298</v>
      </c>
      <c r="AI27" s="540">
        <v>0</v>
      </c>
      <c r="AJ27" s="540">
        <v>2269</v>
      </c>
      <c r="AK27" s="540">
        <v>0</v>
      </c>
    </row>
    <row r="28" spans="1:37">
      <c r="A28" s="539" t="s">
        <v>660</v>
      </c>
      <c r="B28" s="539" t="s">
        <v>668</v>
      </c>
      <c r="C28" s="538" t="s">
        <v>893</v>
      </c>
      <c r="D28" s="540">
        <v>4860</v>
      </c>
      <c r="E28" s="540">
        <v>0</v>
      </c>
      <c r="F28" s="540">
        <v>0</v>
      </c>
      <c r="G28" s="540">
        <v>0</v>
      </c>
      <c r="H28" s="540">
        <v>0</v>
      </c>
      <c r="I28" s="540">
        <v>0</v>
      </c>
      <c r="J28" s="540">
        <v>0</v>
      </c>
      <c r="K28" s="540">
        <v>0</v>
      </c>
      <c r="L28" s="540">
        <v>0</v>
      </c>
      <c r="M28" s="540">
        <v>0</v>
      </c>
      <c r="N28" s="540">
        <v>0</v>
      </c>
      <c r="O28" s="540">
        <v>0</v>
      </c>
      <c r="P28" s="540">
        <v>0</v>
      </c>
      <c r="Q28" s="540">
        <v>0</v>
      </c>
      <c r="R28" s="540">
        <v>0</v>
      </c>
      <c r="S28" s="540">
        <v>0</v>
      </c>
      <c r="T28" s="540">
        <v>0</v>
      </c>
      <c r="U28" s="540">
        <v>0</v>
      </c>
      <c r="V28" s="540">
        <v>0</v>
      </c>
      <c r="W28" s="540">
        <v>0</v>
      </c>
      <c r="X28" s="540">
        <v>0</v>
      </c>
      <c r="Y28" s="540">
        <v>0</v>
      </c>
      <c r="Z28" s="540">
        <v>0</v>
      </c>
      <c r="AA28" s="540">
        <v>0</v>
      </c>
      <c r="AB28" s="540">
        <v>0</v>
      </c>
      <c r="AC28" s="540">
        <v>0</v>
      </c>
      <c r="AD28" s="540">
        <v>4860</v>
      </c>
      <c r="AE28" s="540">
        <v>0</v>
      </c>
      <c r="AF28" s="540">
        <v>0</v>
      </c>
      <c r="AG28" s="540">
        <v>0</v>
      </c>
      <c r="AH28" s="540">
        <v>0</v>
      </c>
      <c r="AI28" s="540">
        <v>0</v>
      </c>
      <c r="AJ28" s="540">
        <v>0</v>
      </c>
      <c r="AK28" s="540">
        <v>0</v>
      </c>
    </row>
    <row r="29" spans="1:37" hidden="1">
      <c r="A29" s="539" t="s">
        <v>660</v>
      </c>
      <c r="B29" s="539" t="s">
        <v>877</v>
      </c>
      <c r="C29" s="538" t="s">
        <v>894</v>
      </c>
      <c r="D29" s="540">
        <v>17448</v>
      </c>
      <c r="E29" s="540">
        <v>0</v>
      </c>
      <c r="F29" s="540">
        <v>0</v>
      </c>
      <c r="G29" s="540">
        <v>0</v>
      </c>
      <c r="H29" s="540">
        <v>0</v>
      </c>
      <c r="I29" s="540">
        <v>0</v>
      </c>
      <c r="J29" s="540">
        <v>0</v>
      </c>
      <c r="K29" s="540">
        <v>0</v>
      </c>
      <c r="L29" s="540">
        <v>0</v>
      </c>
      <c r="M29" s="540">
        <v>0</v>
      </c>
      <c r="N29" s="540">
        <v>0</v>
      </c>
      <c r="O29" s="540">
        <v>0</v>
      </c>
      <c r="P29" s="540">
        <v>0</v>
      </c>
      <c r="Q29" s="540">
        <v>0</v>
      </c>
      <c r="R29" s="540">
        <v>0</v>
      </c>
      <c r="S29" s="540">
        <v>0</v>
      </c>
      <c r="T29" s="540">
        <v>0</v>
      </c>
      <c r="U29" s="540">
        <v>0</v>
      </c>
      <c r="V29" s="540">
        <v>0</v>
      </c>
      <c r="W29" s="540">
        <v>0</v>
      </c>
      <c r="X29" s="540">
        <v>0</v>
      </c>
      <c r="Y29" s="540">
        <v>0</v>
      </c>
      <c r="Z29" s="540">
        <v>0</v>
      </c>
      <c r="AA29" s="540">
        <v>0</v>
      </c>
      <c r="AB29" s="540">
        <v>0</v>
      </c>
      <c r="AC29" s="540">
        <v>10</v>
      </c>
      <c r="AD29" s="540">
        <v>17438</v>
      </c>
      <c r="AE29" s="540">
        <v>0</v>
      </c>
      <c r="AF29" s="540">
        <v>0</v>
      </c>
      <c r="AG29" s="540">
        <v>524</v>
      </c>
      <c r="AH29" s="540">
        <v>0</v>
      </c>
      <c r="AI29" s="540">
        <v>0</v>
      </c>
      <c r="AJ29" s="540">
        <v>0</v>
      </c>
      <c r="AK29" s="540">
        <v>0</v>
      </c>
    </row>
    <row r="30" spans="1:37">
      <c r="A30" s="539" t="s">
        <v>664</v>
      </c>
      <c r="B30" s="539" t="s">
        <v>668</v>
      </c>
      <c r="C30" s="538" t="s">
        <v>895</v>
      </c>
      <c r="D30" s="540">
        <v>0</v>
      </c>
      <c r="E30" s="540">
        <v>0</v>
      </c>
      <c r="F30" s="540">
        <v>0</v>
      </c>
      <c r="G30" s="540">
        <v>0</v>
      </c>
      <c r="H30" s="540">
        <v>0</v>
      </c>
      <c r="I30" s="540">
        <v>0</v>
      </c>
      <c r="J30" s="540">
        <v>0</v>
      </c>
      <c r="K30" s="540">
        <v>0</v>
      </c>
      <c r="L30" s="540">
        <v>0</v>
      </c>
      <c r="M30" s="540">
        <v>0</v>
      </c>
      <c r="N30" s="540">
        <v>0</v>
      </c>
      <c r="O30" s="540">
        <v>0</v>
      </c>
      <c r="P30" s="540">
        <v>0</v>
      </c>
      <c r="Q30" s="540">
        <v>0</v>
      </c>
      <c r="R30" s="540">
        <v>0</v>
      </c>
      <c r="S30" s="540">
        <v>0</v>
      </c>
      <c r="T30" s="540">
        <v>0</v>
      </c>
      <c r="U30" s="540">
        <v>0</v>
      </c>
      <c r="V30" s="540">
        <v>0</v>
      </c>
      <c r="W30" s="540">
        <v>0</v>
      </c>
      <c r="X30" s="540">
        <v>0</v>
      </c>
      <c r="Y30" s="540">
        <v>0</v>
      </c>
      <c r="Z30" s="540">
        <v>0</v>
      </c>
      <c r="AA30" s="540">
        <v>0</v>
      </c>
      <c r="AB30" s="540">
        <v>0</v>
      </c>
      <c r="AC30" s="540">
        <v>0</v>
      </c>
      <c r="AD30" s="540">
        <v>0</v>
      </c>
      <c r="AE30" s="540">
        <v>0</v>
      </c>
      <c r="AF30" s="540">
        <v>0</v>
      </c>
      <c r="AG30" s="540">
        <v>0</v>
      </c>
      <c r="AH30" s="540">
        <v>0</v>
      </c>
      <c r="AI30" s="540">
        <v>0</v>
      </c>
      <c r="AJ30" s="540">
        <v>0</v>
      </c>
      <c r="AK30" s="540">
        <v>0</v>
      </c>
    </row>
    <row r="31" spans="1:37" hidden="1">
      <c r="A31" s="539" t="s">
        <v>664</v>
      </c>
      <c r="B31" s="539" t="s">
        <v>877</v>
      </c>
      <c r="C31" s="538" t="s">
        <v>896</v>
      </c>
      <c r="D31" s="540">
        <v>78</v>
      </c>
      <c r="E31" s="540">
        <v>0</v>
      </c>
      <c r="F31" s="540">
        <v>0</v>
      </c>
      <c r="G31" s="540">
        <v>0</v>
      </c>
      <c r="H31" s="540">
        <v>72</v>
      </c>
      <c r="I31" s="540">
        <v>0</v>
      </c>
      <c r="J31" s="540">
        <v>0</v>
      </c>
      <c r="K31" s="540">
        <v>0</v>
      </c>
      <c r="L31" s="540">
        <v>0</v>
      </c>
      <c r="M31" s="540">
        <v>0</v>
      </c>
      <c r="N31" s="540">
        <v>0</v>
      </c>
      <c r="O31" s="540">
        <v>0</v>
      </c>
      <c r="P31" s="540">
        <v>0</v>
      </c>
      <c r="Q31" s="540">
        <v>0</v>
      </c>
      <c r="R31" s="540">
        <v>0</v>
      </c>
      <c r="S31" s="540">
        <v>0</v>
      </c>
      <c r="T31" s="540">
        <v>0</v>
      </c>
      <c r="U31" s="540">
        <v>0</v>
      </c>
      <c r="V31" s="540">
        <v>0</v>
      </c>
      <c r="W31" s="540">
        <v>0</v>
      </c>
      <c r="X31" s="540">
        <v>0</v>
      </c>
      <c r="Y31" s="540">
        <v>0</v>
      </c>
      <c r="Z31" s="540">
        <v>0</v>
      </c>
      <c r="AA31" s="540">
        <v>0</v>
      </c>
      <c r="AB31" s="540">
        <v>6</v>
      </c>
      <c r="AC31" s="540">
        <v>0</v>
      </c>
      <c r="AD31" s="540">
        <v>0</v>
      </c>
      <c r="AE31" s="540">
        <v>0</v>
      </c>
      <c r="AF31" s="540">
        <v>0</v>
      </c>
      <c r="AG31" s="540">
        <v>5</v>
      </c>
      <c r="AH31" s="540">
        <v>47</v>
      </c>
      <c r="AI31" s="540">
        <v>0</v>
      </c>
      <c r="AJ31" s="540">
        <v>0</v>
      </c>
      <c r="AK31" s="540">
        <v>0</v>
      </c>
    </row>
    <row r="32" spans="1:37">
      <c r="A32" s="539" t="s">
        <v>660</v>
      </c>
      <c r="B32" s="539" t="s">
        <v>668</v>
      </c>
      <c r="C32" s="538" t="s">
        <v>897</v>
      </c>
      <c r="D32" s="540">
        <v>442</v>
      </c>
      <c r="E32" s="540">
        <v>0</v>
      </c>
      <c r="F32" s="540">
        <v>0</v>
      </c>
      <c r="G32" s="540">
        <v>0</v>
      </c>
      <c r="H32" s="540">
        <v>0</v>
      </c>
      <c r="I32" s="540">
        <v>0</v>
      </c>
      <c r="J32" s="540">
        <v>0</v>
      </c>
      <c r="K32" s="540">
        <v>0</v>
      </c>
      <c r="L32" s="540">
        <v>0</v>
      </c>
      <c r="M32" s="540">
        <v>0</v>
      </c>
      <c r="N32" s="540">
        <v>0</v>
      </c>
      <c r="O32" s="540">
        <v>0</v>
      </c>
      <c r="P32" s="540">
        <v>0</v>
      </c>
      <c r="Q32" s="540">
        <v>0</v>
      </c>
      <c r="R32" s="540">
        <v>0</v>
      </c>
      <c r="S32" s="540">
        <v>0</v>
      </c>
      <c r="T32" s="540">
        <v>0</v>
      </c>
      <c r="U32" s="540">
        <v>0</v>
      </c>
      <c r="V32" s="540">
        <v>0</v>
      </c>
      <c r="W32" s="540">
        <v>0</v>
      </c>
      <c r="X32" s="540">
        <v>0</v>
      </c>
      <c r="Y32" s="540">
        <v>0</v>
      </c>
      <c r="Z32" s="540">
        <v>0</v>
      </c>
      <c r="AA32" s="540">
        <v>0</v>
      </c>
      <c r="AB32" s="540">
        <v>0</v>
      </c>
      <c r="AC32" s="540">
        <v>0</v>
      </c>
      <c r="AD32" s="540">
        <v>442</v>
      </c>
      <c r="AE32" s="540">
        <v>0</v>
      </c>
      <c r="AF32" s="540">
        <v>0</v>
      </c>
      <c r="AG32" s="540">
        <v>0</v>
      </c>
      <c r="AH32" s="540">
        <v>0</v>
      </c>
      <c r="AI32" s="540">
        <v>0</v>
      </c>
      <c r="AJ32" s="540">
        <v>0</v>
      </c>
      <c r="AK32" s="540">
        <v>0</v>
      </c>
    </row>
    <row r="33" spans="1:37" hidden="1">
      <c r="A33" s="539" t="s">
        <v>660</v>
      </c>
      <c r="B33" s="539" t="s">
        <v>877</v>
      </c>
      <c r="C33" s="538" t="s">
        <v>898</v>
      </c>
      <c r="D33" s="540">
        <v>823</v>
      </c>
      <c r="E33" s="540">
        <v>0</v>
      </c>
      <c r="F33" s="540">
        <v>0</v>
      </c>
      <c r="G33" s="540">
        <v>0</v>
      </c>
      <c r="H33" s="540">
        <v>0</v>
      </c>
      <c r="I33" s="540">
        <v>0</v>
      </c>
      <c r="J33" s="540">
        <v>0</v>
      </c>
      <c r="K33" s="540">
        <v>0</v>
      </c>
      <c r="L33" s="540">
        <v>0</v>
      </c>
      <c r="M33" s="540">
        <v>0</v>
      </c>
      <c r="N33" s="540">
        <v>0</v>
      </c>
      <c r="O33" s="540">
        <v>0</v>
      </c>
      <c r="P33" s="540">
        <v>0</v>
      </c>
      <c r="Q33" s="540">
        <v>0</v>
      </c>
      <c r="R33" s="540">
        <v>39</v>
      </c>
      <c r="S33" s="540">
        <v>0</v>
      </c>
      <c r="T33" s="540">
        <v>0</v>
      </c>
      <c r="U33" s="540">
        <v>0</v>
      </c>
      <c r="V33" s="540">
        <v>0</v>
      </c>
      <c r="W33" s="540">
        <v>0</v>
      </c>
      <c r="X33" s="540">
        <v>0</v>
      </c>
      <c r="Y33" s="540">
        <v>0</v>
      </c>
      <c r="Z33" s="540">
        <v>0</v>
      </c>
      <c r="AA33" s="540">
        <v>0</v>
      </c>
      <c r="AB33" s="540">
        <v>0</v>
      </c>
      <c r="AC33" s="540">
        <v>64</v>
      </c>
      <c r="AD33" s="540">
        <v>720</v>
      </c>
      <c r="AE33" s="540">
        <v>0</v>
      </c>
      <c r="AF33" s="540">
        <v>567</v>
      </c>
      <c r="AG33" s="540">
        <v>2260</v>
      </c>
      <c r="AH33" s="540">
        <v>0</v>
      </c>
      <c r="AI33" s="540">
        <v>0</v>
      </c>
      <c r="AJ33" s="540">
        <v>0</v>
      </c>
      <c r="AK33" s="540">
        <v>0</v>
      </c>
    </row>
    <row r="34" spans="1:37">
      <c r="A34" s="539" t="s">
        <v>664</v>
      </c>
      <c r="B34" s="539" t="s">
        <v>668</v>
      </c>
      <c r="C34" s="538" t="s">
        <v>899</v>
      </c>
      <c r="D34" s="540">
        <v>0</v>
      </c>
      <c r="E34" s="540">
        <v>0</v>
      </c>
      <c r="F34" s="540">
        <v>0</v>
      </c>
      <c r="G34" s="540">
        <v>0</v>
      </c>
      <c r="H34" s="540">
        <v>0</v>
      </c>
      <c r="I34" s="540">
        <v>0</v>
      </c>
      <c r="J34" s="540">
        <v>0</v>
      </c>
      <c r="K34" s="540">
        <v>0</v>
      </c>
      <c r="L34" s="540">
        <v>0</v>
      </c>
      <c r="M34" s="540">
        <v>0</v>
      </c>
      <c r="N34" s="540">
        <v>0</v>
      </c>
      <c r="O34" s="540">
        <v>0</v>
      </c>
      <c r="P34" s="540">
        <v>0</v>
      </c>
      <c r="Q34" s="540">
        <v>0</v>
      </c>
      <c r="R34" s="540">
        <v>0</v>
      </c>
      <c r="S34" s="540">
        <v>0</v>
      </c>
      <c r="T34" s="540">
        <v>0</v>
      </c>
      <c r="U34" s="540">
        <v>0</v>
      </c>
      <c r="V34" s="540">
        <v>0</v>
      </c>
      <c r="W34" s="540">
        <v>0</v>
      </c>
      <c r="X34" s="540">
        <v>0</v>
      </c>
      <c r="Y34" s="540">
        <v>0</v>
      </c>
      <c r="Z34" s="540">
        <v>0</v>
      </c>
      <c r="AA34" s="540">
        <v>0</v>
      </c>
      <c r="AB34" s="540">
        <v>0</v>
      </c>
      <c r="AC34" s="540">
        <v>0</v>
      </c>
      <c r="AD34" s="540">
        <v>0</v>
      </c>
      <c r="AE34" s="540">
        <v>0</v>
      </c>
      <c r="AF34" s="540">
        <v>0</v>
      </c>
      <c r="AG34" s="540">
        <v>0</v>
      </c>
      <c r="AH34" s="540">
        <v>0</v>
      </c>
      <c r="AI34" s="540">
        <v>0</v>
      </c>
      <c r="AJ34" s="540">
        <v>0</v>
      </c>
      <c r="AK34" s="540">
        <v>0</v>
      </c>
    </row>
    <row r="35" spans="1:37" hidden="1">
      <c r="A35" s="539" t="s">
        <v>664</v>
      </c>
      <c r="B35" s="539" t="s">
        <v>877</v>
      </c>
      <c r="C35" s="538" t="s">
        <v>900</v>
      </c>
      <c r="D35" s="540">
        <v>4</v>
      </c>
      <c r="E35" s="540">
        <v>0</v>
      </c>
      <c r="F35" s="540">
        <v>0</v>
      </c>
      <c r="G35" s="540">
        <v>0</v>
      </c>
      <c r="H35" s="540">
        <v>0</v>
      </c>
      <c r="I35" s="540">
        <v>0</v>
      </c>
      <c r="J35" s="540">
        <v>0</v>
      </c>
      <c r="K35" s="540">
        <v>0</v>
      </c>
      <c r="L35" s="540">
        <v>0</v>
      </c>
      <c r="M35" s="540">
        <v>0</v>
      </c>
      <c r="N35" s="540">
        <v>0</v>
      </c>
      <c r="O35" s="540">
        <v>0</v>
      </c>
      <c r="P35" s="540">
        <v>0</v>
      </c>
      <c r="Q35" s="540">
        <v>0</v>
      </c>
      <c r="R35" s="540">
        <v>2</v>
      </c>
      <c r="S35" s="540">
        <v>0</v>
      </c>
      <c r="T35" s="540">
        <v>0</v>
      </c>
      <c r="U35" s="540">
        <v>0</v>
      </c>
      <c r="V35" s="540">
        <v>0</v>
      </c>
      <c r="W35" s="540">
        <v>0</v>
      </c>
      <c r="X35" s="540">
        <v>0</v>
      </c>
      <c r="Y35" s="540">
        <v>0</v>
      </c>
      <c r="Z35" s="540">
        <v>0</v>
      </c>
      <c r="AA35" s="540">
        <v>0</v>
      </c>
      <c r="AB35" s="540">
        <v>2</v>
      </c>
      <c r="AC35" s="540">
        <v>0</v>
      </c>
      <c r="AD35" s="540">
        <v>0</v>
      </c>
      <c r="AE35" s="540">
        <v>0</v>
      </c>
      <c r="AF35" s="540">
        <v>0</v>
      </c>
      <c r="AG35" s="540">
        <v>3</v>
      </c>
      <c r="AH35" s="540">
        <v>0</v>
      </c>
      <c r="AI35" s="540">
        <v>0</v>
      </c>
      <c r="AJ35" s="540">
        <v>0</v>
      </c>
      <c r="AK35" s="540">
        <v>0</v>
      </c>
    </row>
    <row r="36" spans="1:37">
      <c r="A36" s="539" t="s">
        <v>664</v>
      </c>
      <c r="B36" s="539" t="s">
        <v>668</v>
      </c>
      <c r="C36" s="538" t="s">
        <v>901</v>
      </c>
      <c r="D36" s="540">
        <v>8048</v>
      </c>
      <c r="E36" s="540">
        <v>2902</v>
      </c>
      <c r="F36" s="540">
        <v>0</v>
      </c>
      <c r="G36" s="540">
        <v>0</v>
      </c>
      <c r="H36" s="540">
        <v>0</v>
      </c>
      <c r="I36" s="540">
        <v>0</v>
      </c>
      <c r="J36" s="540">
        <v>0</v>
      </c>
      <c r="K36" s="540">
        <v>0</v>
      </c>
      <c r="L36" s="540">
        <v>0</v>
      </c>
      <c r="M36" s="540">
        <v>0</v>
      </c>
      <c r="N36" s="540">
        <v>0</v>
      </c>
      <c r="O36" s="540">
        <v>0</v>
      </c>
      <c r="P36" s="540">
        <v>0</v>
      </c>
      <c r="Q36" s="540">
        <v>0</v>
      </c>
      <c r="R36" s="540">
        <v>4638</v>
      </c>
      <c r="S36" s="540">
        <v>0</v>
      </c>
      <c r="T36" s="540">
        <v>0</v>
      </c>
      <c r="U36" s="540">
        <v>0</v>
      </c>
      <c r="V36" s="540">
        <v>0</v>
      </c>
      <c r="W36" s="540">
        <v>0</v>
      </c>
      <c r="X36" s="540">
        <v>0</v>
      </c>
      <c r="Y36" s="540">
        <v>0</v>
      </c>
      <c r="Z36" s="540">
        <v>0</v>
      </c>
      <c r="AA36" s="540">
        <v>0</v>
      </c>
      <c r="AB36" s="540">
        <v>0</v>
      </c>
      <c r="AC36" s="540">
        <v>508</v>
      </c>
      <c r="AD36" s="540">
        <v>0</v>
      </c>
      <c r="AE36" s="540">
        <v>0</v>
      </c>
      <c r="AF36" s="540">
        <v>0</v>
      </c>
      <c r="AG36" s="540">
        <v>0</v>
      </c>
      <c r="AH36" s="540">
        <v>0</v>
      </c>
      <c r="AI36" s="540">
        <v>0</v>
      </c>
      <c r="AJ36" s="540">
        <v>0</v>
      </c>
      <c r="AK36" s="540">
        <v>0</v>
      </c>
    </row>
    <row r="37" spans="1:37" hidden="1">
      <c r="A37" s="539" t="s">
        <v>664</v>
      </c>
      <c r="B37" s="539" t="s">
        <v>877</v>
      </c>
      <c r="C37" s="538" t="s">
        <v>902</v>
      </c>
      <c r="D37" s="540">
        <v>5585</v>
      </c>
      <c r="E37" s="540">
        <v>0</v>
      </c>
      <c r="F37" s="540">
        <v>0</v>
      </c>
      <c r="G37" s="540">
        <v>20</v>
      </c>
      <c r="H37" s="540">
        <v>0</v>
      </c>
      <c r="I37" s="540">
        <v>0</v>
      </c>
      <c r="J37" s="540">
        <v>0</v>
      </c>
      <c r="K37" s="540">
        <v>0</v>
      </c>
      <c r="L37" s="540">
        <v>0</v>
      </c>
      <c r="M37" s="540">
        <v>0</v>
      </c>
      <c r="N37" s="540">
        <v>0</v>
      </c>
      <c r="O37" s="540">
        <v>0</v>
      </c>
      <c r="P37" s="540">
        <v>0</v>
      </c>
      <c r="Q37" s="540">
        <v>0</v>
      </c>
      <c r="R37" s="540">
        <v>2359</v>
      </c>
      <c r="S37" s="540">
        <v>0</v>
      </c>
      <c r="T37" s="540">
        <v>0</v>
      </c>
      <c r="U37" s="540">
        <v>0</v>
      </c>
      <c r="V37" s="540">
        <v>0</v>
      </c>
      <c r="W37" s="540">
        <v>33</v>
      </c>
      <c r="X37" s="540">
        <v>0</v>
      </c>
      <c r="Y37" s="540">
        <v>0</v>
      </c>
      <c r="Z37" s="540">
        <v>0</v>
      </c>
      <c r="AA37" s="540">
        <v>0</v>
      </c>
      <c r="AB37" s="540">
        <v>0</v>
      </c>
      <c r="AC37" s="540">
        <v>3173</v>
      </c>
      <c r="AD37" s="540">
        <v>0</v>
      </c>
      <c r="AE37" s="540">
        <v>0</v>
      </c>
      <c r="AF37" s="540">
        <v>0</v>
      </c>
      <c r="AG37" s="540">
        <v>1048</v>
      </c>
      <c r="AH37" s="540">
        <v>0</v>
      </c>
      <c r="AI37" s="540">
        <v>0</v>
      </c>
      <c r="AJ37" s="540">
        <v>0</v>
      </c>
      <c r="AK37" s="540">
        <v>0</v>
      </c>
    </row>
    <row r="38" spans="1:37">
      <c r="A38" s="539" t="s">
        <v>660</v>
      </c>
      <c r="B38" s="539" t="s">
        <v>668</v>
      </c>
      <c r="C38" s="538" t="s">
        <v>903</v>
      </c>
      <c r="D38" s="540">
        <v>292</v>
      </c>
      <c r="E38" s="540">
        <v>0</v>
      </c>
      <c r="F38" s="540">
        <v>0</v>
      </c>
      <c r="G38" s="540">
        <v>292</v>
      </c>
      <c r="H38" s="540">
        <v>0</v>
      </c>
      <c r="I38" s="540">
        <v>0</v>
      </c>
      <c r="J38" s="540">
        <v>0</v>
      </c>
      <c r="K38" s="540">
        <v>0</v>
      </c>
      <c r="L38" s="540">
        <v>0</v>
      </c>
      <c r="M38" s="540">
        <v>0</v>
      </c>
      <c r="N38" s="540">
        <v>0</v>
      </c>
      <c r="O38" s="540">
        <v>0</v>
      </c>
      <c r="P38" s="540">
        <v>0</v>
      </c>
      <c r="Q38" s="540">
        <v>0</v>
      </c>
      <c r="R38" s="540">
        <v>0</v>
      </c>
      <c r="S38" s="540">
        <v>0</v>
      </c>
      <c r="T38" s="540">
        <v>0</v>
      </c>
      <c r="U38" s="540">
        <v>0</v>
      </c>
      <c r="V38" s="540">
        <v>0</v>
      </c>
      <c r="W38" s="540">
        <v>0</v>
      </c>
      <c r="X38" s="540">
        <v>0</v>
      </c>
      <c r="Y38" s="540">
        <v>0</v>
      </c>
      <c r="Z38" s="540">
        <v>0</v>
      </c>
      <c r="AA38" s="540">
        <v>0</v>
      </c>
      <c r="AB38" s="540">
        <v>0</v>
      </c>
      <c r="AC38" s="540">
        <v>0</v>
      </c>
      <c r="AD38" s="540">
        <v>0</v>
      </c>
      <c r="AE38" s="540">
        <v>0</v>
      </c>
      <c r="AF38" s="540">
        <v>0</v>
      </c>
      <c r="AG38" s="540">
        <v>0</v>
      </c>
      <c r="AH38" s="540">
        <v>0</v>
      </c>
      <c r="AI38" s="540">
        <v>0</v>
      </c>
      <c r="AJ38" s="540">
        <v>0</v>
      </c>
      <c r="AK38" s="540">
        <v>0</v>
      </c>
    </row>
    <row r="39" spans="1:37" hidden="1">
      <c r="A39" s="539" t="s">
        <v>660</v>
      </c>
      <c r="B39" s="539" t="s">
        <v>877</v>
      </c>
      <c r="C39" s="538" t="s">
        <v>904</v>
      </c>
      <c r="D39" s="540">
        <v>211</v>
      </c>
      <c r="E39" s="540">
        <v>0</v>
      </c>
      <c r="F39" s="540">
        <v>0</v>
      </c>
      <c r="G39" s="540">
        <v>0</v>
      </c>
      <c r="H39" s="540">
        <v>211</v>
      </c>
      <c r="I39" s="540">
        <v>0</v>
      </c>
      <c r="J39" s="540">
        <v>0</v>
      </c>
      <c r="K39" s="540">
        <v>0</v>
      </c>
      <c r="L39" s="540">
        <v>0</v>
      </c>
      <c r="M39" s="540">
        <v>0</v>
      </c>
      <c r="N39" s="540">
        <v>0</v>
      </c>
      <c r="O39" s="540">
        <v>0</v>
      </c>
      <c r="P39" s="540">
        <v>0</v>
      </c>
      <c r="Q39" s="540">
        <v>0</v>
      </c>
      <c r="R39" s="540">
        <v>0</v>
      </c>
      <c r="S39" s="540">
        <v>0</v>
      </c>
      <c r="T39" s="540">
        <v>0</v>
      </c>
      <c r="U39" s="540">
        <v>0</v>
      </c>
      <c r="V39" s="540">
        <v>0</v>
      </c>
      <c r="W39" s="540">
        <v>0</v>
      </c>
      <c r="X39" s="540">
        <v>0</v>
      </c>
      <c r="Y39" s="540">
        <v>0</v>
      </c>
      <c r="Z39" s="540">
        <v>0</v>
      </c>
      <c r="AA39" s="540">
        <v>0</v>
      </c>
      <c r="AB39" s="540">
        <v>0</v>
      </c>
      <c r="AC39" s="540">
        <v>0</v>
      </c>
      <c r="AD39" s="540">
        <v>0</v>
      </c>
      <c r="AE39" s="540">
        <v>0</v>
      </c>
      <c r="AF39" s="540">
        <v>0</v>
      </c>
      <c r="AG39" s="540">
        <v>0</v>
      </c>
      <c r="AH39" s="540">
        <v>0</v>
      </c>
      <c r="AI39" s="540">
        <v>0</v>
      </c>
      <c r="AJ39" s="540">
        <v>0</v>
      </c>
      <c r="AK39" s="540">
        <v>0</v>
      </c>
    </row>
    <row r="40" spans="1:37">
      <c r="A40" s="539" t="s">
        <v>664</v>
      </c>
      <c r="B40" s="539" t="s">
        <v>668</v>
      </c>
      <c r="C40" s="538" t="s">
        <v>905</v>
      </c>
      <c r="D40" s="540">
        <v>0</v>
      </c>
      <c r="E40" s="540">
        <v>0</v>
      </c>
      <c r="F40" s="540">
        <v>0</v>
      </c>
      <c r="G40" s="540">
        <v>0</v>
      </c>
      <c r="H40" s="540">
        <v>0</v>
      </c>
      <c r="I40" s="540">
        <v>0</v>
      </c>
      <c r="J40" s="540">
        <v>0</v>
      </c>
      <c r="K40" s="540">
        <v>0</v>
      </c>
      <c r="L40" s="540">
        <v>0</v>
      </c>
      <c r="M40" s="540">
        <v>0</v>
      </c>
      <c r="N40" s="540">
        <v>0</v>
      </c>
      <c r="O40" s="540">
        <v>0</v>
      </c>
      <c r="P40" s="540">
        <v>0</v>
      </c>
      <c r="Q40" s="540">
        <v>0</v>
      </c>
      <c r="R40" s="540">
        <v>0</v>
      </c>
      <c r="S40" s="540">
        <v>0</v>
      </c>
      <c r="T40" s="540">
        <v>0</v>
      </c>
      <c r="U40" s="540">
        <v>0</v>
      </c>
      <c r="V40" s="540">
        <v>0</v>
      </c>
      <c r="W40" s="540">
        <v>0</v>
      </c>
      <c r="X40" s="540">
        <v>0</v>
      </c>
      <c r="Y40" s="540">
        <v>0</v>
      </c>
      <c r="Z40" s="540">
        <v>0</v>
      </c>
      <c r="AA40" s="540">
        <v>0</v>
      </c>
      <c r="AB40" s="540">
        <v>0</v>
      </c>
      <c r="AC40" s="540">
        <v>0</v>
      </c>
      <c r="AD40" s="540">
        <v>0</v>
      </c>
      <c r="AE40" s="540">
        <v>0</v>
      </c>
      <c r="AF40" s="540">
        <v>0</v>
      </c>
      <c r="AG40" s="540">
        <v>0</v>
      </c>
      <c r="AH40" s="540">
        <v>0</v>
      </c>
      <c r="AI40" s="540">
        <v>0</v>
      </c>
      <c r="AJ40" s="540">
        <v>0</v>
      </c>
      <c r="AK40" s="540">
        <v>0</v>
      </c>
    </row>
    <row r="41" spans="1:37" hidden="1">
      <c r="A41" s="539" t="s">
        <v>664</v>
      </c>
      <c r="B41" s="539" t="s">
        <v>877</v>
      </c>
      <c r="C41" s="538" t="s">
        <v>906</v>
      </c>
      <c r="D41" s="540">
        <v>3139</v>
      </c>
      <c r="E41" s="540">
        <v>0</v>
      </c>
      <c r="F41" s="540">
        <v>0</v>
      </c>
      <c r="G41" s="540">
        <v>0</v>
      </c>
      <c r="H41" s="540">
        <v>2899</v>
      </c>
      <c r="I41" s="540">
        <v>0</v>
      </c>
      <c r="J41" s="540">
        <v>0</v>
      </c>
      <c r="K41" s="540">
        <v>0</v>
      </c>
      <c r="L41" s="540">
        <v>0</v>
      </c>
      <c r="M41" s="540">
        <v>0</v>
      </c>
      <c r="N41" s="540">
        <v>0</v>
      </c>
      <c r="O41" s="540">
        <v>0</v>
      </c>
      <c r="P41" s="540">
        <v>0</v>
      </c>
      <c r="Q41" s="540">
        <v>0</v>
      </c>
      <c r="R41" s="540">
        <v>0</v>
      </c>
      <c r="S41" s="540">
        <v>0</v>
      </c>
      <c r="T41" s="540">
        <v>0</v>
      </c>
      <c r="U41" s="540">
        <v>0</v>
      </c>
      <c r="V41" s="540">
        <v>0</v>
      </c>
      <c r="W41" s="540">
        <v>0</v>
      </c>
      <c r="X41" s="540">
        <v>0</v>
      </c>
      <c r="Y41" s="540">
        <v>0</v>
      </c>
      <c r="Z41" s="540">
        <v>0</v>
      </c>
      <c r="AA41" s="540">
        <v>0</v>
      </c>
      <c r="AB41" s="540">
        <v>48</v>
      </c>
      <c r="AC41" s="540">
        <v>192</v>
      </c>
      <c r="AD41" s="540">
        <v>0</v>
      </c>
      <c r="AE41" s="540">
        <v>0</v>
      </c>
      <c r="AF41" s="540">
        <v>0</v>
      </c>
      <c r="AG41" s="540">
        <v>545</v>
      </c>
      <c r="AH41" s="540">
        <v>0</v>
      </c>
      <c r="AI41" s="540">
        <v>0</v>
      </c>
      <c r="AJ41" s="540">
        <v>0</v>
      </c>
      <c r="AK41" s="540">
        <v>0</v>
      </c>
    </row>
    <row r="42" spans="1:37">
      <c r="A42" s="539" t="s">
        <v>695</v>
      </c>
      <c r="B42" s="539" t="s">
        <v>695</v>
      </c>
      <c r="C42" s="538" t="s">
        <v>870</v>
      </c>
      <c r="D42" s="540">
        <v>2869115</v>
      </c>
      <c r="E42" s="540">
        <v>22366</v>
      </c>
      <c r="F42" s="540">
        <v>47528</v>
      </c>
      <c r="G42" s="540">
        <v>139236</v>
      </c>
      <c r="H42" s="540">
        <v>127422</v>
      </c>
      <c r="I42" s="540">
        <v>814755</v>
      </c>
      <c r="J42" s="540">
        <v>26777</v>
      </c>
      <c r="K42" s="540">
        <v>0</v>
      </c>
      <c r="L42" s="540">
        <v>2049</v>
      </c>
      <c r="M42" s="540">
        <v>0</v>
      </c>
      <c r="N42" s="540">
        <v>174304</v>
      </c>
      <c r="O42" s="540">
        <v>193064</v>
      </c>
      <c r="P42" s="540">
        <v>0</v>
      </c>
      <c r="Q42" s="540">
        <v>30291</v>
      </c>
      <c r="R42" s="540">
        <v>48685</v>
      </c>
      <c r="S42" s="540">
        <v>926</v>
      </c>
      <c r="T42" s="540">
        <v>63597</v>
      </c>
      <c r="U42" s="540">
        <v>0</v>
      </c>
      <c r="V42" s="540">
        <v>170863</v>
      </c>
      <c r="W42" s="540">
        <v>61603</v>
      </c>
      <c r="X42" s="540">
        <v>334243</v>
      </c>
      <c r="Y42" s="540">
        <v>13712</v>
      </c>
      <c r="Z42" s="540">
        <v>121781</v>
      </c>
      <c r="AA42" s="540">
        <v>9931</v>
      </c>
      <c r="AB42" s="540">
        <v>48842</v>
      </c>
      <c r="AC42" s="540">
        <v>178890</v>
      </c>
      <c r="AD42" s="540">
        <v>181066</v>
      </c>
      <c r="AE42" s="540">
        <v>57184</v>
      </c>
      <c r="AF42" s="540">
        <v>9293</v>
      </c>
      <c r="AG42" s="540">
        <v>12302</v>
      </c>
      <c r="AH42" s="540">
        <v>16667</v>
      </c>
      <c r="AI42" s="540">
        <v>12454</v>
      </c>
      <c r="AJ42" s="540">
        <v>5982</v>
      </c>
      <c r="AK42" s="540">
        <v>35597</v>
      </c>
    </row>
    <row r="43" spans="1:37">
      <c r="A43" s="539" t="s">
        <v>695</v>
      </c>
      <c r="B43" s="539" t="s">
        <v>695</v>
      </c>
      <c r="C43" s="538" t="s">
        <v>841</v>
      </c>
      <c r="D43" s="540">
        <v>2181678</v>
      </c>
      <c r="E43" s="540">
        <v>22074</v>
      </c>
      <c r="F43" s="540">
        <v>38422</v>
      </c>
      <c r="G43" s="540">
        <v>105961</v>
      </c>
      <c r="H43" s="540">
        <v>105847</v>
      </c>
      <c r="I43" s="540">
        <v>648582</v>
      </c>
      <c r="J43" s="540">
        <v>9522</v>
      </c>
      <c r="K43" s="540">
        <v>0</v>
      </c>
      <c r="L43" s="540">
        <v>2049</v>
      </c>
      <c r="M43" s="540">
        <v>0</v>
      </c>
      <c r="N43" s="540">
        <v>168770</v>
      </c>
      <c r="O43" s="540">
        <v>193064</v>
      </c>
      <c r="P43" s="540">
        <v>0</v>
      </c>
      <c r="Q43" s="540">
        <v>14677</v>
      </c>
      <c r="R43" s="540">
        <v>27782</v>
      </c>
      <c r="S43" s="540">
        <v>853</v>
      </c>
      <c r="T43" s="540">
        <v>41010</v>
      </c>
      <c r="U43" s="540">
        <v>0</v>
      </c>
      <c r="V43" s="540">
        <v>155189</v>
      </c>
      <c r="W43" s="540">
        <v>41595</v>
      </c>
      <c r="X43" s="540">
        <v>219975</v>
      </c>
      <c r="Y43" s="540">
        <v>13712</v>
      </c>
      <c r="Z43" s="540">
        <v>100098</v>
      </c>
      <c r="AA43" s="540">
        <v>7104</v>
      </c>
      <c r="AB43" s="540">
        <v>23918</v>
      </c>
      <c r="AC43" s="540">
        <v>128888</v>
      </c>
      <c r="AD43" s="540">
        <v>112586</v>
      </c>
      <c r="AE43" s="540">
        <v>0</v>
      </c>
      <c r="AF43" s="540">
        <v>8071</v>
      </c>
      <c r="AG43" s="540">
        <v>3484</v>
      </c>
      <c r="AH43" s="540">
        <v>10848</v>
      </c>
      <c r="AI43" s="540">
        <v>9847</v>
      </c>
      <c r="AJ43" s="540">
        <v>553</v>
      </c>
      <c r="AK43" s="540">
        <v>35597</v>
      </c>
    </row>
    <row r="44" spans="1:37">
      <c r="A44" s="539" t="s">
        <v>695</v>
      </c>
      <c r="B44" s="539" t="s">
        <v>695</v>
      </c>
      <c r="C44" s="538" t="s">
        <v>907</v>
      </c>
      <c r="D44" s="540">
        <v>704834</v>
      </c>
      <c r="E44" s="540">
        <v>292</v>
      </c>
      <c r="F44" s="540">
        <v>13087</v>
      </c>
      <c r="G44" s="540">
        <v>32179</v>
      </c>
      <c r="H44" s="540">
        <v>22609</v>
      </c>
      <c r="I44" s="540">
        <v>166173</v>
      </c>
      <c r="J44" s="540">
        <v>17255</v>
      </c>
      <c r="K44" s="540">
        <v>0</v>
      </c>
      <c r="L44" s="540">
        <v>0</v>
      </c>
      <c r="M44" s="540">
        <v>0</v>
      </c>
      <c r="N44" s="540">
        <v>5534</v>
      </c>
      <c r="O44" s="540">
        <v>0</v>
      </c>
      <c r="P44" s="540">
        <v>0</v>
      </c>
      <c r="Q44" s="540">
        <v>16467</v>
      </c>
      <c r="R44" s="540">
        <v>20188</v>
      </c>
      <c r="S44" s="540">
        <v>73</v>
      </c>
      <c r="T44" s="540">
        <v>21918</v>
      </c>
      <c r="U44" s="540">
        <v>0</v>
      </c>
      <c r="V44" s="540">
        <v>15674</v>
      </c>
      <c r="W44" s="540">
        <v>20008</v>
      </c>
      <c r="X44" s="540">
        <v>120741</v>
      </c>
      <c r="Y44" s="540">
        <v>0</v>
      </c>
      <c r="Z44" s="540">
        <v>27576</v>
      </c>
      <c r="AA44" s="540">
        <v>3000</v>
      </c>
      <c r="AB44" s="540">
        <v>26394</v>
      </c>
      <c r="AC44" s="540">
        <v>50002</v>
      </c>
      <c r="AD44" s="540">
        <v>68480</v>
      </c>
      <c r="AE44" s="540">
        <v>57184</v>
      </c>
      <c r="AF44" s="540">
        <v>1222</v>
      </c>
      <c r="AG44" s="540">
        <v>9243</v>
      </c>
      <c r="AH44" s="540">
        <v>4719</v>
      </c>
      <c r="AI44" s="540">
        <v>3478</v>
      </c>
      <c r="AJ44" s="540">
        <v>5530</v>
      </c>
      <c r="AK44" s="540">
        <v>0</v>
      </c>
    </row>
    <row r="45" spans="1:37">
      <c r="A45" s="539" t="s">
        <v>695</v>
      </c>
      <c r="B45" s="539" t="s">
        <v>695</v>
      </c>
      <c r="C45" s="538" t="s">
        <v>655</v>
      </c>
      <c r="D45" s="540">
        <v>1505173</v>
      </c>
      <c r="E45" s="540">
        <v>19172</v>
      </c>
      <c r="F45" s="540">
        <v>37854</v>
      </c>
      <c r="G45" s="540">
        <v>89991</v>
      </c>
      <c r="H45" s="540">
        <v>90962</v>
      </c>
      <c r="I45" s="540">
        <v>360677</v>
      </c>
      <c r="J45" s="540">
        <v>9282</v>
      </c>
      <c r="K45" s="540">
        <v>0</v>
      </c>
      <c r="L45" s="540">
        <v>2049</v>
      </c>
      <c r="M45" s="540">
        <v>0</v>
      </c>
      <c r="N45" s="540">
        <v>59635</v>
      </c>
      <c r="O45" s="540">
        <v>72641</v>
      </c>
      <c r="P45" s="540">
        <v>0</v>
      </c>
      <c r="Q45" s="540">
        <v>14238</v>
      </c>
      <c r="R45" s="540">
        <v>22812</v>
      </c>
      <c r="S45" s="540">
        <v>853</v>
      </c>
      <c r="T45" s="540">
        <v>40709</v>
      </c>
      <c r="U45" s="540">
        <v>0</v>
      </c>
      <c r="V45" s="540">
        <v>132026</v>
      </c>
      <c r="W45" s="540">
        <v>37566</v>
      </c>
      <c r="X45" s="540">
        <v>184223</v>
      </c>
      <c r="Y45" s="540">
        <v>3835</v>
      </c>
      <c r="Z45" s="540">
        <v>94463</v>
      </c>
      <c r="AA45" s="540">
        <v>6947</v>
      </c>
      <c r="AB45" s="540">
        <v>21780</v>
      </c>
      <c r="AC45" s="540">
        <v>117450</v>
      </c>
      <c r="AD45" s="540">
        <v>86008</v>
      </c>
      <c r="AE45" s="540">
        <v>0</v>
      </c>
      <c r="AF45" s="540">
        <v>8071</v>
      </c>
      <c r="AG45" s="540">
        <v>3484</v>
      </c>
      <c r="AH45" s="540">
        <v>1091</v>
      </c>
      <c r="AI45" s="540">
        <v>9847</v>
      </c>
      <c r="AJ45" s="540">
        <v>0</v>
      </c>
      <c r="AK45" s="540">
        <v>14669</v>
      </c>
    </row>
    <row r="46" spans="1:37">
      <c r="A46" s="539" t="s">
        <v>695</v>
      </c>
      <c r="B46" s="539" t="s">
        <v>695</v>
      </c>
      <c r="C46" s="538" t="s">
        <v>656</v>
      </c>
      <c r="D46" s="540">
        <v>676505</v>
      </c>
      <c r="E46" s="540">
        <v>2902</v>
      </c>
      <c r="F46" s="540">
        <v>568</v>
      </c>
      <c r="G46" s="540">
        <v>15970</v>
      </c>
      <c r="H46" s="540">
        <v>14885</v>
      </c>
      <c r="I46" s="540">
        <v>287905</v>
      </c>
      <c r="J46" s="540">
        <v>240</v>
      </c>
      <c r="K46" s="540">
        <v>0</v>
      </c>
      <c r="L46" s="540">
        <v>0</v>
      </c>
      <c r="M46" s="540">
        <v>0</v>
      </c>
      <c r="N46" s="540">
        <v>109135</v>
      </c>
      <c r="O46" s="540">
        <v>120423</v>
      </c>
      <c r="P46" s="540">
        <v>0</v>
      </c>
      <c r="Q46" s="540">
        <v>439</v>
      </c>
      <c r="R46" s="540">
        <v>4970</v>
      </c>
      <c r="S46" s="540">
        <v>0</v>
      </c>
      <c r="T46" s="540">
        <v>301</v>
      </c>
      <c r="U46" s="540">
        <v>0</v>
      </c>
      <c r="V46" s="540">
        <v>23163</v>
      </c>
      <c r="W46" s="540">
        <v>4029</v>
      </c>
      <c r="X46" s="540">
        <v>35752</v>
      </c>
      <c r="Y46" s="540">
        <v>9877</v>
      </c>
      <c r="Z46" s="540">
        <v>5635</v>
      </c>
      <c r="AA46" s="540">
        <v>157</v>
      </c>
      <c r="AB46" s="540">
        <v>2138</v>
      </c>
      <c r="AC46" s="540">
        <v>11438</v>
      </c>
      <c r="AD46" s="540">
        <v>26578</v>
      </c>
      <c r="AE46" s="540">
        <v>0</v>
      </c>
      <c r="AF46" s="540">
        <v>0</v>
      </c>
      <c r="AG46" s="540">
        <v>0</v>
      </c>
      <c r="AH46" s="540">
        <v>9757</v>
      </c>
      <c r="AI46" s="540">
        <v>0</v>
      </c>
      <c r="AJ46" s="540">
        <v>553</v>
      </c>
      <c r="AK46" s="540">
        <v>20928</v>
      </c>
    </row>
    <row r="47" spans="1:37">
      <c r="A47" s="539" t="s">
        <v>695</v>
      </c>
      <c r="B47" s="539" t="s">
        <v>695</v>
      </c>
      <c r="C47" s="538" t="s">
        <v>872</v>
      </c>
      <c r="D47" s="540">
        <v>6530</v>
      </c>
      <c r="E47" s="540">
        <v>0</v>
      </c>
      <c r="F47" s="540">
        <v>602</v>
      </c>
      <c r="G47" s="540">
        <v>1096</v>
      </c>
      <c r="H47" s="540">
        <v>0</v>
      </c>
      <c r="I47" s="540">
        <v>0</v>
      </c>
      <c r="J47" s="540">
        <v>0</v>
      </c>
      <c r="K47" s="540">
        <v>0</v>
      </c>
      <c r="L47" s="540">
        <v>0</v>
      </c>
      <c r="M47" s="540">
        <v>0</v>
      </c>
      <c r="N47" s="540">
        <v>0</v>
      </c>
      <c r="O47" s="540">
        <v>0</v>
      </c>
      <c r="P47" s="540">
        <v>0</v>
      </c>
      <c r="Q47" s="540">
        <v>0</v>
      </c>
      <c r="R47" s="540">
        <v>1930</v>
      </c>
      <c r="S47" s="540">
        <v>0</v>
      </c>
      <c r="T47" s="540">
        <v>669</v>
      </c>
      <c r="U47" s="540">
        <v>0</v>
      </c>
      <c r="V47" s="540">
        <v>0</v>
      </c>
      <c r="W47" s="540">
        <v>0</v>
      </c>
      <c r="X47" s="540">
        <v>0</v>
      </c>
      <c r="Y47" s="540">
        <v>0</v>
      </c>
      <c r="Z47" s="540">
        <v>0</v>
      </c>
      <c r="AA47" s="540">
        <v>0</v>
      </c>
      <c r="AB47" s="540">
        <v>2233</v>
      </c>
      <c r="AC47" s="540">
        <v>0</v>
      </c>
      <c r="AD47" s="540">
        <v>0</v>
      </c>
      <c r="AE47" s="540">
        <v>0</v>
      </c>
      <c r="AF47" s="540">
        <v>0</v>
      </c>
      <c r="AG47" s="540">
        <v>0</v>
      </c>
      <c r="AH47" s="540">
        <v>1100</v>
      </c>
      <c r="AI47" s="540">
        <v>0</v>
      </c>
      <c r="AJ47" s="540">
        <v>0</v>
      </c>
      <c r="AK47" s="540">
        <v>0</v>
      </c>
    </row>
    <row r="49" spans="3:4">
      <c r="C49" s="529" t="s">
        <v>589</v>
      </c>
    </row>
    <row r="50" spans="3:4">
      <c r="C50" s="529" t="s">
        <v>36</v>
      </c>
      <c r="D50" s="529" t="s">
        <v>590</v>
      </c>
    </row>
  </sheetData>
  <autoFilter ref="A11:B47">
    <filterColumn colId="1">
      <filters>
        <filter val="C"/>
        <filter val="G"/>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270"/>
  <sheetViews>
    <sheetView zoomScaleNormal="100" workbookViewId="0">
      <pane xSplit="1" ySplit="11" topLeftCell="B240" activePane="bottomRight" state="frozen"/>
      <selection pane="topRight" activeCell="B1" sqref="B1"/>
      <selection pane="bottomLeft" activeCell="A12" sqref="A12"/>
      <selection pane="bottomRight" activeCell="A248" sqref="A248:A255"/>
    </sheetView>
  </sheetViews>
  <sheetFormatPr defaultRowHeight="14.25"/>
  <cols>
    <col min="1" max="1" width="86.85546875" style="530" bestFit="1" customWidth="1"/>
    <col min="2" max="256" width="9.140625" style="530"/>
    <col min="257" max="257" width="86.85546875" style="530" bestFit="1" customWidth="1"/>
    <col min="258" max="512" width="9.140625" style="530"/>
    <col min="513" max="513" width="86.85546875" style="530" bestFit="1" customWidth="1"/>
    <col min="514" max="768" width="9.140625" style="530"/>
    <col min="769" max="769" width="86.85546875" style="530" bestFit="1" customWidth="1"/>
    <col min="770" max="1024" width="9.140625" style="530"/>
    <col min="1025" max="1025" width="86.85546875" style="530" bestFit="1" customWidth="1"/>
    <col min="1026" max="1280" width="9.140625" style="530"/>
    <col min="1281" max="1281" width="86.85546875" style="530" bestFit="1" customWidth="1"/>
    <col min="1282" max="1536" width="9.140625" style="530"/>
    <col min="1537" max="1537" width="86.85546875" style="530" bestFit="1" customWidth="1"/>
    <col min="1538" max="1792" width="9.140625" style="530"/>
    <col min="1793" max="1793" width="86.85546875" style="530" bestFit="1" customWidth="1"/>
    <col min="1794" max="2048" width="9.140625" style="530"/>
    <col min="2049" max="2049" width="86.85546875" style="530" bestFit="1" customWidth="1"/>
    <col min="2050" max="2304" width="9.140625" style="530"/>
    <col min="2305" max="2305" width="86.85546875" style="530" bestFit="1" customWidth="1"/>
    <col min="2306" max="2560" width="9.140625" style="530"/>
    <col min="2561" max="2561" width="86.85546875" style="530" bestFit="1" customWidth="1"/>
    <col min="2562" max="2816" width="9.140625" style="530"/>
    <col min="2817" max="2817" width="86.85546875" style="530" bestFit="1" customWidth="1"/>
    <col min="2818" max="3072" width="9.140625" style="530"/>
    <col min="3073" max="3073" width="86.85546875" style="530" bestFit="1" customWidth="1"/>
    <col min="3074" max="3328" width="9.140625" style="530"/>
    <col min="3329" max="3329" width="86.85546875" style="530" bestFit="1" customWidth="1"/>
    <col min="3330" max="3584" width="9.140625" style="530"/>
    <col min="3585" max="3585" width="86.85546875" style="530" bestFit="1" customWidth="1"/>
    <col min="3586" max="3840" width="9.140625" style="530"/>
    <col min="3841" max="3841" width="86.85546875" style="530" bestFit="1" customWidth="1"/>
    <col min="3842" max="4096" width="9.140625" style="530"/>
    <col min="4097" max="4097" width="86.85546875" style="530" bestFit="1" customWidth="1"/>
    <col min="4098" max="4352" width="9.140625" style="530"/>
    <col min="4353" max="4353" width="86.85546875" style="530" bestFit="1" customWidth="1"/>
    <col min="4354" max="4608" width="9.140625" style="530"/>
    <col min="4609" max="4609" width="86.85546875" style="530" bestFit="1" customWidth="1"/>
    <col min="4610" max="4864" width="9.140625" style="530"/>
    <col min="4865" max="4865" width="86.85546875" style="530" bestFit="1" customWidth="1"/>
    <col min="4866" max="5120" width="9.140625" style="530"/>
    <col min="5121" max="5121" width="86.85546875" style="530" bestFit="1" customWidth="1"/>
    <col min="5122" max="5376" width="9.140625" style="530"/>
    <col min="5377" max="5377" width="86.85546875" style="530" bestFit="1" customWidth="1"/>
    <col min="5378" max="5632" width="9.140625" style="530"/>
    <col min="5633" max="5633" width="86.85546875" style="530" bestFit="1" customWidth="1"/>
    <col min="5634" max="5888" width="9.140625" style="530"/>
    <col min="5889" max="5889" width="86.85546875" style="530" bestFit="1" customWidth="1"/>
    <col min="5890" max="6144" width="9.140625" style="530"/>
    <col min="6145" max="6145" width="86.85546875" style="530" bestFit="1" customWidth="1"/>
    <col min="6146" max="6400" width="9.140625" style="530"/>
    <col min="6401" max="6401" width="86.85546875" style="530" bestFit="1" customWidth="1"/>
    <col min="6402" max="6656" width="9.140625" style="530"/>
    <col min="6657" max="6657" width="86.85546875" style="530" bestFit="1" customWidth="1"/>
    <col min="6658" max="6912" width="9.140625" style="530"/>
    <col min="6913" max="6913" width="86.85546875" style="530" bestFit="1" customWidth="1"/>
    <col min="6914" max="7168" width="9.140625" style="530"/>
    <col min="7169" max="7169" width="86.85546875" style="530" bestFit="1" customWidth="1"/>
    <col min="7170" max="7424" width="9.140625" style="530"/>
    <col min="7425" max="7425" width="86.85546875" style="530" bestFit="1" customWidth="1"/>
    <col min="7426" max="7680" width="9.140625" style="530"/>
    <col min="7681" max="7681" width="86.85546875" style="530" bestFit="1" customWidth="1"/>
    <col min="7682" max="7936" width="9.140625" style="530"/>
    <col min="7937" max="7937" width="86.85546875" style="530" bestFit="1" customWidth="1"/>
    <col min="7938" max="8192" width="9.140625" style="530"/>
    <col min="8193" max="8193" width="86.85546875" style="530" bestFit="1" customWidth="1"/>
    <col min="8194" max="8448" width="9.140625" style="530"/>
    <col min="8449" max="8449" width="86.85546875" style="530" bestFit="1" customWidth="1"/>
    <col min="8450" max="8704" width="9.140625" style="530"/>
    <col min="8705" max="8705" width="86.85546875" style="530" bestFit="1" customWidth="1"/>
    <col min="8706" max="8960" width="9.140625" style="530"/>
    <col min="8961" max="8961" width="86.85546875" style="530" bestFit="1" customWidth="1"/>
    <col min="8962" max="9216" width="9.140625" style="530"/>
    <col min="9217" max="9217" width="86.85546875" style="530" bestFit="1" customWidth="1"/>
    <col min="9218" max="9472" width="9.140625" style="530"/>
    <col min="9473" max="9473" width="86.85546875" style="530" bestFit="1" customWidth="1"/>
    <col min="9474" max="9728" width="9.140625" style="530"/>
    <col min="9729" max="9729" width="86.85546875" style="530" bestFit="1" customWidth="1"/>
    <col min="9730" max="9984" width="9.140625" style="530"/>
    <col min="9985" max="9985" width="86.85546875" style="530" bestFit="1" customWidth="1"/>
    <col min="9986" max="10240" width="9.140625" style="530"/>
    <col min="10241" max="10241" width="86.85546875" style="530" bestFit="1" customWidth="1"/>
    <col min="10242" max="10496" width="9.140625" style="530"/>
    <col min="10497" max="10497" width="86.85546875" style="530" bestFit="1" customWidth="1"/>
    <col min="10498" max="10752" width="9.140625" style="530"/>
    <col min="10753" max="10753" width="86.85546875" style="530" bestFit="1" customWidth="1"/>
    <col min="10754" max="11008" width="9.140625" style="530"/>
    <col min="11009" max="11009" width="86.85546875" style="530" bestFit="1" customWidth="1"/>
    <col min="11010" max="11264" width="9.140625" style="530"/>
    <col min="11265" max="11265" width="86.85546875" style="530" bestFit="1" customWidth="1"/>
    <col min="11266" max="11520" width="9.140625" style="530"/>
    <col min="11521" max="11521" width="86.85546875" style="530" bestFit="1" customWidth="1"/>
    <col min="11522" max="11776" width="9.140625" style="530"/>
    <col min="11777" max="11777" width="86.85546875" style="530" bestFit="1" customWidth="1"/>
    <col min="11778" max="12032" width="9.140625" style="530"/>
    <col min="12033" max="12033" width="86.85546875" style="530" bestFit="1" customWidth="1"/>
    <col min="12034" max="12288" width="9.140625" style="530"/>
    <col min="12289" max="12289" width="86.85546875" style="530" bestFit="1" customWidth="1"/>
    <col min="12290" max="12544" width="9.140625" style="530"/>
    <col min="12545" max="12545" width="86.85546875" style="530" bestFit="1" customWidth="1"/>
    <col min="12546" max="12800" width="9.140625" style="530"/>
    <col min="12801" max="12801" width="86.85546875" style="530" bestFit="1" customWidth="1"/>
    <col min="12802" max="13056" width="9.140625" style="530"/>
    <col min="13057" max="13057" width="86.85546875" style="530" bestFit="1" customWidth="1"/>
    <col min="13058" max="13312" width="9.140625" style="530"/>
    <col min="13313" max="13313" width="86.85546875" style="530" bestFit="1" customWidth="1"/>
    <col min="13314" max="13568" width="9.140625" style="530"/>
    <col min="13569" max="13569" width="86.85546875" style="530" bestFit="1" customWidth="1"/>
    <col min="13570" max="13824" width="9.140625" style="530"/>
    <col min="13825" max="13825" width="86.85546875" style="530" bestFit="1" customWidth="1"/>
    <col min="13826" max="14080" width="9.140625" style="530"/>
    <col min="14081" max="14081" width="86.85546875" style="530" bestFit="1" customWidth="1"/>
    <col min="14082" max="14336" width="9.140625" style="530"/>
    <col min="14337" max="14337" width="86.85546875" style="530" bestFit="1" customWidth="1"/>
    <col min="14338" max="14592" width="9.140625" style="530"/>
    <col min="14593" max="14593" width="86.85546875" style="530" bestFit="1" customWidth="1"/>
    <col min="14594" max="14848" width="9.140625" style="530"/>
    <col min="14849" max="14849" width="86.85546875" style="530" bestFit="1" customWidth="1"/>
    <col min="14850" max="15104" width="9.140625" style="530"/>
    <col min="15105" max="15105" width="86.85546875" style="530" bestFit="1" customWidth="1"/>
    <col min="15106" max="15360" width="9.140625" style="530"/>
    <col min="15361" max="15361" width="86.85546875" style="530" bestFit="1" customWidth="1"/>
    <col min="15362" max="15616" width="9.140625" style="530"/>
    <col min="15617" max="15617" width="86.85546875" style="530" bestFit="1" customWidth="1"/>
    <col min="15618" max="15872" width="9.140625" style="530"/>
    <col min="15873" max="15873" width="86.85546875" style="530" bestFit="1" customWidth="1"/>
    <col min="15874" max="16128" width="9.140625" style="530"/>
    <col min="16129" max="16129" width="86.85546875" style="530" bestFit="1" customWidth="1"/>
    <col min="16130" max="16384" width="9.140625" style="530"/>
  </cols>
  <sheetData>
    <row r="1" spans="1:45">
      <c r="A1" s="706" t="s">
        <v>873</v>
      </c>
    </row>
    <row r="3" spans="1:45">
      <c r="A3" s="706" t="s">
        <v>269</v>
      </c>
      <c r="B3" s="707">
        <v>41353.593611111108</v>
      </c>
    </row>
    <row r="4" spans="1:45">
      <c r="A4" s="706" t="s">
        <v>271</v>
      </c>
      <c r="B4" s="707">
        <v>41401.586105277776</v>
      </c>
    </row>
    <row r="5" spans="1:45">
      <c r="A5" s="706" t="s">
        <v>273</v>
      </c>
      <c r="B5" s="706" t="s">
        <v>67</v>
      </c>
    </row>
    <row r="7" spans="1:45">
      <c r="A7" s="706" t="s">
        <v>340</v>
      </c>
      <c r="B7" s="706" t="s">
        <v>576</v>
      </c>
    </row>
    <row r="8" spans="1:45">
      <c r="A8" s="706" t="s">
        <v>341</v>
      </c>
      <c r="B8" s="706" t="s">
        <v>874</v>
      </c>
    </row>
    <row r="9" spans="1:45">
      <c r="A9" s="706" t="s">
        <v>578</v>
      </c>
      <c r="B9" s="706" t="s">
        <v>298</v>
      </c>
    </row>
    <row r="11" spans="1:45">
      <c r="A11" s="708" t="s">
        <v>579</v>
      </c>
      <c r="B11" s="708" t="s">
        <v>580</v>
      </c>
      <c r="C11" s="708" t="s">
        <v>1079</v>
      </c>
      <c r="D11" s="708" t="s">
        <v>1080</v>
      </c>
      <c r="E11" s="708" t="s">
        <v>1081</v>
      </c>
      <c r="F11" s="708" t="s">
        <v>1082</v>
      </c>
      <c r="G11" s="708" t="s">
        <v>1083</v>
      </c>
      <c r="H11" s="708" t="s">
        <v>1084</v>
      </c>
      <c r="I11" s="708" t="s">
        <v>1085</v>
      </c>
      <c r="J11" s="708" t="s">
        <v>1086</v>
      </c>
      <c r="K11" s="708" t="s">
        <v>1087</v>
      </c>
      <c r="L11" s="708" t="s">
        <v>180</v>
      </c>
      <c r="M11" s="708" t="s">
        <v>181</v>
      </c>
      <c r="N11" s="708" t="s">
        <v>215</v>
      </c>
      <c r="O11" s="708" t="s">
        <v>182</v>
      </c>
      <c r="P11" s="708" t="s">
        <v>581</v>
      </c>
      <c r="Q11" s="708" t="s">
        <v>217</v>
      </c>
      <c r="R11" s="708" t="s">
        <v>218</v>
      </c>
      <c r="S11" s="708" t="s">
        <v>183</v>
      </c>
      <c r="T11" s="708" t="s">
        <v>184</v>
      </c>
      <c r="U11" s="708" t="s">
        <v>185</v>
      </c>
      <c r="V11" s="708" t="s">
        <v>186</v>
      </c>
      <c r="W11" s="708" t="s">
        <v>187</v>
      </c>
      <c r="X11" s="708" t="s">
        <v>219</v>
      </c>
      <c r="Y11" s="708" t="s">
        <v>188</v>
      </c>
      <c r="Z11" s="708" t="s">
        <v>474</v>
      </c>
      <c r="AA11" s="708" t="s">
        <v>189</v>
      </c>
      <c r="AB11" s="708" t="s">
        <v>190</v>
      </c>
      <c r="AC11" s="708" t="s">
        <v>191</v>
      </c>
      <c r="AD11" s="708" t="s">
        <v>192</v>
      </c>
      <c r="AE11" s="708" t="s">
        <v>193</v>
      </c>
      <c r="AF11" s="708" t="s">
        <v>194</v>
      </c>
      <c r="AG11" s="708" t="s">
        <v>195</v>
      </c>
      <c r="AH11" s="708" t="s">
        <v>196</v>
      </c>
      <c r="AI11" s="708" t="s">
        <v>197</v>
      </c>
      <c r="AJ11" s="708" t="s">
        <v>198</v>
      </c>
      <c r="AK11" s="708" t="s">
        <v>199</v>
      </c>
      <c r="AL11" s="708" t="s">
        <v>221</v>
      </c>
      <c r="AM11" s="708" t="s">
        <v>659</v>
      </c>
      <c r="AN11" s="708" t="s">
        <v>179</v>
      </c>
      <c r="AO11" s="708" t="s">
        <v>178</v>
      </c>
      <c r="AP11" s="708" t="s">
        <v>222</v>
      </c>
      <c r="AQ11" s="708" t="s">
        <v>299</v>
      </c>
      <c r="AR11" s="708" t="s">
        <v>582</v>
      </c>
      <c r="AS11" s="708" t="s">
        <v>300</v>
      </c>
    </row>
    <row r="12" spans="1:45">
      <c r="A12" s="708" t="s">
        <v>1088</v>
      </c>
      <c r="B12" s="709">
        <v>6530</v>
      </c>
      <c r="C12" s="709">
        <v>5928</v>
      </c>
      <c r="D12" s="709">
        <v>0</v>
      </c>
      <c r="E12" s="709">
        <v>5928</v>
      </c>
      <c r="F12" s="709">
        <v>0</v>
      </c>
      <c r="G12" s="709">
        <v>2233</v>
      </c>
      <c r="H12" s="709">
        <v>2233</v>
      </c>
      <c r="I12" s="709">
        <v>0</v>
      </c>
      <c r="J12" s="709">
        <v>0</v>
      </c>
      <c r="K12" s="709">
        <v>0</v>
      </c>
      <c r="L12" s="709">
        <v>0</v>
      </c>
      <c r="M12" s="709">
        <v>602</v>
      </c>
      <c r="N12" s="709">
        <v>1096</v>
      </c>
      <c r="O12" s="709">
        <v>0</v>
      </c>
      <c r="P12" s="709">
        <v>0</v>
      </c>
      <c r="Q12" s="709">
        <v>0</v>
      </c>
      <c r="R12" s="709">
        <v>0</v>
      </c>
      <c r="S12" s="709">
        <v>0</v>
      </c>
      <c r="T12" s="709">
        <v>0</v>
      </c>
      <c r="U12" s="709">
        <v>0</v>
      </c>
      <c r="V12" s="709">
        <v>0</v>
      </c>
      <c r="W12" s="709">
        <v>0</v>
      </c>
      <c r="X12" s="709">
        <v>0</v>
      </c>
      <c r="Y12" s="709">
        <v>1930</v>
      </c>
      <c r="Z12" s="709">
        <v>0</v>
      </c>
      <c r="AA12" s="709">
        <v>669</v>
      </c>
      <c r="AB12" s="709">
        <v>0</v>
      </c>
      <c r="AC12" s="709">
        <v>0</v>
      </c>
      <c r="AD12" s="709">
        <v>0</v>
      </c>
      <c r="AE12" s="709">
        <v>0</v>
      </c>
      <c r="AF12" s="709">
        <v>0</v>
      </c>
      <c r="AG12" s="709">
        <v>0</v>
      </c>
      <c r="AH12" s="709">
        <v>0</v>
      </c>
      <c r="AI12" s="709">
        <v>2233</v>
      </c>
      <c r="AJ12" s="709">
        <v>0</v>
      </c>
      <c r="AK12" s="709">
        <v>0</v>
      </c>
      <c r="AL12" s="709">
        <v>0</v>
      </c>
      <c r="AM12" s="709">
        <v>0</v>
      </c>
      <c r="AN12" s="709">
        <v>0</v>
      </c>
      <c r="AO12" s="709">
        <v>0</v>
      </c>
      <c r="AP12" s="709">
        <v>1100</v>
      </c>
      <c r="AQ12" s="709">
        <v>0</v>
      </c>
      <c r="AR12" s="709">
        <v>0</v>
      </c>
      <c r="AS12" s="709">
        <v>0</v>
      </c>
    </row>
    <row r="13" spans="1:45">
      <c r="A13" s="708" t="s">
        <v>1089</v>
      </c>
      <c r="B13" s="709">
        <v>0</v>
      </c>
      <c r="C13" s="709">
        <v>0</v>
      </c>
      <c r="D13" s="709">
        <v>0</v>
      </c>
      <c r="E13" s="709">
        <v>0</v>
      </c>
      <c r="F13" s="709">
        <v>0</v>
      </c>
      <c r="G13" s="709">
        <v>0</v>
      </c>
      <c r="H13" s="709">
        <v>0</v>
      </c>
      <c r="I13" s="709">
        <v>0</v>
      </c>
      <c r="J13" s="709">
        <v>0</v>
      </c>
      <c r="K13" s="709">
        <v>0</v>
      </c>
      <c r="L13" s="709">
        <v>0</v>
      </c>
      <c r="M13" s="709">
        <v>0</v>
      </c>
      <c r="N13" s="709">
        <v>0</v>
      </c>
      <c r="O13" s="709">
        <v>0</v>
      </c>
      <c r="P13" s="709">
        <v>0</v>
      </c>
      <c r="Q13" s="709">
        <v>0</v>
      </c>
      <c r="R13" s="709">
        <v>0</v>
      </c>
      <c r="S13" s="709">
        <v>0</v>
      </c>
      <c r="T13" s="709">
        <v>0</v>
      </c>
      <c r="U13" s="709">
        <v>0</v>
      </c>
      <c r="V13" s="709">
        <v>0</v>
      </c>
      <c r="W13" s="709">
        <v>0</v>
      </c>
      <c r="X13" s="709">
        <v>0</v>
      </c>
      <c r="Y13" s="709">
        <v>0</v>
      </c>
      <c r="Z13" s="709">
        <v>0</v>
      </c>
      <c r="AA13" s="709">
        <v>0</v>
      </c>
      <c r="AB13" s="709">
        <v>0</v>
      </c>
      <c r="AC13" s="709">
        <v>0</v>
      </c>
      <c r="AD13" s="709">
        <v>0</v>
      </c>
      <c r="AE13" s="709">
        <v>0</v>
      </c>
      <c r="AF13" s="709">
        <v>0</v>
      </c>
      <c r="AG13" s="709">
        <v>0</v>
      </c>
      <c r="AH13" s="709">
        <v>0</v>
      </c>
      <c r="AI13" s="709">
        <v>0</v>
      </c>
      <c r="AJ13" s="709">
        <v>0</v>
      </c>
      <c r="AK13" s="709">
        <v>0</v>
      </c>
      <c r="AL13" s="709">
        <v>0</v>
      </c>
      <c r="AM13" s="709">
        <v>0</v>
      </c>
      <c r="AN13" s="709">
        <v>0</v>
      </c>
      <c r="AO13" s="709">
        <v>0</v>
      </c>
      <c r="AP13" s="709">
        <v>0</v>
      </c>
      <c r="AQ13" s="709">
        <v>0</v>
      </c>
      <c r="AR13" s="709">
        <v>0</v>
      </c>
      <c r="AS13" s="709">
        <v>0</v>
      </c>
    </row>
    <row r="14" spans="1:45">
      <c r="A14" s="708" t="s">
        <v>1090</v>
      </c>
      <c r="B14" s="709">
        <v>0</v>
      </c>
      <c r="C14" s="709">
        <v>0</v>
      </c>
      <c r="D14" s="709">
        <v>0</v>
      </c>
      <c r="E14" s="709">
        <v>0</v>
      </c>
      <c r="F14" s="709">
        <v>0</v>
      </c>
      <c r="G14" s="709">
        <v>0</v>
      </c>
      <c r="H14" s="709">
        <v>0</v>
      </c>
      <c r="I14" s="709">
        <v>0</v>
      </c>
      <c r="J14" s="709">
        <v>0</v>
      </c>
      <c r="K14" s="709">
        <v>0</v>
      </c>
      <c r="L14" s="709">
        <v>0</v>
      </c>
      <c r="M14" s="709">
        <v>0</v>
      </c>
      <c r="N14" s="709">
        <v>0</v>
      </c>
      <c r="O14" s="709">
        <v>0</v>
      </c>
      <c r="P14" s="709">
        <v>0</v>
      </c>
      <c r="Q14" s="709">
        <v>0</v>
      </c>
      <c r="R14" s="709">
        <v>0</v>
      </c>
      <c r="S14" s="709">
        <v>0</v>
      </c>
      <c r="T14" s="709">
        <v>0</v>
      </c>
      <c r="U14" s="709">
        <v>0</v>
      </c>
      <c r="V14" s="709">
        <v>0</v>
      </c>
      <c r="W14" s="709">
        <v>0</v>
      </c>
      <c r="X14" s="709">
        <v>0</v>
      </c>
      <c r="Y14" s="709">
        <v>0</v>
      </c>
      <c r="Z14" s="709">
        <v>0</v>
      </c>
      <c r="AA14" s="709">
        <v>0</v>
      </c>
      <c r="AB14" s="709">
        <v>0</v>
      </c>
      <c r="AC14" s="709">
        <v>0</v>
      </c>
      <c r="AD14" s="709">
        <v>0</v>
      </c>
      <c r="AE14" s="709">
        <v>0</v>
      </c>
      <c r="AF14" s="709">
        <v>0</v>
      </c>
      <c r="AG14" s="709">
        <v>0</v>
      </c>
      <c r="AH14" s="709">
        <v>0</v>
      </c>
      <c r="AI14" s="709">
        <v>0</v>
      </c>
      <c r="AJ14" s="709">
        <v>0</v>
      </c>
      <c r="AK14" s="709">
        <v>0</v>
      </c>
      <c r="AL14" s="709">
        <v>0</v>
      </c>
      <c r="AM14" s="709">
        <v>0</v>
      </c>
      <c r="AN14" s="709">
        <v>0</v>
      </c>
      <c r="AO14" s="709">
        <v>0</v>
      </c>
      <c r="AP14" s="709">
        <v>0</v>
      </c>
      <c r="AQ14" s="709">
        <v>0</v>
      </c>
      <c r="AR14" s="709">
        <v>0</v>
      </c>
      <c r="AS14" s="709">
        <v>0</v>
      </c>
    </row>
    <row r="15" spans="1:45">
      <c r="A15" s="708" t="s">
        <v>1091</v>
      </c>
      <c r="B15" s="709">
        <v>0</v>
      </c>
      <c r="C15" s="709">
        <v>0</v>
      </c>
      <c r="D15" s="709">
        <v>0</v>
      </c>
      <c r="E15" s="709">
        <v>0</v>
      </c>
      <c r="F15" s="709">
        <v>0</v>
      </c>
      <c r="G15" s="709">
        <v>0</v>
      </c>
      <c r="H15" s="709">
        <v>0</v>
      </c>
      <c r="I15" s="709">
        <v>0</v>
      </c>
      <c r="J15" s="709">
        <v>0</v>
      </c>
      <c r="K15" s="709">
        <v>0</v>
      </c>
      <c r="L15" s="709">
        <v>0</v>
      </c>
      <c r="M15" s="709">
        <v>0</v>
      </c>
      <c r="N15" s="709">
        <v>0</v>
      </c>
      <c r="O15" s="709">
        <v>0</v>
      </c>
      <c r="P15" s="709">
        <v>0</v>
      </c>
      <c r="Q15" s="709">
        <v>0</v>
      </c>
      <c r="R15" s="709">
        <v>0</v>
      </c>
      <c r="S15" s="709">
        <v>0</v>
      </c>
      <c r="T15" s="709">
        <v>0</v>
      </c>
      <c r="U15" s="709">
        <v>0</v>
      </c>
      <c r="V15" s="709">
        <v>0</v>
      </c>
      <c r="W15" s="709">
        <v>0</v>
      </c>
      <c r="X15" s="709">
        <v>0</v>
      </c>
      <c r="Y15" s="709">
        <v>0</v>
      </c>
      <c r="Z15" s="709">
        <v>0</v>
      </c>
      <c r="AA15" s="709">
        <v>0</v>
      </c>
      <c r="AB15" s="709">
        <v>0</v>
      </c>
      <c r="AC15" s="709">
        <v>0</v>
      </c>
      <c r="AD15" s="709">
        <v>0</v>
      </c>
      <c r="AE15" s="709">
        <v>0</v>
      </c>
      <c r="AF15" s="709">
        <v>0</v>
      </c>
      <c r="AG15" s="709">
        <v>0</v>
      </c>
      <c r="AH15" s="709">
        <v>0</v>
      </c>
      <c r="AI15" s="709">
        <v>0</v>
      </c>
      <c r="AJ15" s="709">
        <v>0</v>
      </c>
      <c r="AK15" s="709">
        <v>0</v>
      </c>
      <c r="AL15" s="709">
        <v>0</v>
      </c>
      <c r="AM15" s="709">
        <v>0</v>
      </c>
      <c r="AN15" s="709">
        <v>0</v>
      </c>
      <c r="AO15" s="709">
        <v>0</v>
      </c>
      <c r="AP15" s="709">
        <v>0</v>
      </c>
      <c r="AQ15" s="709">
        <v>0</v>
      </c>
      <c r="AR15" s="709">
        <v>0</v>
      </c>
      <c r="AS15" s="709">
        <v>0</v>
      </c>
    </row>
    <row r="16" spans="1:45">
      <c r="A16" s="708" t="s">
        <v>1092</v>
      </c>
      <c r="B16" s="709">
        <v>0</v>
      </c>
      <c r="C16" s="709">
        <v>0</v>
      </c>
      <c r="D16" s="709">
        <v>0</v>
      </c>
      <c r="E16" s="709">
        <v>0</v>
      </c>
      <c r="F16" s="709">
        <v>0</v>
      </c>
      <c r="G16" s="709">
        <v>0</v>
      </c>
      <c r="H16" s="709">
        <v>0</v>
      </c>
      <c r="I16" s="709">
        <v>0</v>
      </c>
      <c r="J16" s="709">
        <v>0</v>
      </c>
      <c r="K16" s="709">
        <v>0</v>
      </c>
      <c r="L16" s="709">
        <v>0</v>
      </c>
      <c r="M16" s="709">
        <v>0</v>
      </c>
      <c r="N16" s="709">
        <v>0</v>
      </c>
      <c r="O16" s="709">
        <v>0</v>
      </c>
      <c r="P16" s="709">
        <v>0</v>
      </c>
      <c r="Q16" s="709">
        <v>0</v>
      </c>
      <c r="R16" s="709">
        <v>0</v>
      </c>
      <c r="S16" s="709">
        <v>0</v>
      </c>
      <c r="T16" s="709">
        <v>0</v>
      </c>
      <c r="U16" s="709">
        <v>0</v>
      </c>
      <c r="V16" s="709">
        <v>0</v>
      </c>
      <c r="W16" s="709">
        <v>0</v>
      </c>
      <c r="X16" s="709">
        <v>0</v>
      </c>
      <c r="Y16" s="709">
        <v>0</v>
      </c>
      <c r="Z16" s="709">
        <v>0</v>
      </c>
      <c r="AA16" s="709">
        <v>0</v>
      </c>
      <c r="AB16" s="709">
        <v>0</v>
      </c>
      <c r="AC16" s="709">
        <v>0</v>
      </c>
      <c r="AD16" s="709">
        <v>0</v>
      </c>
      <c r="AE16" s="709">
        <v>0</v>
      </c>
      <c r="AF16" s="709">
        <v>0</v>
      </c>
      <c r="AG16" s="709">
        <v>0</v>
      </c>
      <c r="AH16" s="709">
        <v>0</v>
      </c>
      <c r="AI16" s="709">
        <v>0</v>
      </c>
      <c r="AJ16" s="709">
        <v>0</v>
      </c>
      <c r="AK16" s="709">
        <v>0</v>
      </c>
      <c r="AL16" s="709">
        <v>0</v>
      </c>
      <c r="AM16" s="709">
        <v>0</v>
      </c>
      <c r="AN16" s="709">
        <v>8071</v>
      </c>
      <c r="AO16" s="709">
        <v>0</v>
      </c>
      <c r="AP16" s="709">
        <v>0</v>
      </c>
      <c r="AQ16" s="709">
        <v>0</v>
      </c>
      <c r="AR16" s="709">
        <v>0</v>
      </c>
      <c r="AS16" s="709">
        <v>0</v>
      </c>
    </row>
    <row r="17" spans="1:45">
      <c r="A17" s="708" t="s">
        <v>1093</v>
      </c>
      <c r="B17" s="709">
        <v>1452</v>
      </c>
      <c r="C17" s="709">
        <v>1435</v>
      </c>
      <c r="D17" s="709">
        <v>1060</v>
      </c>
      <c r="E17" s="709">
        <v>375</v>
      </c>
      <c r="F17" s="709">
        <v>888</v>
      </c>
      <c r="G17" s="709">
        <v>968</v>
      </c>
      <c r="H17" s="709">
        <v>968</v>
      </c>
      <c r="I17" s="709">
        <v>888</v>
      </c>
      <c r="J17" s="709">
        <v>888</v>
      </c>
      <c r="K17" s="709">
        <v>888</v>
      </c>
      <c r="L17" s="709">
        <v>51</v>
      </c>
      <c r="M17" s="709">
        <v>0</v>
      </c>
      <c r="N17" s="709">
        <v>0</v>
      </c>
      <c r="O17" s="709">
        <v>172</v>
      </c>
      <c r="P17" s="709">
        <v>450</v>
      </c>
      <c r="Q17" s="709">
        <v>0</v>
      </c>
      <c r="R17" s="709">
        <v>0</v>
      </c>
      <c r="S17" s="709">
        <v>0</v>
      </c>
      <c r="T17" s="709">
        <v>0</v>
      </c>
      <c r="U17" s="709">
        <v>0</v>
      </c>
      <c r="V17" s="709">
        <v>0</v>
      </c>
      <c r="W17" s="709">
        <v>0</v>
      </c>
      <c r="X17" s="709">
        <v>0</v>
      </c>
      <c r="Y17" s="709">
        <v>61</v>
      </c>
      <c r="Z17" s="709">
        <v>0</v>
      </c>
      <c r="AA17" s="709">
        <v>234</v>
      </c>
      <c r="AB17" s="709">
        <v>0</v>
      </c>
      <c r="AC17" s="709">
        <v>0</v>
      </c>
      <c r="AD17" s="709">
        <v>387</v>
      </c>
      <c r="AE17" s="709">
        <v>0</v>
      </c>
      <c r="AF17" s="709">
        <v>0</v>
      </c>
      <c r="AG17" s="709">
        <v>17</v>
      </c>
      <c r="AH17" s="709">
        <v>0</v>
      </c>
      <c r="AI17" s="709">
        <v>80</v>
      </c>
      <c r="AJ17" s="709">
        <v>0</v>
      </c>
      <c r="AK17" s="709">
        <v>0</v>
      </c>
      <c r="AL17" s="709">
        <v>0</v>
      </c>
      <c r="AM17" s="709">
        <v>1060</v>
      </c>
      <c r="AN17" s="709">
        <v>599</v>
      </c>
      <c r="AO17" s="709">
        <v>0</v>
      </c>
      <c r="AP17" s="709">
        <v>0</v>
      </c>
      <c r="AQ17" s="709">
        <v>0</v>
      </c>
      <c r="AR17" s="709">
        <v>0</v>
      </c>
      <c r="AS17" s="709">
        <v>0</v>
      </c>
    </row>
    <row r="18" spans="1:45">
      <c r="A18" s="708" t="s">
        <v>1094</v>
      </c>
      <c r="B18" s="709">
        <v>0</v>
      </c>
      <c r="C18" s="709">
        <v>0</v>
      </c>
      <c r="D18" s="709">
        <v>0</v>
      </c>
      <c r="E18" s="709">
        <v>0</v>
      </c>
      <c r="F18" s="709">
        <v>0</v>
      </c>
      <c r="G18" s="709">
        <v>0</v>
      </c>
      <c r="H18" s="709">
        <v>0</v>
      </c>
      <c r="I18" s="709">
        <v>0</v>
      </c>
      <c r="J18" s="709">
        <v>0</v>
      </c>
      <c r="K18" s="709">
        <v>0</v>
      </c>
      <c r="L18" s="709">
        <v>0</v>
      </c>
      <c r="M18" s="709">
        <v>0</v>
      </c>
      <c r="N18" s="709">
        <v>0</v>
      </c>
      <c r="O18" s="709">
        <v>0</v>
      </c>
      <c r="P18" s="709">
        <v>0</v>
      </c>
      <c r="Q18" s="709">
        <v>0</v>
      </c>
      <c r="R18" s="709">
        <v>0</v>
      </c>
      <c r="S18" s="709">
        <v>0</v>
      </c>
      <c r="T18" s="709">
        <v>0</v>
      </c>
      <c r="U18" s="709">
        <v>0</v>
      </c>
      <c r="V18" s="709">
        <v>0</v>
      </c>
      <c r="W18" s="709">
        <v>0</v>
      </c>
      <c r="X18" s="709">
        <v>0</v>
      </c>
      <c r="Y18" s="709">
        <v>0</v>
      </c>
      <c r="Z18" s="709">
        <v>0</v>
      </c>
      <c r="AA18" s="709">
        <v>0</v>
      </c>
      <c r="AB18" s="709">
        <v>0</v>
      </c>
      <c r="AC18" s="709">
        <v>0</v>
      </c>
      <c r="AD18" s="709">
        <v>0</v>
      </c>
      <c r="AE18" s="709">
        <v>0</v>
      </c>
      <c r="AF18" s="709">
        <v>0</v>
      </c>
      <c r="AG18" s="709">
        <v>0</v>
      </c>
      <c r="AH18" s="709">
        <v>0</v>
      </c>
      <c r="AI18" s="709">
        <v>0</v>
      </c>
      <c r="AJ18" s="709">
        <v>0</v>
      </c>
      <c r="AK18" s="709">
        <v>0</v>
      </c>
      <c r="AL18" s="709">
        <v>0</v>
      </c>
      <c r="AM18" s="709">
        <v>0</v>
      </c>
      <c r="AN18" s="709">
        <v>0</v>
      </c>
      <c r="AO18" s="709">
        <v>0</v>
      </c>
      <c r="AP18" s="709">
        <v>0</v>
      </c>
      <c r="AQ18" s="709">
        <v>0</v>
      </c>
      <c r="AR18" s="709">
        <v>0</v>
      </c>
      <c r="AS18" s="709">
        <v>0</v>
      </c>
    </row>
    <row r="19" spans="1:45">
      <c r="A19" s="708" t="s">
        <v>1095</v>
      </c>
      <c r="B19" s="709">
        <v>135</v>
      </c>
      <c r="C19" s="709">
        <v>120</v>
      </c>
      <c r="D19" s="709">
        <v>60</v>
      </c>
      <c r="E19" s="709">
        <v>60</v>
      </c>
      <c r="F19" s="709">
        <v>60</v>
      </c>
      <c r="G19" s="709">
        <v>120</v>
      </c>
      <c r="H19" s="709">
        <v>120</v>
      </c>
      <c r="I19" s="709">
        <v>60</v>
      </c>
      <c r="J19" s="709">
        <v>60</v>
      </c>
      <c r="K19" s="709">
        <v>60</v>
      </c>
      <c r="L19" s="709">
        <v>0</v>
      </c>
      <c r="M19" s="709">
        <v>0</v>
      </c>
      <c r="N19" s="709">
        <v>0</v>
      </c>
      <c r="O19" s="709">
        <v>0</v>
      </c>
      <c r="P19" s="709">
        <v>0</v>
      </c>
      <c r="Q19" s="709">
        <v>0</v>
      </c>
      <c r="R19" s="709">
        <v>0</v>
      </c>
      <c r="S19" s="709">
        <v>0</v>
      </c>
      <c r="T19" s="709">
        <v>0</v>
      </c>
      <c r="U19" s="709">
        <v>0</v>
      </c>
      <c r="V19" s="709">
        <v>0</v>
      </c>
      <c r="W19" s="709">
        <v>0</v>
      </c>
      <c r="X19" s="709">
        <v>0</v>
      </c>
      <c r="Y19" s="709">
        <v>0</v>
      </c>
      <c r="Z19" s="709">
        <v>0</v>
      </c>
      <c r="AA19" s="709">
        <v>0</v>
      </c>
      <c r="AB19" s="709">
        <v>0</v>
      </c>
      <c r="AC19" s="709">
        <v>0</v>
      </c>
      <c r="AD19" s="709">
        <v>60</v>
      </c>
      <c r="AE19" s="709">
        <v>0</v>
      </c>
      <c r="AF19" s="709">
        <v>0</v>
      </c>
      <c r="AG19" s="709">
        <v>15</v>
      </c>
      <c r="AH19" s="709">
        <v>0</v>
      </c>
      <c r="AI19" s="709">
        <v>60</v>
      </c>
      <c r="AJ19" s="709">
        <v>0</v>
      </c>
      <c r="AK19" s="709">
        <v>0</v>
      </c>
      <c r="AL19" s="709">
        <v>0</v>
      </c>
      <c r="AM19" s="709">
        <v>60</v>
      </c>
      <c r="AN19" s="709">
        <v>0</v>
      </c>
      <c r="AO19" s="709">
        <v>0</v>
      </c>
      <c r="AP19" s="709">
        <v>0</v>
      </c>
      <c r="AQ19" s="709">
        <v>0</v>
      </c>
      <c r="AR19" s="709">
        <v>0</v>
      </c>
      <c r="AS19" s="709">
        <v>0</v>
      </c>
    </row>
    <row r="20" spans="1:45">
      <c r="A20" s="708" t="s">
        <v>1096</v>
      </c>
      <c r="B20" s="709">
        <v>0</v>
      </c>
      <c r="C20" s="709">
        <v>0</v>
      </c>
      <c r="D20" s="709">
        <v>0</v>
      </c>
      <c r="E20" s="709">
        <v>0</v>
      </c>
      <c r="F20" s="709">
        <v>0</v>
      </c>
      <c r="G20" s="709">
        <v>0</v>
      </c>
      <c r="H20" s="709">
        <v>0</v>
      </c>
      <c r="I20" s="709">
        <v>0</v>
      </c>
      <c r="J20" s="709">
        <v>0</v>
      </c>
      <c r="K20" s="709">
        <v>0</v>
      </c>
      <c r="L20" s="709">
        <v>0</v>
      </c>
      <c r="M20" s="709">
        <v>0</v>
      </c>
      <c r="N20" s="709">
        <v>0</v>
      </c>
      <c r="O20" s="709">
        <v>0</v>
      </c>
      <c r="P20" s="709">
        <v>0</v>
      </c>
      <c r="Q20" s="709">
        <v>0</v>
      </c>
      <c r="R20" s="709">
        <v>0</v>
      </c>
      <c r="S20" s="709">
        <v>0</v>
      </c>
      <c r="T20" s="709">
        <v>0</v>
      </c>
      <c r="U20" s="709">
        <v>0</v>
      </c>
      <c r="V20" s="709">
        <v>0</v>
      </c>
      <c r="W20" s="709">
        <v>0</v>
      </c>
      <c r="X20" s="709">
        <v>0</v>
      </c>
      <c r="Y20" s="709">
        <v>0</v>
      </c>
      <c r="Z20" s="709">
        <v>0</v>
      </c>
      <c r="AA20" s="709">
        <v>0</v>
      </c>
      <c r="AB20" s="709">
        <v>0</v>
      </c>
      <c r="AC20" s="709">
        <v>0</v>
      </c>
      <c r="AD20" s="709">
        <v>0</v>
      </c>
      <c r="AE20" s="709">
        <v>0</v>
      </c>
      <c r="AF20" s="709">
        <v>0</v>
      </c>
      <c r="AG20" s="709">
        <v>0</v>
      </c>
      <c r="AH20" s="709">
        <v>0</v>
      </c>
      <c r="AI20" s="709">
        <v>0</v>
      </c>
      <c r="AJ20" s="709">
        <v>0</v>
      </c>
      <c r="AK20" s="709">
        <v>0</v>
      </c>
      <c r="AL20" s="709">
        <v>0</v>
      </c>
      <c r="AM20" s="709">
        <v>0</v>
      </c>
      <c r="AN20" s="709">
        <v>0</v>
      </c>
      <c r="AO20" s="709">
        <v>0</v>
      </c>
      <c r="AP20" s="709">
        <v>0</v>
      </c>
      <c r="AQ20" s="709">
        <v>0</v>
      </c>
      <c r="AR20" s="709">
        <v>0</v>
      </c>
      <c r="AS20" s="709">
        <v>0</v>
      </c>
    </row>
    <row r="21" spans="1:45">
      <c r="A21" s="708" t="s">
        <v>1097</v>
      </c>
      <c r="B21" s="709">
        <v>54</v>
      </c>
      <c r="C21" s="709">
        <v>54</v>
      </c>
      <c r="D21" s="709">
        <v>53</v>
      </c>
      <c r="E21" s="709">
        <v>1</v>
      </c>
      <c r="F21" s="709">
        <v>0</v>
      </c>
      <c r="G21" s="709">
        <v>0</v>
      </c>
      <c r="H21" s="709">
        <v>0</v>
      </c>
      <c r="I21" s="709">
        <v>0</v>
      </c>
      <c r="J21" s="709">
        <v>0</v>
      </c>
      <c r="K21" s="709">
        <v>0</v>
      </c>
      <c r="L21" s="709">
        <v>0</v>
      </c>
      <c r="M21" s="709">
        <v>0</v>
      </c>
      <c r="N21" s="709">
        <v>0</v>
      </c>
      <c r="O21" s="709">
        <v>53</v>
      </c>
      <c r="P21" s="709">
        <v>0</v>
      </c>
      <c r="Q21" s="709">
        <v>0</v>
      </c>
      <c r="R21" s="709">
        <v>0</v>
      </c>
      <c r="S21" s="709">
        <v>0</v>
      </c>
      <c r="T21" s="709">
        <v>0</v>
      </c>
      <c r="U21" s="709">
        <v>0</v>
      </c>
      <c r="V21" s="709">
        <v>0</v>
      </c>
      <c r="W21" s="709">
        <v>0</v>
      </c>
      <c r="X21" s="709">
        <v>0</v>
      </c>
      <c r="Y21" s="709">
        <v>0</v>
      </c>
      <c r="Z21" s="709">
        <v>0</v>
      </c>
      <c r="AA21" s="709">
        <v>1</v>
      </c>
      <c r="AB21" s="709">
        <v>0</v>
      </c>
      <c r="AC21" s="709">
        <v>0</v>
      </c>
      <c r="AD21" s="709">
        <v>0</v>
      </c>
      <c r="AE21" s="709">
        <v>0</v>
      </c>
      <c r="AF21" s="709">
        <v>0</v>
      </c>
      <c r="AG21" s="709">
        <v>0</v>
      </c>
      <c r="AH21" s="709">
        <v>0</v>
      </c>
      <c r="AI21" s="709">
        <v>0</v>
      </c>
      <c r="AJ21" s="709">
        <v>0</v>
      </c>
      <c r="AK21" s="709">
        <v>0</v>
      </c>
      <c r="AL21" s="709">
        <v>0</v>
      </c>
      <c r="AM21" s="709">
        <v>53</v>
      </c>
      <c r="AN21" s="709">
        <v>0</v>
      </c>
      <c r="AO21" s="709">
        <v>0</v>
      </c>
      <c r="AP21" s="709">
        <v>0</v>
      </c>
      <c r="AQ21" s="709">
        <v>0</v>
      </c>
      <c r="AR21" s="709">
        <v>0</v>
      </c>
      <c r="AS21" s="709">
        <v>0</v>
      </c>
    </row>
    <row r="22" spans="1:45">
      <c r="A22" s="708" t="s">
        <v>1098</v>
      </c>
      <c r="B22" s="709">
        <v>0</v>
      </c>
      <c r="C22" s="709">
        <v>0</v>
      </c>
      <c r="D22" s="709">
        <v>0</v>
      </c>
      <c r="E22" s="709">
        <v>0</v>
      </c>
      <c r="F22" s="709">
        <v>0</v>
      </c>
      <c r="G22" s="709">
        <v>0</v>
      </c>
      <c r="H22" s="709">
        <v>0</v>
      </c>
      <c r="I22" s="709">
        <v>0</v>
      </c>
      <c r="J22" s="709">
        <v>0</v>
      </c>
      <c r="K22" s="709">
        <v>0</v>
      </c>
      <c r="L22" s="709">
        <v>0</v>
      </c>
      <c r="M22" s="709">
        <v>0</v>
      </c>
      <c r="N22" s="709">
        <v>0</v>
      </c>
      <c r="O22" s="709">
        <v>0</v>
      </c>
      <c r="P22" s="709">
        <v>0</v>
      </c>
      <c r="Q22" s="709">
        <v>0</v>
      </c>
      <c r="R22" s="709">
        <v>0</v>
      </c>
      <c r="S22" s="709">
        <v>0</v>
      </c>
      <c r="T22" s="709">
        <v>0</v>
      </c>
      <c r="U22" s="709">
        <v>0</v>
      </c>
      <c r="V22" s="709">
        <v>0</v>
      </c>
      <c r="W22" s="709">
        <v>0</v>
      </c>
      <c r="X22" s="709">
        <v>0</v>
      </c>
      <c r="Y22" s="709">
        <v>0</v>
      </c>
      <c r="Z22" s="709">
        <v>0</v>
      </c>
      <c r="AA22" s="709">
        <v>0</v>
      </c>
      <c r="AB22" s="709">
        <v>0</v>
      </c>
      <c r="AC22" s="709">
        <v>0</v>
      </c>
      <c r="AD22" s="709">
        <v>0</v>
      </c>
      <c r="AE22" s="709">
        <v>0</v>
      </c>
      <c r="AF22" s="709">
        <v>0</v>
      </c>
      <c r="AG22" s="709">
        <v>0</v>
      </c>
      <c r="AH22" s="709">
        <v>0</v>
      </c>
      <c r="AI22" s="709">
        <v>0</v>
      </c>
      <c r="AJ22" s="709">
        <v>0</v>
      </c>
      <c r="AK22" s="709">
        <v>0</v>
      </c>
      <c r="AL22" s="709">
        <v>0</v>
      </c>
      <c r="AM22" s="709">
        <v>0</v>
      </c>
      <c r="AN22" s="709">
        <v>0</v>
      </c>
      <c r="AO22" s="709">
        <v>0</v>
      </c>
      <c r="AP22" s="709">
        <v>0</v>
      </c>
      <c r="AQ22" s="709">
        <v>0</v>
      </c>
      <c r="AR22" s="709">
        <v>0</v>
      </c>
      <c r="AS22" s="709">
        <v>0</v>
      </c>
    </row>
    <row r="23" spans="1:45">
      <c r="A23" s="708" t="s">
        <v>1099</v>
      </c>
      <c r="B23" s="709">
        <v>1</v>
      </c>
      <c r="C23" s="709">
        <v>1</v>
      </c>
      <c r="D23" s="709">
        <v>0</v>
      </c>
      <c r="E23" s="709">
        <v>1</v>
      </c>
      <c r="F23" s="709">
        <v>0</v>
      </c>
      <c r="G23" s="709">
        <v>1</v>
      </c>
      <c r="H23" s="709">
        <v>1</v>
      </c>
      <c r="I23" s="709">
        <v>0</v>
      </c>
      <c r="J23" s="709">
        <v>0</v>
      </c>
      <c r="K23" s="709">
        <v>0</v>
      </c>
      <c r="L23" s="709">
        <v>0</v>
      </c>
      <c r="M23" s="709">
        <v>0</v>
      </c>
      <c r="N23" s="709">
        <v>0</v>
      </c>
      <c r="O23" s="709">
        <v>0</v>
      </c>
      <c r="P23" s="709">
        <v>0</v>
      </c>
      <c r="Q23" s="709">
        <v>0</v>
      </c>
      <c r="R23" s="709">
        <v>0</v>
      </c>
      <c r="S23" s="709">
        <v>0</v>
      </c>
      <c r="T23" s="709">
        <v>0</v>
      </c>
      <c r="U23" s="709">
        <v>0</v>
      </c>
      <c r="V23" s="709">
        <v>0</v>
      </c>
      <c r="W23" s="709">
        <v>0</v>
      </c>
      <c r="X23" s="709">
        <v>0</v>
      </c>
      <c r="Y23" s="709">
        <v>0</v>
      </c>
      <c r="Z23" s="709">
        <v>0</v>
      </c>
      <c r="AA23" s="709">
        <v>0</v>
      </c>
      <c r="AB23" s="709">
        <v>0</v>
      </c>
      <c r="AC23" s="709">
        <v>0</v>
      </c>
      <c r="AD23" s="709">
        <v>0</v>
      </c>
      <c r="AE23" s="709">
        <v>0</v>
      </c>
      <c r="AF23" s="709">
        <v>0</v>
      </c>
      <c r="AG23" s="709">
        <v>0</v>
      </c>
      <c r="AH23" s="709">
        <v>0</v>
      </c>
      <c r="AI23" s="709">
        <v>1</v>
      </c>
      <c r="AJ23" s="709">
        <v>0</v>
      </c>
      <c r="AK23" s="709">
        <v>0</v>
      </c>
      <c r="AL23" s="709">
        <v>0</v>
      </c>
      <c r="AM23" s="709">
        <v>0</v>
      </c>
      <c r="AN23" s="709">
        <v>0</v>
      </c>
      <c r="AO23" s="709">
        <v>0</v>
      </c>
      <c r="AP23" s="709">
        <v>0</v>
      </c>
      <c r="AQ23" s="709">
        <v>0</v>
      </c>
      <c r="AR23" s="709">
        <v>0</v>
      </c>
      <c r="AS23" s="709">
        <v>0</v>
      </c>
    </row>
    <row r="24" spans="1:45">
      <c r="A24" s="708" t="s">
        <v>1100</v>
      </c>
      <c r="B24" s="709">
        <v>1499579</v>
      </c>
      <c r="C24" s="709">
        <v>1367262</v>
      </c>
      <c r="D24" s="709">
        <v>977572</v>
      </c>
      <c r="E24" s="709">
        <v>389690</v>
      </c>
      <c r="F24" s="709">
        <v>805904</v>
      </c>
      <c r="G24" s="709">
        <v>843913</v>
      </c>
      <c r="H24" s="709">
        <v>834631</v>
      </c>
      <c r="I24" s="709">
        <v>812851</v>
      </c>
      <c r="J24" s="709">
        <v>812851</v>
      </c>
      <c r="K24" s="709">
        <v>805904</v>
      </c>
      <c r="L24" s="709">
        <v>19172</v>
      </c>
      <c r="M24" s="709">
        <v>37854</v>
      </c>
      <c r="N24" s="709">
        <v>89699</v>
      </c>
      <c r="O24" s="709">
        <v>90962</v>
      </c>
      <c r="P24" s="709">
        <v>360677</v>
      </c>
      <c r="Q24" s="709">
        <v>9282</v>
      </c>
      <c r="R24" s="709">
        <v>0</v>
      </c>
      <c r="S24" s="709">
        <v>2049</v>
      </c>
      <c r="T24" s="709">
        <v>0</v>
      </c>
      <c r="U24" s="709">
        <v>59635</v>
      </c>
      <c r="V24" s="709">
        <v>72641</v>
      </c>
      <c r="W24" s="709">
        <v>0</v>
      </c>
      <c r="X24" s="709">
        <v>14238</v>
      </c>
      <c r="Y24" s="709">
        <v>22812</v>
      </c>
      <c r="Z24" s="709">
        <v>853</v>
      </c>
      <c r="AA24" s="709">
        <v>40709</v>
      </c>
      <c r="AB24" s="709">
        <v>0</v>
      </c>
      <c r="AC24" s="709">
        <v>132026</v>
      </c>
      <c r="AD24" s="709">
        <v>37566</v>
      </c>
      <c r="AE24" s="709">
        <v>184223</v>
      </c>
      <c r="AF24" s="709">
        <v>3835</v>
      </c>
      <c r="AG24" s="709">
        <v>94463</v>
      </c>
      <c r="AH24" s="709">
        <v>6947</v>
      </c>
      <c r="AI24" s="709">
        <v>21780</v>
      </c>
      <c r="AJ24" s="709">
        <v>117450</v>
      </c>
      <c r="AK24" s="709">
        <v>80706</v>
      </c>
      <c r="AL24" s="709">
        <v>0</v>
      </c>
      <c r="AM24" s="709">
        <v>981056</v>
      </c>
      <c r="AN24" s="709">
        <v>0</v>
      </c>
      <c r="AO24" s="709">
        <v>3484</v>
      </c>
      <c r="AP24" s="709">
        <v>1091</v>
      </c>
      <c r="AQ24" s="709">
        <v>9847</v>
      </c>
      <c r="AR24" s="709">
        <v>0</v>
      </c>
      <c r="AS24" s="709">
        <v>14669</v>
      </c>
    </row>
    <row r="25" spans="1:45">
      <c r="A25" s="708" t="s">
        <v>1101</v>
      </c>
      <c r="B25" s="709">
        <v>517771</v>
      </c>
      <c r="C25" s="709">
        <v>483489</v>
      </c>
      <c r="D25" s="709">
        <v>263166</v>
      </c>
      <c r="E25" s="709">
        <v>220323</v>
      </c>
      <c r="F25" s="709">
        <v>196572</v>
      </c>
      <c r="G25" s="709">
        <v>232774</v>
      </c>
      <c r="H25" s="709">
        <v>218885</v>
      </c>
      <c r="I25" s="709">
        <v>199531</v>
      </c>
      <c r="J25" s="709">
        <v>199531</v>
      </c>
      <c r="K25" s="709">
        <v>196572</v>
      </c>
      <c r="L25" s="709">
        <v>241</v>
      </c>
      <c r="M25" s="709">
        <v>12775</v>
      </c>
      <c r="N25" s="709">
        <v>24585</v>
      </c>
      <c r="O25" s="709">
        <v>16272</v>
      </c>
      <c r="P25" s="709">
        <v>128963</v>
      </c>
      <c r="Q25" s="709">
        <v>13889</v>
      </c>
      <c r="R25" s="709">
        <v>0</v>
      </c>
      <c r="S25" s="709">
        <v>0</v>
      </c>
      <c r="T25" s="709">
        <v>0</v>
      </c>
      <c r="U25" s="709">
        <v>1104</v>
      </c>
      <c r="V25" s="709">
        <v>0</v>
      </c>
      <c r="W25" s="709">
        <v>0</v>
      </c>
      <c r="X25" s="709">
        <v>13367</v>
      </c>
      <c r="Y25" s="709">
        <v>16232</v>
      </c>
      <c r="Z25" s="709">
        <v>73</v>
      </c>
      <c r="AA25" s="709">
        <v>19895</v>
      </c>
      <c r="AB25" s="709">
        <v>0</v>
      </c>
      <c r="AC25" s="709">
        <v>3481</v>
      </c>
      <c r="AD25" s="709">
        <v>19034</v>
      </c>
      <c r="AE25" s="709">
        <v>110042</v>
      </c>
      <c r="AF25" s="709">
        <v>0</v>
      </c>
      <c r="AG25" s="709">
        <v>21507</v>
      </c>
      <c r="AH25" s="709">
        <v>2959</v>
      </c>
      <c r="AI25" s="709">
        <v>19354</v>
      </c>
      <c r="AJ25" s="709">
        <v>43676</v>
      </c>
      <c r="AK25" s="709">
        <v>50322</v>
      </c>
      <c r="AL25" s="709">
        <v>0</v>
      </c>
      <c r="AM25" s="709">
        <v>267991</v>
      </c>
      <c r="AN25" s="709">
        <v>56</v>
      </c>
      <c r="AO25" s="709">
        <v>4825</v>
      </c>
      <c r="AP25" s="709">
        <v>4374</v>
      </c>
      <c r="AQ25" s="709">
        <v>3478</v>
      </c>
      <c r="AR25" s="709">
        <v>3261</v>
      </c>
      <c r="AS25" s="709">
        <v>0</v>
      </c>
    </row>
    <row r="26" spans="1:45">
      <c r="A26" s="708" t="s">
        <v>1102</v>
      </c>
      <c r="B26" s="709">
        <v>668457</v>
      </c>
      <c r="C26" s="709">
        <v>662254</v>
      </c>
      <c r="D26" s="709">
        <v>606925</v>
      </c>
      <c r="E26" s="709">
        <v>55329</v>
      </c>
      <c r="F26" s="709">
        <v>565462</v>
      </c>
      <c r="G26" s="709">
        <v>567997</v>
      </c>
      <c r="H26" s="709">
        <v>567757</v>
      </c>
      <c r="I26" s="709">
        <v>565619</v>
      </c>
      <c r="J26" s="709">
        <v>565619</v>
      </c>
      <c r="K26" s="709">
        <v>565462</v>
      </c>
      <c r="L26" s="709">
        <v>0</v>
      </c>
      <c r="M26" s="709">
        <v>568</v>
      </c>
      <c r="N26" s="709">
        <v>15970</v>
      </c>
      <c r="O26" s="709">
        <v>14885</v>
      </c>
      <c r="P26" s="709">
        <v>287905</v>
      </c>
      <c r="Q26" s="709">
        <v>240</v>
      </c>
      <c r="R26" s="709">
        <v>0</v>
      </c>
      <c r="S26" s="709">
        <v>0</v>
      </c>
      <c r="T26" s="709">
        <v>0</v>
      </c>
      <c r="U26" s="709">
        <v>109135</v>
      </c>
      <c r="V26" s="709">
        <v>120423</v>
      </c>
      <c r="W26" s="709">
        <v>0</v>
      </c>
      <c r="X26" s="709">
        <v>439</v>
      </c>
      <c r="Y26" s="709">
        <v>332</v>
      </c>
      <c r="Z26" s="709">
        <v>0</v>
      </c>
      <c r="AA26" s="709">
        <v>301</v>
      </c>
      <c r="AB26" s="709">
        <v>0</v>
      </c>
      <c r="AC26" s="709">
        <v>23163</v>
      </c>
      <c r="AD26" s="709">
        <v>4029</v>
      </c>
      <c r="AE26" s="709">
        <v>35752</v>
      </c>
      <c r="AF26" s="709">
        <v>9877</v>
      </c>
      <c r="AG26" s="709">
        <v>5635</v>
      </c>
      <c r="AH26" s="709">
        <v>157</v>
      </c>
      <c r="AI26" s="709">
        <v>2138</v>
      </c>
      <c r="AJ26" s="709">
        <v>10930</v>
      </c>
      <c r="AK26" s="709">
        <v>26578</v>
      </c>
      <c r="AL26" s="709">
        <v>0</v>
      </c>
      <c r="AM26" s="709">
        <v>606925</v>
      </c>
      <c r="AN26" s="709">
        <v>0</v>
      </c>
      <c r="AO26" s="709">
        <v>0</v>
      </c>
      <c r="AP26" s="709">
        <v>9757</v>
      </c>
      <c r="AQ26" s="709">
        <v>0</v>
      </c>
      <c r="AR26" s="709">
        <v>553</v>
      </c>
      <c r="AS26" s="709">
        <v>20928</v>
      </c>
    </row>
    <row r="27" spans="1:45">
      <c r="A27" s="708" t="s">
        <v>1103</v>
      </c>
      <c r="B27" s="709">
        <v>158133</v>
      </c>
      <c r="C27" s="709">
        <v>151784</v>
      </c>
      <c r="D27" s="709">
        <v>116878</v>
      </c>
      <c r="E27" s="709">
        <v>34906</v>
      </c>
      <c r="F27" s="709">
        <v>56764</v>
      </c>
      <c r="G27" s="709">
        <v>67014</v>
      </c>
      <c r="H27" s="709">
        <v>63648</v>
      </c>
      <c r="I27" s="709">
        <v>56805</v>
      </c>
      <c r="J27" s="709">
        <v>56805</v>
      </c>
      <c r="K27" s="709">
        <v>56764</v>
      </c>
      <c r="L27" s="709">
        <v>0</v>
      </c>
      <c r="M27" s="709">
        <v>312</v>
      </c>
      <c r="N27" s="709">
        <v>7574</v>
      </c>
      <c r="O27" s="709">
        <v>2930</v>
      </c>
      <c r="P27" s="709">
        <v>36760</v>
      </c>
      <c r="Q27" s="709">
        <v>3366</v>
      </c>
      <c r="R27" s="709">
        <v>0</v>
      </c>
      <c r="S27" s="709">
        <v>0</v>
      </c>
      <c r="T27" s="709">
        <v>0</v>
      </c>
      <c r="U27" s="709">
        <v>4430</v>
      </c>
      <c r="V27" s="709">
        <v>0</v>
      </c>
      <c r="W27" s="709">
        <v>0</v>
      </c>
      <c r="X27" s="709">
        <v>3100</v>
      </c>
      <c r="Y27" s="709">
        <v>1495</v>
      </c>
      <c r="Z27" s="709">
        <v>0</v>
      </c>
      <c r="AA27" s="709">
        <v>1788</v>
      </c>
      <c r="AB27" s="709">
        <v>0</v>
      </c>
      <c r="AC27" s="709">
        <v>12193</v>
      </c>
      <c r="AD27" s="709">
        <v>494</v>
      </c>
      <c r="AE27" s="709">
        <v>10699</v>
      </c>
      <c r="AF27" s="709">
        <v>0</v>
      </c>
      <c r="AG27" s="709">
        <v>6037</v>
      </c>
      <c r="AH27" s="709">
        <v>41</v>
      </c>
      <c r="AI27" s="709">
        <v>6843</v>
      </c>
      <c r="AJ27" s="709">
        <v>2887</v>
      </c>
      <c r="AK27" s="709">
        <v>0</v>
      </c>
      <c r="AL27" s="709">
        <v>57184</v>
      </c>
      <c r="AM27" s="709">
        <v>116911</v>
      </c>
      <c r="AN27" s="709">
        <v>0</v>
      </c>
      <c r="AO27" s="709">
        <v>33</v>
      </c>
      <c r="AP27" s="709">
        <v>298</v>
      </c>
      <c r="AQ27" s="709">
        <v>0</v>
      </c>
      <c r="AR27" s="709">
        <v>2269</v>
      </c>
      <c r="AS27" s="709">
        <v>0</v>
      </c>
    </row>
    <row r="28" spans="1:45">
      <c r="A28" s="708" t="s">
        <v>1104</v>
      </c>
      <c r="B28" s="709">
        <v>4860</v>
      </c>
      <c r="C28" s="709">
        <v>4860</v>
      </c>
      <c r="D28" s="709">
        <v>4860</v>
      </c>
      <c r="E28" s="709">
        <v>0</v>
      </c>
      <c r="F28" s="709">
        <v>0</v>
      </c>
      <c r="G28" s="709">
        <v>0</v>
      </c>
      <c r="H28" s="709">
        <v>0</v>
      </c>
      <c r="I28" s="709">
        <v>0</v>
      </c>
      <c r="J28" s="709">
        <v>0</v>
      </c>
      <c r="K28" s="709">
        <v>0</v>
      </c>
      <c r="L28" s="709">
        <v>0</v>
      </c>
      <c r="M28" s="709">
        <v>0</v>
      </c>
      <c r="N28" s="709">
        <v>0</v>
      </c>
      <c r="O28" s="709">
        <v>0</v>
      </c>
      <c r="P28" s="709">
        <v>0</v>
      </c>
      <c r="Q28" s="709">
        <v>0</v>
      </c>
      <c r="R28" s="709">
        <v>0</v>
      </c>
      <c r="S28" s="709">
        <v>0</v>
      </c>
      <c r="T28" s="709">
        <v>0</v>
      </c>
      <c r="U28" s="709">
        <v>0</v>
      </c>
      <c r="V28" s="709">
        <v>0</v>
      </c>
      <c r="W28" s="709">
        <v>0</v>
      </c>
      <c r="X28" s="709">
        <v>0</v>
      </c>
      <c r="Y28" s="709">
        <v>0</v>
      </c>
      <c r="Z28" s="709">
        <v>0</v>
      </c>
      <c r="AA28" s="709">
        <v>0</v>
      </c>
      <c r="AB28" s="709">
        <v>0</v>
      </c>
      <c r="AC28" s="709">
        <v>0</v>
      </c>
      <c r="AD28" s="709">
        <v>0</v>
      </c>
      <c r="AE28" s="709">
        <v>0</v>
      </c>
      <c r="AF28" s="709">
        <v>0</v>
      </c>
      <c r="AG28" s="709">
        <v>0</v>
      </c>
      <c r="AH28" s="709">
        <v>0</v>
      </c>
      <c r="AI28" s="709">
        <v>0</v>
      </c>
      <c r="AJ28" s="709">
        <v>0</v>
      </c>
      <c r="AK28" s="709">
        <v>4860</v>
      </c>
      <c r="AL28" s="709">
        <v>0</v>
      </c>
      <c r="AM28" s="709">
        <v>4860</v>
      </c>
      <c r="AN28" s="709">
        <v>0</v>
      </c>
      <c r="AO28" s="709">
        <v>0</v>
      </c>
      <c r="AP28" s="709">
        <v>0</v>
      </c>
      <c r="AQ28" s="709">
        <v>0</v>
      </c>
      <c r="AR28" s="709">
        <v>0</v>
      </c>
      <c r="AS28" s="709">
        <v>0</v>
      </c>
    </row>
    <row r="29" spans="1:45">
      <c r="A29" s="708" t="s">
        <v>1105</v>
      </c>
      <c r="B29" s="709">
        <v>17448</v>
      </c>
      <c r="C29" s="709">
        <v>17448</v>
      </c>
      <c r="D29" s="709">
        <v>17448</v>
      </c>
      <c r="E29" s="709">
        <v>0</v>
      </c>
      <c r="F29" s="709">
        <v>10</v>
      </c>
      <c r="G29" s="709">
        <v>10</v>
      </c>
      <c r="H29" s="709">
        <v>10</v>
      </c>
      <c r="I29" s="709">
        <v>10</v>
      </c>
      <c r="J29" s="709">
        <v>10</v>
      </c>
      <c r="K29" s="709">
        <v>10</v>
      </c>
      <c r="L29" s="709">
        <v>0</v>
      </c>
      <c r="M29" s="709">
        <v>0</v>
      </c>
      <c r="N29" s="709">
        <v>0</v>
      </c>
      <c r="O29" s="709">
        <v>0</v>
      </c>
      <c r="P29" s="709">
        <v>0</v>
      </c>
      <c r="Q29" s="709">
        <v>0</v>
      </c>
      <c r="R29" s="709">
        <v>0</v>
      </c>
      <c r="S29" s="709">
        <v>0</v>
      </c>
      <c r="T29" s="709">
        <v>0</v>
      </c>
      <c r="U29" s="709">
        <v>0</v>
      </c>
      <c r="V29" s="709">
        <v>0</v>
      </c>
      <c r="W29" s="709">
        <v>0</v>
      </c>
      <c r="X29" s="709">
        <v>0</v>
      </c>
      <c r="Y29" s="709">
        <v>0</v>
      </c>
      <c r="Z29" s="709">
        <v>0</v>
      </c>
      <c r="AA29" s="709">
        <v>0</v>
      </c>
      <c r="AB29" s="709">
        <v>0</v>
      </c>
      <c r="AC29" s="709">
        <v>0</v>
      </c>
      <c r="AD29" s="709">
        <v>0</v>
      </c>
      <c r="AE29" s="709">
        <v>0</v>
      </c>
      <c r="AF29" s="709">
        <v>0</v>
      </c>
      <c r="AG29" s="709">
        <v>0</v>
      </c>
      <c r="AH29" s="709">
        <v>0</v>
      </c>
      <c r="AI29" s="709">
        <v>0</v>
      </c>
      <c r="AJ29" s="709">
        <v>10</v>
      </c>
      <c r="AK29" s="709">
        <v>17438</v>
      </c>
      <c r="AL29" s="709">
        <v>0</v>
      </c>
      <c r="AM29" s="709">
        <v>17972</v>
      </c>
      <c r="AN29" s="709">
        <v>0</v>
      </c>
      <c r="AO29" s="709">
        <v>524</v>
      </c>
      <c r="AP29" s="709">
        <v>0</v>
      </c>
      <c r="AQ29" s="709">
        <v>0</v>
      </c>
      <c r="AR29" s="709">
        <v>0</v>
      </c>
      <c r="AS29" s="709">
        <v>0</v>
      </c>
    </row>
    <row r="30" spans="1:45">
      <c r="A30" s="708" t="s">
        <v>1106</v>
      </c>
      <c r="B30" s="709">
        <v>0</v>
      </c>
      <c r="C30" s="709">
        <v>0</v>
      </c>
      <c r="D30" s="709">
        <v>0</v>
      </c>
      <c r="E30" s="709">
        <v>0</v>
      </c>
      <c r="F30" s="709">
        <v>0</v>
      </c>
      <c r="G30" s="709">
        <v>0</v>
      </c>
      <c r="H30" s="709">
        <v>0</v>
      </c>
      <c r="I30" s="709">
        <v>0</v>
      </c>
      <c r="J30" s="709">
        <v>0</v>
      </c>
      <c r="K30" s="709">
        <v>0</v>
      </c>
      <c r="L30" s="709">
        <v>0</v>
      </c>
      <c r="M30" s="709">
        <v>0</v>
      </c>
      <c r="N30" s="709">
        <v>0</v>
      </c>
      <c r="O30" s="709">
        <v>0</v>
      </c>
      <c r="P30" s="709">
        <v>0</v>
      </c>
      <c r="Q30" s="709">
        <v>0</v>
      </c>
      <c r="R30" s="709">
        <v>0</v>
      </c>
      <c r="S30" s="709">
        <v>0</v>
      </c>
      <c r="T30" s="709">
        <v>0</v>
      </c>
      <c r="U30" s="709">
        <v>0</v>
      </c>
      <c r="V30" s="709">
        <v>0</v>
      </c>
      <c r="W30" s="709">
        <v>0</v>
      </c>
      <c r="X30" s="709">
        <v>0</v>
      </c>
      <c r="Y30" s="709">
        <v>0</v>
      </c>
      <c r="Z30" s="709">
        <v>0</v>
      </c>
      <c r="AA30" s="709">
        <v>0</v>
      </c>
      <c r="AB30" s="709">
        <v>0</v>
      </c>
      <c r="AC30" s="709">
        <v>0</v>
      </c>
      <c r="AD30" s="709">
        <v>0</v>
      </c>
      <c r="AE30" s="709">
        <v>0</v>
      </c>
      <c r="AF30" s="709">
        <v>0</v>
      </c>
      <c r="AG30" s="709">
        <v>0</v>
      </c>
      <c r="AH30" s="709">
        <v>0</v>
      </c>
      <c r="AI30" s="709">
        <v>0</v>
      </c>
      <c r="AJ30" s="709">
        <v>0</v>
      </c>
      <c r="AK30" s="709">
        <v>0</v>
      </c>
      <c r="AL30" s="709">
        <v>0</v>
      </c>
      <c r="AM30" s="709">
        <v>0</v>
      </c>
      <c r="AN30" s="709">
        <v>0</v>
      </c>
      <c r="AO30" s="709">
        <v>0</v>
      </c>
      <c r="AP30" s="709">
        <v>0</v>
      </c>
      <c r="AQ30" s="709">
        <v>0</v>
      </c>
      <c r="AR30" s="709">
        <v>0</v>
      </c>
      <c r="AS30" s="709">
        <v>0</v>
      </c>
    </row>
    <row r="31" spans="1:45">
      <c r="A31" s="708" t="s">
        <v>1107</v>
      </c>
      <c r="B31" s="709">
        <v>78</v>
      </c>
      <c r="C31" s="709">
        <v>78</v>
      </c>
      <c r="D31" s="709">
        <v>72</v>
      </c>
      <c r="E31" s="709">
        <v>6</v>
      </c>
      <c r="F31" s="709">
        <v>0</v>
      </c>
      <c r="G31" s="709">
        <v>6</v>
      </c>
      <c r="H31" s="709">
        <v>6</v>
      </c>
      <c r="I31" s="709">
        <v>0</v>
      </c>
      <c r="J31" s="709">
        <v>0</v>
      </c>
      <c r="K31" s="709">
        <v>0</v>
      </c>
      <c r="L31" s="709">
        <v>0</v>
      </c>
      <c r="M31" s="709">
        <v>0</v>
      </c>
      <c r="N31" s="709">
        <v>0</v>
      </c>
      <c r="O31" s="709">
        <v>72</v>
      </c>
      <c r="P31" s="709">
        <v>0</v>
      </c>
      <c r="Q31" s="709">
        <v>0</v>
      </c>
      <c r="R31" s="709">
        <v>0</v>
      </c>
      <c r="S31" s="709">
        <v>0</v>
      </c>
      <c r="T31" s="709">
        <v>0</v>
      </c>
      <c r="U31" s="709">
        <v>0</v>
      </c>
      <c r="V31" s="709">
        <v>0</v>
      </c>
      <c r="W31" s="709">
        <v>0</v>
      </c>
      <c r="X31" s="709">
        <v>0</v>
      </c>
      <c r="Y31" s="709">
        <v>0</v>
      </c>
      <c r="Z31" s="709">
        <v>0</v>
      </c>
      <c r="AA31" s="709">
        <v>0</v>
      </c>
      <c r="AB31" s="709">
        <v>0</v>
      </c>
      <c r="AC31" s="709">
        <v>0</v>
      </c>
      <c r="AD31" s="709">
        <v>0</v>
      </c>
      <c r="AE31" s="709">
        <v>0</v>
      </c>
      <c r="AF31" s="709">
        <v>0</v>
      </c>
      <c r="AG31" s="709">
        <v>0</v>
      </c>
      <c r="AH31" s="709">
        <v>0</v>
      </c>
      <c r="AI31" s="709">
        <v>6</v>
      </c>
      <c r="AJ31" s="709">
        <v>0</v>
      </c>
      <c r="AK31" s="709">
        <v>0</v>
      </c>
      <c r="AL31" s="709">
        <v>0</v>
      </c>
      <c r="AM31" s="709">
        <v>77</v>
      </c>
      <c r="AN31" s="709">
        <v>0</v>
      </c>
      <c r="AO31" s="709">
        <v>5</v>
      </c>
      <c r="AP31" s="709">
        <v>47</v>
      </c>
      <c r="AQ31" s="709">
        <v>0</v>
      </c>
      <c r="AR31" s="709">
        <v>0</v>
      </c>
      <c r="AS31" s="709">
        <v>0</v>
      </c>
    </row>
    <row r="32" spans="1:45">
      <c r="A32" s="708" t="s">
        <v>1108</v>
      </c>
      <c r="B32" s="709">
        <v>442</v>
      </c>
      <c r="C32" s="709">
        <v>442</v>
      </c>
      <c r="D32" s="709">
        <v>442</v>
      </c>
      <c r="E32" s="709">
        <v>0</v>
      </c>
      <c r="F32" s="709">
        <v>0</v>
      </c>
      <c r="G32" s="709">
        <v>0</v>
      </c>
      <c r="H32" s="709">
        <v>0</v>
      </c>
      <c r="I32" s="709">
        <v>0</v>
      </c>
      <c r="J32" s="709">
        <v>0</v>
      </c>
      <c r="K32" s="709">
        <v>0</v>
      </c>
      <c r="L32" s="709">
        <v>0</v>
      </c>
      <c r="M32" s="709">
        <v>0</v>
      </c>
      <c r="N32" s="709">
        <v>0</v>
      </c>
      <c r="O32" s="709">
        <v>0</v>
      </c>
      <c r="P32" s="709">
        <v>0</v>
      </c>
      <c r="Q32" s="709">
        <v>0</v>
      </c>
      <c r="R32" s="709">
        <v>0</v>
      </c>
      <c r="S32" s="709">
        <v>0</v>
      </c>
      <c r="T32" s="709">
        <v>0</v>
      </c>
      <c r="U32" s="709">
        <v>0</v>
      </c>
      <c r="V32" s="709">
        <v>0</v>
      </c>
      <c r="W32" s="709">
        <v>0</v>
      </c>
      <c r="X32" s="709">
        <v>0</v>
      </c>
      <c r="Y32" s="709">
        <v>0</v>
      </c>
      <c r="Z32" s="709">
        <v>0</v>
      </c>
      <c r="AA32" s="709">
        <v>0</v>
      </c>
      <c r="AB32" s="709">
        <v>0</v>
      </c>
      <c r="AC32" s="709">
        <v>0</v>
      </c>
      <c r="AD32" s="709">
        <v>0</v>
      </c>
      <c r="AE32" s="709">
        <v>0</v>
      </c>
      <c r="AF32" s="709">
        <v>0</v>
      </c>
      <c r="AG32" s="709">
        <v>0</v>
      </c>
      <c r="AH32" s="709">
        <v>0</v>
      </c>
      <c r="AI32" s="709">
        <v>0</v>
      </c>
      <c r="AJ32" s="709">
        <v>0</v>
      </c>
      <c r="AK32" s="709">
        <v>442</v>
      </c>
      <c r="AL32" s="709">
        <v>0</v>
      </c>
      <c r="AM32" s="709">
        <v>442</v>
      </c>
      <c r="AN32" s="709">
        <v>0</v>
      </c>
      <c r="AO32" s="709">
        <v>0</v>
      </c>
      <c r="AP32" s="709">
        <v>0</v>
      </c>
      <c r="AQ32" s="709">
        <v>0</v>
      </c>
      <c r="AR32" s="709">
        <v>0</v>
      </c>
      <c r="AS32" s="709">
        <v>0</v>
      </c>
    </row>
    <row r="33" spans="1:45">
      <c r="A33" s="708" t="s">
        <v>1109</v>
      </c>
      <c r="B33" s="709">
        <v>823</v>
      </c>
      <c r="C33" s="709">
        <v>823</v>
      </c>
      <c r="D33" s="709">
        <v>784</v>
      </c>
      <c r="E33" s="709">
        <v>39</v>
      </c>
      <c r="F33" s="709">
        <v>64</v>
      </c>
      <c r="G33" s="709">
        <v>64</v>
      </c>
      <c r="H33" s="709">
        <v>64</v>
      </c>
      <c r="I33" s="709">
        <v>64</v>
      </c>
      <c r="J33" s="709">
        <v>64</v>
      </c>
      <c r="K33" s="709">
        <v>64</v>
      </c>
      <c r="L33" s="709">
        <v>0</v>
      </c>
      <c r="M33" s="709">
        <v>0</v>
      </c>
      <c r="N33" s="709">
        <v>0</v>
      </c>
      <c r="O33" s="709">
        <v>0</v>
      </c>
      <c r="P33" s="709">
        <v>0</v>
      </c>
      <c r="Q33" s="709">
        <v>0</v>
      </c>
      <c r="R33" s="709">
        <v>0</v>
      </c>
      <c r="S33" s="709">
        <v>0</v>
      </c>
      <c r="T33" s="709">
        <v>0</v>
      </c>
      <c r="U33" s="709">
        <v>0</v>
      </c>
      <c r="V33" s="709">
        <v>0</v>
      </c>
      <c r="W33" s="709">
        <v>0</v>
      </c>
      <c r="X33" s="709">
        <v>0</v>
      </c>
      <c r="Y33" s="709">
        <v>39</v>
      </c>
      <c r="Z33" s="709">
        <v>0</v>
      </c>
      <c r="AA33" s="709">
        <v>0</v>
      </c>
      <c r="AB33" s="709">
        <v>0</v>
      </c>
      <c r="AC33" s="709">
        <v>0</v>
      </c>
      <c r="AD33" s="709">
        <v>0</v>
      </c>
      <c r="AE33" s="709">
        <v>0</v>
      </c>
      <c r="AF33" s="709">
        <v>0</v>
      </c>
      <c r="AG33" s="709">
        <v>0</v>
      </c>
      <c r="AH33" s="709">
        <v>0</v>
      </c>
      <c r="AI33" s="709">
        <v>0</v>
      </c>
      <c r="AJ33" s="709">
        <v>64</v>
      </c>
      <c r="AK33" s="709">
        <v>720</v>
      </c>
      <c r="AL33" s="709">
        <v>0</v>
      </c>
      <c r="AM33" s="709">
        <v>3044</v>
      </c>
      <c r="AN33" s="709">
        <v>567</v>
      </c>
      <c r="AO33" s="709">
        <v>2260</v>
      </c>
      <c r="AP33" s="709">
        <v>0</v>
      </c>
      <c r="AQ33" s="709">
        <v>0</v>
      </c>
      <c r="AR33" s="709">
        <v>0</v>
      </c>
      <c r="AS33" s="709">
        <v>0</v>
      </c>
    </row>
    <row r="34" spans="1:45">
      <c r="A34" s="708" t="s">
        <v>1110</v>
      </c>
      <c r="B34" s="709">
        <v>0</v>
      </c>
      <c r="C34" s="709">
        <v>0</v>
      </c>
      <c r="D34" s="709">
        <v>0</v>
      </c>
      <c r="E34" s="709">
        <v>0</v>
      </c>
      <c r="F34" s="709">
        <v>0</v>
      </c>
      <c r="G34" s="709">
        <v>0</v>
      </c>
      <c r="H34" s="709">
        <v>0</v>
      </c>
      <c r="I34" s="709">
        <v>0</v>
      </c>
      <c r="J34" s="709">
        <v>0</v>
      </c>
      <c r="K34" s="709">
        <v>0</v>
      </c>
      <c r="L34" s="709">
        <v>0</v>
      </c>
      <c r="M34" s="709">
        <v>0</v>
      </c>
      <c r="N34" s="709">
        <v>0</v>
      </c>
      <c r="O34" s="709">
        <v>0</v>
      </c>
      <c r="P34" s="709">
        <v>0</v>
      </c>
      <c r="Q34" s="709">
        <v>0</v>
      </c>
      <c r="R34" s="709">
        <v>0</v>
      </c>
      <c r="S34" s="709">
        <v>0</v>
      </c>
      <c r="T34" s="709">
        <v>0</v>
      </c>
      <c r="U34" s="709">
        <v>0</v>
      </c>
      <c r="V34" s="709">
        <v>0</v>
      </c>
      <c r="W34" s="709">
        <v>0</v>
      </c>
      <c r="X34" s="709">
        <v>0</v>
      </c>
      <c r="Y34" s="709">
        <v>0</v>
      </c>
      <c r="Z34" s="709">
        <v>0</v>
      </c>
      <c r="AA34" s="709">
        <v>0</v>
      </c>
      <c r="AB34" s="709">
        <v>0</v>
      </c>
      <c r="AC34" s="709">
        <v>0</v>
      </c>
      <c r="AD34" s="709">
        <v>0</v>
      </c>
      <c r="AE34" s="709">
        <v>0</v>
      </c>
      <c r="AF34" s="709">
        <v>0</v>
      </c>
      <c r="AG34" s="709">
        <v>0</v>
      </c>
      <c r="AH34" s="709">
        <v>0</v>
      </c>
      <c r="AI34" s="709">
        <v>0</v>
      </c>
      <c r="AJ34" s="709">
        <v>0</v>
      </c>
      <c r="AK34" s="709">
        <v>0</v>
      </c>
      <c r="AL34" s="709">
        <v>0</v>
      </c>
      <c r="AM34" s="709">
        <v>0</v>
      </c>
      <c r="AN34" s="709">
        <v>0</v>
      </c>
      <c r="AO34" s="709">
        <v>0</v>
      </c>
      <c r="AP34" s="709">
        <v>0</v>
      </c>
      <c r="AQ34" s="709">
        <v>0</v>
      </c>
      <c r="AR34" s="709">
        <v>0</v>
      </c>
      <c r="AS34" s="709">
        <v>0</v>
      </c>
    </row>
    <row r="35" spans="1:45">
      <c r="A35" s="708" t="s">
        <v>1111</v>
      </c>
      <c r="B35" s="709">
        <v>4</v>
      </c>
      <c r="C35" s="709">
        <v>4</v>
      </c>
      <c r="D35" s="709">
        <v>0</v>
      </c>
      <c r="E35" s="709">
        <v>4</v>
      </c>
      <c r="F35" s="709">
        <v>0</v>
      </c>
      <c r="G35" s="709">
        <v>2</v>
      </c>
      <c r="H35" s="709">
        <v>2</v>
      </c>
      <c r="I35" s="709">
        <v>0</v>
      </c>
      <c r="J35" s="709">
        <v>0</v>
      </c>
      <c r="K35" s="709">
        <v>0</v>
      </c>
      <c r="L35" s="709">
        <v>0</v>
      </c>
      <c r="M35" s="709">
        <v>0</v>
      </c>
      <c r="N35" s="709">
        <v>0</v>
      </c>
      <c r="O35" s="709">
        <v>0</v>
      </c>
      <c r="P35" s="709">
        <v>0</v>
      </c>
      <c r="Q35" s="709">
        <v>0</v>
      </c>
      <c r="R35" s="709">
        <v>0</v>
      </c>
      <c r="S35" s="709">
        <v>0</v>
      </c>
      <c r="T35" s="709">
        <v>0</v>
      </c>
      <c r="U35" s="709">
        <v>0</v>
      </c>
      <c r="V35" s="709">
        <v>0</v>
      </c>
      <c r="W35" s="709">
        <v>0</v>
      </c>
      <c r="X35" s="709">
        <v>0</v>
      </c>
      <c r="Y35" s="709">
        <v>2</v>
      </c>
      <c r="Z35" s="709">
        <v>0</v>
      </c>
      <c r="AA35" s="709">
        <v>0</v>
      </c>
      <c r="AB35" s="709">
        <v>0</v>
      </c>
      <c r="AC35" s="709">
        <v>0</v>
      </c>
      <c r="AD35" s="709">
        <v>0</v>
      </c>
      <c r="AE35" s="709">
        <v>0</v>
      </c>
      <c r="AF35" s="709">
        <v>0</v>
      </c>
      <c r="AG35" s="709">
        <v>0</v>
      </c>
      <c r="AH35" s="709">
        <v>0</v>
      </c>
      <c r="AI35" s="709">
        <v>2</v>
      </c>
      <c r="AJ35" s="709">
        <v>0</v>
      </c>
      <c r="AK35" s="709">
        <v>0</v>
      </c>
      <c r="AL35" s="709">
        <v>0</v>
      </c>
      <c r="AM35" s="709">
        <v>3</v>
      </c>
      <c r="AN35" s="709">
        <v>0</v>
      </c>
      <c r="AO35" s="709">
        <v>3</v>
      </c>
      <c r="AP35" s="709">
        <v>0</v>
      </c>
      <c r="AQ35" s="709">
        <v>0</v>
      </c>
      <c r="AR35" s="709">
        <v>0</v>
      </c>
      <c r="AS35" s="709">
        <v>0</v>
      </c>
    </row>
    <row r="36" spans="1:45">
      <c r="A36" s="708" t="s">
        <v>1112</v>
      </c>
      <c r="B36" s="709">
        <v>8048</v>
      </c>
      <c r="C36" s="709">
        <v>8048</v>
      </c>
      <c r="D36" s="709">
        <v>3410</v>
      </c>
      <c r="E36" s="709">
        <v>4638</v>
      </c>
      <c r="F36" s="709">
        <v>3410</v>
      </c>
      <c r="G36" s="709">
        <v>3410</v>
      </c>
      <c r="H36" s="709">
        <v>3410</v>
      </c>
      <c r="I36" s="709">
        <v>3410</v>
      </c>
      <c r="J36" s="709">
        <v>3410</v>
      </c>
      <c r="K36" s="709">
        <v>3410</v>
      </c>
      <c r="L36" s="709">
        <v>2902</v>
      </c>
      <c r="M36" s="709">
        <v>0</v>
      </c>
      <c r="N36" s="709">
        <v>0</v>
      </c>
      <c r="O36" s="709">
        <v>0</v>
      </c>
      <c r="P36" s="709">
        <v>0</v>
      </c>
      <c r="Q36" s="709">
        <v>0</v>
      </c>
      <c r="R36" s="709">
        <v>0</v>
      </c>
      <c r="S36" s="709">
        <v>0</v>
      </c>
      <c r="T36" s="709">
        <v>0</v>
      </c>
      <c r="U36" s="709">
        <v>0</v>
      </c>
      <c r="V36" s="709">
        <v>0</v>
      </c>
      <c r="W36" s="709">
        <v>0</v>
      </c>
      <c r="X36" s="709">
        <v>0</v>
      </c>
      <c r="Y36" s="709">
        <v>4638</v>
      </c>
      <c r="Z36" s="709">
        <v>0</v>
      </c>
      <c r="AA36" s="709">
        <v>0</v>
      </c>
      <c r="AB36" s="709">
        <v>0</v>
      </c>
      <c r="AC36" s="709">
        <v>0</v>
      </c>
      <c r="AD36" s="709">
        <v>0</v>
      </c>
      <c r="AE36" s="709">
        <v>0</v>
      </c>
      <c r="AF36" s="709">
        <v>0</v>
      </c>
      <c r="AG36" s="709">
        <v>0</v>
      </c>
      <c r="AH36" s="709">
        <v>0</v>
      </c>
      <c r="AI36" s="709">
        <v>0</v>
      </c>
      <c r="AJ36" s="709">
        <v>508</v>
      </c>
      <c r="AK36" s="709">
        <v>0</v>
      </c>
      <c r="AL36" s="709">
        <v>0</v>
      </c>
      <c r="AM36" s="709">
        <v>3410</v>
      </c>
      <c r="AN36" s="709">
        <v>0</v>
      </c>
      <c r="AO36" s="709">
        <v>0</v>
      </c>
      <c r="AP36" s="709">
        <v>0</v>
      </c>
      <c r="AQ36" s="709">
        <v>0</v>
      </c>
      <c r="AR36" s="709">
        <v>0</v>
      </c>
      <c r="AS36" s="709">
        <v>0</v>
      </c>
    </row>
    <row r="37" spans="1:45">
      <c r="A37" s="708" t="s">
        <v>1113</v>
      </c>
      <c r="B37" s="709">
        <v>5585</v>
      </c>
      <c r="C37" s="709">
        <v>5585</v>
      </c>
      <c r="D37" s="709">
        <v>3206</v>
      </c>
      <c r="E37" s="709">
        <v>2379</v>
      </c>
      <c r="F37" s="709">
        <v>3206</v>
      </c>
      <c r="G37" s="709">
        <v>3206</v>
      </c>
      <c r="H37" s="709">
        <v>3206</v>
      </c>
      <c r="I37" s="709">
        <v>3206</v>
      </c>
      <c r="J37" s="709">
        <v>3206</v>
      </c>
      <c r="K37" s="709">
        <v>3206</v>
      </c>
      <c r="L37" s="709">
        <v>0</v>
      </c>
      <c r="M37" s="709">
        <v>0</v>
      </c>
      <c r="N37" s="709">
        <v>20</v>
      </c>
      <c r="O37" s="709">
        <v>0</v>
      </c>
      <c r="P37" s="709">
        <v>0</v>
      </c>
      <c r="Q37" s="709">
        <v>0</v>
      </c>
      <c r="R37" s="709">
        <v>0</v>
      </c>
      <c r="S37" s="709">
        <v>0</v>
      </c>
      <c r="T37" s="709">
        <v>0</v>
      </c>
      <c r="U37" s="709">
        <v>0</v>
      </c>
      <c r="V37" s="709">
        <v>0</v>
      </c>
      <c r="W37" s="709">
        <v>0</v>
      </c>
      <c r="X37" s="709">
        <v>0</v>
      </c>
      <c r="Y37" s="709">
        <v>2359</v>
      </c>
      <c r="Z37" s="709">
        <v>0</v>
      </c>
      <c r="AA37" s="709">
        <v>0</v>
      </c>
      <c r="AB37" s="709">
        <v>0</v>
      </c>
      <c r="AC37" s="709">
        <v>0</v>
      </c>
      <c r="AD37" s="709">
        <v>33</v>
      </c>
      <c r="AE37" s="709">
        <v>0</v>
      </c>
      <c r="AF37" s="709">
        <v>0</v>
      </c>
      <c r="AG37" s="709">
        <v>0</v>
      </c>
      <c r="AH37" s="709">
        <v>0</v>
      </c>
      <c r="AI37" s="709">
        <v>0</v>
      </c>
      <c r="AJ37" s="709">
        <v>3173</v>
      </c>
      <c r="AK37" s="709">
        <v>0</v>
      </c>
      <c r="AL37" s="709">
        <v>0</v>
      </c>
      <c r="AM37" s="709">
        <v>4254</v>
      </c>
      <c r="AN37" s="709">
        <v>0</v>
      </c>
      <c r="AO37" s="709">
        <v>1048</v>
      </c>
      <c r="AP37" s="709">
        <v>0</v>
      </c>
      <c r="AQ37" s="709">
        <v>0</v>
      </c>
      <c r="AR37" s="709">
        <v>0</v>
      </c>
      <c r="AS37" s="709">
        <v>0</v>
      </c>
    </row>
    <row r="38" spans="1:45">
      <c r="A38" s="708" t="s">
        <v>1114</v>
      </c>
      <c r="B38" s="709">
        <v>292</v>
      </c>
      <c r="C38" s="709">
        <v>292</v>
      </c>
      <c r="D38" s="709">
        <v>0</v>
      </c>
      <c r="E38" s="709">
        <v>292</v>
      </c>
      <c r="F38" s="709">
        <v>0</v>
      </c>
      <c r="G38" s="709">
        <v>0</v>
      </c>
      <c r="H38" s="709">
        <v>0</v>
      </c>
      <c r="I38" s="709">
        <v>0</v>
      </c>
      <c r="J38" s="709">
        <v>0</v>
      </c>
      <c r="K38" s="709">
        <v>0</v>
      </c>
      <c r="L38" s="709">
        <v>0</v>
      </c>
      <c r="M38" s="709">
        <v>0</v>
      </c>
      <c r="N38" s="709">
        <v>292</v>
      </c>
      <c r="O38" s="709">
        <v>0</v>
      </c>
      <c r="P38" s="709">
        <v>0</v>
      </c>
      <c r="Q38" s="709">
        <v>0</v>
      </c>
      <c r="R38" s="709">
        <v>0</v>
      </c>
      <c r="S38" s="709">
        <v>0</v>
      </c>
      <c r="T38" s="709">
        <v>0</v>
      </c>
      <c r="U38" s="709">
        <v>0</v>
      </c>
      <c r="V38" s="709">
        <v>0</v>
      </c>
      <c r="W38" s="709">
        <v>0</v>
      </c>
      <c r="X38" s="709">
        <v>0</v>
      </c>
      <c r="Y38" s="709">
        <v>0</v>
      </c>
      <c r="Z38" s="709">
        <v>0</v>
      </c>
      <c r="AA38" s="709">
        <v>0</v>
      </c>
      <c r="AB38" s="709">
        <v>0</v>
      </c>
      <c r="AC38" s="709">
        <v>0</v>
      </c>
      <c r="AD38" s="709">
        <v>0</v>
      </c>
      <c r="AE38" s="709">
        <v>0</v>
      </c>
      <c r="AF38" s="709">
        <v>0</v>
      </c>
      <c r="AG38" s="709">
        <v>0</v>
      </c>
      <c r="AH38" s="709">
        <v>0</v>
      </c>
      <c r="AI38" s="709">
        <v>0</v>
      </c>
      <c r="AJ38" s="709">
        <v>0</v>
      </c>
      <c r="AK38" s="709">
        <v>0</v>
      </c>
      <c r="AL38" s="709">
        <v>0</v>
      </c>
      <c r="AM38" s="709">
        <v>0</v>
      </c>
      <c r="AN38" s="709">
        <v>0</v>
      </c>
      <c r="AO38" s="709">
        <v>0</v>
      </c>
      <c r="AP38" s="709">
        <v>0</v>
      </c>
      <c r="AQ38" s="709">
        <v>0</v>
      </c>
      <c r="AR38" s="709">
        <v>0</v>
      </c>
      <c r="AS38" s="709">
        <v>0</v>
      </c>
    </row>
    <row r="39" spans="1:45">
      <c r="A39" s="708" t="s">
        <v>1115</v>
      </c>
      <c r="B39" s="709">
        <v>211</v>
      </c>
      <c r="C39" s="709">
        <v>211</v>
      </c>
      <c r="D39" s="709">
        <v>211</v>
      </c>
      <c r="E39" s="709">
        <v>0</v>
      </c>
      <c r="F39" s="709">
        <v>0</v>
      </c>
      <c r="G39" s="709">
        <v>0</v>
      </c>
      <c r="H39" s="709">
        <v>0</v>
      </c>
      <c r="I39" s="709">
        <v>0</v>
      </c>
      <c r="J39" s="709">
        <v>0</v>
      </c>
      <c r="K39" s="709">
        <v>0</v>
      </c>
      <c r="L39" s="709">
        <v>0</v>
      </c>
      <c r="M39" s="709">
        <v>0</v>
      </c>
      <c r="N39" s="709">
        <v>0</v>
      </c>
      <c r="O39" s="709">
        <v>211</v>
      </c>
      <c r="P39" s="709">
        <v>0</v>
      </c>
      <c r="Q39" s="709">
        <v>0</v>
      </c>
      <c r="R39" s="709">
        <v>0</v>
      </c>
      <c r="S39" s="709">
        <v>0</v>
      </c>
      <c r="T39" s="709">
        <v>0</v>
      </c>
      <c r="U39" s="709">
        <v>0</v>
      </c>
      <c r="V39" s="709">
        <v>0</v>
      </c>
      <c r="W39" s="709">
        <v>0</v>
      </c>
      <c r="X39" s="709">
        <v>0</v>
      </c>
      <c r="Y39" s="709">
        <v>0</v>
      </c>
      <c r="Z39" s="709">
        <v>0</v>
      </c>
      <c r="AA39" s="709">
        <v>0</v>
      </c>
      <c r="AB39" s="709">
        <v>0</v>
      </c>
      <c r="AC39" s="709">
        <v>0</v>
      </c>
      <c r="AD39" s="709">
        <v>0</v>
      </c>
      <c r="AE39" s="709">
        <v>0</v>
      </c>
      <c r="AF39" s="709">
        <v>0</v>
      </c>
      <c r="AG39" s="709">
        <v>0</v>
      </c>
      <c r="AH39" s="709">
        <v>0</v>
      </c>
      <c r="AI39" s="709">
        <v>0</v>
      </c>
      <c r="AJ39" s="709">
        <v>0</v>
      </c>
      <c r="AK39" s="709">
        <v>0</v>
      </c>
      <c r="AL39" s="709">
        <v>0</v>
      </c>
      <c r="AM39" s="709">
        <v>211</v>
      </c>
      <c r="AN39" s="709">
        <v>0</v>
      </c>
      <c r="AO39" s="709">
        <v>0</v>
      </c>
      <c r="AP39" s="709">
        <v>0</v>
      </c>
      <c r="AQ39" s="709">
        <v>0</v>
      </c>
      <c r="AR39" s="709">
        <v>0</v>
      </c>
      <c r="AS39" s="709">
        <v>0</v>
      </c>
    </row>
    <row r="40" spans="1:45">
      <c r="A40" s="708" t="s">
        <v>1116</v>
      </c>
      <c r="B40" s="709">
        <v>0</v>
      </c>
      <c r="C40" s="709">
        <v>0</v>
      </c>
      <c r="D40" s="709">
        <v>0</v>
      </c>
      <c r="E40" s="709">
        <v>0</v>
      </c>
      <c r="F40" s="709">
        <v>0</v>
      </c>
      <c r="G40" s="709">
        <v>0</v>
      </c>
      <c r="H40" s="709">
        <v>0</v>
      </c>
      <c r="I40" s="709">
        <v>0</v>
      </c>
      <c r="J40" s="709">
        <v>0</v>
      </c>
      <c r="K40" s="709">
        <v>0</v>
      </c>
      <c r="L40" s="709">
        <v>0</v>
      </c>
      <c r="M40" s="709">
        <v>0</v>
      </c>
      <c r="N40" s="709">
        <v>0</v>
      </c>
      <c r="O40" s="709">
        <v>0</v>
      </c>
      <c r="P40" s="709">
        <v>0</v>
      </c>
      <c r="Q40" s="709">
        <v>0</v>
      </c>
      <c r="R40" s="709">
        <v>0</v>
      </c>
      <c r="S40" s="709">
        <v>0</v>
      </c>
      <c r="T40" s="709">
        <v>0</v>
      </c>
      <c r="U40" s="709">
        <v>0</v>
      </c>
      <c r="V40" s="709">
        <v>0</v>
      </c>
      <c r="W40" s="709">
        <v>0</v>
      </c>
      <c r="X40" s="709">
        <v>0</v>
      </c>
      <c r="Y40" s="709">
        <v>0</v>
      </c>
      <c r="Z40" s="709">
        <v>0</v>
      </c>
      <c r="AA40" s="709">
        <v>0</v>
      </c>
      <c r="AB40" s="709">
        <v>0</v>
      </c>
      <c r="AC40" s="709">
        <v>0</v>
      </c>
      <c r="AD40" s="709">
        <v>0</v>
      </c>
      <c r="AE40" s="709">
        <v>0</v>
      </c>
      <c r="AF40" s="709">
        <v>0</v>
      </c>
      <c r="AG40" s="709">
        <v>0</v>
      </c>
      <c r="AH40" s="709">
        <v>0</v>
      </c>
      <c r="AI40" s="709">
        <v>0</v>
      </c>
      <c r="AJ40" s="709">
        <v>0</v>
      </c>
      <c r="AK40" s="709">
        <v>0</v>
      </c>
      <c r="AL40" s="709">
        <v>0</v>
      </c>
      <c r="AM40" s="709">
        <v>0</v>
      </c>
      <c r="AN40" s="709">
        <v>0</v>
      </c>
      <c r="AO40" s="709">
        <v>0</v>
      </c>
      <c r="AP40" s="709">
        <v>0</v>
      </c>
      <c r="AQ40" s="709">
        <v>0</v>
      </c>
      <c r="AR40" s="709">
        <v>0</v>
      </c>
      <c r="AS40" s="709">
        <v>0</v>
      </c>
    </row>
    <row r="41" spans="1:45">
      <c r="A41" s="708" t="s">
        <v>1117</v>
      </c>
      <c r="B41" s="709">
        <v>3139</v>
      </c>
      <c r="C41" s="709">
        <v>3139</v>
      </c>
      <c r="D41" s="709">
        <v>3091</v>
      </c>
      <c r="E41" s="709">
        <v>48</v>
      </c>
      <c r="F41" s="709">
        <v>192</v>
      </c>
      <c r="G41" s="709">
        <v>240</v>
      </c>
      <c r="H41" s="709">
        <v>240</v>
      </c>
      <c r="I41" s="709">
        <v>192</v>
      </c>
      <c r="J41" s="709">
        <v>192</v>
      </c>
      <c r="K41" s="709">
        <v>192</v>
      </c>
      <c r="L41" s="709">
        <v>0</v>
      </c>
      <c r="M41" s="709">
        <v>0</v>
      </c>
      <c r="N41" s="709">
        <v>0</v>
      </c>
      <c r="O41" s="709">
        <v>2899</v>
      </c>
      <c r="P41" s="709">
        <v>0</v>
      </c>
      <c r="Q41" s="709">
        <v>0</v>
      </c>
      <c r="R41" s="709">
        <v>0</v>
      </c>
      <c r="S41" s="709">
        <v>0</v>
      </c>
      <c r="T41" s="709">
        <v>0</v>
      </c>
      <c r="U41" s="709">
        <v>0</v>
      </c>
      <c r="V41" s="709">
        <v>0</v>
      </c>
      <c r="W41" s="709">
        <v>0</v>
      </c>
      <c r="X41" s="709">
        <v>0</v>
      </c>
      <c r="Y41" s="709">
        <v>0</v>
      </c>
      <c r="Z41" s="709">
        <v>0</v>
      </c>
      <c r="AA41" s="709">
        <v>0</v>
      </c>
      <c r="AB41" s="709">
        <v>0</v>
      </c>
      <c r="AC41" s="709">
        <v>0</v>
      </c>
      <c r="AD41" s="709">
        <v>0</v>
      </c>
      <c r="AE41" s="709">
        <v>0</v>
      </c>
      <c r="AF41" s="709">
        <v>0</v>
      </c>
      <c r="AG41" s="709">
        <v>0</v>
      </c>
      <c r="AH41" s="709">
        <v>0</v>
      </c>
      <c r="AI41" s="709">
        <v>48</v>
      </c>
      <c r="AJ41" s="709">
        <v>192</v>
      </c>
      <c r="AK41" s="709">
        <v>0</v>
      </c>
      <c r="AL41" s="709">
        <v>0</v>
      </c>
      <c r="AM41" s="709">
        <v>3636</v>
      </c>
      <c r="AN41" s="709">
        <v>0</v>
      </c>
      <c r="AO41" s="709">
        <v>545</v>
      </c>
      <c r="AP41" s="709">
        <v>0</v>
      </c>
      <c r="AQ41" s="709">
        <v>0</v>
      </c>
      <c r="AR41" s="709">
        <v>0</v>
      </c>
      <c r="AS41" s="709">
        <v>0</v>
      </c>
    </row>
    <row r="42" spans="1:45">
      <c r="A42" s="708" t="s">
        <v>876</v>
      </c>
      <c r="B42" s="709">
        <v>4985</v>
      </c>
      <c r="C42" s="709">
        <v>4579</v>
      </c>
      <c r="D42" s="709">
        <v>0</v>
      </c>
      <c r="E42" s="709">
        <v>4579</v>
      </c>
      <c r="F42" s="709">
        <v>0</v>
      </c>
      <c r="G42" s="709">
        <v>1658</v>
      </c>
      <c r="H42" s="709">
        <v>1658</v>
      </c>
      <c r="I42" s="709">
        <v>0</v>
      </c>
      <c r="J42" s="709">
        <v>0</v>
      </c>
      <c r="K42" s="709">
        <v>0</v>
      </c>
      <c r="L42" s="709">
        <v>0</v>
      </c>
      <c r="M42" s="709">
        <v>406</v>
      </c>
      <c r="N42" s="709">
        <v>1096</v>
      </c>
      <c r="O42" s="709">
        <v>0</v>
      </c>
      <c r="P42" s="709">
        <v>0</v>
      </c>
      <c r="Q42" s="709">
        <v>0</v>
      </c>
      <c r="R42" s="709">
        <v>0</v>
      </c>
      <c r="S42" s="709">
        <v>0</v>
      </c>
      <c r="T42" s="709">
        <v>0</v>
      </c>
      <c r="U42" s="709">
        <v>0</v>
      </c>
      <c r="V42" s="709">
        <v>0</v>
      </c>
      <c r="W42" s="709">
        <v>0</v>
      </c>
      <c r="X42" s="709">
        <v>0</v>
      </c>
      <c r="Y42" s="709">
        <v>1156</v>
      </c>
      <c r="Z42" s="709">
        <v>0</v>
      </c>
      <c r="AA42" s="709">
        <v>669</v>
      </c>
      <c r="AB42" s="709">
        <v>0</v>
      </c>
      <c r="AC42" s="709">
        <v>0</v>
      </c>
      <c r="AD42" s="709">
        <v>0</v>
      </c>
      <c r="AE42" s="709">
        <v>0</v>
      </c>
      <c r="AF42" s="709">
        <v>0</v>
      </c>
      <c r="AG42" s="709">
        <v>0</v>
      </c>
      <c r="AH42" s="709">
        <v>0</v>
      </c>
      <c r="AI42" s="709">
        <v>1658</v>
      </c>
      <c r="AJ42" s="709">
        <v>0</v>
      </c>
      <c r="AK42" s="709">
        <v>0</v>
      </c>
      <c r="AL42" s="709">
        <v>0</v>
      </c>
      <c r="AM42" s="709">
        <v>0</v>
      </c>
      <c r="AN42" s="709">
        <v>0</v>
      </c>
      <c r="AO42" s="709">
        <v>0</v>
      </c>
      <c r="AP42" s="709">
        <v>1100</v>
      </c>
      <c r="AQ42" s="709">
        <v>0</v>
      </c>
      <c r="AR42" s="709">
        <v>0</v>
      </c>
      <c r="AS42" s="709">
        <v>0</v>
      </c>
    </row>
    <row r="43" spans="1:45">
      <c r="A43" s="708" t="s">
        <v>878</v>
      </c>
      <c r="B43" s="709">
        <v>0</v>
      </c>
      <c r="C43" s="709">
        <v>0</v>
      </c>
      <c r="D43" s="709">
        <v>0</v>
      </c>
      <c r="E43" s="709">
        <v>0</v>
      </c>
      <c r="F43" s="709">
        <v>0</v>
      </c>
      <c r="G43" s="709">
        <v>0</v>
      </c>
      <c r="H43" s="709">
        <v>0</v>
      </c>
      <c r="I43" s="709">
        <v>0</v>
      </c>
      <c r="J43" s="709">
        <v>0</v>
      </c>
      <c r="K43" s="709">
        <v>0</v>
      </c>
      <c r="L43" s="709">
        <v>0</v>
      </c>
      <c r="M43" s="709">
        <v>0</v>
      </c>
      <c r="N43" s="709">
        <v>0</v>
      </c>
      <c r="O43" s="709">
        <v>0</v>
      </c>
      <c r="P43" s="709">
        <v>0</v>
      </c>
      <c r="Q43" s="709">
        <v>0</v>
      </c>
      <c r="R43" s="709">
        <v>0</v>
      </c>
      <c r="S43" s="709">
        <v>0</v>
      </c>
      <c r="T43" s="709">
        <v>0</v>
      </c>
      <c r="U43" s="709">
        <v>0</v>
      </c>
      <c r="V43" s="709">
        <v>0</v>
      </c>
      <c r="W43" s="709">
        <v>0</v>
      </c>
      <c r="X43" s="709">
        <v>0</v>
      </c>
      <c r="Y43" s="709">
        <v>0</v>
      </c>
      <c r="Z43" s="709">
        <v>0</v>
      </c>
      <c r="AA43" s="709">
        <v>0</v>
      </c>
      <c r="AB43" s="709">
        <v>0</v>
      </c>
      <c r="AC43" s="709">
        <v>0</v>
      </c>
      <c r="AD43" s="709">
        <v>0</v>
      </c>
      <c r="AE43" s="709">
        <v>0</v>
      </c>
      <c r="AF43" s="709">
        <v>0</v>
      </c>
      <c r="AG43" s="709">
        <v>0</v>
      </c>
      <c r="AH43" s="709">
        <v>0</v>
      </c>
      <c r="AI43" s="709">
        <v>0</v>
      </c>
      <c r="AJ43" s="709">
        <v>0</v>
      </c>
      <c r="AK43" s="709">
        <v>0</v>
      </c>
      <c r="AL43" s="709">
        <v>0</v>
      </c>
      <c r="AM43" s="709">
        <v>0</v>
      </c>
      <c r="AN43" s="709">
        <v>0</v>
      </c>
      <c r="AO43" s="709">
        <v>0</v>
      </c>
      <c r="AP43" s="709">
        <v>0</v>
      </c>
      <c r="AQ43" s="709">
        <v>0</v>
      </c>
      <c r="AR43" s="709">
        <v>0</v>
      </c>
      <c r="AS43" s="709">
        <v>0</v>
      </c>
    </row>
    <row r="44" spans="1:45">
      <c r="A44" s="708" t="s">
        <v>879</v>
      </c>
      <c r="B44" s="709">
        <v>0</v>
      </c>
      <c r="C44" s="709">
        <v>0</v>
      </c>
      <c r="D44" s="709">
        <v>0</v>
      </c>
      <c r="E44" s="709">
        <v>0</v>
      </c>
      <c r="F44" s="709">
        <v>0</v>
      </c>
      <c r="G44" s="709">
        <v>0</v>
      </c>
      <c r="H44" s="709">
        <v>0</v>
      </c>
      <c r="I44" s="709">
        <v>0</v>
      </c>
      <c r="J44" s="709">
        <v>0</v>
      </c>
      <c r="K44" s="709">
        <v>0</v>
      </c>
      <c r="L44" s="709">
        <v>0</v>
      </c>
      <c r="M44" s="709">
        <v>0</v>
      </c>
      <c r="N44" s="709">
        <v>0</v>
      </c>
      <c r="O44" s="709">
        <v>0</v>
      </c>
      <c r="P44" s="709">
        <v>0</v>
      </c>
      <c r="Q44" s="709">
        <v>0</v>
      </c>
      <c r="R44" s="709">
        <v>0</v>
      </c>
      <c r="S44" s="709">
        <v>0</v>
      </c>
      <c r="T44" s="709">
        <v>0</v>
      </c>
      <c r="U44" s="709">
        <v>0</v>
      </c>
      <c r="V44" s="709">
        <v>0</v>
      </c>
      <c r="W44" s="709">
        <v>0</v>
      </c>
      <c r="X44" s="709">
        <v>0</v>
      </c>
      <c r="Y44" s="709">
        <v>0</v>
      </c>
      <c r="Z44" s="709">
        <v>0</v>
      </c>
      <c r="AA44" s="709">
        <v>0</v>
      </c>
      <c r="AB44" s="709">
        <v>0</v>
      </c>
      <c r="AC44" s="709">
        <v>0</v>
      </c>
      <c r="AD44" s="709">
        <v>0</v>
      </c>
      <c r="AE44" s="709">
        <v>0</v>
      </c>
      <c r="AF44" s="709">
        <v>0</v>
      </c>
      <c r="AG44" s="709">
        <v>0</v>
      </c>
      <c r="AH44" s="709">
        <v>0</v>
      </c>
      <c r="AI44" s="709">
        <v>0</v>
      </c>
      <c r="AJ44" s="709">
        <v>0</v>
      </c>
      <c r="AK44" s="709">
        <v>0</v>
      </c>
      <c r="AL44" s="709">
        <v>0</v>
      </c>
      <c r="AM44" s="709">
        <v>0</v>
      </c>
      <c r="AN44" s="709">
        <v>0</v>
      </c>
      <c r="AO44" s="709">
        <v>0</v>
      </c>
      <c r="AP44" s="709">
        <v>0</v>
      </c>
      <c r="AQ44" s="709">
        <v>0</v>
      </c>
      <c r="AR44" s="709">
        <v>0</v>
      </c>
      <c r="AS44" s="709">
        <v>0</v>
      </c>
    </row>
    <row r="45" spans="1:45">
      <c r="A45" s="708" t="s">
        <v>880</v>
      </c>
      <c r="B45" s="709">
        <v>0</v>
      </c>
      <c r="C45" s="709">
        <v>0</v>
      </c>
      <c r="D45" s="709">
        <v>0</v>
      </c>
      <c r="E45" s="709">
        <v>0</v>
      </c>
      <c r="F45" s="709">
        <v>0</v>
      </c>
      <c r="G45" s="709">
        <v>0</v>
      </c>
      <c r="H45" s="709">
        <v>0</v>
      </c>
      <c r="I45" s="709">
        <v>0</v>
      </c>
      <c r="J45" s="709">
        <v>0</v>
      </c>
      <c r="K45" s="709">
        <v>0</v>
      </c>
      <c r="L45" s="709">
        <v>0</v>
      </c>
      <c r="M45" s="709">
        <v>0</v>
      </c>
      <c r="N45" s="709">
        <v>0</v>
      </c>
      <c r="O45" s="709">
        <v>0</v>
      </c>
      <c r="P45" s="709">
        <v>0</v>
      </c>
      <c r="Q45" s="709">
        <v>0</v>
      </c>
      <c r="R45" s="709">
        <v>0</v>
      </c>
      <c r="S45" s="709">
        <v>0</v>
      </c>
      <c r="T45" s="709">
        <v>0</v>
      </c>
      <c r="U45" s="709">
        <v>0</v>
      </c>
      <c r="V45" s="709">
        <v>0</v>
      </c>
      <c r="W45" s="709">
        <v>0</v>
      </c>
      <c r="X45" s="709">
        <v>0</v>
      </c>
      <c r="Y45" s="709">
        <v>0</v>
      </c>
      <c r="Z45" s="709">
        <v>0</v>
      </c>
      <c r="AA45" s="709">
        <v>0</v>
      </c>
      <c r="AB45" s="709">
        <v>0</v>
      </c>
      <c r="AC45" s="709">
        <v>0</v>
      </c>
      <c r="AD45" s="709">
        <v>0</v>
      </c>
      <c r="AE45" s="709">
        <v>0</v>
      </c>
      <c r="AF45" s="709">
        <v>0</v>
      </c>
      <c r="AG45" s="709">
        <v>0</v>
      </c>
      <c r="AH45" s="709">
        <v>0</v>
      </c>
      <c r="AI45" s="709">
        <v>0</v>
      </c>
      <c r="AJ45" s="709">
        <v>0</v>
      </c>
      <c r="AK45" s="709">
        <v>0</v>
      </c>
      <c r="AL45" s="709">
        <v>0</v>
      </c>
      <c r="AM45" s="709">
        <v>0</v>
      </c>
      <c r="AN45" s="709">
        <v>0</v>
      </c>
      <c r="AO45" s="709">
        <v>0</v>
      </c>
      <c r="AP45" s="709">
        <v>0</v>
      </c>
      <c r="AQ45" s="709">
        <v>0</v>
      </c>
      <c r="AR45" s="709">
        <v>0</v>
      </c>
      <c r="AS45" s="709">
        <v>0</v>
      </c>
    </row>
    <row r="46" spans="1:45">
      <c r="A46" s="708" t="s">
        <v>881</v>
      </c>
      <c r="B46" s="709">
        <v>0</v>
      </c>
      <c r="C46" s="709">
        <v>0</v>
      </c>
      <c r="D46" s="709">
        <v>0</v>
      </c>
      <c r="E46" s="709">
        <v>0</v>
      </c>
      <c r="F46" s="709">
        <v>0</v>
      </c>
      <c r="G46" s="709">
        <v>0</v>
      </c>
      <c r="H46" s="709">
        <v>0</v>
      </c>
      <c r="I46" s="709">
        <v>0</v>
      </c>
      <c r="J46" s="709">
        <v>0</v>
      </c>
      <c r="K46" s="709">
        <v>0</v>
      </c>
      <c r="L46" s="709">
        <v>0</v>
      </c>
      <c r="M46" s="709">
        <v>0</v>
      </c>
      <c r="N46" s="709">
        <v>0</v>
      </c>
      <c r="O46" s="709">
        <v>0</v>
      </c>
      <c r="P46" s="709">
        <v>0</v>
      </c>
      <c r="Q46" s="709">
        <v>0</v>
      </c>
      <c r="R46" s="709">
        <v>0</v>
      </c>
      <c r="S46" s="709">
        <v>0</v>
      </c>
      <c r="T46" s="709">
        <v>0</v>
      </c>
      <c r="U46" s="709">
        <v>0</v>
      </c>
      <c r="V46" s="709">
        <v>0</v>
      </c>
      <c r="W46" s="709">
        <v>0</v>
      </c>
      <c r="X46" s="709">
        <v>0</v>
      </c>
      <c r="Y46" s="709">
        <v>0</v>
      </c>
      <c r="Z46" s="709">
        <v>0</v>
      </c>
      <c r="AA46" s="709">
        <v>0</v>
      </c>
      <c r="AB46" s="709">
        <v>0</v>
      </c>
      <c r="AC46" s="709">
        <v>0</v>
      </c>
      <c r="AD46" s="709">
        <v>0</v>
      </c>
      <c r="AE46" s="709">
        <v>0</v>
      </c>
      <c r="AF46" s="709">
        <v>0</v>
      </c>
      <c r="AG46" s="709">
        <v>0</v>
      </c>
      <c r="AH46" s="709">
        <v>0</v>
      </c>
      <c r="AI46" s="709">
        <v>0</v>
      </c>
      <c r="AJ46" s="709">
        <v>0</v>
      </c>
      <c r="AK46" s="709">
        <v>0</v>
      </c>
      <c r="AL46" s="709">
        <v>0</v>
      </c>
      <c r="AM46" s="709">
        <v>0</v>
      </c>
      <c r="AN46" s="709">
        <v>8071</v>
      </c>
      <c r="AO46" s="709">
        <v>0</v>
      </c>
      <c r="AP46" s="709">
        <v>0</v>
      </c>
      <c r="AQ46" s="709">
        <v>0</v>
      </c>
      <c r="AR46" s="709">
        <v>0</v>
      </c>
      <c r="AS46" s="709">
        <v>0</v>
      </c>
    </row>
    <row r="47" spans="1:45">
      <c r="A47" s="708" t="s">
        <v>882</v>
      </c>
      <c r="B47" s="709">
        <v>1452</v>
      </c>
      <c r="C47" s="709">
        <v>1435</v>
      </c>
      <c r="D47" s="709">
        <v>1060</v>
      </c>
      <c r="E47" s="709">
        <v>375</v>
      </c>
      <c r="F47" s="709">
        <v>888</v>
      </c>
      <c r="G47" s="709">
        <v>968</v>
      </c>
      <c r="H47" s="709">
        <v>968</v>
      </c>
      <c r="I47" s="709">
        <v>888</v>
      </c>
      <c r="J47" s="709">
        <v>888</v>
      </c>
      <c r="K47" s="709">
        <v>888</v>
      </c>
      <c r="L47" s="709">
        <v>51</v>
      </c>
      <c r="M47" s="709">
        <v>0</v>
      </c>
      <c r="N47" s="709">
        <v>0</v>
      </c>
      <c r="O47" s="709">
        <v>172</v>
      </c>
      <c r="P47" s="709">
        <v>450</v>
      </c>
      <c r="Q47" s="709">
        <v>0</v>
      </c>
      <c r="R47" s="709">
        <v>0</v>
      </c>
      <c r="S47" s="709">
        <v>0</v>
      </c>
      <c r="T47" s="709">
        <v>0</v>
      </c>
      <c r="U47" s="709">
        <v>0</v>
      </c>
      <c r="V47" s="709">
        <v>0</v>
      </c>
      <c r="W47" s="709">
        <v>0</v>
      </c>
      <c r="X47" s="709">
        <v>0</v>
      </c>
      <c r="Y47" s="709">
        <v>61</v>
      </c>
      <c r="Z47" s="709">
        <v>0</v>
      </c>
      <c r="AA47" s="709">
        <v>234</v>
      </c>
      <c r="AB47" s="709">
        <v>0</v>
      </c>
      <c r="AC47" s="709">
        <v>0</v>
      </c>
      <c r="AD47" s="709">
        <v>387</v>
      </c>
      <c r="AE47" s="709">
        <v>0</v>
      </c>
      <c r="AF47" s="709">
        <v>0</v>
      </c>
      <c r="AG47" s="709">
        <v>17</v>
      </c>
      <c r="AH47" s="709">
        <v>0</v>
      </c>
      <c r="AI47" s="709">
        <v>80</v>
      </c>
      <c r="AJ47" s="709">
        <v>0</v>
      </c>
      <c r="AK47" s="709">
        <v>0</v>
      </c>
      <c r="AL47" s="709">
        <v>0</v>
      </c>
      <c r="AM47" s="709">
        <v>1060</v>
      </c>
      <c r="AN47" s="709">
        <v>599</v>
      </c>
      <c r="AO47" s="709">
        <v>0</v>
      </c>
      <c r="AP47" s="709">
        <v>0</v>
      </c>
      <c r="AQ47" s="709">
        <v>0</v>
      </c>
      <c r="AR47" s="709">
        <v>0</v>
      </c>
      <c r="AS47" s="709">
        <v>0</v>
      </c>
    </row>
    <row r="48" spans="1:45">
      <c r="A48" s="708" t="s">
        <v>883</v>
      </c>
      <c r="B48" s="709">
        <v>0</v>
      </c>
      <c r="C48" s="709">
        <v>0</v>
      </c>
      <c r="D48" s="709">
        <v>0</v>
      </c>
      <c r="E48" s="709">
        <v>0</v>
      </c>
      <c r="F48" s="709">
        <v>0</v>
      </c>
      <c r="G48" s="709">
        <v>0</v>
      </c>
      <c r="H48" s="709">
        <v>0</v>
      </c>
      <c r="I48" s="709">
        <v>0</v>
      </c>
      <c r="J48" s="709">
        <v>0</v>
      </c>
      <c r="K48" s="709">
        <v>0</v>
      </c>
      <c r="L48" s="709">
        <v>0</v>
      </c>
      <c r="M48" s="709">
        <v>0</v>
      </c>
      <c r="N48" s="709">
        <v>0</v>
      </c>
      <c r="O48" s="709">
        <v>0</v>
      </c>
      <c r="P48" s="709">
        <v>0</v>
      </c>
      <c r="Q48" s="709">
        <v>0</v>
      </c>
      <c r="R48" s="709">
        <v>0</v>
      </c>
      <c r="S48" s="709">
        <v>0</v>
      </c>
      <c r="T48" s="709">
        <v>0</v>
      </c>
      <c r="U48" s="709">
        <v>0</v>
      </c>
      <c r="V48" s="709">
        <v>0</v>
      </c>
      <c r="W48" s="709">
        <v>0</v>
      </c>
      <c r="X48" s="709">
        <v>0</v>
      </c>
      <c r="Y48" s="709">
        <v>0</v>
      </c>
      <c r="Z48" s="709">
        <v>0</v>
      </c>
      <c r="AA48" s="709">
        <v>0</v>
      </c>
      <c r="AB48" s="709">
        <v>0</v>
      </c>
      <c r="AC48" s="709">
        <v>0</v>
      </c>
      <c r="AD48" s="709">
        <v>0</v>
      </c>
      <c r="AE48" s="709">
        <v>0</v>
      </c>
      <c r="AF48" s="709">
        <v>0</v>
      </c>
      <c r="AG48" s="709">
        <v>0</v>
      </c>
      <c r="AH48" s="709">
        <v>0</v>
      </c>
      <c r="AI48" s="709">
        <v>0</v>
      </c>
      <c r="AJ48" s="709">
        <v>0</v>
      </c>
      <c r="AK48" s="709">
        <v>0</v>
      </c>
      <c r="AL48" s="709">
        <v>0</v>
      </c>
      <c r="AM48" s="709">
        <v>0</v>
      </c>
      <c r="AN48" s="709">
        <v>0</v>
      </c>
      <c r="AO48" s="709">
        <v>0</v>
      </c>
      <c r="AP48" s="709">
        <v>0</v>
      </c>
      <c r="AQ48" s="709">
        <v>0</v>
      </c>
      <c r="AR48" s="709">
        <v>0</v>
      </c>
      <c r="AS48" s="709">
        <v>0</v>
      </c>
    </row>
    <row r="49" spans="1:45">
      <c r="A49" s="708" t="s">
        <v>884</v>
      </c>
      <c r="B49" s="709">
        <v>135</v>
      </c>
      <c r="C49" s="709">
        <v>120</v>
      </c>
      <c r="D49" s="709">
        <v>60</v>
      </c>
      <c r="E49" s="709">
        <v>60</v>
      </c>
      <c r="F49" s="709">
        <v>60</v>
      </c>
      <c r="G49" s="709">
        <v>120</v>
      </c>
      <c r="H49" s="709">
        <v>120</v>
      </c>
      <c r="I49" s="709">
        <v>60</v>
      </c>
      <c r="J49" s="709">
        <v>60</v>
      </c>
      <c r="K49" s="709">
        <v>60</v>
      </c>
      <c r="L49" s="709">
        <v>0</v>
      </c>
      <c r="M49" s="709">
        <v>0</v>
      </c>
      <c r="N49" s="709">
        <v>0</v>
      </c>
      <c r="O49" s="709">
        <v>0</v>
      </c>
      <c r="P49" s="709">
        <v>0</v>
      </c>
      <c r="Q49" s="709">
        <v>0</v>
      </c>
      <c r="R49" s="709">
        <v>0</v>
      </c>
      <c r="S49" s="709">
        <v>0</v>
      </c>
      <c r="T49" s="709">
        <v>0</v>
      </c>
      <c r="U49" s="709">
        <v>0</v>
      </c>
      <c r="V49" s="709">
        <v>0</v>
      </c>
      <c r="W49" s="709">
        <v>0</v>
      </c>
      <c r="X49" s="709">
        <v>0</v>
      </c>
      <c r="Y49" s="709">
        <v>0</v>
      </c>
      <c r="Z49" s="709">
        <v>0</v>
      </c>
      <c r="AA49" s="709">
        <v>0</v>
      </c>
      <c r="AB49" s="709">
        <v>0</v>
      </c>
      <c r="AC49" s="709">
        <v>0</v>
      </c>
      <c r="AD49" s="709">
        <v>60</v>
      </c>
      <c r="AE49" s="709">
        <v>0</v>
      </c>
      <c r="AF49" s="709">
        <v>0</v>
      </c>
      <c r="AG49" s="709">
        <v>15</v>
      </c>
      <c r="AH49" s="709">
        <v>0</v>
      </c>
      <c r="AI49" s="709">
        <v>60</v>
      </c>
      <c r="AJ49" s="709">
        <v>0</v>
      </c>
      <c r="AK49" s="709">
        <v>0</v>
      </c>
      <c r="AL49" s="709">
        <v>0</v>
      </c>
      <c r="AM49" s="709">
        <v>60</v>
      </c>
      <c r="AN49" s="709">
        <v>0</v>
      </c>
      <c r="AO49" s="709">
        <v>0</v>
      </c>
      <c r="AP49" s="709">
        <v>0</v>
      </c>
      <c r="AQ49" s="709">
        <v>0</v>
      </c>
      <c r="AR49" s="709">
        <v>0</v>
      </c>
      <c r="AS49" s="709">
        <v>0</v>
      </c>
    </row>
    <row r="50" spans="1:45">
      <c r="A50" s="708" t="s">
        <v>885</v>
      </c>
      <c r="B50" s="709">
        <v>0</v>
      </c>
      <c r="C50" s="709">
        <v>0</v>
      </c>
      <c r="D50" s="709">
        <v>0</v>
      </c>
      <c r="E50" s="709">
        <v>0</v>
      </c>
      <c r="F50" s="709">
        <v>0</v>
      </c>
      <c r="G50" s="709">
        <v>0</v>
      </c>
      <c r="H50" s="709">
        <v>0</v>
      </c>
      <c r="I50" s="709">
        <v>0</v>
      </c>
      <c r="J50" s="709">
        <v>0</v>
      </c>
      <c r="K50" s="709">
        <v>0</v>
      </c>
      <c r="L50" s="709">
        <v>0</v>
      </c>
      <c r="M50" s="709">
        <v>0</v>
      </c>
      <c r="N50" s="709">
        <v>0</v>
      </c>
      <c r="O50" s="709">
        <v>0</v>
      </c>
      <c r="P50" s="709">
        <v>0</v>
      </c>
      <c r="Q50" s="709">
        <v>0</v>
      </c>
      <c r="R50" s="709">
        <v>0</v>
      </c>
      <c r="S50" s="709">
        <v>0</v>
      </c>
      <c r="T50" s="709">
        <v>0</v>
      </c>
      <c r="U50" s="709">
        <v>0</v>
      </c>
      <c r="V50" s="709">
        <v>0</v>
      </c>
      <c r="W50" s="709">
        <v>0</v>
      </c>
      <c r="X50" s="709">
        <v>0</v>
      </c>
      <c r="Y50" s="709">
        <v>0</v>
      </c>
      <c r="Z50" s="709">
        <v>0</v>
      </c>
      <c r="AA50" s="709">
        <v>0</v>
      </c>
      <c r="AB50" s="709">
        <v>0</v>
      </c>
      <c r="AC50" s="709">
        <v>0</v>
      </c>
      <c r="AD50" s="709">
        <v>0</v>
      </c>
      <c r="AE50" s="709">
        <v>0</v>
      </c>
      <c r="AF50" s="709">
        <v>0</v>
      </c>
      <c r="AG50" s="709">
        <v>0</v>
      </c>
      <c r="AH50" s="709">
        <v>0</v>
      </c>
      <c r="AI50" s="709">
        <v>0</v>
      </c>
      <c r="AJ50" s="709">
        <v>0</v>
      </c>
      <c r="AK50" s="709">
        <v>0</v>
      </c>
      <c r="AL50" s="709">
        <v>0</v>
      </c>
      <c r="AM50" s="709">
        <v>0</v>
      </c>
      <c r="AN50" s="709">
        <v>0</v>
      </c>
      <c r="AO50" s="709">
        <v>0</v>
      </c>
      <c r="AP50" s="709">
        <v>0</v>
      </c>
      <c r="AQ50" s="709">
        <v>0</v>
      </c>
      <c r="AR50" s="709">
        <v>0</v>
      </c>
      <c r="AS50" s="709">
        <v>0</v>
      </c>
    </row>
    <row r="51" spans="1:45">
      <c r="A51" s="708" t="s">
        <v>886</v>
      </c>
      <c r="B51" s="709">
        <v>54</v>
      </c>
      <c r="C51" s="709">
        <v>54</v>
      </c>
      <c r="D51" s="709">
        <v>53</v>
      </c>
      <c r="E51" s="709">
        <v>1</v>
      </c>
      <c r="F51" s="709">
        <v>0</v>
      </c>
      <c r="G51" s="709">
        <v>0</v>
      </c>
      <c r="H51" s="709">
        <v>0</v>
      </c>
      <c r="I51" s="709">
        <v>0</v>
      </c>
      <c r="J51" s="709">
        <v>0</v>
      </c>
      <c r="K51" s="709">
        <v>0</v>
      </c>
      <c r="L51" s="709">
        <v>0</v>
      </c>
      <c r="M51" s="709">
        <v>0</v>
      </c>
      <c r="N51" s="709">
        <v>0</v>
      </c>
      <c r="O51" s="709">
        <v>53</v>
      </c>
      <c r="P51" s="709">
        <v>0</v>
      </c>
      <c r="Q51" s="709">
        <v>0</v>
      </c>
      <c r="R51" s="709">
        <v>0</v>
      </c>
      <c r="S51" s="709">
        <v>0</v>
      </c>
      <c r="T51" s="709">
        <v>0</v>
      </c>
      <c r="U51" s="709">
        <v>0</v>
      </c>
      <c r="V51" s="709">
        <v>0</v>
      </c>
      <c r="W51" s="709">
        <v>0</v>
      </c>
      <c r="X51" s="709">
        <v>0</v>
      </c>
      <c r="Y51" s="709">
        <v>0</v>
      </c>
      <c r="Z51" s="709">
        <v>0</v>
      </c>
      <c r="AA51" s="709">
        <v>1</v>
      </c>
      <c r="AB51" s="709">
        <v>0</v>
      </c>
      <c r="AC51" s="709">
        <v>0</v>
      </c>
      <c r="AD51" s="709">
        <v>0</v>
      </c>
      <c r="AE51" s="709">
        <v>0</v>
      </c>
      <c r="AF51" s="709">
        <v>0</v>
      </c>
      <c r="AG51" s="709">
        <v>0</v>
      </c>
      <c r="AH51" s="709">
        <v>0</v>
      </c>
      <c r="AI51" s="709">
        <v>0</v>
      </c>
      <c r="AJ51" s="709">
        <v>0</v>
      </c>
      <c r="AK51" s="709">
        <v>0</v>
      </c>
      <c r="AL51" s="709">
        <v>0</v>
      </c>
      <c r="AM51" s="709">
        <v>53</v>
      </c>
      <c r="AN51" s="709">
        <v>0</v>
      </c>
      <c r="AO51" s="709">
        <v>0</v>
      </c>
      <c r="AP51" s="709">
        <v>0</v>
      </c>
      <c r="AQ51" s="709">
        <v>0</v>
      </c>
      <c r="AR51" s="709">
        <v>0</v>
      </c>
      <c r="AS51" s="709">
        <v>0</v>
      </c>
    </row>
    <row r="52" spans="1:45">
      <c r="A52" s="708" t="s">
        <v>887</v>
      </c>
      <c r="B52" s="709">
        <v>0</v>
      </c>
      <c r="C52" s="709">
        <v>0</v>
      </c>
      <c r="D52" s="709">
        <v>0</v>
      </c>
      <c r="E52" s="709">
        <v>0</v>
      </c>
      <c r="F52" s="709">
        <v>0</v>
      </c>
      <c r="G52" s="709">
        <v>0</v>
      </c>
      <c r="H52" s="709">
        <v>0</v>
      </c>
      <c r="I52" s="709">
        <v>0</v>
      </c>
      <c r="J52" s="709">
        <v>0</v>
      </c>
      <c r="K52" s="709">
        <v>0</v>
      </c>
      <c r="L52" s="709">
        <v>0</v>
      </c>
      <c r="M52" s="709">
        <v>0</v>
      </c>
      <c r="N52" s="709">
        <v>0</v>
      </c>
      <c r="O52" s="709">
        <v>0</v>
      </c>
      <c r="P52" s="709">
        <v>0</v>
      </c>
      <c r="Q52" s="709">
        <v>0</v>
      </c>
      <c r="R52" s="709">
        <v>0</v>
      </c>
      <c r="S52" s="709">
        <v>0</v>
      </c>
      <c r="T52" s="709">
        <v>0</v>
      </c>
      <c r="U52" s="709">
        <v>0</v>
      </c>
      <c r="V52" s="709">
        <v>0</v>
      </c>
      <c r="W52" s="709">
        <v>0</v>
      </c>
      <c r="X52" s="709">
        <v>0</v>
      </c>
      <c r="Y52" s="709">
        <v>0</v>
      </c>
      <c r="Z52" s="709">
        <v>0</v>
      </c>
      <c r="AA52" s="709">
        <v>0</v>
      </c>
      <c r="AB52" s="709">
        <v>0</v>
      </c>
      <c r="AC52" s="709">
        <v>0</v>
      </c>
      <c r="AD52" s="709">
        <v>0</v>
      </c>
      <c r="AE52" s="709">
        <v>0</v>
      </c>
      <c r="AF52" s="709">
        <v>0</v>
      </c>
      <c r="AG52" s="709">
        <v>0</v>
      </c>
      <c r="AH52" s="709">
        <v>0</v>
      </c>
      <c r="AI52" s="709">
        <v>0</v>
      </c>
      <c r="AJ52" s="709">
        <v>0</v>
      </c>
      <c r="AK52" s="709">
        <v>0</v>
      </c>
      <c r="AL52" s="709">
        <v>0</v>
      </c>
      <c r="AM52" s="709">
        <v>0</v>
      </c>
      <c r="AN52" s="709">
        <v>0</v>
      </c>
      <c r="AO52" s="709">
        <v>0</v>
      </c>
      <c r="AP52" s="709">
        <v>0</v>
      </c>
      <c r="AQ52" s="709">
        <v>0</v>
      </c>
      <c r="AR52" s="709">
        <v>0</v>
      </c>
      <c r="AS52" s="709">
        <v>0</v>
      </c>
    </row>
    <row r="53" spans="1:45">
      <c r="A53" s="708" t="s">
        <v>888</v>
      </c>
      <c r="B53" s="709">
        <v>1</v>
      </c>
      <c r="C53" s="709">
        <v>1</v>
      </c>
      <c r="D53" s="709">
        <v>0</v>
      </c>
      <c r="E53" s="709">
        <v>1</v>
      </c>
      <c r="F53" s="709">
        <v>0</v>
      </c>
      <c r="G53" s="709">
        <v>1</v>
      </c>
      <c r="H53" s="709">
        <v>1</v>
      </c>
      <c r="I53" s="709">
        <v>0</v>
      </c>
      <c r="J53" s="709">
        <v>0</v>
      </c>
      <c r="K53" s="709">
        <v>0</v>
      </c>
      <c r="L53" s="709">
        <v>0</v>
      </c>
      <c r="M53" s="709">
        <v>0</v>
      </c>
      <c r="N53" s="709">
        <v>0</v>
      </c>
      <c r="O53" s="709">
        <v>0</v>
      </c>
      <c r="P53" s="709">
        <v>0</v>
      </c>
      <c r="Q53" s="709">
        <v>0</v>
      </c>
      <c r="R53" s="709">
        <v>0</v>
      </c>
      <c r="S53" s="709">
        <v>0</v>
      </c>
      <c r="T53" s="709">
        <v>0</v>
      </c>
      <c r="U53" s="709">
        <v>0</v>
      </c>
      <c r="V53" s="709">
        <v>0</v>
      </c>
      <c r="W53" s="709">
        <v>0</v>
      </c>
      <c r="X53" s="709">
        <v>0</v>
      </c>
      <c r="Y53" s="709">
        <v>0</v>
      </c>
      <c r="Z53" s="709">
        <v>0</v>
      </c>
      <c r="AA53" s="709">
        <v>0</v>
      </c>
      <c r="AB53" s="709">
        <v>0</v>
      </c>
      <c r="AC53" s="709">
        <v>0</v>
      </c>
      <c r="AD53" s="709">
        <v>0</v>
      </c>
      <c r="AE53" s="709">
        <v>0</v>
      </c>
      <c r="AF53" s="709">
        <v>0</v>
      </c>
      <c r="AG53" s="709">
        <v>0</v>
      </c>
      <c r="AH53" s="709">
        <v>0</v>
      </c>
      <c r="AI53" s="709">
        <v>1</v>
      </c>
      <c r="AJ53" s="709">
        <v>0</v>
      </c>
      <c r="AK53" s="709">
        <v>0</v>
      </c>
      <c r="AL53" s="709">
        <v>0</v>
      </c>
      <c r="AM53" s="709">
        <v>0</v>
      </c>
      <c r="AN53" s="709">
        <v>0</v>
      </c>
      <c r="AO53" s="709">
        <v>0</v>
      </c>
      <c r="AP53" s="709">
        <v>0</v>
      </c>
      <c r="AQ53" s="709">
        <v>0</v>
      </c>
      <c r="AR53" s="709">
        <v>0</v>
      </c>
      <c r="AS53" s="709">
        <v>0</v>
      </c>
    </row>
    <row r="54" spans="1:45">
      <c r="A54" s="708" t="s">
        <v>889</v>
      </c>
      <c r="B54" s="709">
        <v>1480739</v>
      </c>
      <c r="C54" s="709">
        <v>1357828</v>
      </c>
      <c r="D54" s="709">
        <v>976538</v>
      </c>
      <c r="E54" s="709">
        <v>381290</v>
      </c>
      <c r="F54" s="709">
        <v>805904</v>
      </c>
      <c r="G54" s="709">
        <v>842171</v>
      </c>
      <c r="H54" s="709">
        <v>832889</v>
      </c>
      <c r="I54" s="709">
        <v>812826</v>
      </c>
      <c r="J54" s="709">
        <v>812826</v>
      </c>
      <c r="K54" s="709">
        <v>805904</v>
      </c>
      <c r="L54" s="709">
        <v>19172</v>
      </c>
      <c r="M54" s="709">
        <v>33907</v>
      </c>
      <c r="N54" s="709">
        <v>89699</v>
      </c>
      <c r="O54" s="709">
        <v>89928</v>
      </c>
      <c r="P54" s="709">
        <v>360677</v>
      </c>
      <c r="Q54" s="709">
        <v>9282</v>
      </c>
      <c r="R54" s="709">
        <v>0</v>
      </c>
      <c r="S54" s="709">
        <v>2049</v>
      </c>
      <c r="T54" s="709">
        <v>0</v>
      </c>
      <c r="U54" s="709">
        <v>59635</v>
      </c>
      <c r="V54" s="709">
        <v>72641</v>
      </c>
      <c r="W54" s="709">
        <v>0</v>
      </c>
      <c r="X54" s="709">
        <v>13677</v>
      </c>
      <c r="Y54" s="709">
        <v>22741</v>
      </c>
      <c r="Z54" s="709">
        <v>853</v>
      </c>
      <c r="AA54" s="709">
        <v>40709</v>
      </c>
      <c r="AB54" s="709">
        <v>0</v>
      </c>
      <c r="AC54" s="709">
        <v>132026</v>
      </c>
      <c r="AD54" s="709">
        <v>37566</v>
      </c>
      <c r="AE54" s="709">
        <v>178197</v>
      </c>
      <c r="AF54" s="709">
        <v>3835</v>
      </c>
      <c r="AG54" s="709">
        <v>89004</v>
      </c>
      <c r="AH54" s="709">
        <v>6922</v>
      </c>
      <c r="AI54" s="709">
        <v>20063</v>
      </c>
      <c r="AJ54" s="709">
        <v>117450</v>
      </c>
      <c r="AK54" s="709">
        <v>80706</v>
      </c>
      <c r="AL54" s="709">
        <v>0</v>
      </c>
      <c r="AM54" s="709">
        <v>979811</v>
      </c>
      <c r="AN54" s="709">
        <v>0</v>
      </c>
      <c r="AO54" s="709">
        <v>3273</v>
      </c>
      <c r="AP54" s="709">
        <v>1091</v>
      </c>
      <c r="AQ54" s="709">
        <v>9150</v>
      </c>
      <c r="AR54" s="709">
        <v>0</v>
      </c>
      <c r="AS54" s="709">
        <v>14669</v>
      </c>
    </row>
    <row r="55" spans="1:45">
      <c r="A55" s="708" t="s">
        <v>890</v>
      </c>
      <c r="B55" s="709">
        <v>514229</v>
      </c>
      <c r="C55" s="709">
        <v>480821</v>
      </c>
      <c r="D55" s="709">
        <v>263166</v>
      </c>
      <c r="E55" s="709">
        <v>217655</v>
      </c>
      <c r="F55" s="709">
        <v>196572</v>
      </c>
      <c r="G55" s="709">
        <v>231215</v>
      </c>
      <c r="H55" s="709">
        <v>217326</v>
      </c>
      <c r="I55" s="709">
        <v>199383</v>
      </c>
      <c r="J55" s="709">
        <v>199383</v>
      </c>
      <c r="K55" s="709">
        <v>196572</v>
      </c>
      <c r="L55" s="709">
        <v>241</v>
      </c>
      <c r="M55" s="709">
        <v>12335</v>
      </c>
      <c r="N55" s="709">
        <v>24585</v>
      </c>
      <c r="O55" s="709">
        <v>16272</v>
      </c>
      <c r="P55" s="709">
        <v>128963</v>
      </c>
      <c r="Q55" s="709">
        <v>13889</v>
      </c>
      <c r="R55" s="709">
        <v>0</v>
      </c>
      <c r="S55" s="709">
        <v>0</v>
      </c>
      <c r="T55" s="709">
        <v>0</v>
      </c>
      <c r="U55" s="709">
        <v>1104</v>
      </c>
      <c r="V55" s="709">
        <v>0</v>
      </c>
      <c r="W55" s="709">
        <v>0</v>
      </c>
      <c r="X55" s="709">
        <v>13075</v>
      </c>
      <c r="Y55" s="709">
        <v>15862</v>
      </c>
      <c r="Z55" s="709">
        <v>73</v>
      </c>
      <c r="AA55" s="709">
        <v>19895</v>
      </c>
      <c r="AB55" s="709">
        <v>0</v>
      </c>
      <c r="AC55" s="709">
        <v>3481</v>
      </c>
      <c r="AD55" s="709">
        <v>19034</v>
      </c>
      <c r="AE55" s="709">
        <v>109595</v>
      </c>
      <c r="AF55" s="709">
        <v>0</v>
      </c>
      <c r="AG55" s="709">
        <v>21073</v>
      </c>
      <c r="AH55" s="709">
        <v>2811</v>
      </c>
      <c r="AI55" s="709">
        <v>17943</v>
      </c>
      <c r="AJ55" s="709">
        <v>43676</v>
      </c>
      <c r="AK55" s="709">
        <v>50322</v>
      </c>
      <c r="AL55" s="709">
        <v>0</v>
      </c>
      <c r="AM55" s="709">
        <v>267777</v>
      </c>
      <c r="AN55" s="709">
        <v>56</v>
      </c>
      <c r="AO55" s="709">
        <v>4611</v>
      </c>
      <c r="AP55" s="709">
        <v>4374</v>
      </c>
      <c r="AQ55" s="709">
        <v>3304</v>
      </c>
      <c r="AR55" s="709">
        <v>3160</v>
      </c>
      <c r="AS55" s="709">
        <v>0</v>
      </c>
    </row>
    <row r="56" spans="1:45">
      <c r="A56" s="708" t="s">
        <v>891</v>
      </c>
      <c r="B56" s="709">
        <v>668457</v>
      </c>
      <c r="C56" s="709">
        <v>662254</v>
      </c>
      <c r="D56" s="709">
        <v>606925</v>
      </c>
      <c r="E56" s="709">
        <v>55329</v>
      </c>
      <c r="F56" s="709">
        <v>565462</v>
      </c>
      <c r="G56" s="709">
        <v>567997</v>
      </c>
      <c r="H56" s="709">
        <v>567757</v>
      </c>
      <c r="I56" s="709">
        <v>565619</v>
      </c>
      <c r="J56" s="709">
        <v>565619</v>
      </c>
      <c r="K56" s="709">
        <v>565462</v>
      </c>
      <c r="L56" s="709">
        <v>0</v>
      </c>
      <c r="M56" s="709">
        <v>568</v>
      </c>
      <c r="N56" s="709">
        <v>15970</v>
      </c>
      <c r="O56" s="709">
        <v>14885</v>
      </c>
      <c r="P56" s="709">
        <v>287905</v>
      </c>
      <c r="Q56" s="709">
        <v>240</v>
      </c>
      <c r="R56" s="709">
        <v>0</v>
      </c>
      <c r="S56" s="709">
        <v>0</v>
      </c>
      <c r="T56" s="709">
        <v>0</v>
      </c>
      <c r="U56" s="709">
        <v>109135</v>
      </c>
      <c r="V56" s="709">
        <v>120423</v>
      </c>
      <c r="W56" s="709">
        <v>0</v>
      </c>
      <c r="X56" s="709">
        <v>439</v>
      </c>
      <c r="Y56" s="709">
        <v>332</v>
      </c>
      <c r="Z56" s="709">
        <v>0</v>
      </c>
      <c r="AA56" s="709">
        <v>301</v>
      </c>
      <c r="AB56" s="709">
        <v>0</v>
      </c>
      <c r="AC56" s="709">
        <v>23163</v>
      </c>
      <c r="AD56" s="709">
        <v>4029</v>
      </c>
      <c r="AE56" s="709">
        <v>35752</v>
      </c>
      <c r="AF56" s="709">
        <v>9877</v>
      </c>
      <c r="AG56" s="709">
        <v>5635</v>
      </c>
      <c r="AH56" s="709">
        <v>157</v>
      </c>
      <c r="AI56" s="709">
        <v>2138</v>
      </c>
      <c r="AJ56" s="709">
        <v>10930</v>
      </c>
      <c r="AK56" s="709">
        <v>26578</v>
      </c>
      <c r="AL56" s="709">
        <v>0</v>
      </c>
      <c r="AM56" s="709">
        <v>606925</v>
      </c>
      <c r="AN56" s="709">
        <v>0</v>
      </c>
      <c r="AO56" s="709">
        <v>0</v>
      </c>
      <c r="AP56" s="709">
        <v>9757</v>
      </c>
      <c r="AQ56" s="709">
        <v>0</v>
      </c>
      <c r="AR56" s="709">
        <v>553</v>
      </c>
      <c r="AS56" s="709">
        <v>20928</v>
      </c>
    </row>
    <row r="57" spans="1:45">
      <c r="A57" s="708" t="s">
        <v>892</v>
      </c>
      <c r="B57" s="709">
        <v>158133</v>
      </c>
      <c r="C57" s="709">
        <v>151784</v>
      </c>
      <c r="D57" s="709">
        <v>116878</v>
      </c>
      <c r="E57" s="709">
        <v>34906</v>
      </c>
      <c r="F57" s="709">
        <v>56764</v>
      </c>
      <c r="G57" s="709">
        <v>67014</v>
      </c>
      <c r="H57" s="709">
        <v>63648</v>
      </c>
      <c r="I57" s="709">
        <v>56805</v>
      </c>
      <c r="J57" s="709">
        <v>56805</v>
      </c>
      <c r="K57" s="709">
        <v>56764</v>
      </c>
      <c r="L57" s="709">
        <v>0</v>
      </c>
      <c r="M57" s="709">
        <v>312</v>
      </c>
      <c r="N57" s="709">
        <v>7574</v>
      </c>
      <c r="O57" s="709">
        <v>2930</v>
      </c>
      <c r="P57" s="709">
        <v>36760</v>
      </c>
      <c r="Q57" s="709">
        <v>3366</v>
      </c>
      <c r="R57" s="709">
        <v>0</v>
      </c>
      <c r="S57" s="709">
        <v>0</v>
      </c>
      <c r="T57" s="709">
        <v>0</v>
      </c>
      <c r="U57" s="709">
        <v>4430</v>
      </c>
      <c r="V57" s="709">
        <v>0</v>
      </c>
      <c r="W57" s="709">
        <v>0</v>
      </c>
      <c r="X57" s="709">
        <v>3100</v>
      </c>
      <c r="Y57" s="709">
        <v>1495</v>
      </c>
      <c r="Z57" s="709">
        <v>0</v>
      </c>
      <c r="AA57" s="709">
        <v>1788</v>
      </c>
      <c r="AB57" s="709">
        <v>0</v>
      </c>
      <c r="AC57" s="709">
        <v>12193</v>
      </c>
      <c r="AD57" s="709">
        <v>494</v>
      </c>
      <c r="AE57" s="709">
        <v>10699</v>
      </c>
      <c r="AF57" s="709">
        <v>0</v>
      </c>
      <c r="AG57" s="709">
        <v>6037</v>
      </c>
      <c r="AH57" s="709">
        <v>41</v>
      </c>
      <c r="AI57" s="709">
        <v>6843</v>
      </c>
      <c r="AJ57" s="709">
        <v>2887</v>
      </c>
      <c r="AK57" s="709">
        <v>0</v>
      </c>
      <c r="AL57" s="709">
        <v>57184</v>
      </c>
      <c r="AM57" s="709">
        <v>116911</v>
      </c>
      <c r="AN57" s="709">
        <v>0</v>
      </c>
      <c r="AO57" s="709">
        <v>33</v>
      </c>
      <c r="AP57" s="709">
        <v>298</v>
      </c>
      <c r="AQ57" s="709">
        <v>0</v>
      </c>
      <c r="AR57" s="709">
        <v>2269</v>
      </c>
      <c r="AS57" s="709">
        <v>0</v>
      </c>
    </row>
    <row r="58" spans="1:45">
      <c r="A58" s="708" t="s">
        <v>893</v>
      </c>
      <c r="B58" s="709">
        <v>4860</v>
      </c>
      <c r="C58" s="709">
        <v>4860</v>
      </c>
      <c r="D58" s="709">
        <v>4860</v>
      </c>
      <c r="E58" s="709">
        <v>0</v>
      </c>
      <c r="F58" s="709">
        <v>0</v>
      </c>
      <c r="G58" s="709">
        <v>0</v>
      </c>
      <c r="H58" s="709">
        <v>0</v>
      </c>
      <c r="I58" s="709">
        <v>0</v>
      </c>
      <c r="J58" s="709">
        <v>0</v>
      </c>
      <c r="K58" s="709">
        <v>0</v>
      </c>
      <c r="L58" s="709">
        <v>0</v>
      </c>
      <c r="M58" s="709">
        <v>0</v>
      </c>
      <c r="N58" s="709">
        <v>0</v>
      </c>
      <c r="O58" s="709">
        <v>0</v>
      </c>
      <c r="P58" s="709">
        <v>0</v>
      </c>
      <c r="Q58" s="709">
        <v>0</v>
      </c>
      <c r="R58" s="709">
        <v>0</v>
      </c>
      <c r="S58" s="709">
        <v>0</v>
      </c>
      <c r="T58" s="709">
        <v>0</v>
      </c>
      <c r="U58" s="709">
        <v>0</v>
      </c>
      <c r="V58" s="709">
        <v>0</v>
      </c>
      <c r="W58" s="709">
        <v>0</v>
      </c>
      <c r="X58" s="709">
        <v>0</v>
      </c>
      <c r="Y58" s="709">
        <v>0</v>
      </c>
      <c r="Z58" s="709">
        <v>0</v>
      </c>
      <c r="AA58" s="709">
        <v>0</v>
      </c>
      <c r="AB58" s="709">
        <v>0</v>
      </c>
      <c r="AC58" s="709">
        <v>0</v>
      </c>
      <c r="AD58" s="709">
        <v>0</v>
      </c>
      <c r="AE58" s="709">
        <v>0</v>
      </c>
      <c r="AF58" s="709">
        <v>0</v>
      </c>
      <c r="AG58" s="709">
        <v>0</v>
      </c>
      <c r="AH58" s="709">
        <v>0</v>
      </c>
      <c r="AI58" s="709">
        <v>0</v>
      </c>
      <c r="AJ58" s="709">
        <v>0</v>
      </c>
      <c r="AK58" s="709">
        <v>4860</v>
      </c>
      <c r="AL58" s="709">
        <v>0</v>
      </c>
      <c r="AM58" s="709">
        <v>4860</v>
      </c>
      <c r="AN58" s="709">
        <v>0</v>
      </c>
      <c r="AO58" s="709">
        <v>0</v>
      </c>
      <c r="AP58" s="709">
        <v>0</v>
      </c>
      <c r="AQ58" s="709">
        <v>0</v>
      </c>
      <c r="AR58" s="709">
        <v>0</v>
      </c>
      <c r="AS58" s="709">
        <v>0</v>
      </c>
    </row>
    <row r="59" spans="1:45">
      <c r="A59" s="708" t="s">
        <v>894</v>
      </c>
      <c r="B59" s="709">
        <v>17448</v>
      </c>
      <c r="C59" s="709">
        <v>17448</v>
      </c>
      <c r="D59" s="709">
        <v>17448</v>
      </c>
      <c r="E59" s="709">
        <v>0</v>
      </c>
      <c r="F59" s="709">
        <v>10</v>
      </c>
      <c r="G59" s="709">
        <v>10</v>
      </c>
      <c r="H59" s="709">
        <v>10</v>
      </c>
      <c r="I59" s="709">
        <v>10</v>
      </c>
      <c r="J59" s="709">
        <v>10</v>
      </c>
      <c r="K59" s="709">
        <v>10</v>
      </c>
      <c r="L59" s="709">
        <v>0</v>
      </c>
      <c r="M59" s="709">
        <v>0</v>
      </c>
      <c r="N59" s="709">
        <v>0</v>
      </c>
      <c r="O59" s="709">
        <v>0</v>
      </c>
      <c r="P59" s="709">
        <v>0</v>
      </c>
      <c r="Q59" s="709">
        <v>0</v>
      </c>
      <c r="R59" s="709">
        <v>0</v>
      </c>
      <c r="S59" s="709">
        <v>0</v>
      </c>
      <c r="T59" s="709">
        <v>0</v>
      </c>
      <c r="U59" s="709">
        <v>0</v>
      </c>
      <c r="V59" s="709">
        <v>0</v>
      </c>
      <c r="W59" s="709">
        <v>0</v>
      </c>
      <c r="X59" s="709">
        <v>0</v>
      </c>
      <c r="Y59" s="709">
        <v>0</v>
      </c>
      <c r="Z59" s="709">
        <v>0</v>
      </c>
      <c r="AA59" s="709">
        <v>0</v>
      </c>
      <c r="AB59" s="709">
        <v>0</v>
      </c>
      <c r="AC59" s="709">
        <v>0</v>
      </c>
      <c r="AD59" s="709">
        <v>0</v>
      </c>
      <c r="AE59" s="709">
        <v>0</v>
      </c>
      <c r="AF59" s="709">
        <v>0</v>
      </c>
      <c r="AG59" s="709">
        <v>0</v>
      </c>
      <c r="AH59" s="709">
        <v>0</v>
      </c>
      <c r="AI59" s="709">
        <v>0</v>
      </c>
      <c r="AJ59" s="709">
        <v>10</v>
      </c>
      <c r="AK59" s="709">
        <v>17438</v>
      </c>
      <c r="AL59" s="709">
        <v>0</v>
      </c>
      <c r="AM59" s="709">
        <v>17972</v>
      </c>
      <c r="AN59" s="709">
        <v>0</v>
      </c>
      <c r="AO59" s="709">
        <v>524</v>
      </c>
      <c r="AP59" s="709">
        <v>0</v>
      </c>
      <c r="AQ59" s="709">
        <v>0</v>
      </c>
      <c r="AR59" s="709">
        <v>0</v>
      </c>
      <c r="AS59" s="709">
        <v>0</v>
      </c>
    </row>
    <row r="60" spans="1:45">
      <c r="A60" s="708" t="s">
        <v>895</v>
      </c>
      <c r="B60" s="709">
        <v>0</v>
      </c>
      <c r="C60" s="709">
        <v>0</v>
      </c>
      <c r="D60" s="709">
        <v>0</v>
      </c>
      <c r="E60" s="709">
        <v>0</v>
      </c>
      <c r="F60" s="709">
        <v>0</v>
      </c>
      <c r="G60" s="709">
        <v>0</v>
      </c>
      <c r="H60" s="709">
        <v>0</v>
      </c>
      <c r="I60" s="709">
        <v>0</v>
      </c>
      <c r="J60" s="709">
        <v>0</v>
      </c>
      <c r="K60" s="709">
        <v>0</v>
      </c>
      <c r="L60" s="709">
        <v>0</v>
      </c>
      <c r="M60" s="709">
        <v>0</v>
      </c>
      <c r="N60" s="709">
        <v>0</v>
      </c>
      <c r="O60" s="709">
        <v>0</v>
      </c>
      <c r="P60" s="709">
        <v>0</v>
      </c>
      <c r="Q60" s="709">
        <v>0</v>
      </c>
      <c r="R60" s="709">
        <v>0</v>
      </c>
      <c r="S60" s="709">
        <v>0</v>
      </c>
      <c r="T60" s="709">
        <v>0</v>
      </c>
      <c r="U60" s="709">
        <v>0</v>
      </c>
      <c r="V60" s="709">
        <v>0</v>
      </c>
      <c r="W60" s="709">
        <v>0</v>
      </c>
      <c r="X60" s="709">
        <v>0</v>
      </c>
      <c r="Y60" s="709">
        <v>0</v>
      </c>
      <c r="Z60" s="709">
        <v>0</v>
      </c>
      <c r="AA60" s="709">
        <v>0</v>
      </c>
      <c r="AB60" s="709">
        <v>0</v>
      </c>
      <c r="AC60" s="709">
        <v>0</v>
      </c>
      <c r="AD60" s="709">
        <v>0</v>
      </c>
      <c r="AE60" s="709">
        <v>0</v>
      </c>
      <c r="AF60" s="709">
        <v>0</v>
      </c>
      <c r="AG60" s="709">
        <v>0</v>
      </c>
      <c r="AH60" s="709">
        <v>0</v>
      </c>
      <c r="AI60" s="709">
        <v>0</v>
      </c>
      <c r="AJ60" s="709">
        <v>0</v>
      </c>
      <c r="AK60" s="709">
        <v>0</v>
      </c>
      <c r="AL60" s="709">
        <v>0</v>
      </c>
      <c r="AM60" s="709">
        <v>0</v>
      </c>
      <c r="AN60" s="709">
        <v>0</v>
      </c>
      <c r="AO60" s="709">
        <v>0</v>
      </c>
      <c r="AP60" s="709">
        <v>0</v>
      </c>
      <c r="AQ60" s="709">
        <v>0</v>
      </c>
      <c r="AR60" s="709">
        <v>0</v>
      </c>
      <c r="AS60" s="709">
        <v>0</v>
      </c>
    </row>
    <row r="61" spans="1:45">
      <c r="A61" s="708" t="s">
        <v>896</v>
      </c>
      <c r="B61" s="709">
        <v>78</v>
      </c>
      <c r="C61" s="709">
        <v>78</v>
      </c>
      <c r="D61" s="709">
        <v>72</v>
      </c>
      <c r="E61" s="709">
        <v>6</v>
      </c>
      <c r="F61" s="709">
        <v>0</v>
      </c>
      <c r="G61" s="709">
        <v>6</v>
      </c>
      <c r="H61" s="709">
        <v>6</v>
      </c>
      <c r="I61" s="709">
        <v>0</v>
      </c>
      <c r="J61" s="709">
        <v>0</v>
      </c>
      <c r="K61" s="709">
        <v>0</v>
      </c>
      <c r="L61" s="709">
        <v>0</v>
      </c>
      <c r="M61" s="709">
        <v>0</v>
      </c>
      <c r="N61" s="709">
        <v>0</v>
      </c>
      <c r="O61" s="709">
        <v>72</v>
      </c>
      <c r="P61" s="709">
        <v>0</v>
      </c>
      <c r="Q61" s="709">
        <v>0</v>
      </c>
      <c r="R61" s="709">
        <v>0</v>
      </c>
      <c r="S61" s="709">
        <v>0</v>
      </c>
      <c r="T61" s="709">
        <v>0</v>
      </c>
      <c r="U61" s="709">
        <v>0</v>
      </c>
      <c r="V61" s="709">
        <v>0</v>
      </c>
      <c r="W61" s="709">
        <v>0</v>
      </c>
      <c r="X61" s="709">
        <v>0</v>
      </c>
      <c r="Y61" s="709">
        <v>0</v>
      </c>
      <c r="Z61" s="709">
        <v>0</v>
      </c>
      <c r="AA61" s="709">
        <v>0</v>
      </c>
      <c r="AB61" s="709">
        <v>0</v>
      </c>
      <c r="AC61" s="709">
        <v>0</v>
      </c>
      <c r="AD61" s="709">
        <v>0</v>
      </c>
      <c r="AE61" s="709">
        <v>0</v>
      </c>
      <c r="AF61" s="709">
        <v>0</v>
      </c>
      <c r="AG61" s="709">
        <v>0</v>
      </c>
      <c r="AH61" s="709">
        <v>0</v>
      </c>
      <c r="AI61" s="709">
        <v>6</v>
      </c>
      <c r="AJ61" s="709">
        <v>0</v>
      </c>
      <c r="AK61" s="709">
        <v>0</v>
      </c>
      <c r="AL61" s="709">
        <v>0</v>
      </c>
      <c r="AM61" s="709">
        <v>77</v>
      </c>
      <c r="AN61" s="709">
        <v>0</v>
      </c>
      <c r="AO61" s="709">
        <v>5</v>
      </c>
      <c r="AP61" s="709">
        <v>47</v>
      </c>
      <c r="AQ61" s="709">
        <v>0</v>
      </c>
      <c r="AR61" s="709">
        <v>0</v>
      </c>
      <c r="AS61" s="709">
        <v>0</v>
      </c>
    </row>
    <row r="62" spans="1:45">
      <c r="A62" s="708" t="s">
        <v>897</v>
      </c>
      <c r="B62" s="709">
        <v>442</v>
      </c>
      <c r="C62" s="709">
        <v>442</v>
      </c>
      <c r="D62" s="709">
        <v>442</v>
      </c>
      <c r="E62" s="709">
        <v>0</v>
      </c>
      <c r="F62" s="709">
        <v>0</v>
      </c>
      <c r="G62" s="709">
        <v>0</v>
      </c>
      <c r="H62" s="709">
        <v>0</v>
      </c>
      <c r="I62" s="709">
        <v>0</v>
      </c>
      <c r="J62" s="709">
        <v>0</v>
      </c>
      <c r="K62" s="709">
        <v>0</v>
      </c>
      <c r="L62" s="709">
        <v>0</v>
      </c>
      <c r="M62" s="709">
        <v>0</v>
      </c>
      <c r="N62" s="709">
        <v>0</v>
      </c>
      <c r="O62" s="709">
        <v>0</v>
      </c>
      <c r="P62" s="709">
        <v>0</v>
      </c>
      <c r="Q62" s="709">
        <v>0</v>
      </c>
      <c r="R62" s="709">
        <v>0</v>
      </c>
      <c r="S62" s="709">
        <v>0</v>
      </c>
      <c r="T62" s="709">
        <v>0</v>
      </c>
      <c r="U62" s="709">
        <v>0</v>
      </c>
      <c r="V62" s="709">
        <v>0</v>
      </c>
      <c r="W62" s="709">
        <v>0</v>
      </c>
      <c r="X62" s="709">
        <v>0</v>
      </c>
      <c r="Y62" s="709">
        <v>0</v>
      </c>
      <c r="Z62" s="709">
        <v>0</v>
      </c>
      <c r="AA62" s="709">
        <v>0</v>
      </c>
      <c r="AB62" s="709">
        <v>0</v>
      </c>
      <c r="AC62" s="709">
        <v>0</v>
      </c>
      <c r="AD62" s="709">
        <v>0</v>
      </c>
      <c r="AE62" s="709">
        <v>0</v>
      </c>
      <c r="AF62" s="709">
        <v>0</v>
      </c>
      <c r="AG62" s="709">
        <v>0</v>
      </c>
      <c r="AH62" s="709">
        <v>0</v>
      </c>
      <c r="AI62" s="709">
        <v>0</v>
      </c>
      <c r="AJ62" s="709">
        <v>0</v>
      </c>
      <c r="AK62" s="709">
        <v>442</v>
      </c>
      <c r="AL62" s="709">
        <v>0</v>
      </c>
      <c r="AM62" s="709">
        <v>442</v>
      </c>
      <c r="AN62" s="709">
        <v>0</v>
      </c>
      <c r="AO62" s="709">
        <v>0</v>
      </c>
      <c r="AP62" s="709">
        <v>0</v>
      </c>
      <c r="AQ62" s="709">
        <v>0</v>
      </c>
      <c r="AR62" s="709">
        <v>0</v>
      </c>
      <c r="AS62" s="709">
        <v>0</v>
      </c>
    </row>
    <row r="63" spans="1:45">
      <c r="A63" s="708" t="s">
        <v>898</v>
      </c>
      <c r="B63" s="709">
        <v>823</v>
      </c>
      <c r="C63" s="709">
        <v>823</v>
      </c>
      <c r="D63" s="709">
        <v>784</v>
      </c>
      <c r="E63" s="709">
        <v>39</v>
      </c>
      <c r="F63" s="709">
        <v>64</v>
      </c>
      <c r="G63" s="709">
        <v>64</v>
      </c>
      <c r="H63" s="709">
        <v>64</v>
      </c>
      <c r="I63" s="709">
        <v>64</v>
      </c>
      <c r="J63" s="709">
        <v>64</v>
      </c>
      <c r="K63" s="709">
        <v>64</v>
      </c>
      <c r="L63" s="709">
        <v>0</v>
      </c>
      <c r="M63" s="709">
        <v>0</v>
      </c>
      <c r="N63" s="709">
        <v>0</v>
      </c>
      <c r="O63" s="709">
        <v>0</v>
      </c>
      <c r="P63" s="709">
        <v>0</v>
      </c>
      <c r="Q63" s="709">
        <v>0</v>
      </c>
      <c r="R63" s="709">
        <v>0</v>
      </c>
      <c r="S63" s="709">
        <v>0</v>
      </c>
      <c r="T63" s="709">
        <v>0</v>
      </c>
      <c r="U63" s="709">
        <v>0</v>
      </c>
      <c r="V63" s="709">
        <v>0</v>
      </c>
      <c r="W63" s="709">
        <v>0</v>
      </c>
      <c r="X63" s="709">
        <v>0</v>
      </c>
      <c r="Y63" s="709">
        <v>39</v>
      </c>
      <c r="Z63" s="709">
        <v>0</v>
      </c>
      <c r="AA63" s="709">
        <v>0</v>
      </c>
      <c r="AB63" s="709">
        <v>0</v>
      </c>
      <c r="AC63" s="709">
        <v>0</v>
      </c>
      <c r="AD63" s="709">
        <v>0</v>
      </c>
      <c r="AE63" s="709">
        <v>0</v>
      </c>
      <c r="AF63" s="709">
        <v>0</v>
      </c>
      <c r="AG63" s="709">
        <v>0</v>
      </c>
      <c r="AH63" s="709">
        <v>0</v>
      </c>
      <c r="AI63" s="709">
        <v>0</v>
      </c>
      <c r="AJ63" s="709">
        <v>64</v>
      </c>
      <c r="AK63" s="709">
        <v>720</v>
      </c>
      <c r="AL63" s="709">
        <v>0</v>
      </c>
      <c r="AM63" s="709">
        <v>3044</v>
      </c>
      <c r="AN63" s="709">
        <v>567</v>
      </c>
      <c r="AO63" s="709">
        <v>2260</v>
      </c>
      <c r="AP63" s="709">
        <v>0</v>
      </c>
      <c r="AQ63" s="709">
        <v>0</v>
      </c>
      <c r="AR63" s="709">
        <v>0</v>
      </c>
      <c r="AS63" s="709">
        <v>0</v>
      </c>
    </row>
    <row r="64" spans="1:45">
      <c r="A64" s="708" t="s">
        <v>899</v>
      </c>
      <c r="B64" s="709">
        <v>0</v>
      </c>
      <c r="C64" s="709">
        <v>0</v>
      </c>
      <c r="D64" s="709">
        <v>0</v>
      </c>
      <c r="E64" s="709">
        <v>0</v>
      </c>
      <c r="F64" s="709">
        <v>0</v>
      </c>
      <c r="G64" s="709">
        <v>0</v>
      </c>
      <c r="H64" s="709">
        <v>0</v>
      </c>
      <c r="I64" s="709">
        <v>0</v>
      </c>
      <c r="J64" s="709">
        <v>0</v>
      </c>
      <c r="K64" s="709">
        <v>0</v>
      </c>
      <c r="L64" s="709">
        <v>0</v>
      </c>
      <c r="M64" s="709">
        <v>0</v>
      </c>
      <c r="N64" s="709">
        <v>0</v>
      </c>
      <c r="O64" s="709">
        <v>0</v>
      </c>
      <c r="P64" s="709">
        <v>0</v>
      </c>
      <c r="Q64" s="709">
        <v>0</v>
      </c>
      <c r="R64" s="709">
        <v>0</v>
      </c>
      <c r="S64" s="709">
        <v>0</v>
      </c>
      <c r="T64" s="709">
        <v>0</v>
      </c>
      <c r="U64" s="709">
        <v>0</v>
      </c>
      <c r="V64" s="709">
        <v>0</v>
      </c>
      <c r="W64" s="709">
        <v>0</v>
      </c>
      <c r="X64" s="709">
        <v>0</v>
      </c>
      <c r="Y64" s="709">
        <v>0</v>
      </c>
      <c r="Z64" s="709">
        <v>0</v>
      </c>
      <c r="AA64" s="709">
        <v>0</v>
      </c>
      <c r="AB64" s="709">
        <v>0</v>
      </c>
      <c r="AC64" s="709">
        <v>0</v>
      </c>
      <c r="AD64" s="709">
        <v>0</v>
      </c>
      <c r="AE64" s="709">
        <v>0</v>
      </c>
      <c r="AF64" s="709">
        <v>0</v>
      </c>
      <c r="AG64" s="709">
        <v>0</v>
      </c>
      <c r="AH64" s="709">
        <v>0</v>
      </c>
      <c r="AI64" s="709">
        <v>0</v>
      </c>
      <c r="AJ64" s="709">
        <v>0</v>
      </c>
      <c r="AK64" s="709">
        <v>0</v>
      </c>
      <c r="AL64" s="709">
        <v>0</v>
      </c>
      <c r="AM64" s="709">
        <v>0</v>
      </c>
      <c r="AN64" s="709">
        <v>0</v>
      </c>
      <c r="AO64" s="709">
        <v>0</v>
      </c>
      <c r="AP64" s="709">
        <v>0</v>
      </c>
      <c r="AQ64" s="709">
        <v>0</v>
      </c>
      <c r="AR64" s="709">
        <v>0</v>
      </c>
      <c r="AS64" s="709">
        <v>0</v>
      </c>
    </row>
    <row r="65" spans="1:45">
      <c r="A65" s="708" t="s">
        <v>900</v>
      </c>
      <c r="B65" s="709">
        <v>4</v>
      </c>
      <c r="C65" s="709">
        <v>4</v>
      </c>
      <c r="D65" s="709">
        <v>0</v>
      </c>
      <c r="E65" s="709">
        <v>4</v>
      </c>
      <c r="F65" s="709">
        <v>0</v>
      </c>
      <c r="G65" s="709">
        <v>2</v>
      </c>
      <c r="H65" s="709">
        <v>2</v>
      </c>
      <c r="I65" s="709">
        <v>0</v>
      </c>
      <c r="J65" s="709">
        <v>0</v>
      </c>
      <c r="K65" s="709">
        <v>0</v>
      </c>
      <c r="L65" s="709">
        <v>0</v>
      </c>
      <c r="M65" s="709">
        <v>0</v>
      </c>
      <c r="N65" s="709">
        <v>0</v>
      </c>
      <c r="O65" s="709">
        <v>0</v>
      </c>
      <c r="P65" s="709">
        <v>0</v>
      </c>
      <c r="Q65" s="709">
        <v>0</v>
      </c>
      <c r="R65" s="709">
        <v>0</v>
      </c>
      <c r="S65" s="709">
        <v>0</v>
      </c>
      <c r="T65" s="709">
        <v>0</v>
      </c>
      <c r="U65" s="709">
        <v>0</v>
      </c>
      <c r="V65" s="709">
        <v>0</v>
      </c>
      <c r="W65" s="709">
        <v>0</v>
      </c>
      <c r="X65" s="709">
        <v>0</v>
      </c>
      <c r="Y65" s="709">
        <v>2</v>
      </c>
      <c r="Z65" s="709">
        <v>0</v>
      </c>
      <c r="AA65" s="709">
        <v>0</v>
      </c>
      <c r="AB65" s="709">
        <v>0</v>
      </c>
      <c r="AC65" s="709">
        <v>0</v>
      </c>
      <c r="AD65" s="709">
        <v>0</v>
      </c>
      <c r="AE65" s="709">
        <v>0</v>
      </c>
      <c r="AF65" s="709">
        <v>0</v>
      </c>
      <c r="AG65" s="709">
        <v>0</v>
      </c>
      <c r="AH65" s="709">
        <v>0</v>
      </c>
      <c r="AI65" s="709">
        <v>2</v>
      </c>
      <c r="AJ65" s="709">
        <v>0</v>
      </c>
      <c r="AK65" s="709">
        <v>0</v>
      </c>
      <c r="AL65" s="709">
        <v>0</v>
      </c>
      <c r="AM65" s="709">
        <v>3</v>
      </c>
      <c r="AN65" s="709">
        <v>0</v>
      </c>
      <c r="AO65" s="709">
        <v>3</v>
      </c>
      <c r="AP65" s="709">
        <v>0</v>
      </c>
      <c r="AQ65" s="709">
        <v>0</v>
      </c>
      <c r="AR65" s="709">
        <v>0</v>
      </c>
      <c r="AS65" s="709">
        <v>0</v>
      </c>
    </row>
    <row r="66" spans="1:45">
      <c r="A66" s="708" t="s">
        <v>901</v>
      </c>
      <c r="B66" s="709">
        <v>8048</v>
      </c>
      <c r="C66" s="709">
        <v>8048</v>
      </c>
      <c r="D66" s="709">
        <v>3410</v>
      </c>
      <c r="E66" s="709">
        <v>4638</v>
      </c>
      <c r="F66" s="709">
        <v>3410</v>
      </c>
      <c r="G66" s="709">
        <v>3410</v>
      </c>
      <c r="H66" s="709">
        <v>3410</v>
      </c>
      <c r="I66" s="709">
        <v>3410</v>
      </c>
      <c r="J66" s="709">
        <v>3410</v>
      </c>
      <c r="K66" s="709">
        <v>3410</v>
      </c>
      <c r="L66" s="709">
        <v>2902</v>
      </c>
      <c r="M66" s="709">
        <v>0</v>
      </c>
      <c r="N66" s="709">
        <v>0</v>
      </c>
      <c r="O66" s="709">
        <v>0</v>
      </c>
      <c r="P66" s="709">
        <v>0</v>
      </c>
      <c r="Q66" s="709">
        <v>0</v>
      </c>
      <c r="R66" s="709">
        <v>0</v>
      </c>
      <c r="S66" s="709">
        <v>0</v>
      </c>
      <c r="T66" s="709">
        <v>0</v>
      </c>
      <c r="U66" s="709">
        <v>0</v>
      </c>
      <c r="V66" s="709">
        <v>0</v>
      </c>
      <c r="W66" s="709">
        <v>0</v>
      </c>
      <c r="X66" s="709">
        <v>0</v>
      </c>
      <c r="Y66" s="709">
        <v>4638</v>
      </c>
      <c r="Z66" s="709">
        <v>0</v>
      </c>
      <c r="AA66" s="709">
        <v>0</v>
      </c>
      <c r="AB66" s="709">
        <v>0</v>
      </c>
      <c r="AC66" s="709">
        <v>0</v>
      </c>
      <c r="AD66" s="709">
        <v>0</v>
      </c>
      <c r="AE66" s="709">
        <v>0</v>
      </c>
      <c r="AF66" s="709">
        <v>0</v>
      </c>
      <c r="AG66" s="709">
        <v>0</v>
      </c>
      <c r="AH66" s="709">
        <v>0</v>
      </c>
      <c r="AI66" s="709">
        <v>0</v>
      </c>
      <c r="AJ66" s="709">
        <v>508</v>
      </c>
      <c r="AK66" s="709">
        <v>0</v>
      </c>
      <c r="AL66" s="709">
        <v>0</v>
      </c>
      <c r="AM66" s="709">
        <v>3410</v>
      </c>
      <c r="AN66" s="709">
        <v>0</v>
      </c>
      <c r="AO66" s="709">
        <v>0</v>
      </c>
      <c r="AP66" s="709">
        <v>0</v>
      </c>
      <c r="AQ66" s="709">
        <v>0</v>
      </c>
      <c r="AR66" s="709">
        <v>0</v>
      </c>
      <c r="AS66" s="709">
        <v>0</v>
      </c>
    </row>
    <row r="67" spans="1:45">
      <c r="A67" s="708" t="s">
        <v>902</v>
      </c>
      <c r="B67" s="709">
        <v>5585</v>
      </c>
      <c r="C67" s="709">
        <v>5585</v>
      </c>
      <c r="D67" s="709">
        <v>3206</v>
      </c>
      <c r="E67" s="709">
        <v>2379</v>
      </c>
      <c r="F67" s="709">
        <v>3206</v>
      </c>
      <c r="G67" s="709">
        <v>3206</v>
      </c>
      <c r="H67" s="709">
        <v>3206</v>
      </c>
      <c r="I67" s="709">
        <v>3206</v>
      </c>
      <c r="J67" s="709">
        <v>3206</v>
      </c>
      <c r="K67" s="709">
        <v>3206</v>
      </c>
      <c r="L67" s="709">
        <v>0</v>
      </c>
      <c r="M67" s="709">
        <v>0</v>
      </c>
      <c r="N67" s="709">
        <v>20</v>
      </c>
      <c r="O67" s="709">
        <v>0</v>
      </c>
      <c r="P67" s="709">
        <v>0</v>
      </c>
      <c r="Q67" s="709">
        <v>0</v>
      </c>
      <c r="R67" s="709">
        <v>0</v>
      </c>
      <c r="S67" s="709">
        <v>0</v>
      </c>
      <c r="T67" s="709">
        <v>0</v>
      </c>
      <c r="U67" s="709">
        <v>0</v>
      </c>
      <c r="V67" s="709">
        <v>0</v>
      </c>
      <c r="W67" s="709">
        <v>0</v>
      </c>
      <c r="X67" s="709">
        <v>0</v>
      </c>
      <c r="Y67" s="709">
        <v>2359</v>
      </c>
      <c r="Z67" s="709">
        <v>0</v>
      </c>
      <c r="AA67" s="709">
        <v>0</v>
      </c>
      <c r="AB67" s="709">
        <v>0</v>
      </c>
      <c r="AC67" s="709">
        <v>0</v>
      </c>
      <c r="AD67" s="709">
        <v>33</v>
      </c>
      <c r="AE67" s="709">
        <v>0</v>
      </c>
      <c r="AF67" s="709">
        <v>0</v>
      </c>
      <c r="AG67" s="709">
        <v>0</v>
      </c>
      <c r="AH67" s="709">
        <v>0</v>
      </c>
      <c r="AI67" s="709">
        <v>0</v>
      </c>
      <c r="AJ67" s="709">
        <v>3173</v>
      </c>
      <c r="AK67" s="709">
        <v>0</v>
      </c>
      <c r="AL67" s="709">
        <v>0</v>
      </c>
      <c r="AM67" s="709">
        <v>4254</v>
      </c>
      <c r="AN67" s="709">
        <v>0</v>
      </c>
      <c r="AO67" s="709">
        <v>1048</v>
      </c>
      <c r="AP67" s="709">
        <v>0</v>
      </c>
      <c r="AQ67" s="709">
        <v>0</v>
      </c>
      <c r="AR67" s="709">
        <v>0</v>
      </c>
      <c r="AS67" s="709">
        <v>0</v>
      </c>
    </row>
    <row r="68" spans="1:45">
      <c r="A68" s="708" t="s">
        <v>903</v>
      </c>
      <c r="B68" s="709">
        <v>292</v>
      </c>
      <c r="C68" s="709">
        <v>292</v>
      </c>
      <c r="D68" s="709">
        <v>0</v>
      </c>
      <c r="E68" s="709">
        <v>292</v>
      </c>
      <c r="F68" s="709">
        <v>0</v>
      </c>
      <c r="G68" s="709">
        <v>0</v>
      </c>
      <c r="H68" s="709">
        <v>0</v>
      </c>
      <c r="I68" s="709">
        <v>0</v>
      </c>
      <c r="J68" s="709">
        <v>0</v>
      </c>
      <c r="K68" s="709">
        <v>0</v>
      </c>
      <c r="L68" s="709">
        <v>0</v>
      </c>
      <c r="M68" s="709">
        <v>0</v>
      </c>
      <c r="N68" s="709">
        <v>292</v>
      </c>
      <c r="O68" s="709">
        <v>0</v>
      </c>
      <c r="P68" s="709">
        <v>0</v>
      </c>
      <c r="Q68" s="709">
        <v>0</v>
      </c>
      <c r="R68" s="709">
        <v>0</v>
      </c>
      <c r="S68" s="709">
        <v>0</v>
      </c>
      <c r="T68" s="709">
        <v>0</v>
      </c>
      <c r="U68" s="709">
        <v>0</v>
      </c>
      <c r="V68" s="709">
        <v>0</v>
      </c>
      <c r="W68" s="709">
        <v>0</v>
      </c>
      <c r="X68" s="709">
        <v>0</v>
      </c>
      <c r="Y68" s="709">
        <v>0</v>
      </c>
      <c r="Z68" s="709">
        <v>0</v>
      </c>
      <c r="AA68" s="709">
        <v>0</v>
      </c>
      <c r="AB68" s="709">
        <v>0</v>
      </c>
      <c r="AC68" s="709">
        <v>0</v>
      </c>
      <c r="AD68" s="709">
        <v>0</v>
      </c>
      <c r="AE68" s="709">
        <v>0</v>
      </c>
      <c r="AF68" s="709">
        <v>0</v>
      </c>
      <c r="AG68" s="709">
        <v>0</v>
      </c>
      <c r="AH68" s="709">
        <v>0</v>
      </c>
      <c r="AI68" s="709">
        <v>0</v>
      </c>
      <c r="AJ68" s="709">
        <v>0</v>
      </c>
      <c r="AK68" s="709">
        <v>0</v>
      </c>
      <c r="AL68" s="709">
        <v>0</v>
      </c>
      <c r="AM68" s="709">
        <v>0</v>
      </c>
      <c r="AN68" s="709">
        <v>0</v>
      </c>
      <c r="AO68" s="709">
        <v>0</v>
      </c>
      <c r="AP68" s="709">
        <v>0</v>
      </c>
      <c r="AQ68" s="709">
        <v>0</v>
      </c>
      <c r="AR68" s="709">
        <v>0</v>
      </c>
      <c r="AS68" s="709">
        <v>0</v>
      </c>
    </row>
    <row r="69" spans="1:45">
      <c r="A69" s="708" t="s">
        <v>904</v>
      </c>
      <c r="B69" s="709">
        <v>211</v>
      </c>
      <c r="C69" s="709">
        <v>211</v>
      </c>
      <c r="D69" s="709">
        <v>211</v>
      </c>
      <c r="E69" s="709">
        <v>0</v>
      </c>
      <c r="F69" s="709">
        <v>0</v>
      </c>
      <c r="G69" s="709">
        <v>0</v>
      </c>
      <c r="H69" s="709">
        <v>0</v>
      </c>
      <c r="I69" s="709">
        <v>0</v>
      </c>
      <c r="J69" s="709">
        <v>0</v>
      </c>
      <c r="K69" s="709">
        <v>0</v>
      </c>
      <c r="L69" s="709">
        <v>0</v>
      </c>
      <c r="M69" s="709">
        <v>0</v>
      </c>
      <c r="N69" s="709">
        <v>0</v>
      </c>
      <c r="O69" s="709">
        <v>211</v>
      </c>
      <c r="P69" s="709">
        <v>0</v>
      </c>
      <c r="Q69" s="709">
        <v>0</v>
      </c>
      <c r="R69" s="709">
        <v>0</v>
      </c>
      <c r="S69" s="709">
        <v>0</v>
      </c>
      <c r="T69" s="709">
        <v>0</v>
      </c>
      <c r="U69" s="709">
        <v>0</v>
      </c>
      <c r="V69" s="709">
        <v>0</v>
      </c>
      <c r="W69" s="709">
        <v>0</v>
      </c>
      <c r="X69" s="709">
        <v>0</v>
      </c>
      <c r="Y69" s="709">
        <v>0</v>
      </c>
      <c r="Z69" s="709">
        <v>0</v>
      </c>
      <c r="AA69" s="709">
        <v>0</v>
      </c>
      <c r="AB69" s="709">
        <v>0</v>
      </c>
      <c r="AC69" s="709">
        <v>0</v>
      </c>
      <c r="AD69" s="709">
        <v>0</v>
      </c>
      <c r="AE69" s="709">
        <v>0</v>
      </c>
      <c r="AF69" s="709">
        <v>0</v>
      </c>
      <c r="AG69" s="709">
        <v>0</v>
      </c>
      <c r="AH69" s="709">
        <v>0</v>
      </c>
      <c r="AI69" s="709">
        <v>0</v>
      </c>
      <c r="AJ69" s="709">
        <v>0</v>
      </c>
      <c r="AK69" s="709">
        <v>0</v>
      </c>
      <c r="AL69" s="709">
        <v>0</v>
      </c>
      <c r="AM69" s="709">
        <v>211</v>
      </c>
      <c r="AN69" s="709">
        <v>0</v>
      </c>
      <c r="AO69" s="709">
        <v>0</v>
      </c>
      <c r="AP69" s="709">
        <v>0</v>
      </c>
      <c r="AQ69" s="709">
        <v>0</v>
      </c>
      <c r="AR69" s="709">
        <v>0</v>
      </c>
      <c r="AS69" s="709">
        <v>0</v>
      </c>
    </row>
    <row r="70" spans="1:45">
      <c r="A70" s="708" t="s">
        <v>905</v>
      </c>
      <c r="B70" s="709">
        <v>0</v>
      </c>
      <c r="C70" s="709">
        <v>0</v>
      </c>
      <c r="D70" s="709">
        <v>0</v>
      </c>
      <c r="E70" s="709">
        <v>0</v>
      </c>
      <c r="F70" s="709">
        <v>0</v>
      </c>
      <c r="G70" s="709">
        <v>0</v>
      </c>
      <c r="H70" s="709">
        <v>0</v>
      </c>
      <c r="I70" s="709">
        <v>0</v>
      </c>
      <c r="J70" s="709">
        <v>0</v>
      </c>
      <c r="K70" s="709">
        <v>0</v>
      </c>
      <c r="L70" s="709">
        <v>0</v>
      </c>
      <c r="M70" s="709">
        <v>0</v>
      </c>
      <c r="N70" s="709">
        <v>0</v>
      </c>
      <c r="O70" s="709">
        <v>0</v>
      </c>
      <c r="P70" s="709">
        <v>0</v>
      </c>
      <c r="Q70" s="709">
        <v>0</v>
      </c>
      <c r="R70" s="709">
        <v>0</v>
      </c>
      <c r="S70" s="709">
        <v>0</v>
      </c>
      <c r="T70" s="709">
        <v>0</v>
      </c>
      <c r="U70" s="709">
        <v>0</v>
      </c>
      <c r="V70" s="709">
        <v>0</v>
      </c>
      <c r="W70" s="709">
        <v>0</v>
      </c>
      <c r="X70" s="709">
        <v>0</v>
      </c>
      <c r="Y70" s="709">
        <v>0</v>
      </c>
      <c r="Z70" s="709">
        <v>0</v>
      </c>
      <c r="AA70" s="709">
        <v>0</v>
      </c>
      <c r="AB70" s="709">
        <v>0</v>
      </c>
      <c r="AC70" s="709">
        <v>0</v>
      </c>
      <c r="AD70" s="709">
        <v>0</v>
      </c>
      <c r="AE70" s="709">
        <v>0</v>
      </c>
      <c r="AF70" s="709">
        <v>0</v>
      </c>
      <c r="AG70" s="709">
        <v>0</v>
      </c>
      <c r="AH70" s="709">
        <v>0</v>
      </c>
      <c r="AI70" s="709">
        <v>0</v>
      </c>
      <c r="AJ70" s="709">
        <v>0</v>
      </c>
      <c r="AK70" s="709">
        <v>0</v>
      </c>
      <c r="AL70" s="709">
        <v>0</v>
      </c>
      <c r="AM70" s="709">
        <v>0</v>
      </c>
      <c r="AN70" s="709">
        <v>0</v>
      </c>
      <c r="AO70" s="709">
        <v>0</v>
      </c>
      <c r="AP70" s="709">
        <v>0</v>
      </c>
      <c r="AQ70" s="709">
        <v>0</v>
      </c>
      <c r="AR70" s="709">
        <v>0</v>
      </c>
      <c r="AS70" s="709">
        <v>0</v>
      </c>
    </row>
    <row r="71" spans="1:45">
      <c r="A71" s="708" t="s">
        <v>906</v>
      </c>
      <c r="B71" s="709">
        <v>3139</v>
      </c>
      <c r="C71" s="709">
        <v>3139</v>
      </c>
      <c r="D71" s="709">
        <v>3091</v>
      </c>
      <c r="E71" s="709">
        <v>48</v>
      </c>
      <c r="F71" s="709">
        <v>192</v>
      </c>
      <c r="G71" s="709">
        <v>240</v>
      </c>
      <c r="H71" s="709">
        <v>240</v>
      </c>
      <c r="I71" s="709">
        <v>192</v>
      </c>
      <c r="J71" s="709">
        <v>192</v>
      </c>
      <c r="K71" s="709">
        <v>192</v>
      </c>
      <c r="L71" s="709">
        <v>0</v>
      </c>
      <c r="M71" s="709">
        <v>0</v>
      </c>
      <c r="N71" s="709">
        <v>0</v>
      </c>
      <c r="O71" s="709">
        <v>2899</v>
      </c>
      <c r="P71" s="709">
        <v>0</v>
      </c>
      <c r="Q71" s="709">
        <v>0</v>
      </c>
      <c r="R71" s="709">
        <v>0</v>
      </c>
      <c r="S71" s="709">
        <v>0</v>
      </c>
      <c r="T71" s="709">
        <v>0</v>
      </c>
      <c r="U71" s="709">
        <v>0</v>
      </c>
      <c r="V71" s="709">
        <v>0</v>
      </c>
      <c r="W71" s="709">
        <v>0</v>
      </c>
      <c r="X71" s="709">
        <v>0</v>
      </c>
      <c r="Y71" s="709">
        <v>0</v>
      </c>
      <c r="Z71" s="709">
        <v>0</v>
      </c>
      <c r="AA71" s="709">
        <v>0</v>
      </c>
      <c r="AB71" s="709">
        <v>0</v>
      </c>
      <c r="AC71" s="709">
        <v>0</v>
      </c>
      <c r="AD71" s="709">
        <v>0</v>
      </c>
      <c r="AE71" s="709">
        <v>0</v>
      </c>
      <c r="AF71" s="709">
        <v>0</v>
      </c>
      <c r="AG71" s="709">
        <v>0</v>
      </c>
      <c r="AH71" s="709">
        <v>0</v>
      </c>
      <c r="AI71" s="709">
        <v>48</v>
      </c>
      <c r="AJ71" s="709">
        <v>192</v>
      </c>
      <c r="AK71" s="709">
        <v>0</v>
      </c>
      <c r="AL71" s="709">
        <v>0</v>
      </c>
      <c r="AM71" s="709">
        <v>3636</v>
      </c>
      <c r="AN71" s="709">
        <v>0</v>
      </c>
      <c r="AO71" s="709">
        <v>545</v>
      </c>
      <c r="AP71" s="709">
        <v>0</v>
      </c>
      <c r="AQ71" s="709">
        <v>0</v>
      </c>
      <c r="AR71" s="709">
        <v>0</v>
      </c>
      <c r="AS71" s="709">
        <v>0</v>
      </c>
    </row>
    <row r="72" spans="1:45">
      <c r="A72" s="708" t="s">
        <v>696</v>
      </c>
      <c r="B72" s="709">
        <v>2893042</v>
      </c>
      <c r="C72" s="709">
        <v>2713257</v>
      </c>
      <c r="D72" s="709">
        <v>1999238</v>
      </c>
      <c r="E72" s="709">
        <v>714019</v>
      </c>
      <c r="F72" s="709">
        <v>1632532</v>
      </c>
      <c r="G72" s="709">
        <v>1721958</v>
      </c>
      <c r="H72" s="709">
        <v>1695181</v>
      </c>
      <c r="I72" s="709">
        <v>1642636</v>
      </c>
      <c r="J72" s="709">
        <v>1642636</v>
      </c>
      <c r="K72" s="709">
        <v>1632532</v>
      </c>
      <c r="L72" s="709">
        <v>22366</v>
      </c>
      <c r="M72" s="709">
        <v>52111</v>
      </c>
      <c r="N72" s="709">
        <v>139236</v>
      </c>
      <c r="O72" s="709">
        <v>128456</v>
      </c>
      <c r="P72" s="709">
        <v>814755</v>
      </c>
      <c r="Q72" s="709">
        <v>26777</v>
      </c>
      <c r="R72" s="709">
        <v>0</v>
      </c>
      <c r="S72" s="709">
        <v>2049</v>
      </c>
      <c r="T72" s="709">
        <v>0</v>
      </c>
      <c r="U72" s="709">
        <v>174304</v>
      </c>
      <c r="V72" s="709">
        <v>193064</v>
      </c>
      <c r="W72" s="709">
        <v>0</v>
      </c>
      <c r="X72" s="709">
        <v>31144</v>
      </c>
      <c r="Y72" s="709">
        <v>49900</v>
      </c>
      <c r="Z72" s="709">
        <v>926</v>
      </c>
      <c r="AA72" s="709">
        <v>63597</v>
      </c>
      <c r="AB72" s="709">
        <v>0</v>
      </c>
      <c r="AC72" s="709">
        <v>170863</v>
      </c>
      <c r="AD72" s="709">
        <v>61603</v>
      </c>
      <c r="AE72" s="709">
        <v>340716</v>
      </c>
      <c r="AF72" s="709">
        <v>13712</v>
      </c>
      <c r="AG72" s="709">
        <v>127674</v>
      </c>
      <c r="AH72" s="709">
        <v>10104</v>
      </c>
      <c r="AI72" s="709">
        <v>52545</v>
      </c>
      <c r="AJ72" s="709">
        <v>178890</v>
      </c>
      <c r="AK72" s="709">
        <v>181066</v>
      </c>
      <c r="AL72" s="709">
        <v>57184</v>
      </c>
      <c r="AM72" s="709">
        <v>2011965</v>
      </c>
      <c r="AN72" s="709">
        <v>9293</v>
      </c>
      <c r="AO72" s="709">
        <v>12727</v>
      </c>
      <c r="AP72" s="709">
        <v>16667</v>
      </c>
      <c r="AQ72" s="709">
        <v>13325</v>
      </c>
      <c r="AR72" s="709">
        <v>6083</v>
      </c>
      <c r="AS72" s="709">
        <v>35597</v>
      </c>
    </row>
    <row r="73" spans="1:45">
      <c r="A73" s="708" t="s">
        <v>870</v>
      </c>
      <c r="B73" s="709">
        <v>2869115</v>
      </c>
      <c r="C73" s="709">
        <v>2699806</v>
      </c>
      <c r="D73" s="709">
        <v>1998204</v>
      </c>
      <c r="E73" s="709">
        <v>701602</v>
      </c>
      <c r="F73" s="709">
        <v>1632532</v>
      </c>
      <c r="G73" s="709">
        <v>1718082</v>
      </c>
      <c r="H73" s="709">
        <v>1691305</v>
      </c>
      <c r="I73" s="709">
        <v>1642463</v>
      </c>
      <c r="J73" s="709">
        <v>1642463</v>
      </c>
      <c r="K73" s="709">
        <v>1632532</v>
      </c>
      <c r="L73" s="709">
        <v>22366</v>
      </c>
      <c r="M73" s="709">
        <v>47528</v>
      </c>
      <c r="N73" s="709">
        <v>139236</v>
      </c>
      <c r="O73" s="709">
        <v>127422</v>
      </c>
      <c r="P73" s="709">
        <v>814755</v>
      </c>
      <c r="Q73" s="709">
        <v>26777</v>
      </c>
      <c r="R73" s="709">
        <v>0</v>
      </c>
      <c r="S73" s="709">
        <v>2049</v>
      </c>
      <c r="T73" s="709">
        <v>0</v>
      </c>
      <c r="U73" s="709">
        <v>174304</v>
      </c>
      <c r="V73" s="709">
        <v>193064</v>
      </c>
      <c r="W73" s="709">
        <v>0</v>
      </c>
      <c r="X73" s="709">
        <v>30291</v>
      </c>
      <c r="Y73" s="709">
        <v>48685</v>
      </c>
      <c r="Z73" s="709">
        <v>926</v>
      </c>
      <c r="AA73" s="709">
        <v>63597</v>
      </c>
      <c r="AB73" s="709">
        <v>0</v>
      </c>
      <c r="AC73" s="709">
        <v>170863</v>
      </c>
      <c r="AD73" s="709">
        <v>61603</v>
      </c>
      <c r="AE73" s="709">
        <v>334243</v>
      </c>
      <c r="AF73" s="709">
        <v>13712</v>
      </c>
      <c r="AG73" s="709">
        <v>121781</v>
      </c>
      <c r="AH73" s="709">
        <v>9931</v>
      </c>
      <c r="AI73" s="709">
        <v>48842</v>
      </c>
      <c r="AJ73" s="709">
        <v>178890</v>
      </c>
      <c r="AK73" s="709">
        <v>181066</v>
      </c>
      <c r="AL73" s="709">
        <v>57184</v>
      </c>
      <c r="AM73" s="709">
        <v>2010506</v>
      </c>
      <c r="AN73" s="709">
        <v>9293</v>
      </c>
      <c r="AO73" s="709">
        <v>12302</v>
      </c>
      <c r="AP73" s="709">
        <v>16667</v>
      </c>
      <c r="AQ73" s="709">
        <v>12454</v>
      </c>
      <c r="AR73" s="709">
        <v>5982</v>
      </c>
      <c r="AS73" s="709">
        <v>35597</v>
      </c>
    </row>
    <row r="74" spans="1:45">
      <c r="A74" s="708" t="s">
        <v>1118</v>
      </c>
      <c r="B74" s="709">
        <v>653</v>
      </c>
      <c r="C74" s="709">
        <v>653</v>
      </c>
      <c r="D74" s="709">
        <v>0</v>
      </c>
      <c r="E74" s="709">
        <v>653</v>
      </c>
      <c r="F74" s="709">
        <v>0</v>
      </c>
      <c r="G74" s="709">
        <v>653</v>
      </c>
      <c r="H74" s="709">
        <v>653</v>
      </c>
      <c r="I74" s="709">
        <v>0</v>
      </c>
      <c r="J74" s="709">
        <v>0</v>
      </c>
      <c r="K74" s="709">
        <v>0</v>
      </c>
      <c r="L74" s="709">
        <v>0</v>
      </c>
      <c r="M74" s="709">
        <v>0</v>
      </c>
      <c r="N74" s="709">
        <v>0</v>
      </c>
      <c r="O74" s="709">
        <v>0</v>
      </c>
      <c r="P74" s="709">
        <v>0</v>
      </c>
      <c r="Q74" s="709">
        <v>0</v>
      </c>
      <c r="R74" s="709">
        <v>0</v>
      </c>
      <c r="S74" s="709">
        <v>0</v>
      </c>
      <c r="T74" s="709">
        <v>0</v>
      </c>
      <c r="U74" s="709">
        <v>0</v>
      </c>
      <c r="V74" s="709">
        <v>0</v>
      </c>
      <c r="W74" s="709">
        <v>0</v>
      </c>
      <c r="X74" s="709">
        <v>0</v>
      </c>
      <c r="Y74" s="709">
        <v>0</v>
      </c>
      <c r="Z74" s="709">
        <v>0</v>
      </c>
      <c r="AA74" s="709">
        <v>0</v>
      </c>
      <c r="AB74" s="709">
        <v>0</v>
      </c>
      <c r="AC74" s="709">
        <v>0</v>
      </c>
      <c r="AD74" s="709">
        <v>0</v>
      </c>
      <c r="AE74" s="709">
        <v>0</v>
      </c>
      <c r="AF74" s="709">
        <v>0</v>
      </c>
      <c r="AG74" s="709">
        <v>0</v>
      </c>
      <c r="AH74" s="709">
        <v>0</v>
      </c>
      <c r="AI74" s="709">
        <v>653</v>
      </c>
      <c r="AJ74" s="709">
        <v>0</v>
      </c>
      <c r="AK74" s="709">
        <v>0</v>
      </c>
      <c r="AL74" s="709">
        <v>0</v>
      </c>
      <c r="AM74" s="709">
        <v>0</v>
      </c>
      <c r="AN74" s="709">
        <v>0</v>
      </c>
      <c r="AO74" s="709">
        <v>0</v>
      </c>
      <c r="AP74" s="709">
        <v>0</v>
      </c>
      <c r="AQ74" s="709">
        <v>0</v>
      </c>
      <c r="AR74" s="709">
        <v>0</v>
      </c>
      <c r="AS74" s="709">
        <v>0</v>
      </c>
    </row>
    <row r="75" spans="1:45">
      <c r="A75" s="708" t="s">
        <v>1119</v>
      </c>
      <c r="B75" s="709">
        <v>0</v>
      </c>
      <c r="C75" s="709">
        <v>0</v>
      </c>
      <c r="D75" s="709">
        <v>0</v>
      </c>
      <c r="E75" s="709">
        <v>0</v>
      </c>
      <c r="F75" s="709">
        <v>0</v>
      </c>
      <c r="G75" s="709">
        <v>0</v>
      </c>
      <c r="H75" s="709">
        <v>0</v>
      </c>
      <c r="I75" s="709">
        <v>0</v>
      </c>
      <c r="J75" s="709">
        <v>0</v>
      </c>
      <c r="K75" s="709">
        <v>0</v>
      </c>
      <c r="L75" s="709">
        <v>0</v>
      </c>
      <c r="M75" s="709">
        <v>0</v>
      </c>
      <c r="N75" s="709">
        <v>0</v>
      </c>
      <c r="O75" s="709">
        <v>0</v>
      </c>
      <c r="P75" s="709">
        <v>0</v>
      </c>
      <c r="Q75" s="709">
        <v>0</v>
      </c>
      <c r="R75" s="709">
        <v>0</v>
      </c>
      <c r="S75" s="709">
        <v>0</v>
      </c>
      <c r="T75" s="709">
        <v>0</v>
      </c>
      <c r="U75" s="709">
        <v>0</v>
      </c>
      <c r="V75" s="709">
        <v>0</v>
      </c>
      <c r="W75" s="709">
        <v>0</v>
      </c>
      <c r="X75" s="709">
        <v>0</v>
      </c>
      <c r="Y75" s="709">
        <v>0</v>
      </c>
      <c r="Z75" s="709">
        <v>0</v>
      </c>
      <c r="AA75" s="709">
        <v>0</v>
      </c>
      <c r="AB75" s="709">
        <v>0</v>
      </c>
      <c r="AC75" s="709">
        <v>0</v>
      </c>
      <c r="AD75" s="709">
        <v>0</v>
      </c>
      <c r="AE75" s="709">
        <v>0</v>
      </c>
      <c r="AF75" s="709">
        <v>0</v>
      </c>
      <c r="AG75" s="709">
        <v>0</v>
      </c>
      <c r="AH75" s="709">
        <v>0</v>
      </c>
      <c r="AI75" s="709">
        <v>0</v>
      </c>
      <c r="AJ75" s="709">
        <v>0</v>
      </c>
      <c r="AK75" s="709">
        <v>0</v>
      </c>
      <c r="AL75" s="709">
        <v>0</v>
      </c>
      <c r="AM75" s="709">
        <v>0</v>
      </c>
      <c r="AN75" s="709">
        <v>0</v>
      </c>
      <c r="AO75" s="709">
        <v>0</v>
      </c>
      <c r="AP75" s="709">
        <v>0</v>
      </c>
      <c r="AQ75" s="709">
        <v>0</v>
      </c>
      <c r="AR75" s="709">
        <v>0</v>
      </c>
      <c r="AS75" s="709">
        <v>0</v>
      </c>
    </row>
    <row r="76" spans="1:45">
      <c r="A76" s="708" t="s">
        <v>1120</v>
      </c>
      <c r="B76" s="709">
        <v>0</v>
      </c>
      <c r="C76" s="709">
        <v>0</v>
      </c>
      <c r="D76" s="709">
        <v>0</v>
      </c>
      <c r="E76" s="709">
        <v>0</v>
      </c>
      <c r="F76" s="709">
        <v>0</v>
      </c>
      <c r="G76" s="709">
        <v>0</v>
      </c>
      <c r="H76" s="709">
        <v>0</v>
      </c>
      <c r="I76" s="709">
        <v>0</v>
      </c>
      <c r="J76" s="709">
        <v>0</v>
      </c>
      <c r="K76" s="709">
        <v>0</v>
      </c>
      <c r="L76" s="709">
        <v>0</v>
      </c>
      <c r="M76" s="709">
        <v>0</v>
      </c>
      <c r="N76" s="709">
        <v>0</v>
      </c>
      <c r="O76" s="709">
        <v>0</v>
      </c>
      <c r="P76" s="709">
        <v>0</v>
      </c>
      <c r="Q76" s="709">
        <v>0</v>
      </c>
      <c r="R76" s="709">
        <v>0</v>
      </c>
      <c r="S76" s="709">
        <v>0</v>
      </c>
      <c r="T76" s="709">
        <v>0</v>
      </c>
      <c r="U76" s="709">
        <v>0</v>
      </c>
      <c r="V76" s="709">
        <v>0</v>
      </c>
      <c r="W76" s="709">
        <v>0</v>
      </c>
      <c r="X76" s="709">
        <v>0</v>
      </c>
      <c r="Y76" s="709">
        <v>0</v>
      </c>
      <c r="Z76" s="709">
        <v>0</v>
      </c>
      <c r="AA76" s="709">
        <v>0</v>
      </c>
      <c r="AB76" s="709">
        <v>0</v>
      </c>
      <c r="AC76" s="709">
        <v>0</v>
      </c>
      <c r="AD76" s="709">
        <v>0</v>
      </c>
      <c r="AE76" s="709">
        <v>0</v>
      </c>
      <c r="AF76" s="709">
        <v>0</v>
      </c>
      <c r="AG76" s="709">
        <v>0</v>
      </c>
      <c r="AH76" s="709">
        <v>0</v>
      </c>
      <c r="AI76" s="709">
        <v>0</v>
      </c>
      <c r="AJ76" s="709">
        <v>0</v>
      </c>
      <c r="AK76" s="709">
        <v>0</v>
      </c>
      <c r="AL76" s="709">
        <v>0</v>
      </c>
      <c r="AM76" s="709">
        <v>0</v>
      </c>
      <c r="AN76" s="709">
        <v>0</v>
      </c>
      <c r="AO76" s="709">
        <v>0</v>
      </c>
      <c r="AP76" s="709">
        <v>0</v>
      </c>
      <c r="AQ76" s="709">
        <v>0</v>
      </c>
      <c r="AR76" s="709">
        <v>0</v>
      </c>
      <c r="AS76" s="709">
        <v>0</v>
      </c>
    </row>
    <row r="77" spans="1:45">
      <c r="A77" s="708" t="s">
        <v>1121</v>
      </c>
      <c r="B77" s="709">
        <v>0</v>
      </c>
      <c r="C77" s="709">
        <v>0</v>
      </c>
      <c r="D77" s="709">
        <v>0</v>
      </c>
      <c r="E77" s="709">
        <v>0</v>
      </c>
      <c r="F77" s="709">
        <v>0</v>
      </c>
      <c r="G77" s="709">
        <v>0</v>
      </c>
      <c r="H77" s="709">
        <v>0</v>
      </c>
      <c r="I77" s="709">
        <v>0</v>
      </c>
      <c r="J77" s="709">
        <v>0</v>
      </c>
      <c r="K77" s="709">
        <v>0</v>
      </c>
      <c r="L77" s="709">
        <v>0</v>
      </c>
      <c r="M77" s="709">
        <v>0</v>
      </c>
      <c r="N77" s="709">
        <v>0</v>
      </c>
      <c r="O77" s="709">
        <v>0</v>
      </c>
      <c r="P77" s="709">
        <v>0</v>
      </c>
      <c r="Q77" s="709">
        <v>0</v>
      </c>
      <c r="R77" s="709">
        <v>0</v>
      </c>
      <c r="S77" s="709">
        <v>0</v>
      </c>
      <c r="T77" s="709">
        <v>0</v>
      </c>
      <c r="U77" s="709">
        <v>0</v>
      </c>
      <c r="V77" s="709">
        <v>0</v>
      </c>
      <c r="W77" s="709">
        <v>0</v>
      </c>
      <c r="X77" s="709">
        <v>0</v>
      </c>
      <c r="Y77" s="709">
        <v>0</v>
      </c>
      <c r="Z77" s="709">
        <v>0</v>
      </c>
      <c r="AA77" s="709">
        <v>0</v>
      </c>
      <c r="AB77" s="709">
        <v>0</v>
      </c>
      <c r="AC77" s="709">
        <v>0</v>
      </c>
      <c r="AD77" s="709">
        <v>0</v>
      </c>
      <c r="AE77" s="709">
        <v>0</v>
      </c>
      <c r="AF77" s="709">
        <v>0</v>
      </c>
      <c r="AG77" s="709">
        <v>0</v>
      </c>
      <c r="AH77" s="709">
        <v>0</v>
      </c>
      <c r="AI77" s="709">
        <v>0</v>
      </c>
      <c r="AJ77" s="709">
        <v>0</v>
      </c>
      <c r="AK77" s="709">
        <v>0</v>
      </c>
      <c r="AL77" s="709">
        <v>0</v>
      </c>
      <c r="AM77" s="709">
        <v>0</v>
      </c>
      <c r="AN77" s="709">
        <v>0</v>
      </c>
      <c r="AO77" s="709">
        <v>0</v>
      </c>
      <c r="AP77" s="709">
        <v>0</v>
      </c>
      <c r="AQ77" s="709">
        <v>0</v>
      </c>
      <c r="AR77" s="709">
        <v>0</v>
      </c>
      <c r="AS77" s="709">
        <v>0</v>
      </c>
    </row>
    <row r="78" spans="1:45">
      <c r="A78" s="708" t="s">
        <v>1122</v>
      </c>
      <c r="B78" s="709">
        <v>33815</v>
      </c>
      <c r="C78" s="709">
        <v>33815</v>
      </c>
      <c r="D78" s="709">
        <v>33815</v>
      </c>
      <c r="E78" s="709">
        <v>0</v>
      </c>
      <c r="F78" s="709">
        <v>33815</v>
      </c>
      <c r="G78" s="709">
        <v>33815</v>
      </c>
      <c r="H78" s="709">
        <v>33815</v>
      </c>
      <c r="I78" s="709">
        <v>33815</v>
      </c>
      <c r="J78" s="709">
        <v>33815</v>
      </c>
      <c r="K78" s="709">
        <v>33815</v>
      </c>
      <c r="L78" s="709">
        <v>0</v>
      </c>
      <c r="M78" s="709">
        <v>0</v>
      </c>
      <c r="N78" s="709">
        <v>0</v>
      </c>
      <c r="O78" s="709">
        <v>0</v>
      </c>
      <c r="P78" s="709">
        <v>33815</v>
      </c>
      <c r="Q78" s="709">
        <v>0</v>
      </c>
      <c r="R78" s="709">
        <v>0</v>
      </c>
      <c r="S78" s="709">
        <v>0</v>
      </c>
      <c r="T78" s="709">
        <v>0</v>
      </c>
      <c r="U78" s="709">
        <v>0</v>
      </c>
      <c r="V78" s="709">
        <v>0</v>
      </c>
      <c r="W78" s="709">
        <v>0</v>
      </c>
      <c r="X78" s="709">
        <v>0</v>
      </c>
      <c r="Y78" s="709">
        <v>0</v>
      </c>
      <c r="Z78" s="709">
        <v>0</v>
      </c>
      <c r="AA78" s="709">
        <v>0</v>
      </c>
      <c r="AB78" s="709">
        <v>0</v>
      </c>
      <c r="AC78" s="709">
        <v>0</v>
      </c>
      <c r="AD78" s="709">
        <v>0</v>
      </c>
      <c r="AE78" s="709">
        <v>0</v>
      </c>
      <c r="AF78" s="709">
        <v>0</v>
      </c>
      <c r="AG78" s="709">
        <v>0</v>
      </c>
      <c r="AH78" s="709">
        <v>0</v>
      </c>
      <c r="AI78" s="709">
        <v>0</v>
      </c>
      <c r="AJ78" s="709">
        <v>0</v>
      </c>
      <c r="AK78" s="709">
        <v>0</v>
      </c>
      <c r="AL78" s="709">
        <v>0</v>
      </c>
      <c r="AM78" s="709">
        <v>33815</v>
      </c>
      <c r="AN78" s="709">
        <v>0</v>
      </c>
      <c r="AO78" s="709">
        <v>0</v>
      </c>
      <c r="AP78" s="709">
        <v>0</v>
      </c>
      <c r="AQ78" s="709">
        <v>0</v>
      </c>
      <c r="AR78" s="709">
        <v>0</v>
      </c>
      <c r="AS78" s="709">
        <v>0</v>
      </c>
    </row>
    <row r="79" spans="1:45">
      <c r="A79" s="708" t="s">
        <v>1123</v>
      </c>
      <c r="B79" s="709">
        <v>0</v>
      </c>
      <c r="C79" s="709">
        <v>0</v>
      </c>
      <c r="D79" s="709">
        <v>0</v>
      </c>
      <c r="E79" s="709">
        <v>0</v>
      </c>
      <c r="F79" s="709">
        <v>0</v>
      </c>
      <c r="G79" s="709">
        <v>0</v>
      </c>
      <c r="H79" s="709">
        <v>0</v>
      </c>
      <c r="I79" s="709">
        <v>0</v>
      </c>
      <c r="J79" s="709">
        <v>0</v>
      </c>
      <c r="K79" s="709">
        <v>0</v>
      </c>
      <c r="L79" s="709">
        <v>0</v>
      </c>
      <c r="M79" s="709">
        <v>0</v>
      </c>
      <c r="N79" s="709">
        <v>0</v>
      </c>
      <c r="O79" s="709">
        <v>0</v>
      </c>
      <c r="P79" s="709">
        <v>0</v>
      </c>
      <c r="Q79" s="709">
        <v>0</v>
      </c>
      <c r="R79" s="709">
        <v>0</v>
      </c>
      <c r="S79" s="709">
        <v>0</v>
      </c>
      <c r="T79" s="709">
        <v>0</v>
      </c>
      <c r="U79" s="709">
        <v>0</v>
      </c>
      <c r="V79" s="709">
        <v>0</v>
      </c>
      <c r="W79" s="709">
        <v>0</v>
      </c>
      <c r="X79" s="709">
        <v>0</v>
      </c>
      <c r="Y79" s="709">
        <v>0</v>
      </c>
      <c r="Z79" s="709">
        <v>0</v>
      </c>
      <c r="AA79" s="709">
        <v>0</v>
      </c>
      <c r="AB79" s="709">
        <v>0</v>
      </c>
      <c r="AC79" s="709">
        <v>0</v>
      </c>
      <c r="AD79" s="709">
        <v>0</v>
      </c>
      <c r="AE79" s="709">
        <v>0</v>
      </c>
      <c r="AF79" s="709">
        <v>0</v>
      </c>
      <c r="AG79" s="709">
        <v>0</v>
      </c>
      <c r="AH79" s="709">
        <v>0</v>
      </c>
      <c r="AI79" s="709">
        <v>0</v>
      </c>
      <c r="AJ79" s="709">
        <v>0</v>
      </c>
      <c r="AK79" s="709">
        <v>0</v>
      </c>
      <c r="AL79" s="709">
        <v>0</v>
      </c>
      <c r="AM79" s="709">
        <v>0</v>
      </c>
      <c r="AN79" s="709">
        <v>0</v>
      </c>
      <c r="AO79" s="709">
        <v>0</v>
      </c>
      <c r="AP79" s="709">
        <v>0</v>
      </c>
      <c r="AQ79" s="709">
        <v>0</v>
      </c>
      <c r="AR79" s="709">
        <v>0</v>
      </c>
      <c r="AS79" s="709">
        <v>0</v>
      </c>
    </row>
    <row r="80" spans="1:45">
      <c r="A80" s="708" t="s">
        <v>1124</v>
      </c>
      <c r="B80" s="709">
        <v>0</v>
      </c>
      <c r="C80" s="709">
        <v>0</v>
      </c>
      <c r="D80" s="709">
        <v>0</v>
      </c>
      <c r="E80" s="709">
        <v>0</v>
      </c>
      <c r="F80" s="709">
        <v>0</v>
      </c>
      <c r="G80" s="709">
        <v>0</v>
      </c>
      <c r="H80" s="709">
        <v>0</v>
      </c>
      <c r="I80" s="709">
        <v>0</v>
      </c>
      <c r="J80" s="709">
        <v>0</v>
      </c>
      <c r="K80" s="709">
        <v>0</v>
      </c>
      <c r="L80" s="709">
        <v>0</v>
      </c>
      <c r="M80" s="709">
        <v>0</v>
      </c>
      <c r="N80" s="709">
        <v>0</v>
      </c>
      <c r="O80" s="709">
        <v>0</v>
      </c>
      <c r="P80" s="709">
        <v>0</v>
      </c>
      <c r="Q80" s="709">
        <v>0</v>
      </c>
      <c r="R80" s="709">
        <v>0</v>
      </c>
      <c r="S80" s="709">
        <v>0</v>
      </c>
      <c r="T80" s="709">
        <v>0</v>
      </c>
      <c r="U80" s="709">
        <v>0</v>
      </c>
      <c r="V80" s="709">
        <v>0</v>
      </c>
      <c r="W80" s="709">
        <v>0</v>
      </c>
      <c r="X80" s="709">
        <v>0</v>
      </c>
      <c r="Y80" s="709">
        <v>0</v>
      </c>
      <c r="Z80" s="709">
        <v>0</v>
      </c>
      <c r="AA80" s="709">
        <v>0</v>
      </c>
      <c r="AB80" s="709">
        <v>0</v>
      </c>
      <c r="AC80" s="709">
        <v>0</v>
      </c>
      <c r="AD80" s="709">
        <v>0</v>
      </c>
      <c r="AE80" s="709">
        <v>0</v>
      </c>
      <c r="AF80" s="709">
        <v>0</v>
      </c>
      <c r="AG80" s="709">
        <v>0</v>
      </c>
      <c r="AH80" s="709">
        <v>0</v>
      </c>
      <c r="AI80" s="709">
        <v>0</v>
      </c>
      <c r="AJ80" s="709">
        <v>0</v>
      </c>
      <c r="AK80" s="709">
        <v>0</v>
      </c>
      <c r="AL80" s="709">
        <v>0</v>
      </c>
      <c r="AM80" s="709">
        <v>0</v>
      </c>
      <c r="AN80" s="709">
        <v>0</v>
      </c>
      <c r="AO80" s="709">
        <v>0</v>
      </c>
      <c r="AP80" s="709">
        <v>0</v>
      </c>
      <c r="AQ80" s="709">
        <v>0</v>
      </c>
      <c r="AR80" s="709">
        <v>0</v>
      </c>
      <c r="AS80" s="709">
        <v>51</v>
      </c>
    </row>
    <row r="81" spans="1:45">
      <c r="A81" s="708" t="s">
        <v>1125</v>
      </c>
      <c r="B81" s="709">
        <v>2344</v>
      </c>
      <c r="C81" s="709">
        <v>2344</v>
      </c>
      <c r="D81" s="709">
        <v>0</v>
      </c>
      <c r="E81" s="709">
        <v>2344</v>
      </c>
      <c r="F81" s="709">
        <v>0</v>
      </c>
      <c r="G81" s="709">
        <v>0</v>
      </c>
      <c r="H81" s="709">
        <v>0</v>
      </c>
      <c r="I81" s="709">
        <v>0</v>
      </c>
      <c r="J81" s="709">
        <v>0</v>
      </c>
      <c r="K81" s="709">
        <v>0</v>
      </c>
      <c r="L81" s="709">
        <v>0</v>
      </c>
      <c r="M81" s="709">
        <v>0</v>
      </c>
      <c r="N81" s="709">
        <v>0</v>
      </c>
      <c r="O81" s="709">
        <v>0</v>
      </c>
      <c r="P81" s="709">
        <v>0</v>
      </c>
      <c r="Q81" s="709">
        <v>0</v>
      </c>
      <c r="R81" s="709">
        <v>0</v>
      </c>
      <c r="S81" s="709">
        <v>0</v>
      </c>
      <c r="T81" s="709">
        <v>0</v>
      </c>
      <c r="U81" s="709">
        <v>0</v>
      </c>
      <c r="V81" s="709">
        <v>0</v>
      </c>
      <c r="W81" s="709">
        <v>0</v>
      </c>
      <c r="X81" s="709">
        <v>0</v>
      </c>
      <c r="Y81" s="709">
        <v>0</v>
      </c>
      <c r="Z81" s="709">
        <v>0</v>
      </c>
      <c r="AA81" s="709">
        <v>0</v>
      </c>
      <c r="AB81" s="709">
        <v>0</v>
      </c>
      <c r="AC81" s="709">
        <v>0</v>
      </c>
      <c r="AD81" s="709">
        <v>0</v>
      </c>
      <c r="AE81" s="709">
        <v>2344</v>
      </c>
      <c r="AF81" s="709">
        <v>0</v>
      </c>
      <c r="AG81" s="709">
        <v>0</v>
      </c>
      <c r="AH81" s="709">
        <v>0</v>
      </c>
      <c r="AI81" s="709">
        <v>0</v>
      </c>
      <c r="AJ81" s="709">
        <v>0</v>
      </c>
      <c r="AK81" s="709">
        <v>0</v>
      </c>
      <c r="AL81" s="709">
        <v>0</v>
      </c>
      <c r="AM81" s="709">
        <v>0</v>
      </c>
      <c r="AN81" s="709">
        <v>0</v>
      </c>
      <c r="AO81" s="709">
        <v>0</v>
      </c>
      <c r="AP81" s="709">
        <v>0</v>
      </c>
      <c r="AQ81" s="709">
        <v>0</v>
      </c>
      <c r="AR81" s="709">
        <v>0</v>
      </c>
      <c r="AS81" s="709">
        <v>0</v>
      </c>
    </row>
    <row r="82" spans="1:45">
      <c r="A82" s="708" t="s">
        <v>1126</v>
      </c>
      <c r="B82" s="709">
        <v>387233</v>
      </c>
      <c r="C82" s="709">
        <v>372894</v>
      </c>
      <c r="D82" s="709">
        <v>178922</v>
      </c>
      <c r="E82" s="709">
        <v>193972</v>
      </c>
      <c r="F82" s="709">
        <v>137627</v>
      </c>
      <c r="G82" s="709">
        <v>140146</v>
      </c>
      <c r="H82" s="709">
        <v>140146</v>
      </c>
      <c r="I82" s="709">
        <v>137627</v>
      </c>
      <c r="J82" s="709">
        <v>137627</v>
      </c>
      <c r="K82" s="709">
        <v>137627</v>
      </c>
      <c r="L82" s="709">
        <v>0</v>
      </c>
      <c r="M82" s="709">
        <v>14339</v>
      </c>
      <c r="N82" s="709">
        <v>24395</v>
      </c>
      <c r="O82" s="709">
        <v>34143</v>
      </c>
      <c r="P82" s="709">
        <v>87401</v>
      </c>
      <c r="Q82" s="709">
        <v>0</v>
      </c>
      <c r="R82" s="709">
        <v>0</v>
      </c>
      <c r="S82" s="709">
        <v>0</v>
      </c>
      <c r="T82" s="709">
        <v>0</v>
      </c>
      <c r="U82" s="709">
        <v>788</v>
      </c>
      <c r="V82" s="709">
        <v>1402</v>
      </c>
      <c r="W82" s="709">
        <v>0</v>
      </c>
      <c r="X82" s="709">
        <v>0</v>
      </c>
      <c r="Y82" s="709">
        <v>0</v>
      </c>
      <c r="Z82" s="709">
        <v>0</v>
      </c>
      <c r="AA82" s="709">
        <v>1210</v>
      </c>
      <c r="AB82" s="709">
        <v>0</v>
      </c>
      <c r="AC82" s="709">
        <v>16916</v>
      </c>
      <c r="AD82" s="709">
        <v>2746</v>
      </c>
      <c r="AE82" s="709">
        <v>165848</v>
      </c>
      <c r="AF82" s="709">
        <v>0</v>
      </c>
      <c r="AG82" s="709">
        <v>0</v>
      </c>
      <c r="AH82" s="709">
        <v>0</v>
      </c>
      <c r="AI82" s="709">
        <v>2519</v>
      </c>
      <c r="AJ82" s="709">
        <v>28374</v>
      </c>
      <c r="AK82" s="709">
        <v>7152</v>
      </c>
      <c r="AL82" s="709">
        <v>0</v>
      </c>
      <c r="AM82" s="709">
        <v>179267</v>
      </c>
      <c r="AN82" s="709">
        <v>0</v>
      </c>
      <c r="AO82" s="709">
        <v>345</v>
      </c>
      <c r="AP82" s="709">
        <v>0</v>
      </c>
      <c r="AQ82" s="709">
        <v>0</v>
      </c>
      <c r="AR82" s="709">
        <v>0</v>
      </c>
      <c r="AS82" s="709">
        <v>0</v>
      </c>
    </row>
    <row r="83" spans="1:45">
      <c r="A83" s="708" t="s">
        <v>1127</v>
      </c>
      <c r="B83" s="709">
        <v>103351</v>
      </c>
      <c r="C83" s="709">
        <v>103351</v>
      </c>
      <c r="D83" s="709">
        <v>2505</v>
      </c>
      <c r="E83" s="709">
        <v>100846</v>
      </c>
      <c r="F83" s="709">
        <v>2461</v>
      </c>
      <c r="G83" s="709">
        <v>2508</v>
      </c>
      <c r="H83" s="709">
        <v>2461</v>
      </c>
      <c r="I83" s="709">
        <v>2461</v>
      </c>
      <c r="J83" s="709">
        <v>2461</v>
      </c>
      <c r="K83" s="709">
        <v>2461</v>
      </c>
      <c r="L83" s="709">
        <v>0</v>
      </c>
      <c r="M83" s="709">
        <v>0</v>
      </c>
      <c r="N83" s="709">
        <v>335</v>
      </c>
      <c r="O83" s="709">
        <v>44</v>
      </c>
      <c r="P83" s="709">
        <v>0</v>
      </c>
      <c r="Q83" s="709">
        <v>47</v>
      </c>
      <c r="R83" s="709">
        <v>0</v>
      </c>
      <c r="S83" s="709">
        <v>0</v>
      </c>
      <c r="T83" s="709">
        <v>0</v>
      </c>
      <c r="U83" s="709">
        <v>0</v>
      </c>
      <c r="V83" s="709">
        <v>0</v>
      </c>
      <c r="W83" s="709">
        <v>0</v>
      </c>
      <c r="X83" s="709">
        <v>135</v>
      </c>
      <c r="Y83" s="709">
        <v>35</v>
      </c>
      <c r="Z83" s="709">
        <v>0</v>
      </c>
      <c r="AA83" s="709">
        <v>1293</v>
      </c>
      <c r="AB83" s="709">
        <v>0</v>
      </c>
      <c r="AC83" s="709">
        <v>0</v>
      </c>
      <c r="AD83" s="709">
        <v>0</v>
      </c>
      <c r="AE83" s="709">
        <v>99001</v>
      </c>
      <c r="AF83" s="709">
        <v>0</v>
      </c>
      <c r="AG83" s="709">
        <v>0</v>
      </c>
      <c r="AH83" s="709">
        <v>0</v>
      </c>
      <c r="AI83" s="709">
        <v>0</v>
      </c>
      <c r="AJ83" s="709">
        <v>2461</v>
      </c>
      <c r="AK83" s="709">
        <v>0</v>
      </c>
      <c r="AL83" s="709">
        <v>0</v>
      </c>
      <c r="AM83" s="709">
        <v>2505</v>
      </c>
      <c r="AN83" s="709">
        <v>0</v>
      </c>
      <c r="AO83" s="709">
        <v>0</v>
      </c>
      <c r="AP83" s="709">
        <v>0</v>
      </c>
      <c r="AQ83" s="709">
        <v>0</v>
      </c>
      <c r="AR83" s="709">
        <v>0</v>
      </c>
      <c r="AS83" s="709">
        <v>0</v>
      </c>
    </row>
    <row r="84" spans="1:45">
      <c r="A84" s="708" t="s">
        <v>1128</v>
      </c>
      <c r="B84" s="709">
        <v>39630</v>
      </c>
      <c r="C84" s="709">
        <v>39630</v>
      </c>
      <c r="D84" s="709">
        <v>14548</v>
      </c>
      <c r="E84" s="709">
        <v>25082</v>
      </c>
      <c r="F84" s="709">
        <v>14548</v>
      </c>
      <c r="G84" s="709">
        <v>15223</v>
      </c>
      <c r="H84" s="709">
        <v>15223</v>
      </c>
      <c r="I84" s="709">
        <v>14548</v>
      </c>
      <c r="J84" s="709">
        <v>14548</v>
      </c>
      <c r="K84" s="709">
        <v>14548</v>
      </c>
      <c r="L84" s="709">
        <v>0</v>
      </c>
      <c r="M84" s="709">
        <v>0</v>
      </c>
      <c r="N84" s="709">
        <v>0</v>
      </c>
      <c r="O84" s="709">
        <v>0</v>
      </c>
      <c r="P84" s="709">
        <v>0</v>
      </c>
      <c r="Q84" s="709">
        <v>0</v>
      </c>
      <c r="R84" s="709">
        <v>0</v>
      </c>
      <c r="S84" s="709">
        <v>0</v>
      </c>
      <c r="T84" s="709">
        <v>0</v>
      </c>
      <c r="U84" s="709">
        <v>12930</v>
      </c>
      <c r="V84" s="709">
        <v>1537</v>
      </c>
      <c r="W84" s="709">
        <v>0</v>
      </c>
      <c r="X84" s="709">
        <v>0</v>
      </c>
      <c r="Y84" s="709">
        <v>0</v>
      </c>
      <c r="Z84" s="709">
        <v>0</v>
      </c>
      <c r="AA84" s="709">
        <v>0</v>
      </c>
      <c r="AB84" s="709">
        <v>0</v>
      </c>
      <c r="AC84" s="709">
        <v>0</v>
      </c>
      <c r="AD84" s="709">
        <v>0</v>
      </c>
      <c r="AE84" s="709">
        <v>24407</v>
      </c>
      <c r="AF84" s="709">
        <v>0</v>
      </c>
      <c r="AG84" s="709">
        <v>0</v>
      </c>
      <c r="AH84" s="709">
        <v>0</v>
      </c>
      <c r="AI84" s="709">
        <v>675</v>
      </c>
      <c r="AJ84" s="709">
        <v>81</v>
      </c>
      <c r="AK84" s="709">
        <v>0</v>
      </c>
      <c r="AL84" s="709">
        <v>0</v>
      </c>
      <c r="AM84" s="709">
        <v>14548</v>
      </c>
      <c r="AN84" s="709">
        <v>0</v>
      </c>
      <c r="AO84" s="709">
        <v>0</v>
      </c>
      <c r="AP84" s="709">
        <v>0</v>
      </c>
      <c r="AQ84" s="709">
        <v>0</v>
      </c>
      <c r="AR84" s="709">
        <v>0</v>
      </c>
      <c r="AS84" s="709">
        <v>0</v>
      </c>
    </row>
    <row r="85" spans="1:45">
      <c r="A85" s="708" t="s">
        <v>1129</v>
      </c>
      <c r="B85" s="709">
        <v>12573</v>
      </c>
      <c r="C85" s="709">
        <v>12573</v>
      </c>
      <c r="D85" s="709">
        <v>7327</v>
      </c>
      <c r="E85" s="709">
        <v>5246</v>
      </c>
      <c r="F85" s="709">
        <v>0</v>
      </c>
      <c r="G85" s="709">
        <v>20</v>
      </c>
      <c r="H85" s="709">
        <v>0</v>
      </c>
      <c r="I85" s="709">
        <v>0</v>
      </c>
      <c r="J85" s="709">
        <v>0</v>
      </c>
      <c r="K85" s="709">
        <v>0</v>
      </c>
      <c r="L85" s="709">
        <v>0</v>
      </c>
      <c r="M85" s="709">
        <v>0</v>
      </c>
      <c r="N85" s="709">
        <v>500</v>
      </c>
      <c r="O85" s="709">
        <v>0</v>
      </c>
      <c r="P85" s="709">
        <v>0</v>
      </c>
      <c r="Q85" s="709">
        <v>20</v>
      </c>
      <c r="R85" s="709">
        <v>0</v>
      </c>
      <c r="S85" s="709">
        <v>0</v>
      </c>
      <c r="T85" s="709">
        <v>0</v>
      </c>
      <c r="U85" s="709">
        <v>0</v>
      </c>
      <c r="V85" s="709">
        <v>0</v>
      </c>
      <c r="W85" s="709">
        <v>0</v>
      </c>
      <c r="X85" s="709">
        <v>60</v>
      </c>
      <c r="Y85" s="709">
        <v>0</v>
      </c>
      <c r="Z85" s="709">
        <v>0</v>
      </c>
      <c r="AA85" s="709">
        <v>0</v>
      </c>
      <c r="AB85" s="709">
        <v>0</v>
      </c>
      <c r="AC85" s="709">
        <v>0</v>
      </c>
      <c r="AD85" s="709">
        <v>0</v>
      </c>
      <c r="AE85" s="709">
        <v>4666</v>
      </c>
      <c r="AF85" s="709">
        <v>0</v>
      </c>
      <c r="AG85" s="709">
        <v>0</v>
      </c>
      <c r="AH85" s="709">
        <v>0</v>
      </c>
      <c r="AI85" s="709">
        <v>0</v>
      </c>
      <c r="AJ85" s="709">
        <v>0</v>
      </c>
      <c r="AK85" s="709">
        <v>0</v>
      </c>
      <c r="AL85" s="709">
        <v>7327</v>
      </c>
      <c r="AM85" s="709">
        <v>7327</v>
      </c>
      <c r="AN85" s="709">
        <v>0</v>
      </c>
      <c r="AO85" s="709">
        <v>0</v>
      </c>
      <c r="AP85" s="709">
        <v>0</v>
      </c>
      <c r="AQ85" s="709">
        <v>0</v>
      </c>
      <c r="AR85" s="709">
        <v>0</v>
      </c>
      <c r="AS85" s="709">
        <v>0</v>
      </c>
    </row>
    <row r="86" spans="1:45">
      <c r="A86" s="708" t="s">
        <v>1130</v>
      </c>
      <c r="B86" s="709">
        <v>9945</v>
      </c>
      <c r="C86" s="709">
        <v>6716</v>
      </c>
      <c r="D86" s="709">
        <v>0</v>
      </c>
      <c r="E86" s="709">
        <v>6716</v>
      </c>
      <c r="F86" s="709">
        <v>0</v>
      </c>
      <c r="G86" s="709">
        <v>4756</v>
      </c>
      <c r="H86" s="709">
        <v>4756</v>
      </c>
      <c r="I86" s="709">
        <v>4756</v>
      </c>
      <c r="J86" s="709">
        <v>4756</v>
      </c>
      <c r="K86" s="709">
        <v>0</v>
      </c>
      <c r="L86" s="709">
        <v>0</v>
      </c>
      <c r="M86" s="709">
        <v>0</v>
      </c>
      <c r="N86" s="709">
        <v>0</v>
      </c>
      <c r="O86" s="709">
        <v>0</v>
      </c>
      <c r="P86" s="709">
        <v>0</v>
      </c>
      <c r="Q86" s="709">
        <v>0</v>
      </c>
      <c r="R86" s="709">
        <v>0</v>
      </c>
      <c r="S86" s="709">
        <v>0</v>
      </c>
      <c r="T86" s="709">
        <v>0</v>
      </c>
      <c r="U86" s="709">
        <v>0</v>
      </c>
      <c r="V86" s="709">
        <v>0</v>
      </c>
      <c r="W86" s="709">
        <v>0</v>
      </c>
      <c r="X86" s="709">
        <v>0</v>
      </c>
      <c r="Y86" s="709">
        <v>0</v>
      </c>
      <c r="Z86" s="709">
        <v>0</v>
      </c>
      <c r="AA86" s="709">
        <v>1960</v>
      </c>
      <c r="AB86" s="709">
        <v>0</v>
      </c>
      <c r="AC86" s="709">
        <v>0</v>
      </c>
      <c r="AD86" s="709">
        <v>0</v>
      </c>
      <c r="AE86" s="709">
        <v>0</v>
      </c>
      <c r="AF86" s="709">
        <v>0</v>
      </c>
      <c r="AG86" s="709">
        <v>3229</v>
      </c>
      <c r="AH86" s="709">
        <v>4756</v>
      </c>
      <c r="AI86" s="709">
        <v>0</v>
      </c>
      <c r="AJ86" s="709">
        <v>0</v>
      </c>
      <c r="AK86" s="709">
        <v>0</v>
      </c>
      <c r="AL86" s="709">
        <v>0</v>
      </c>
      <c r="AM86" s="709">
        <v>0</v>
      </c>
      <c r="AN86" s="709">
        <v>0</v>
      </c>
      <c r="AO86" s="709">
        <v>0</v>
      </c>
      <c r="AP86" s="709">
        <v>0</v>
      </c>
      <c r="AQ86" s="709">
        <v>0</v>
      </c>
      <c r="AR86" s="709">
        <v>0</v>
      </c>
      <c r="AS86" s="709">
        <v>0</v>
      </c>
    </row>
    <row r="87" spans="1:45">
      <c r="A87" s="708" t="s">
        <v>1131</v>
      </c>
      <c r="B87" s="709">
        <v>1105</v>
      </c>
      <c r="C87" s="709">
        <v>1044</v>
      </c>
      <c r="D87" s="709">
        <v>0</v>
      </c>
      <c r="E87" s="709">
        <v>1044</v>
      </c>
      <c r="F87" s="709">
        <v>0</v>
      </c>
      <c r="G87" s="709">
        <v>0</v>
      </c>
      <c r="H87" s="709">
        <v>0</v>
      </c>
      <c r="I87" s="709">
        <v>0</v>
      </c>
      <c r="J87" s="709">
        <v>0</v>
      </c>
      <c r="K87" s="709">
        <v>0</v>
      </c>
      <c r="L87" s="709">
        <v>0</v>
      </c>
      <c r="M87" s="709">
        <v>0</v>
      </c>
      <c r="N87" s="709">
        <v>0</v>
      </c>
      <c r="O87" s="709">
        <v>0</v>
      </c>
      <c r="P87" s="709">
        <v>0</v>
      </c>
      <c r="Q87" s="709">
        <v>0</v>
      </c>
      <c r="R87" s="709">
        <v>0</v>
      </c>
      <c r="S87" s="709">
        <v>0</v>
      </c>
      <c r="T87" s="709">
        <v>0</v>
      </c>
      <c r="U87" s="709">
        <v>0</v>
      </c>
      <c r="V87" s="709">
        <v>0</v>
      </c>
      <c r="W87" s="709">
        <v>0</v>
      </c>
      <c r="X87" s="709">
        <v>0</v>
      </c>
      <c r="Y87" s="709">
        <v>131</v>
      </c>
      <c r="Z87" s="709">
        <v>0</v>
      </c>
      <c r="AA87" s="709">
        <v>913</v>
      </c>
      <c r="AB87" s="709">
        <v>0</v>
      </c>
      <c r="AC87" s="709">
        <v>0</v>
      </c>
      <c r="AD87" s="709">
        <v>0</v>
      </c>
      <c r="AE87" s="709">
        <v>0</v>
      </c>
      <c r="AF87" s="709">
        <v>0</v>
      </c>
      <c r="AG87" s="709">
        <v>61</v>
      </c>
      <c r="AH87" s="709">
        <v>0</v>
      </c>
      <c r="AI87" s="709">
        <v>0</v>
      </c>
      <c r="AJ87" s="709">
        <v>0</v>
      </c>
      <c r="AK87" s="709">
        <v>0</v>
      </c>
      <c r="AL87" s="709">
        <v>0</v>
      </c>
      <c r="AM87" s="709">
        <v>0</v>
      </c>
      <c r="AN87" s="709">
        <v>0</v>
      </c>
      <c r="AO87" s="709">
        <v>0</v>
      </c>
      <c r="AP87" s="709">
        <v>0</v>
      </c>
      <c r="AQ87" s="709">
        <v>0</v>
      </c>
      <c r="AR87" s="709">
        <v>0</v>
      </c>
      <c r="AS87" s="709">
        <v>0</v>
      </c>
    </row>
    <row r="88" spans="1:45">
      <c r="A88" s="708" t="s">
        <v>1132</v>
      </c>
      <c r="B88" s="709">
        <v>0</v>
      </c>
      <c r="C88" s="709">
        <v>0</v>
      </c>
      <c r="D88" s="709">
        <v>0</v>
      </c>
      <c r="E88" s="709">
        <v>0</v>
      </c>
      <c r="F88" s="709">
        <v>0</v>
      </c>
      <c r="G88" s="709">
        <v>0</v>
      </c>
      <c r="H88" s="709">
        <v>0</v>
      </c>
      <c r="I88" s="709">
        <v>0</v>
      </c>
      <c r="J88" s="709">
        <v>0</v>
      </c>
      <c r="K88" s="709">
        <v>0</v>
      </c>
      <c r="L88" s="709">
        <v>0</v>
      </c>
      <c r="M88" s="709">
        <v>0</v>
      </c>
      <c r="N88" s="709">
        <v>0</v>
      </c>
      <c r="O88" s="709">
        <v>0</v>
      </c>
      <c r="P88" s="709">
        <v>0</v>
      </c>
      <c r="Q88" s="709">
        <v>0</v>
      </c>
      <c r="R88" s="709">
        <v>0</v>
      </c>
      <c r="S88" s="709">
        <v>0</v>
      </c>
      <c r="T88" s="709">
        <v>0</v>
      </c>
      <c r="U88" s="709">
        <v>0</v>
      </c>
      <c r="V88" s="709">
        <v>0</v>
      </c>
      <c r="W88" s="709">
        <v>0</v>
      </c>
      <c r="X88" s="709">
        <v>0</v>
      </c>
      <c r="Y88" s="709">
        <v>0</v>
      </c>
      <c r="Z88" s="709">
        <v>0</v>
      </c>
      <c r="AA88" s="709">
        <v>0</v>
      </c>
      <c r="AB88" s="709">
        <v>0</v>
      </c>
      <c r="AC88" s="709">
        <v>0</v>
      </c>
      <c r="AD88" s="709">
        <v>0</v>
      </c>
      <c r="AE88" s="709">
        <v>0</v>
      </c>
      <c r="AF88" s="709">
        <v>0</v>
      </c>
      <c r="AG88" s="709">
        <v>0</v>
      </c>
      <c r="AH88" s="709">
        <v>0</v>
      </c>
      <c r="AI88" s="709">
        <v>0</v>
      </c>
      <c r="AJ88" s="709">
        <v>0</v>
      </c>
      <c r="AK88" s="709">
        <v>0</v>
      </c>
      <c r="AL88" s="709">
        <v>0</v>
      </c>
      <c r="AM88" s="709">
        <v>0</v>
      </c>
      <c r="AN88" s="709">
        <v>0</v>
      </c>
      <c r="AO88" s="709">
        <v>0</v>
      </c>
      <c r="AP88" s="709">
        <v>0</v>
      </c>
      <c r="AQ88" s="709">
        <v>0</v>
      </c>
      <c r="AR88" s="709">
        <v>0</v>
      </c>
      <c r="AS88" s="709">
        <v>0</v>
      </c>
    </row>
    <row r="89" spans="1:45">
      <c r="A89" s="708" t="s">
        <v>1133</v>
      </c>
      <c r="B89" s="709">
        <v>66</v>
      </c>
      <c r="C89" s="709">
        <v>66</v>
      </c>
      <c r="D89" s="709">
        <v>0</v>
      </c>
      <c r="E89" s="709">
        <v>66</v>
      </c>
      <c r="F89" s="709">
        <v>0</v>
      </c>
      <c r="G89" s="709">
        <v>18</v>
      </c>
      <c r="H89" s="709">
        <v>18</v>
      </c>
      <c r="I89" s="709">
        <v>18</v>
      </c>
      <c r="J89" s="709">
        <v>18</v>
      </c>
      <c r="K89" s="709">
        <v>0</v>
      </c>
      <c r="L89" s="709">
        <v>0</v>
      </c>
      <c r="M89" s="709">
        <v>0</v>
      </c>
      <c r="N89" s="709">
        <v>0</v>
      </c>
      <c r="O89" s="709">
        <v>0</v>
      </c>
      <c r="P89" s="709">
        <v>0</v>
      </c>
      <c r="Q89" s="709">
        <v>0</v>
      </c>
      <c r="R89" s="709">
        <v>0</v>
      </c>
      <c r="S89" s="709">
        <v>0</v>
      </c>
      <c r="T89" s="709">
        <v>0</v>
      </c>
      <c r="U89" s="709">
        <v>0</v>
      </c>
      <c r="V89" s="709">
        <v>0</v>
      </c>
      <c r="W89" s="709">
        <v>0</v>
      </c>
      <c r="X89" s="709">
        <v>0</v>
      </c>
      <c r="Y89" s="709">
        <v>48</v>
      </c>
      <c r="Z89" s="709">
        <v>0</v>
      </c>
      <c r="AA89" s="709">
        <v>0</v>
      </c>
      <c r="AB89" s="709">
        <v>0</v>
      </c>
      <c r="AC89" s="709">
        <v>0</v>
      </c>
      <c r="AD89" s="709">
        <v>0</v>
      </c>
      <c r="AE89" s="709">
        <v>0</v>
      </c>
      <c r="AF89" s="709">
        <v>0</v>
      </c>
      <c r="AG89" s="709">
        <v>0</v>
      </c>
      <c r="AH89" s="709">
        <v>18</v>
      </c>
      <c r="AI89" s="709">
        <v>0</v>
      </c>
      <c r="AJ89" s="709">
        <v>0</v>
      </c>
      <c r="AK89" s="709">
        <v>0</v>
      </c>
      <c r="AL89" s="709">
        <v>0</v>
      </c>
      <c r="AM89" s="709">
        <v>0</v>
      </c>
      <c r="AN89" s="709">
        <v>0</v>
      </c>
      <c r="AO89" s="709">
        <v>0</v>
      </c>
      <c r="AP89" s="709">
        <v>0</v>
      </c>
      <c r="AQ89" s="709">
        <v>0</v>
      </c>
      <c r="AR89" s="709">
        <v>2</v>
      </c>
      <c r="AS89" s="709">
        <v>0</v>
      </c>
    </row>
    <row r="90" spans="1:45">
      <c r="A90" s="708" t="s">
        <v>1134</v>
      </c>
      <c r="B90" s="709">
        <v>125483</v>
      </c>
      <c r="C90" s="709">
        <v>96654</v>
      </c>
      <c r="D90" s="709">
        <v>33934</v>
      </c>
      <c r="E90" s="709">
        <v>62720</v>
      </c>
      <c r="F90" s="709">
        <v>33934</v>
      </c>
      <c r="G90" s="709">
        <v>46634</v>
      </c>
      <c r="H90" s="709">
        <v>42127</v>
      </c>
      <c r="I90" s="709">
        <v>35534</v>
      </c>
      <c r="J90" s="709">
        <v>35534</v>
      </c>
      <c r="K90" s="709">
        <v>33934</v>
      </c>
      <c r="L90" s="709">
        <v>0</v>
      </c>
      <c r="M90" s="709">
        <v>3509</v>
      </c>
      <c r="N90" s="709">
        <v>43474</v>
      </c>
      <c r="O90" s="709">
        <v>0</v>
      </c>
      <c r="P90" s="709">
        <v>31600</v>
      </c>
      <c r="Q90" s="709">
        <v>4507</v>
      </c>
      <c r="R90" s="709">
        <v>0</v>
      </c>
      <c r="S90" s="709">
        <v>2020</v>
      </c>
      <c r="T90" s="709">
        <v>0</v>
      </c>
      <c r="U90" s="709">
        <v>0</v>
      </c>
      <c r="V90" s="709">
        <v>0</v>
      </c>
      <c r="W90" s="709">
        <v>0</v>
      </c>
      <c r="X90" s="709">
        <v>0</v>
      </c>
      <c r="Y90" s="709">
        <v>0</v>
      </c>
      <c r="Z90" s="709">
        <v>0</v>
      </c>
      <c r="AA90" s="709">
        <v>693</v>
      </c>
      <c r="AB90" s="709">
        <v>0</v>
      </c>
      <c r="AC90" s="709">
        <v>0</v>
      </c>
      <c r="AD90" s="709">
        <v>314</v>
      </c>
      <c r="AE90" s="709">
        <v>5853</v>
      </c>
      <c r="AF90" s="709">
        <v>0</v>
      </c>
      <c r="AG90" s="709">
        <v>25320</v>
      </c>
      <c r="AH90" s="709">
        <v>1600</v>
      </c>
      <c r="AI90" s="709">
        <v>6593</v>
      </c>
      <c r="AJ90" s="709">
        <v>0</v>
      </c>
      <c r="AK90" s="709">
        <v>0</v>
      </c>
      <c r="AL90" s="709">
        <v>0</v>
      </c>
      <c r="AM90" s="709">
        <v>33934</v>
      </c>
      <c r="AN90" s="709">
        <v>0</v>
      </c>
      <c r="AO90" s="709">
        <v>0</v>
      </c>
      <c r="AP90" s="709">
        <v>0</v>
      </c>
      <c r="AQ90" s="709">
        <v>0</v>
      </c>
      <c r="AR90" s="709">
        <v>0</v>
      </c>
      <c r="AS90" s="709">
        <v>0</v>
      </c>
    </row>
    <row r="91" spans="1:45">
      <c r="A91" s="708" t="s">
        <v>1135</v>
      </c>
      <c r="B91" s="709">
        <v>4298</v>
      </c>
      <c r="C91" s="709">
        <v>3912</v>
      </c>
      <c r="D91" s="709">
        <v>0</v>
      </c>
      <c r="E91" s="709">
        <v>3912</v>
      </c>
      <c r="F91" s="709">
        <v>0</v>
      </c>
      <c r="G91" s="709">
        <v>305</v>
      </c>
      <c r="H91" s="709">
        <v>268</v>
      </c>
      <c r="I91" s="709">
        <v>0</v>
      </c>
      <c r="J91" s="709">
        <v>0</v>
      </c>
      <c r="K91" s="709">
        <v>0</v>
      </c>
      <c r="L91" s="709">
        <v>0</v>
      </c>
      <c r="M91" s="709">
        <v>0</v>
      </c>
      <c r="N91" s="709">
        <v>3055</v>
      </c>
      <c r="O91" s="709">
        <v>0</v>
      </c>
      <c r="P91" s="709">
        <v>0</v>
      </c>
      <c r="Q91" s="709">
        <v>37</v>
      </c>
      <c r="R91" s="709">
        <v>0</v>
      </c>
      <c r="S91" s="709">
        <v>0</v>
      </c>
      <c r="T91" s="709">
        <v>0</v>
      </c>
      <c r="U91" s="709">
        <v>0</v>
      </c>
      <c r="V91" s="709">
        <v>0</v>
      </c>
      <c r="W91" s="709">
        <v>0</v>
      </c>
      <c r="X91" s="709">
        <v>0</v>
      </c>
      <c r="Y91" s="709">
        <v>0</v>
      </c>
      <c r="Z91" s="709">
        <v>0</v>
      </c>
      <c r="AA91" s="709">
        <v>261</v>
      </c>
      <c r="AB91" s="709">
        <v>0</v>
      </c>
      <c r="AC91" s="709">
        <v>0</v>
      </c>
      <c r="AD91" s="709">
        <v>0</v>
      </c>
      <c r="AE91" s="709">
        <v>291</v>
      </c>
      <c r="AF91" s="709">
        <v>0</v>
      </c>
      <c r="AG91" s="709">
        <v>386</v>
      </c>
      <c r="AH91" s="709">
        <v>0</v>
      </c>
      <c r="AI91" s="709">
        <v>268</v>
      </c>
      <c r="AJ91" s="709">
        <v>0</v>
      </c>
      <c r="AK91" s="709">
        <v>0</v>
      </c>
      <c r="AL91" s="709">
        <v>0</v>
      </c>
      <c r="AM91" s="709">
        <v>0</v>
      </c>
      <c r="AN91" s="709">
        <v>0</v>
      </c>
      <c r="AO91" s="709">
        <v>0</v>
      </c>
      <c r="AP91" s="709">
        <v>0</v>
      </c>
      <c r="AQ91" s="709">
        <v>0</v>
      </c>
      <c r="AR91" s="709">
        <v>0</v>
      </c>
      <c r="AS91" s="709">
        <v>0</v>
      </c>
    </row>
    <row r="92" spans="1:45">
      <c r="A92" s="708" t="s">
        <v>1136</v>
      </c>
      <c r="B92" s="709">
        <v>13742</v>
      </c>
      <c r="C92" s="709">
        <v>10669</v>
      </c>
      <c r="D92" s="709">
        <v>0</v>
      </c>
      <c r="E92" s="709">
        <v>10669</v>
      </c>
      <c r="F92" s="709">
        <v>0</v>
      </c>
      <c r="G92" s="709">
        <v>71</v>
      </c>
      <c r="H92" s="709">
        <v>22</v>
      </c>
      <c r="I92" s="709">
        <v>0</v>
      </c>
      <c r="J92" s="709">
        <v>0</v>
      </c>
      <c r="K92" s="709">
        <v>0</v>
      </c>
      <c r="L92" s="709">
        <v>0</v>
      </c>
      <c r="M92" s="709">
        <v>0</v>
      </c>
      <c r="N92" s="709">
        <v>10598</v>
      </c>
      <c r="O92" s="709">
        <v>0</v>
      </c>
      <c r="P92" s="709">
        <v>0</v>
      </c>
      <c r="Q92" s="709">
        <v>49</v>
      </c>
      <c r="R92" s="709">
        <v>0</v>
      </c>
      <c r="S92" s="709">
        <v>0</v>
      </c>
      <c r="T92" s="709">
        <v>0</v>
      </c>
      <c r="U92" s="709">
        <v>0</v>
      </c>
      <c r="V92" s="709">
        <v>0</v>
      </c>
      <c r="W92" s="709">
        <v>0</v>
      </c>
      <c r="X92" s="709">
        <v>0</v>
      </c>
      <c r="Y92" s="709">
        <v>0</v>
      </c>
      <c r="Z92" s="709">
        <v>0</v>
      </c>
      <c r="AA92" s="709">
        <v>0</v>
      </c>
      <c r="AB92" s="709">
        <v>0</v>
      </c>
      <c r="AC92" s="709">
        <v>0</v>
      </c>
      <c r="AD92" s="709">
        <v>0</v>
      </c>
      <c r="AE92" s="709">
        <v>0</v>
      </c>
      <c r="AF92" s="709">
        <v>0</v>
      </c>
      <c r="AG92" s="709">
        <v>3073</v>
      </c>
      <c r="AH92" s="709">
        <v>0</v>
      </c>
      <c r="AI92" s="709">
        <v>22</v>
      </c>
      <c r="AJ92" s="709">
        <v>0</v>
      </c>
      <c r="AK92" s="709">
        <v>0</v>
      </c>
      <c r="AL92" s="709">
        <v>0</v>
      </c>
      <c r="AM92" s="709">
        <v>0</v>
      </c>
      <c r="AN92" s="709">
        <v>0</v>
      </c>
      <c r="AO92" s="709">
        <v>0</v>
      </c>
      <c r="AP92" s="709">
        <v>0</v>
      </c>
      <c r="AQ92" s="709">
        <v>0</v>
      </c>
      <c r="AR92" s="709">
        <v>186</v>
      </c>
      <c r="AS92" s="709">
        <v>603</v>
      </c>
    </row>
    <row r="93" spans="1:45">
      <c r="A93" s="708" t="s">
        <v>1137</v>
      </c>
      <c r="B93" s="709">
        <v>600</v>
      </c>
      <c r="C93" s="709">
        <v>600</v>
      </c>
      <c r="D93" s="709">
        <v>0</v>
      </c>
      <c r="E93" s="709">
        <v>600</v>
      </c>
      <c r="F93" s="709">
        <v>0</v>
      </c>
      <c r="G93" s="709">
        <v>27</v>
      </c>
      <c r="H93" s="709">
        <v>27</v>
      </c>
      <c r="I93" s="709">
        <v>0</v>
      </c>
      <c r="J93" s="709">
        <v>0</v>
      </c>
      <c r="K93" s="709">
        <v>0</v>
      </c>
      <c r="L93" s="709">
        <v>0</v>
      </c>
      <c r="M93" s="709">
        <v>0</v>
      </c>
      <c r="N93" s="709">
        <v>562</v>
      </c>
      <c r="O93" s="709">
        <v>0</v>
      </c>
      <c r="P93" s="709">
        <v>0</v>
      </c>
      <c r="Q93" s="709">
        <v>0</v>
      </c>
      <c r="R93" s="709">
        <v>0</v>
      </c>
      <c r="S93" s="709">
        <v>0</v>
      </c>
      <c r="T93" s="709">
        <v>0</v>
      </c>
      <c r="U93" s="709">
        <v>0</v>
      </c>
      <c r="V93" s="709">
        <v>0</v>
      </c>
      <c r="W93" s="709">
        <v>0</v>
      </c>
      <c r="X93" s="709">
        <v>0</v>
      </c>
      <c r="Y93" s="709">
        <v>0</v>
      </c>
      <c r="Z93" s="709">
        <v>0</v>
      </c>
      <c r="AA93" s="709">
        <v>0</v>
      </c>
      <c r="AB93" s="709">
        <v>0</v>
      </c>
      <c r="AC93" s="709">
        <v>0</v>
      </c>
      <c r="AD93" s="709">
        <v>0</v>
      </c>
      <c r="AE93" s="709">
        <v>11</v>
      </c>
      <c r="AF93" s="709">
        <v>0</v>
      </c>
      <c r="AG93" s="709">
        <v>0</v>
      </c>
      <c r="AH93" s="709">
        <v>0</v>
      </c>
      <c r="AI93" s="709">
        <v>27</v>
      </c>
      <c r="AJ93" s="709">
        <v>0</v>
      </c>
      <c r="AK93" s="709">
        <v>0</v>
      </c>
      <c r="AL93" s="709">
        <v>0</v>
      </c>
      <c r="AM93" s="709">
        <v>0</v>
      </c>
      <c r="AN93" s="709">
        <v>0</v>
      </c>
      <c r="AO93" s="709">
        <v>0</v>
      </c>
      <c r="AP93" s="709">
        <v>0</v>
      </c>
      <c r="AQ93" s="709">
        <v>0</v>
      </c>
      <c r="AR93" s="709">
        <v>178</v>
      </c>
      <c r="AS93" s="709">
        <v>0</v>
      </c>
    </row>
    <row r="94" spans="1:45">
      <c r="A94" s="708" t="s">
        <v>1138</v>
      </c>
      <c r="B94" s="709">
        <v>28723</v>
      </c>
      <c r="C94" s="709">
        <v>28723</v>
      </c>
      <c r="D94" s="709">
        <v>28723</v>
      </c>
      <c r="E94" s="709">
        <v>0</v>
      </c>
      <c r="F94" s="709">
        <v>22888</v>
      </c>
      <c r="G94" s="709">
        <v>22888</v>
      </c>
      <c r="H94" s="709">
        <v>22888</v>
      </c>
      <c r="I94" s="709">
        <v>22888</v>
      </c>
      <c r="J94" s="709">
        <v>22888</v>
      </c>
      <c r="K94" s="709">
        <v>22888</v>
      </c>
      <c r="L94" s="709">
        <v>0</v>
      </c>
      <c r="M94" s="709">
        <v>0</v>
      </c>
      <c r="N94" s="709">
        <v>0</v>
      </c>
      <c r="O94" s="709">
        <v>0</v>
      </c>
      <c r="P94" s="709">
        <v>0</v>
      </c>
      <c r="Q94" s="709">
        <v>0</v>
      </c>
      <c r="R94" s="709">
        <v>0</v>
      </c>
      <c r="S94" s="709">
        <v>0</v>
      </c>
      <c r="T94" s="709">
        <v>0</v>
      </c>
      <c r="U94" s="709">
        <v>0</v>
      </c>
      <c r="V94" s="709">
        <v>0</v>
      </c>
      <c r="W94" s="709">
        <v>0</v>
      </c>
      <c r="X94" s="709">
        <v>0</v>
      </c>
      <c r="Y94" s="709">
        <v>0</v>
      </c>
      <c r="Z94" s="709">
        <v>0</v>
      </c>
      <c r="AA94" s="709">
        <v>0</v>
      </c>
      <c r="AB94" s="709">
        <v>0</v>
      </c>
      <c r="AC94" s="709">
        <v>0</v>
      </c>
      <c r="AD94" s="709">
        <v>0</v>
      </c>
      <c r="AE94" s="709">
        <v>0</v>
      </c>
      <c r="AF94" s="709">
        <v>0</v>
      </c>
      <c r="AG94" s="709">
        <v>0</v>
      </c>
      <c r="AH94" s="709">
        <v>0</v>
      </c>
      <c r="AI94" s="709">
        <v>0</v>
      </c>
      <c r="AJ94" s="709">
        <v>22888</v>
      </c>
      <c r="AK94" s="709">
        <v>5835</v>
      </c>
      <c r="AL94" s="709">
        <v>0</v>
      </c>
      <c r="AM94" s="709">
        <v>28723</v>
      </c>
      <c r="AN94" s="709">
        <v>0</v>
      </c>
      <c r="AO94" s="709">
        <v>0</v>
      </c>
      <c r="AP94" s="709">
        <v>0</v>
      </c>
      <c r="AQ94" s="709">
        <v>0</v>
      </c>
      <c r="AR94" s="709">
        <v>0</v>
      </c>
      <c r="AS94" s="709">
        <v>0</v>
      </c>
    </row>
    <row r="95" spans="1:45">
      <c r="A95" s="708" t="s">
        <v>1139</v>
      </c>
      <c r="B95" s="709">
        <v>7918</v>
      </c>
      <c r="C95" s="709">
        <v>7918</v>
      </c>
      <c r="D95" s="709">
        <v>7079</v>
      </c>
      <c r="E95" s="709">
        <v>839</v>
      </c>
      <c r="F95" s="709">
        <v>4356</v>
      </c>
      <c r="G95" s="709">
        <v>5069</v>
      </c>
      <c r="H95" s="709">
        <v>4356</v>
      </c>
      <c r="I95" s="709">
        <v>4356</v>
      </c>
      <c r="J95" s="709">
        <v>4356</v>
      </c>
      <c r="K95" s="709">
        <v>4356</v>
      </c>
      <c r="L95" s="709">
        <v>0</v>
      </c>
      <c r="M95" s="709">
        <v>0</v>
      </c>
      <c r="N95" s="709">
        <v>0</v>
      </c>
      <c r="O95" s="709">
        <v>0</v>
      </c>
      <c r="P95" s="709">
        <v>0</v>
      </c>
      <c r="Q95" s="709">
        <v>713</v>
      </c>
      <c r="R95" s="709">
        <v>0</v>
      </c>
      <c r="S95" s="709">
        <v>0</v>
      </c>
      <c r="T95" s="709">
        <v>0</v>
      </c>
      <c r="U95" s="709">
        <v>0</v>
      </c>
      <c r="V95" s="709">
        <v>0</v>
      </c>
      <c r="W95" s="709">
        <v>0</v>
      </c>
      <c r="X95" s="709">
        <v>30</v>
      </c>
      <c r="Y95" s="709">
        <v>96</v>
      </c>
      <c r="Z95" s="709">
        <v>0</v>
      </c>
      <c r="AA95" s="709">
        <v>0</v>
      </c>
      <c r="AB95" s="709">
        <v>0</v>
      </c>
      <c r="AC95" s="709">
        <v>0</v>
      </c>
      <c r="AD95" s="709">
        <v>0</v>
      </c>
      <c r="AE95" s="709">
        <v>0</v>
      </c>
      <c r="AF95" s="709">
        <v>0</v>
      </c>
      <c r="AG95" s="709">
        <v>0</v>
      </c>
      <c r="AH95" s="709">
        <v>0</v>
      </c>
      <c r="AI95" s="709">
        <v>0</v>
      </c>
      <c r="AJ95" s="709">
        <v>4356</v>
      </c>
      <c r="AK95" s="709">
        <v>2723</v>
      </c>
      <c r="AL95" s="709">
        <v>0</v>
      </c>
      <c r="AM95" s="709">
        <v>7079</v>
      </c>
      <c r="AN95" s="709">
        <v>0</v>
      </c>
      <c r="AO95" s="709">
        <v>0</v>
      </c>
      <c r="AP95" s="709">
        <v>0</v>
      </c>
      <c r="AQ95" s="709">
        <v>0</v>
      </c>
      <c r="AR95" s="709">
        <v>0</v>
      </c>
      <c r="AS95" s="709">
        <v>0</v>
      </c>
    </row>
    <row r="96" spans="1:45">
      <c r="A96" s="708" t="s">
        <v>1140</v>
      </c>
      <c r="B96" s="709">
        <v>432</v>
      </c>
      <c r="C96" s="709">
        <v>432</v>
      </c>
      <c r="D96" s="709">
        <v>392</v>
      </c>
      <c r="E96" s="709">
        <v>40</v>
      </c>
      <c r="F96" s="709">
        <v>392</v>
      </c>
      <c r="G96" s="709">
        <v>432</v>
      </c>
      <c r="H96" s="709">
        <v>392</v>
      </c>
      <c r="I96" s="709">
        <v>392</v>
      </c>
      <c r="J96" s="709">
        <v>392</v>
      </c>
      <c r="K96" s="709">
        <v>392</v>
      </c>
      <c r="L96" s="709">
        <v>0</v>
      </c>
      <c r="M96" s="709">
        <v>0</v>
      </c>
      <c r="N96" s="709">
        <v>0</v>
      </c>
      <c r="O96" s="709">
        <v>0</v>
      </c>
      <c r="P96" s="709">
        <v>0</v>
      </c>
      <c r="Q96" s="709">
        <v>40</v>
      </c>
      <c r="R96" s="709">
        <v>0</v>
      </c>
      <c r="S96" s="709">
        <v>0</v>
      </c>
      <c r="T96" s="709">
        <v>0</v>
      </c>
      <c r="U96" s="709">
        <v>0</v>
      </c>
      <c r="V96" s="709">
        <v>0</v>
      </c>
      <c r="W96" s="709">
        <v>0</v>
      </c>
      <c r="X96" s="709">
        <v>0</v>
      </c>
      <c r="Y96" s="709">
        <v>0</v>
      </c>
      <c r="Z96" s="709">
        <v>0</v>
      </c>
      <c r="AA96" s="709">
        <v>0</v>
      </c>
      <c r="AB96" s="709">
        <v>0</v>
      </c>
      <c r="AC96" s="709">
        <v>0</v>
      </c>
      <c r="AD96" s="709">
        <v>0</v>
      </c>
      <c r="AE96" s="709">
        <v>0</v>
      </c>
      <c r="AF96" s="709">
        <v>0</v>
      </c>
      <c r="AG96" s="709">
        <v>0</v>
      </c>
      <c r="AH96" s="709">
        <v>0</v>
      </c>
      <c r="AI96" s="709">
        <v>0</v>
      </c>
      <c r="AJ96" s="709">
        <v>392</v>
      </c>
      <c r="AK96" s="709">
        <v>0</v>
      </c>
      <c r="AL96" s="709">
        <v>0</v>
      </c>
      <c r="AM96" s="709">
        <v>392</v>
      </c>
      <c r="AN96" s="709">
        <v>0</v>
      </c>
      <c r="AO96" s="709">
        <v>0</v>
      </c>
      <c r="AP96" s="709">
        <v>0</v>
      </c>
      <c r="AQ96" s="709">
        <v>0</v>
      </c>
      <c r="AR96" s="709">
        <v>0</v>
      </c>
      <c r="AS96" s="709">
        <v>0</v>
      </c>
    </row>
    <row r="97" spans="1:45">
      <c r="A97" s="708" t="s">
        <v>1141</v>
      </c>
      <c r="B97" s="709">
        <v>123</v>
      </c>
      <c r="C97" s="709">
        <v>123</v>
      </c>
      <c r="D97" s="709">
        <v>30</v>
      </c>
      <c r="E97" s="709">
        <v>93</v>
      </c>
      <c r="F97" s="709">
        <v>30</v>
      </c>
      <c r="G97" s="709">
        <v>108</v>
      </c>
      <c r="H97" s="709">
        <v>30</v>
      </c>
      <c r="I97" s="709">
        <v>30</v>
      </c>
      <c r="J97" s="709">
        <v>30</v>
      </c>
      <c r="K97" s="709">
        <v>30</v>
      </c>
      <c r="L97" s="709">
        <v>0</v>
      </c>
      <c r="M97" s="709">
        <v>0</v>
      </c>
      <c r="N97" s="709">
        <v>0</v>
      </c>
      <c r="O97" s="709">
        <v>0</v>
      </c>
      <c r="P97" s="709">
        <v>0</v>
      </c>
      <c r="Q97" s="709">
        <v>78</v>
      </c>
      <c r="R97" s="709">
        <v>0</v>
      </c>
      <c r="S97" s="709">
        <v>0</v>
      </c>
      <c r="T97" s="709">
        <v>0</v>
      </c>
      <c r="U97" s="709">
        <v>0</v>
      </c>
      <c r="V97" s="709">
        <v>0</v>
      </c>
      <c r="W97" s="709">
        <v>0</v>
      </c>
      <c r="X97" s="709">
        <v>15</v>
      </c>
      <c r="Y97" s="709">
        <v>0</v>
      </c>
      <c r="Z97" s="709">
        <v>0</v>
      </c>
      <c r="AA97" s="709">
        <v>0</v>
      </c>
      <c r="AB97" s="709">
        <v>0</v>
      </c>
      <c r="AC97" s="709">
        <v>0</v>
      </c>
      <c r="AD97" s="709">
        <v>0</v>
      </c>
      <c r="AE97" s="709">
        <v>0</v>
      </c>
      <c r="AF97" s="709">
        <v>0</v>
      </c>
      <c r="AG97" s="709">
        <v>0</v>
      </c>
      <c r="AH97" s="709">
        <v>0</v>
      </c>
      <c r="AI97" s="709">
        <v>0</v>
      </c>
      <c r="AJ97" s="709">
        <v>30</v>
      </c>
      <c r="AK97" s="709">
        <v>0</v>
      </c>
      <c r="AL97" s="709">
        <v>0</v>
      </c>
      <c r="AM97" s="709">
        <v>30</v>
      </c>
      <c r="AN97" s="709">
        <v>0</v>
      </c>
      <c r="AO97" s="709">
        <v>0</v>
      </c>
      <c r="AP97" s="709">
        <v>0</v>
      </c>
      <c r="AQ97" s="709">
        <v>0</v>
      </c>
      <c r="AR97" s="709">
        <v>0</v>
      </c>
      <c r="AS97" s="709">
        <v>0</v>
      </c>
    </row>
    <row r="98" spans="1:45">
      <c r="A98" s="708" t="s">
        <v>1142</v>
      </c>
      <c r="B98" s="709">
        <v>0</v>
      </c>
      <c r="C98" s="709">
        <v>0</v>
      </c>
      <c r="D98" s="709">
        <v>0</v>
      </c>
      <c r="E98" s="709">
        <v>0</v>
      </c>
      <c r="F98" s="709">
        <v>0</v>
      </c>
      <c r="G98" s="709">
        <v>0</v>
      </c>
      <c r="H98" s="709">
        <v>0</v>
      </c>
      <c r="I98" s="709">
        <v>0</v>
      </c>
      <c r="J98" s="709">
        <v>0</v>
      </c>
      <c r="K98" s="709">
        <v>0</v>
      </c>
      <c r="L98" s="709">
        <v>0</v>
      </c>
      <c r="M98" s="709">
        <v>0</v>
      </c>
      <c r="N98" s="709">
        <v>0</v>
      </c>
      <c r="O98" s="709">
        <v>0</v>
      </c>
      <c r="P98" s="709">
        <v>0</v>
      </c>
      <c r="Q98" s="709">
        <v>0</v>
      </c>
      <c r="R98" s="709">
        <v>0</v>
      </c>
      <c r="S98" s="709">
        <v>0</v>
      </c>
      <c r="T98" s="709">
        <v>0</v>
      </c>
      <c r="U98" s="709">
        <v>0</v>
      </c>
      <c r="V98" s="709">
        <v>0</v>
      </c>
      <c r="W98" s="709">
        <v>0</v>
      </c>
      <c r="X98" s="709">
        <v>0</v>
      </c>
      <c r="Y98" s="709">
        <v>0</v>
      </c>
      <c r="Z98" s="709">
        <v>0</v>
      </c>
      <c r="AA98" s="709">
        <v>0</v>
      </c>
      <c r="AB98" s="709">
        <v>0</v>
      </c>
      <c r="AC98" s="709">
        <v>0</v>
      </c>
      <c r="AD98" s="709">
        <v>0</v>
      </c>
      <c r="AE98" s="709">
        <v>0</v>
      </c>
      <c r="AF98" s="709">
        <v>0</v>
      </c>
      <c r="AG98" s="709">
        <v>0</v>
      </c>
      <c r="AH98" s="709">
        <v>0</v>
      </c>
      <c r="AI98" s="709">
        <v>0</v>
      </c>
      <c r="AJ98" s="709">
        <v>0</v>
      </c>
      <c r="AK98" s="709">
        <v>0</v>
      </c>
      <c r="AL98" s="709">
        <v>0</v>
      </c>
      <c r="AM98" s="709">
        <v>0</v>
      </c>
      <c r="AN98" s="709">
        <v>0</v>
      </c>
      <c r="AO98" s="709">
        <v>0</v>
      </c>
      <c r="AP98" s="709">
        <v>0</v>
      </c>
      <c r="AQ98" s="709">
        <v>0</v>
      </c>
      <c r="AR98" s="709">
        <v>0</v>
      </c>
      <c r="AS98" s="709">
        <v>0</v>
      </c>
    </row>
    <row r="99" spans="1:45">
      <c r="A99" s="708" t="s">
        <v>1143</v>
      </c>
      <c r="B99" s="709">
        <v>0</v>
      </c>
      <c r="C99" s="709">
        <v>0</v>
      </c>
      <c r="D99" s="709">
        <v>0</v>
      </c>
      <c r="E99" s="709">
        <v>0</v>
      </c>
      <c r="F99" s="709">
        <v>0</v>
      </c>
      <c r="G99" s="709">
        <v>0</v>
      </c>
      <c r="H99" s="709">
        <v>0</v>
      </c>
      <c r="I99" s="709">
        <v>0</v>
      </c>
      <c r="J99" s="709">
        <v>0</v>
      </c>
      <c r="K99" s="709">
        <v>0</v>
      </c>
      <c r="L99" s="709">
        <v>0</v>
      </c>
      <c r="M99" s="709">
        <v>0</v>
      </c>
      <c r="N99" s="709">
        <v>0</v>
      </c>
      <c r="O99" s="709">
        <v>0</v>
      </c>
      <c r="P99" s="709">
        <v>0</v>
      </c>
      <c r="Q99" s="709">
        <v>0</v>
      </c>
      <c r="R99" s="709">
        <v>0</v>
      </c>
      <c r="S99" s="709">
        <v>0</v>
      </c>
      <c r="T99" s="709">
        <v>0</v>
      </c>
      <c r="U99" s="709">
        <v>0</v>
      </c>
      <c r="V99" s="709">
        <v>0</v>
      </c>
      <c r="W99" s="709">
        <v>0</v>
      </c>
      <c r="X99" s="709">
        <v>0</v>
      </c>
      <c r="Y99" s="709">
        <v>0</v>
      </c>
      <c r="Z99" s="709">
        <v>0</v>
      </c>
      <c r="AA99" s="709">
        <v>0</v>
      </c>
      <c r="AB99" s="709">
        <v>0</v>
      </c>
      <c r="AC99" s="709">
        <v>0</v>
      </c>
      <c r="AD99" s="709">
        <v>0</v>
      </c>
      <c r="AE99" s="709">
        <v>0</v>
      </c>
      <c r="AF99" s="709">
        <v>0</v>
      </c>
      <c r="AG99" s="709">
        <v>0</v>
      </c>
      <c r="AH99" s="709">
        <v>0</v>
      </c>
      <c r="AI99" s="709">
        <v>0</v>
      </c>
      <c r="AJ99" s="709">
        <v>0</v>
      </c>
      <c r="AK99" s="709">
        <v>0</v>
      </c>
      <c r="AL99" s="709">
        <v>0</v>
      </c>
      <c r="AM99" s="709">
        <v>0</v>
      </c>
      <c r="AN99" s="709">
        <v>0</v>
      </c>
      <c r="AO99" s="709">
        <v>0</v>
      </c>
      <c r="AP99" s="709">
        <v>0</v>
      </c>
      <c r="AQ99" s="709">
        <v>0</v>
      </c>
      <c r="AR99" s="709">
        <v>0</v>
      </c>
      <c r="AS99" s="709">
        <v>0</v>
      </c>
    </row>
    <row r="100" spans="1:45">
      <c r="A100" s="708" t="s">
        <v>1144</v>
      </c>
      <c r="B100" s="709">
        <v>0</v>
      </c>
      <c r="C100" s="709">
        <v>0</v>
      </c>
      <c r="D100" s="709">
        <v>0</v>
      </c>
      <c r="E100" s="709">
        <v>0</v>
      </c>
      <c r="F100" s="709">
        <v>0</v>
      </c>
      <c r="G100" s="709">
        <v>0</v>
      </c>
      <c r="H100" s="709">
        <v>0</v>
      </c>
      <c r="I100" s="709">
        <v>0</v>
      </c>
      <c r="J100" s="709">
        <v>0</v>
      </c>
      <c r="K100" s="709">
        <v>0</v>
      </c>
      <c r="L100" s="709">
        <v>0</v>
      </c>
      <c r="M100" s="709">
        <v>0</v>
      </c>
      <c r="N100" s="709">
        <v>0</v>
      </c>
      <c r="O100" s="709">
        <v>0</v>
      </c>
      <c r="P100" s="709">
        <v>0</v>
      </c>
      <c r="Q100" s="709">
        <v>0</v>
      </c>
      <c r="R100" s="709">
        <v>0</v>
      </c>
      <c r="S100" s="709">
        <v>0</v>
      </c>
      <c r="T100" s="709">
        <v>0</v>
      </c>
      <c r="U100" s="709">
        <v>0</v>
      </c>
      <c r="V100" s="709">
        <v>0</v>
      </c>
      <c r="W100" s="709">
        <v>0</v>
      </c>
      <c r="X100" s="709">
        <v>0</v>
      </c>
      <c r="Y100" s="709">
        <v>0</v>
      </c>
      <c r="Z100" s="709">
        <v>0</v>
      </c>
      <c r="AA100" s="709">
        <v>0</v>
      </c>
      <c r="AB100" s="709">
        <v>0</v>
      </c>
      <c r="AC100" s="709">
        <v>0</v>
      </c>
      <c r="AD100" s="709">
        <v>0</v>
      </c>
      <c r="AE100" s="709">
        <v>0</v>
      </c>
      <c r="AF100" s="709">
        <v>0</v>
      </c>
      <c r="AG100" s="709">
        <v>0</v>
      </c>
      <c r="AH100" s="709">
        <v>0</v>
      </c>
      <c r="AI100" s="709">
        <v>0</v>
      </c>
      <c r="AJ100" s="709">
        <v>0</v>
      </c>
      <c r="AK100" s="709">
        <v>0</v>
      </c>
      <c r="AL100" s="709">
        <v>0</v>
      </c>
      <c r="AM100" s="709">
        <v>0</v>
      </c>
      <c r="AN100" s="709">
        <v>0</v>
      </c>
      <c r="AO100" s="709">
        <v>0</v>
      </c>
      <c r="AP100" s="709">
        <v>0</v>
      </c>
      <c r="AQ100" s="709">
        <v>0</v>
      </c>
      <c r="AR100" s="709">
        <v>0</v>
      </c>
      <c r="AS100" s="709">
        <v>0</v>
      </c>
    </row>
    <row r="101" spans="1:45">
      <c r="A101" s="708" t="s">
        <v>1145</v>
      </c>
      <c r="B101" s="709">
        <v>0</v>
      </c>
      <c r="C101" s="709">
        <v>0</v>
      </c>
      <c r="D101" s="709">
        <v>0</v>
      </c>
      <c r="E101" s="709">
        <v>0</v>
      </c>
      <c r="F101" s="709">
        <v>0</v>
      </c>
      <c r="G101" s="709">
        <v>0</v>
      </c>
      <c r="H101" s="709">
        <v>0</v>
      </c>
      <c r="I101" s="709">
        <v>0</v>
      </c>
      <c r="J101" s="709">
        <v>0</v>
      </c>
      <c r="K101" s="709">
        <v>0</v>
      </c>
      <c r="L101" s="709">
        <v>0</v>
      </c>
      <c r="M101" s="709">
        <v>0</v>
      </c>
      <c r="N101" s="709">
        <v>0</v>
      </c>
      <c r="O101" s="709">
        <v>0</v>
      </c>
      <c r="P101" s="709">
        <v>0</v>
      </c>
      <c r="Q101" s="709">
        <v>0</v>
      </c>
      <c r="R101" s="709">
        <v>0</v>
      </c>
      <c r="S101" s="709">
        <v>0</v>
      </c>
      <c r="T101" s="709">
        <v>0</v>
      </c>
      <c r="U101" s="709">
        <v>0</v>
      </c>
      <c r="V101" s="709">
        <v>0</v>
      </c>
      <c r="W101" s="709">
        <v>0</v>
      </c>
      <c r="X101" s="709">
        <v>0</v>
      </c>
      <c r="Y101" s="709">
        <v>0</v>
      </c>
      <c r="Z101" s="709">
        <v>0</v>
      </c>
      <c r="AA101" s="709">
        <v>0</v>
      </c>
      <c r="AB101" s="709">
        <v>0</v>
      </c>
      <c r="AC101" s="709">
        <v>0</v>
      </c>
      <c r="AD101" s="709">
        <v>0</v>
      </c>
      <c r="AE101" s="709">
        <v>0</v>
      </c>
      <c r="AF101" s="709">
        <v>0</v>
      </c>
      <c r="AG101" s="709">
        <v>0</v>
      </c>
      <c r="AH101" s="709">
        <v>0</v>
      </c>
      <c r="AI101" s="709">
        <v>0</v>
      </c>
      <c r="AJ101" s="709">
        <v>0</v>
      </c>
      <c r="AK101" s="709">
        <v>0</v>
      </c>
      <c r="AL101" s="709">
        <v>0</v>
      </c>
      <c r="AM101" s="709">
        <v>0</v>
      </c>
      <c r="AN101" s="709">
        <v>0</v>
      </c>
      <c r="AO101" s="709">
        <v>0</v>
      </c>
      <c r="AP101" s="709">
        <v>0</v>
      </c>
      <c r="AQ101" s="709">
        <v>0</v>
      </c>
      <c r="AR101" s="709">
        <v>0</v>
      </c>
      <c r="AS101" s="709">
        <v>0</v>
      </c>
    </row>
    <row r="102" spans="1:45">
      <c r="A102" s="708" t="s">
        <v>1146</v>
      </c>
      <c r="B102" s="709">
        <v>9</v>
      </c>
      <c r="C102" s="709">
        <v>9</v>
      </c>
      <c r="D102" s="709">
        <v>9</v>
      </c>
      <c r="E102" s="709">
        <v>0</v>
      </c>
      <c r="F102" s="709">
        <v>9</v>
      </c>
      <c r="G102" s="709">
        <v>9</v>
      </c>
      <c r="H102" s="709">
        <v>9</v>
      </c>
      <c r="I102" s="709">
        <v>9</v>
      </c>
      <c r="J102" s="709">
        <v>9</v>
      </c>
      <c r="K102" s="709">
        <v>9</v>
      </c>
      <c r="L102" s="709">
        <v>0</v>
      </c>
      <c r="M102" s="709">
        <v>0</v>
      </c>
      <c r="N102" s="709">
        <v>0</v>
      </c>
      <c r="O102" s="709">
        <v>0</v>
      </c>
      <c r="P102" s="709">
        <v>0</v>
      </c>
      <c r="Q102" s="709">
        <v>0</v>
      </c>
      <c r="R102" s="709">
        <v>0</v>
      </c>
      <c r="S102" s="709">
        <v>0</v>
      </c>
      <c r="T102" s="709">
        <v>0</v>
      </c>
      <c r="U102" s="709">
        <v>0</v>
      </c>
      <c r="V102" s="709">
        <v>0</v>
      </c>
      <c r="W102" s="709">
        <v>0</v>
      </c>
      <c r="X102" s="709">
        <v>0</v>
      </c>
      <c r="Y102" s="709">
        <v>0</v>
      </c>
      <c r="Z102" s="709">
        <v>0</v>
      </c>
      <c r="AA102" s="709">
        <v>0</v>
      </c>
      <c r="AB102" s="709">
        <v>0</v>
      </c>
      <c r="AC102" s="709">
        <v>0</v>
      </c>
      <c r="AD102" s="709">
        <v>0</v>
      </c>
      <c r="AE102" s="709">
        <v>0</v>
      </c>
      <c r="AF102" s="709">
        <v>0</v>
      </c>
      <c r="AG102" s="709">
        <v>0</v>
      </c>
      <c r="AH102" s="709">
        <v>0</v>
      </c>
      <c r="AI102" s="709">
        <v>0</v>
      </c>
      <c r="AJ102" s="709">
        <v>9</v>
      </c>
      <c r="AK102" s="709">
        <v>0</v>
      </c>
      <c r="AL102" s="709">
        <v>0</v>
      </c>
      <c r="AM102" s="709">
        <v>9</v>
      </c>
      <c r="AN102" s="709">
        <v>0</v>
      </c>
      <c r="AO102" s="709">
        <v>0</v>
      </c>
      <c r="AP102" s="709">
        <v>0</v>
      </c>
      <c r="AQ102" s="709">
        <v>0</v>
      </c>
      <c r="AR102" s="709">
        <v>0</v>
      </c>
      <c r="AS102" s="709">
        <v>0</v>
      </c>
    </row>
    <row r="103" spans="1:45">
      <c r="A103" s="708" t="s">
        <v>1147</v>
      </c>
      <c r="B103" s="709">
        <v>260</v>
      </c>
      <c r="C103" s="709">
        <v>260</v>
      </c>
      <c r="D103" s="709">
        <v>2</v>
      </c>
      <c r="E103" s="709">
        <v>258</v>
      </c>
      <c r="F103" s="709">
        <v>2</v>
      </c>
      <c r="G103" s="709">
        <v>7</v>
      </c>
      <c r="H103" s="709">
        <v>7</v>
      </c>
      <c r="I103" s="709">
        <v>2</v>
      </c>
      <c r="J103" s="709">
        <v>2</v>
      </c>
      <c r="K103" s="709">
        <v>2</v>
      </c>
      <c r="L103" s="709">
        <v>0</v>
      </c>
      <c r="M103" s="709">
        <v>0</v>
      </c>
      <c r="N103" s="709">
        <v>20</v>
      </c>
      <c r="O103" s="709">
        <v>0</v>
      </c>
      <c r="P103" s="709">
        <v>0</v>
      </c>
      <c r="Q103" s="709">
        <v>0</v>
      </c>
      <c r="R103" s="709">
        <v>0</v>
      </c>
      <c r="S103" s="709">
        <v>0</v>
      </c>
      <c r="T103" s="709">
        <v>0</v>
      </c>
      <c r="U103" s="709">
        <v>0</v>
      </c>
      <c r="V103" s="709">
        <v>0</v>
      </c>
      <c r="W103" s="709">
        <v>0</v>
      </c>
      <c r="X103" s="709">
        <v>0</v>
      </c>
      <c r="Y103" s="709">
        <v>0</v>
      </c>
      <c r="Z103" s="709">
        <v>0</v>
      </c>
      <c r="AA103" s="709">
        <v>0</v>
      </c>
      <c r="AB103" s="709">
        <v>0</v>
      </c>
      <c r="AC103" s="709">
        <v>0</v>
      </c>
      <c r="AD103" s="709">
        <v>0</v>
      </c>
      <c r="AE103" s="709">
        <v>233</v>
      </c>
      <c r="AF103" s="709">
        <v>0</v>
      </c>
      <c r="AG103" s="709">
        <v>0</v>
      </c>
      <c r="AH103" s="709">
        <v>0</v>
      </c>
      <c r="AI103" s="709">
        <v>5</v>
      </c>
      <c r="AJ103" s="709">
        <v>2</v>
      </c>
      <c r="AK103" s="709">
        <v>0</v>
      </c>
      <c r="AL103" s="709">
        <v>0</v>
      </c>
      <c r="AM103" s="709">
        <v>2</v>
      </c>
      <c r="AN103" s="709">
        <v>0</v>
      </c>
      <c r="AO103" s="709">
        <v>0</v>
      </c>
      <c r="AP103" s="709">
        <v>0</v>
      </c>
      <c r="AQ103" s="709">
        <v>0</v>
      </c>
      <c r="AR103" s="709">
        <v>0</v>
      </c>
      <c r="AS103" s="709">
        <v>0</v>
      </c>
    </row>
    <row r="104" spans="1:45">
      <c r="A104" s="708" t="s">
        <v>1148</v>
      </c>
      <c r="B104" s="709">
        <v>0</v>
      </c>
      <c r="C104" s="709">
        <v>0</v>
      </c>
      <c r="D104" s="709">
        <v>0</v>
      </c>
      <c r="E104" s="709">
        <v>0</v>
      </c>
      <c r="F104" s="709">
        <v>0</v>
      </c>
      <c r="G104" s="709">
        <v>0</v>
      </c>
      <c r="H104" s="709">
        <v>0</v>
      </c>
      <c r="I104" s="709">
        <v>0</v>
      </c>
      <c r="J104" s="709">
        <v>0</v>
      </c>
      <c r="K104" s="709">
        <v>0</v>
      </c>
      <c r="L104" s="709">
        <v>0</v>
      </c>
      <c r="M104" s="709">
        <v>0</v>
      </c>
      <c r="N104" s="709">
        <v>0</v>
      </c>
      <c r="O104" s="709">
        <v>0</v>
      </c>
      <c r="P104" s="709">
        <v>0</v>
      </c>
      <c r="Q104" s="709">
        <v>0</v>
      </c>
      <c r="R104" s="709">
        <v>0</v>
      </c>
      <c r="S104" s="709">
        <v>0</v>
      </c>
      <c r="T104" s="709">
        <v>0</v>
      </c>
      <c r="U104" s="709">
        <v>0</v>
      </c>
      <c r="V104" s="709">
        <v>0</v>
      </c>
      <c r="W104" s="709">
        <v>0</v>
      </c>
      <c r="X104" s="709">
        <v>0</v>
      </c>
      <c r="Y104" s="709">
        <v>0</v>
      </c>
      <c r="Z104" s="709">
        <v>0</v>
      </c>
      <c r="AA104" s="709">
        <v>0</v>
      </c>
      <c r="AB104" s="709">
        <v>0</v>
      </c>
      <c r="AC104" s="709">
        <v>0</v>
      </c>
      <c r="AD104" s="709">
        <v>0</v>
      </c>
      <c r="AE104" s="709">
        <v>0</v>
      </c>
      <c r="AF104" s="709">
        <v>0</v>
      </c>
      <c r="AG104" s="709">
        <v>0</v>
      </c>
      <c r="AH104" s="709">
        <v>0</v>
      </c>
      <c r="AI104" s="709">
        <v>0</v>
      </c>
      <c r="AJ104" s="709">
        <v>0</v>
      </c>
      <c r="AK104" s="709">
        <v>0</v>
      </c>
      <c r="AL104" s="709">
        <v>0</v>
      </c>
      <c r="AM104" s="709">
        <v>0</v>
      </c>
      <c r="AN104" s="709">
        <v>0</v>
      </c>
      <c r="AO104" s="709">
        <v>0</v>
      </c>
      <c r="AP104" s="709">
        <v>0</v>
      </c>
      <c r="AQ104" s="709">
        <v>0</v>
      </c>
      <c r="AR104" s="709">
        <v>0</v>
      </c>
      <c r="AS104" s="709">
        <v>0</v>
      </c>
    </row>
    <row r="105" spans="1:45">
      <c r="A105" s="708" t="s">
        <v>1149</v>
      </c>
      <c r="B105" s="709">
        <v>87</v>
      </c>
      <c r="C105" s="709">
        <v>87</v>
      </c>
      <c r="D105" s="709">
        <v>0</v>
      </c>
      <c r="E105" s="709">
        <v>87</v>
      </c>
      <c r="F105" s="709">
        <v>0</v>
      </c>
      <c r="G105" s="709">
        <v>52</v>
      </c>
      <c r="H105" s="709">
        <v>52</v>
      </c>
      <c r="I105" s="709">
        <v>0</v>
      </c>
      <c r="J105" s="709">
        <v>0</v>
      </c>
      <c r="K105" s="709">
        <v>0</v>
      </c>
      <c r="L105" s="709">
        <v>0</v>
      </c>
      <c r="M105" s="709">
        <v>0</v>
      </c>
      <c r="N105" s="709">
        <v>16</v>
      </c>
      <c r="O105" s="709">
        <v>0</v>
      </c>
      <c r="P105" s="709">
        <v>0</v>
      </c>
      <c r="Q105" s="709">
        <v>0</v>
      </c>
      <c r="R105" s="709">
        <v>0</v>
      </c>
      <c r="S105" s="709">
        <v>0</v>
      </c>
      <c r="T105" s="709">
        <v>0</v>
      </c>
      <c r="U105" s="709">
        <v>0</v>
      </c>
      <c r="V105" s="709">
        <v>0</v>
      </c>
      <c r="W105" s="709">
        <v>0</v>
      </c>
      <c r="X105" s="709">
        <v>0</v>
      </c>
      <c r="Y105" s="709">
        <v>0</v>
      </c>
      <c r="Z105" s="709">
        <v>0</v>
      </c>
      <c r="AA105" s="709">
        <v>0</v>
      </c>
      <c r="AB105" s="709">
        <v>0</v>
      </c>
      <c r="AC105" s="709">
        <v>0</v>
      </c>
      <c r="AD105" s="709">
        <v>0</v>
      </c>
      <c r="AE105" s="709">
        <v>19</v>
      </c>
      <c r="AF105" s="709">
        <v>0</v>
      </c>
      <c r="AG105" s="709">
        <v>0</v>
      </c>
      <c r="AH105" s="709">
        <v>0</v>
      </c>
      <c r="AI105" s="709">
        <v>52</v>
      </c>
      <c r="AJ105" s="709">
        <v>0</v>
      </c>
      <c r="AK105" s="709">
        <v>0</v>
      </c>
      <c r="AL105" s="709">
        <v>0</v>
      </c>
      <c r="AM105" s="709">
        <v>0</v>
      </c>
      <c r="AN105" s="709">
        <v>0</v>
      </c>
      <c r="AO105" s="709">
        <v>0</v>
      </c>
      <c r="AP105" s="709">
        <v>0</v>
      </c>
      <c r="AQ105" s="709">
        <v>0</v>
      </c>
      <c r="AR105" s="709">
        <v>0</v>
      </c>
      <c r="AS105" s="709">
        <v>0</v>
      </c>
    </row>
    <row r="106" spans="1:45">
      <c r="A106" s="708" t="s">
        <v>1150</v>
      </c>
      <c r="B106" s="709">
        <v>0</v>
      </c>
      <c r="C106" s="709">
        <v>0</v>
      </c>
      <c r="D106" s="709">
        <v>0</v>
      </c>
      <c r="E106" s="709">
        <v>0</v>
      </c>
      <c r="F106" s="709">
        <v>0</v>
      </c>
      <c r="G106" s="709">
        <v>0</v>
      </c>
      <c r="H106" s="709">
        <v>0</v>
      </c>
      <c r="I106" s="709">
        <v>0</v>
      </c>
      <c r="J106" s="709">
        <v>0</v>
      </c>
      <c r="K106" s="709">
        <v>0</v>
      </c>
      <c r="L106" s="709">
        <v>0</v>
      </c>
      <c r="M106" s="709">
        <v>0</v>
      </c>
      <c r="N106" s="709">
        <v>0</v>
      </c>
      <c r="O106" s="709">
        <v>0</v>
      </c>
      <c r="P106" s="709">
        <v>0</v>
      </c>
      <c r="Q106" s="709">
        <v>0</v>
      </c>
      <c r="R106" s="709">
        <v>0</v>
      </c>
      <c r="S106" s="709">
        <v>0</v>
      </c>
      <c r="T106" s="709">
        <v>0</v>
      </c>
      <c r="U106" s="709">
        <v>0</v>
      </c>
      <c r="V106" s="709">
        <v>0</v>
      </c>
      <c r="W106" s="709">
        <v>0</v>
      </c>
      <c r="X106" s="709">
        <v>0</v>
      </c>
      <c r="Y106" s="709">
        <v>0</v>
      </c>
      <c r="Z106" s="709">
        <v>0</v>
      </c>
      <c r="AA106" s="709">
        <v>0</v>
      </c>
      <c r="AB106" s="709">
        <v>0</v>
      </c>
      <c r="AC106" s="709">
        <v>0</v>
      </c>
      <c r="AD106" s="709">
        <v>0</v>
      </c>
      <c r="AE106" s="709">
        <v>0</v>
      </c>
      <c r="AF106" s="709">
        <v>0</v>
      </c>
      <c r="AG106" s="709">
        <v>0</v>
      </c>
      <c r="AH106" s="709">
        <v>0</v>
      </c>
      <c r="AI106" s="709">
        <v>0</v>
      </c>
      <c r="AJ106" s="709">
        <v>0</v>
      </c>
      <c r="AK106" s="709">
        <v>0</v>
      </c>
      <c r="AL106" s="709">
        <v>0</v>
      </c>
      <c r="AM106" s="709">
        <v>0</v>
      </c>
      <c r="AN106" s="709">
        <v>0</v>
      </c>
      <c r="AO106" s="709">
        <v>0</v>
      </c>
      <c r="AP106" s="709">
        <v>0</v>
      </c>
      <c r="AQ106" s="709">
        <v>0</v>
      </c>
      <c r="AR106" s="709">
        <v>0</v>
      </c>
      <c r="AS106" s="709">
        <v>0</v>
      </c>
    </row>
    <row r="107" spans="1:45">
      <c r="A107" s="708" t="s">
        <v>1151</v>
      </c>
      <c r="B107" s="709">
        <v>0</v>
      </c>
      <c r="C107" s="709">
        <v>0</v>
      </c>
      <c r="D107" s="709">
        <v>0</v>
      </c>
      <c r="E107" s="709">
        <v>0</v>
      </c>
      <c r="F107" s="709">
        <v>0</v>
      </c>
      <c r="G107" s="709">
        <v>0</v>
      </c>
      <c r="H107" s="709">
        <v>0</v>
      </c>
      <c r="I107" s="709">
        <v>0</v>
      </c>
      <c r="J107" s="709">
        <v>0</v>
      </c>
      <c r="K107" s="709">
        <v>0</v>
      </c>
      <c r="L107" s="709">
        <v>0</v>
      </c>
      <c r="M107" s="709">
        <v>0</v>
      </c>
      <c r="N107" s="709">
        <v>0</v>
      </c>
      <c r="O107" s="709">
        <v>0</v>
      </c>
      <c r="P107" s="709">
        <v>0</v>
      </c>
      <c r="Q107" s="709">
        <v>0</v>
      </c>
      <c r="R107" s="709">
        <v>0</v>
      </c>
      <c r="S107" s="709">
        <v>0</v>
      </c>
      <c r="T107" s="709">
        <v>0</v>
      </c>
      <c r="U107" s="709">
        <v>0</v>
      </c>
      <c r="V107" s="709">
        <v>0</v>
      </c>
      <c r="W107" s="709">
        <v>0</v>
      </c>
      <c r="X107" s="709">
        <v>0</v>
      </c>
      <c r="Y107" s="709">
        <v>0</v>
      </c>
      <c r="Z107" s="709">
        <v>0</v>
      </c>
      <c r="AA107" s="709">
        <v>0</v>
      </c>
      <c r="AB107" s="709">
        <v>0</v>
      </c>
      <c r="AC107" s="709">
        <v>0</v>
      </c>
      <c r="AD107" s="709">
        <v>0</v>
      </c>
      <c r="AE107" s="709">
        <v>0</v>
      </c>
      <c r="AF107" s="709">
        <v>0</v>
      </c>
      <c r="AG107" s="709">
        <v>0</v>
      </c>
      <c r="AH107" s="709">
        <v>0</v>
      </c>
      <c r="AI107" s="709">
        <v>0</v>
      </c>
      <c r="AJ107" s="709">
        <v>0</v>
      </c>
      <c r="AK107" s="709">
        <v>0</v>
      </c>
      <c r="AL107" s="709">
        <v>0</v>
      </c>
      <c r="AM107" s="709">
        <v>0</v>
      </c>
      <c r="AN107" s="709">
        <v>0</v>
      </c>
      <c r="AO107" s="709">
        <v>0</v>
      </c>
      <c r="AP107" s="709">
        <v>0</v>
      </c>
      <c r="AQ107" s="709">
        <v>0</v>
      </c>
      <c r="AR107" s="709">
        <v>0</v>
      </c>
      <c r="AS107" s="709">
        <v>0</v>
      </c>
    </row>
    <row r="108" spans="1:45">
      <c r="A108" s="708" t="s">
        <v>1152</v>
      </c>
      <c r="B108" s="709">
        <v>0</v>
      </c>
      <c r="C108" s="709">
        <v>0</v>
      </c>
      <c r="D108" s="709">
        <v>0</v>
      </c>
      <c r="E108" s="709">
        <v>0</v>
      </c>
      <c r="F108" s="709">
        <v>0</v>
      </c>
      <c r="G108" s="709">
        <v>0</v>
      </c>
      <c r="H108" s="709">
        <v>0</v>
      </c>
      <c r="I108" s="709">
        <v>0</v>
      </c>
      <c r="J108" s="709">
        <v>0</v>
      </c>
      <c r="K108" s="709">
        <v>0</v>
      </c>
      <c r="L108" s="709">
        <v>0</v>
      </c>
      <c r="M108" s="709">
        <v>0</v>
      </c>
      <c r="N108" s="709">
        <v>0</v>
      </c>
      <c r="O108" s="709">
        <v>0</v>
      </c>
      <c r="P108" s="709">
        <v>0</v>
      </c>
      <c r="Q108" s="709">
        <v>0</v>
      </c>
      <c r="R108" s="709">
        <v>0</v>
      </c>
      <c r="S108" s="709">
        <v>0</v>
      </c>
      <c r="T108" s="709">
        <v>0</v>
      </c>
      <c r="U108" s="709">
        <v>0</v>
      </c>
      <c r="V108" s="709">
        <v>0</v>
      </c>
      <c r="W108" s="709">
        <v>0</v>
      </c>
      <c r="X108" s="709">
        <v>0</v>
      </c>
      <c r="Y108" s="709">
        <v>0</v>
      </c>
      <c r="Z108" s="709">
        <v>0</v>
      </c>
      <c r="AA108" s="709">
        <v>0</v>
      </c>
      <c r="AB108" s="709">
        <v>0</v>
      </c>
      <c r="AC108" s="709">
        <v>0</v>
      </c>
      <c r="AD108" s="709">
        <v>0</v>
      </c>
      <c r="AE108" s="709">
        <v>0</v>
      </c>
      <c r="AF108" s="709">
        <v>0</v>
      </c>
      <c r="AG108" s="709">
        <v>0</v>
      </c>
      <c r="AH108" s="709">
        <v>0</v>
      </c>
      <c r="AI108" s="709">
        <v>0</v>
      </c>
      <c r="AJ108" s="709">
        <v>0</v>
      </c>
      <c r="AK108" s="709">
        <v>0</v>
      </c>
      <c r="AL108" s="709">
        <v>0</v>
      </c>
      <c r="AM108" s="709">
        <v>0</v>
      </c>
      <c r="AN108" s="709">
        <v>0</v>
      </c>
      <c r="AO108" s="709">
        <v>0</v>
      </c>
      <c r="AP108" s="709">
        <v>0</v>
      </c>
      <c r="AQ108" s="709">
        <v>0</v>
      </c>
      <c r="AR108" s="709">
        <v>0</v>
      </c>
      <c r="AS108" s="709">
        <v>0</v>
      </c>
    </row>
    <row r="109" spans="1:45">
      <c r="A109" s="708" t="s">
        <v>1153</v>
      </c>
      <c r="B109" s="709">
        <v>0</v>
      </c>
      <c r="C109" s="709">
        <v>0</v>
      </c>
      <c r="D109" s="709">
        <v>0</v>
      </c>
      <c r="E109" s="709">
        <v>0</v>
      </c>
      <c r="F109" s="709">
        <v>0</v>
      </c>
      <c r="G109" s="709">
        <v>0</v>
      </c>
      <c r="H109" s="709">
        <v>0</v>
      </c>
      <c r="I109" s="709">
        <v>0</v>
      </c>
      <c r="J109" s="709">
        <v>0</v>
      </c>
      <c r="K109" s="709">
        <v>0</v>
      </c>
      <c r="L109" s="709">
        <v>0</v>
      </c>
      <c r="M109" s="709">
        <v>0</v>
      </c>
      <c r="N109" s="709">
        <v>0</v>
      </c>
      <c r="O109" s="709">
        <v>0</v>
      </c>
      <c r="P109" s="709">
        <v>0</v>
      </c>
      <c r="Q109" s="709">
        <v>0</v>
      </c>
      <c r="R109" s="709">
        <v>0</v>
      </c>
      <c r="S109" s="709">
        <v>0</v>
      </c>
      <c r="T109" s="709">
        <v>0</v>
      </c>
      <c r="U109" s="709">
        <v>0</v>
      </c>
      <c r="V109" s="709">
        <v>0</v>
      </c>
      <c r="W109" s="709">
        <v>0</v>
      </c>
      <c r="X109" s="709">
        <v>0</v>
      </c>
      <c r="Y109" s="709">
        <v>0</v>
      </c>
      <c r="Z109" s="709">
        <v>0</v>
      </c>
      <c r="AA109" s="709">
        <v>0</v>
      </c>
      <c r="AB109" s="709">
        <v>0</v>
      </c>
      <c r="AC109" s="709">
        <v>0</v>
      </c>
      <c r="AD109" s="709">
        <v>0</v>
      </c>
      <c r="AE109" s="709">
        <v>0</v>
      </c>
      <c r="AF109" s="709">
        <v>0</v>
      </c>
      <c r="AG109" s="709">
        <v>0</v>
      </c>
      <c r="AH109" s="709">
        <v>0</v>
      </c>
      <c r="AI109" s="709">
        <v>0</v>
      </c>
      <c r="AJ109" s="709">
        <v>0</v>
      </c>
      <c r="AK109" s="709">
        <v>0</v>
      </c>
      <c r="AL109" s="709">
        <v>0</v>
      </c>
      <c r="AM109" s="709">
        <v>0</v>
      </c>
      <c r="AN109" s="709">
        <v>0</v>
      </c>
      <c r="AO109" s="709">
        <v>0</v>
      </c>
      <c r="AP109" s="709">
        <v>0</v>
      </c>
      <c r="AQ109" s="709">
        <v>0</v>
      </c>
      <c r="AR109" s="709">
        <v>0</v>
      </c>
      <c r="AS109" s="709">
        <v>0</v>
      </c>
    </row>
    <row r="110" spans="1:45">
      <c r="A110" s="708" t="s">
        <v>1154</v>
      </c>
      <c r="B110" s="709">
        <v>1788</v>
      </c>
      <c r="C110" s="709">
        <v>1788</v>
      </c>
      <c r="D110" s="709">
        <v>0</v>
      </c>
      <c r="E110" s="709">
        <v>1788</v>
      </c>
      <c r="F110" s="709">
        <v>0</v>
      </c>
      <c r="G110" s="709">
        <v>0</v>
      </c>
      <c r="H110" s="709">
        <v>0</v>
      </c>
      <c r="I110" s="709">
        <v>0</v>
      </c>
      <c r="J110" s="709">
        <v>0</v>
      </c>
      <c r="K110" s="709">
        <v>0</v>
      </c>
      <c r="L110" s="709">
        <v>0</v>
      </c>
      <c r="M110" s="709">
        <v>0</v>
      </c>
      <c r="N110" s="709">
        <v>1788</v>
      </c>
      <c r="O110" s="709">
        <v>0</v>
      </c>
      <c r="P110" s="709">
        <v>0</v>
      </c>
      <c r="Q110" s="709">
        <v>0</v>
      </c>
      <c r="R110" s="709">
        <v>0</v>
      </c>
      <c r="S110" s="709">
        <v>0</v>
      </c>
      <c r="T110" s="709">
        <v>0</v>
      </c>
      <c r="U110" s="709">
        <v>0</v>
      </c>
      <c r="V110" s="709">
        <v>0</v>
      </c>
      <c r="W110" s="709">
        <v>0</v>
      </c>
      <c r="X110" s="709">
        <v>0</v>
      </c>
      <c r="Y110" s="709">
        <v>0</v>
      </c>
      <c r="Z110" s="709">
        <v>0</v>
      </c>
      <c r="AA110" s="709">
        <v>0</v>
      </c>
      <c r="AB110" s="709">
        <v>0</v>
      </c>
      <c r="AC110" s="709">
        <v>0</v>
      </c>
      <c r="AD110" s="709">
        <v>0</v>
      </c>
      <c r="AE110" s="709">
        <v>0</v>
      </c>
      <c r="AF110" s="709">
        <v>0</v>
      </c>
      <c r="AG110" s="709">
        <v>0</v>
      </c>
      <c r="AH110" s="709">
        <v>0</v>
      </c>
      <c r="AI110" s="709">
        <v>0</v>
      </c>
      <c r="AJ110" s="709">
        <v>0</v>
      </c>
      <c r="AK110" s="709">
        <v>0</v>
      </c>
      <c r="AL110" s="709">
        <v>0</v>
      </c>
      <c r="AM110" s="709">
        <v>0</v>
      </c>
      <c r="AN110" s="709">
        <v>0</v>
      </c>
      <c r="AO110" s="709">
        <v>0</v>
      </c>
      <c r="AP110" s="709">
        <v>0</v>
      </c>
      <c r="AQ110" s="709">
        <v>0</v>
      </c>
      <c r="AR110" s="709">
        <v>0</v>
      </c>
      <c r="AS110" s="709">
        <v>0</v>
      </c>
    </row>
    <row r="111" spans="1:45">
      <c r="A111" s="708" t="s">
        <v>1155</v>
      </c>
      <c r="B111" s="709">
        <v>0</v>
      </c>
      <c r="C111" s="709">
        <v>0</v>
      </c>
      <c r="D111" s="709">
        <v>0</v>
      </c>
      <c r="E111" s="709">
        <v>0</v>
      </c>
      <c r="F111" s="709">
        <v>0</v>
      </c>
      <c r="G111" s="709">
        <v>0</v>
      </c>
      <c r="H111" s="709">
        <v>0</v>
      </c>
      <c r="I111" s="709">
        <v>0</v>
      </c>
      <c r="J111" s="709">
        <v>0</v>
      </c>
      <c r="K111" s="709">
        <v>0</v>
      </c>
      <c r="L111" s="709">
        <v>0</v>
      </c>
      <c r="M111" s="709">
        <v>0</v>
      </c>
      <c r="N111" s="709">
        <v>0</v>
      </c>
      <c r="O111" s="709">
        <v>0</v>
      </c>
      <c r="P111" s="709">
        <v>0</v>
      </c>
      <c r="Q111" s="709">
        <v>0</v>
      </c>
      <c r="R111" s="709">
        <v>0</v>
      </c>
      <c r="S111" s="709">
        <v>0</v>
      </c>
      <c r="T111" s="709">
        <v>0</v>
      </c>
      <c r="U111" s="709">
        <v>0</v>
      </c>
      <c r="V111" s="709">
        <v>0</v>
      </c>
      <c r="W111" s="709">
        <v>0</v>
      </c>
      <c r="X111" s="709">
        <v>0</v>
      </c>
      <c r="Y111" s="709">
        <v>0</v>
      </c>
      <c r="Z111" s="709">
        <v>0</v>
      </c>
      <c r="AA111" s="709">
        <v>0</v>
      </c>
      <c r="AB111" s="709">
        <v>0</v>
      </c>
      <c r="AC111" s="709">
        <v>0</v>
      </c>
      <c r="AD111" s="709">
        <v>0</v>
      </c>
      <c r="AE111" s="709">
        <v>0</v>
      </c>
      <c r="AF111" s="709">
        <v>0</v>
      </c>
      <c r="AG111" s="709">
        <v>0</v>
      </c>
      <c r="AH111" s="709">
        <v>0</v>
      </c>
      <c r="AI111" s="709">
        <v>0</v>
      </c>
      <c r="AJ111" s="709">
        <v>0</v>
      </c>
      <c r="AK111" s="709">
        <v>0</v>
      </c>
      <c r="AL111" s="709">
        <v>0</v>
      </c>
      <c r="AM111" s="709">
        <v>0</v>
      </c>
      <c r="AN111" s="709">
        <v>0</v>
      </c>
      <c r="AO111" s="709">
        <v>0</v>
      </c>
      <c r="AP111" s="709">
        <v>0</v>
      </c>
      <c r="AQ111" s="709">
        <v>0</v>
      </c>
      <c r="AR111" s="709">
        <v>0</v>
      </c>
      <c r="AS111" s="709">
        <v>0</v>
      </c>
    </row>
    <row r="112" spans="1:45">
      <c r="A112" s="708" t="s">
        <v>1156</v>
      </c>
      <c r="B112" s="709">
        <v>191</v>
      </c>
      <c r="C112" s="709">
        <v>182</v>
      </c>
      <c r="D112" s="709">
        <v>2</v>
      </c>
      <c r="E112" s="709">
        <v>180</v>
      </c>
      <c r="F112" s="709">
        <v>2</v>
      </c>
      <c r="G112" s="709">
        <v>2</v>
      </c>
      <c r="H112" s="709">
        <v>2</v>
      </c>
      <c r="I112" s="709">
        <v>2</v>
      </c>
      <c r="J112" s="709">
        <v>2</v>
      </c>
      <c r="K112" s="709">
        <v>2</v>
      </c>
      <c r="L112" s="709">
        <v>0</v>
      </c>
      <c r="M112" s="709">
        <v>9</v>
      </c>
      <c r="N112" s="709">
        <v>180</v>
      </c>
      <c r="O112" s="709">
        <v>0</v>
      </c>
      <c r="P112" s="709">
        <v>0</v>
      </c>
      <c r="Q112" s="709">
        <v>0</v>
      </c>
      <c r="R112" s="709">
        <v>0</v>
      </c>
      <c r="S112" s="709">
        <v>0</v>
      </c>
      <c r="T112" s="709">
        <v>0</v>
      </c>
      <c r="U112" s="709">
        <v>0</v>
      </c>
      <c r="V112" s="709">
        <v>0</v>
      </c>
      <c r="W112" s="709">
        <v>0</v>
      </c>
      <c r="X112" s="709">
        <v>0</v>
      </c>
      <c r="Y112" s="709">
        <v>0</v>
      </c>
      <c r="Z112" s="709">
        <v>0</v>
      </c>
      <c r="AA112" s="709">
        <v>0</v>
      </c>
      <c r="AB112" s="709">
        <v>0</v>
      </c>
      <c r="AC112" s="709">
        <v>0</v>
      </c>
      <c r="AD112" s="709">
        <v>0</v>
      </c>
      <c r="AE112" s="709">
        <v>0</v>
      </c>
      <c r="AF112" s="709">
        <v>0</v>
      </c>
      <c r="AG112" s="709">
        <v>0</v>
      </c>
      <c r="AH112" s="709">
        <v>0</v>
      </c>
      <c r="AI112" s="709">
        <v>0</v>
      </c>
      <c r="AJ112" s="709">
        <v>2</v>
      </c>
      <c r="AK112" s="709">
        <v>0</v>
      </c>
      <c r="AL112" s="709">
        <v>0</v>
      </c>
      <c r="AM112" s="709">
        <v>2</v>
      </c>
      <c r="AN112" s="709">
        <v>0</v>
      </c>
      <c r="AO112" s="709">
        <v>0</v>
      </c>
      <c r="AP112" s="709">
        <v>0</v>
      </c>
      <c r="AQ112" s="709">
        <v>0</v>
      </c>
      <c r="AR112" s="709">
        <v>0</v>
      </c>
      <c r="AS112" s="709">
        <v>0</v>
      </c>
    </row>
    <row r="113" spans="1:45">
      <c r="A113" s="708" t="s">
        <v>1157</v>
      </c>
      <c r="B113" s="709">
        <v>0</v>
      </c>
      <c r="C113" s="709">
        <v>0</v>
      </c>
      <c r="D113" s="709">
        <v>0</v>
      </c>
      <c r="E113" s="709">
        <v>0</v>
      </c>
      <c r="F113" s="709">
        <v>0</v>
      </c>
      <c r="G113" s="709">
        <v>0</v>
      </c>
      <c r="H113" s="709">
        <v>0</v>
      </c>
      <c r="I113" s="709">
        <v>0</v>
      </c>
      <c r="J113" s="709">
        <v>0</v>
      </c>
      <c r="K113" s="709">
        <v>0</v>
      </c>
      <c r="L113" s="709">
        <v>0</v>
      </c>
      <c r="M113" s="709">
        <v>0</v>
      </c>
      <c r="N113" s="709">
        <v>0</v>
      </c>
      <c r="O113" s="709">
        <v>0</v>
      </c>
      <c r="P113" s="709">
        <v>0</v>
      </c>
      <c r="Q113" s="709">
        <v>0</v>
      </c>
      <c r="R113" s="709">
        <v>0</v>
      </c>
      <c r="S113" s="709">
        <v>0</v>
      </c>
      <c r="T113" s="709">
        <v>0</v>
      </c>
      <c r="U113" s="709">
        <v>0</v>
      </c>
      <c r="V113" s="709">
        <v>0</v>
      </c>
      <c r="W113" s="709">
        <v>0</v>
      </c>
      <c r="X113" s="709">
        <v>0</v>
      </c>
      <c r="Y113" s="709">
        <v>0</v>
      </c>
      <c r="Z113" s="709">
        <v>0</v>
      </c>
      <c r="AA113" s="709">
        <v>0</v>
      </c>
      <c r="AB113" s="709">
        <v>0</v>
      </c>
      <c r="AC113" s="709">
        <v>0</v>
      </c>
      <c r="AD113" s="709">
        <v>0</v>
      </c>
      <c r="AE113" s="709">
        <v>0</v>
      </c>
      <c r="AF113" s="709">
        <v>0</v>
      </c>
      <c r="AG113" s="709">
        <v>0</v>
      </c>
      <c r="AH113" s="709">
        <v>0</v>
      </c>
      <c r="AI113" s="709">
        <v>0</v>
      </c>
      <c r="AJ113" s="709">
        <v>0</v>
      </c>
      <c r="AK113" s="709">
        <v>0</v>
      </c>
      <c r="AL113" s="709">
        <v>0</v>
      </c>
      <c r="AM113" s="709">
        <v>0</v>
      </c>
      <c r="AN113" s="709">
        <v>0</v>
      </c>
      <c r="AO113" s="709">
        <v>0</v>
      </c>
      <c r="AP113" s="709">
        <v>0</v>
      </c>
      <c r="AQ113" s="709">
        <v>0</v>
      </c>
      <c r="AR113" s="709">
        <v>0</v>
      </c>
      <c r="AS113" s="709">
        <v>0</v>
      </c>
    </row>
    <row r="114" spans="1:45">
      <c r="A114" s="708" t="s">
        <v>1158</v>
      </c>
      <c r="B114" s="709">
        <v>7580</v>
      </c>
      <c r="C114" s="709">
        <v>5077</v>
      </c>
      <c r="D114" s="709">
        <v>5077</v>
      </c>
      <c r="E114" s="709">
        <v>0</v>
      </c>
      <c r="F114" s="709">
        <v>5077</v>
      </c>
      <c r="G114" s="709">
        <v>5077</v>
      </c>
      <c r="H114" s="709">
        <v>5077</v>
      </c>
      <c r="I114" s="709">
        <v>5077</v>
      </c>
      <c r="J114" s="709">
        <v>5077</v>
      </c>
      <c r="K114" s="709">
        <v>5077</v>
      </c>
      <c r="L114" s="709">
        <v>0</v>
      </c>
      <c r="M114" s="709">
        <v>2503</v>
      </c>
      <c r="N114" s="709">
        <v>0</v>
      </c>
      <c r="O114" s="709">
        <v>0</v>
      </c>
      <c r="P114" s="709">
        <v>5063</v>
      </c>
      <c r="Q114" s="709">
        <v>0</v>
      </c>
      <c r="R114" s="709">
        <v>0</v>
      </c>
      <c r="S114" s="709">
        <v>14</v>
      </c>
      <c r="T114" s="709">
        <v>0</v>
      </c>
      <c r="U114" s="709">
        <v>0</v>
      </c>
      <c r="V114" s="709">
        <v>0</v>
      </c>
      <c r="W114" s="709">
        <v>0</v>
      </c>
      <c r="X114" s="709">
        <v>0</v>
      </c>
      <c r="Y114" s="709">
        <v>0</v>
      </c>
      <c r="Z114" s="709">
        <v>0</v>
      </c>
      <c r="AA114" s="709">
        <v>0</v>
      </c>
      <c r="AB114" s="709">
        <v>0</v>
      </c>
      <c r="AC114" s="709">
        <v>0</v>
      </c>
      <c r="AD114" s="709">
        <v>0</v>
      </c>
      <c r="AE114" s="709">
        <v>0</v>
      </c>
      <c r="AF114" s="709">
        <v>0</v>
      </c>
      <c r="AG114" s="709">
        <v>0</v>
      </c>
      <c r="AH114" s="709">
        <v>0</v>
      </c>
      <c r="AI114" s="709">
        <v>0</v>
      </c>
      <c r="AJ114" s="709">
        <v>0</v>
      </c>
      <c r="AK114" s="709">
        <v>0</v>
      </c>
      <c r="AL114" s="709">
        <v>0</v>
      </c>
      <c r="AM114" s="709">
        <v>5077</v>
      </c>
      <c r="AN114" s="709">
        <v>0</v>
      </c>
      <c r="AO114" s="709">
        <v>0</v>
      </c>
      <c r="AP114" s="709">
        <v>0</v>
      </c>
      <c r="AQ114" s="709">
        <v>0</v>
      </c>
      <c r="AR114" s="709">
        <v>0</v>
      </c>
      <c r="AS114" s="709">
        <v>0</v>
      </c>
    </row>
    <row r="115" spans="1:45">
      <c r="A115" s="708" t="s">
        <v>1159</v>
      </c>
      <c r="B115" s="709">
        <v>673</v>
      </c>
      <c r="C115" s="709">
        <v>673</v>
      </c>
      <c r="D115" s="709">
        <v>673</v>
      </c>
      <c r="E115" s="709">
        <v>0</v>
      </c>
      <c r="F115" s="709">
        <v>673</v>
      </c>
      <c r="G115" s="709">
        <v>673</v>
      </c>
      <c r="H115" s="709">
        <v>673</v>
      </c>
      <c r="I115" s="709">
        <v>673</v>
      </c>
      <c r="J115" s="709">
        <v>673</v>
      </c>
      <c r="K115" s="709">
        <v>673</v>
      </c>
      <c r="L115" s="709">
        <v>0</v>
      </c>
      <c r="M115" s="709">
        <v>0</v>
      </c>
      <c r="N115" s="709">
        <v>0</v>
      </c>
      <c r="O115" s="709">
        <v>0</v>
      </c>
      <c r="P115" s="709">
        <v>673</v>
      </c>
      <c r="Q115" s="709">
        <v>0</v>
      </c>
      <c r="R115" s="709">
        <v>0</v>
      </c>
      <c r="S115" s="709">
        <v>0</v>
      </c>
      <c r="T115" s="709">
        <v>0</v>
      </c>
      <c r="U115" s="709">
        <v>0</v>
      </c>
      <c r="V115" s="709">
        <v>0</v>
      </c>
      <c r="W115" s="709">
        <v>0</v>
      </c>
      <c r="X115" s="709">
        <v>0</v>
      </c>
      <c r="Y115" s="709">
        <v>0</v>
      </c>
      <c r="Z115" s="709">
        <v>0</v>
      </c>
      <c r="AA115" s="709">
        <v>0</v>
      </c>
      <c r="AB115" s="709">
        <v>0</v>
      </c>
      <c r="AC115" s="709">
        <v>0</v>
      </c>
      <c r="AD115" s="709">
        <v>0</v>
      </c>
      <c r="AE115" s="709">
        <v>0</v>
      </c>
      <c r="AF115" s="709">
        <v>0</v>
      </c>
      <c r="AG115" s="709">
        <v>0</v>
      </c>
      <c r="AH115" s="709">
        <v>0</v>
      </c>
      <c r="AI115" s="709">
        <v>0</v>
      </c>
      <c r="AJ115" s="709">
        <v>0</v>
      </c>
      <c r="AK115" s="709">
        <v>0</v>
      </c>
      <c r="AL115" s="709">
        <v>0</v>
      </c>
      <c r="AM115" s="709">
        <v>673</v>
      </c>
      <c r="AN115" s="709">
        <v>0</v>
      </c>
      <c r="AO115" s="709">
        <v>0</v>
      </c>
      <c r="AP115" s="709">
        <v>0</v>
      </c>
      <c r="AQ115" s="709">
        <v>0</v>
      </c>
      <c r="AR115" s="709">
        <v>0</v>
      </c>
      <c r="AS115" s="709">
        <v>0</v>
      </c>
    </row>
    <row r="116" spans="1:45">
      <c r="A116" s="708" t="s">
        <v>1160</v>
      </c>
      <c r="B116" s="709">
        <v>0</v>
      </c>
      <c r="C116" s="709">
        <v>0</v>
      </c>
      <c r="D116" s="709">
        <v>0</v>
      </c>
      <c r="E116" s="709">
        <v>0</v>
      </c>
      <c r="F116" s="709">
        <v>0</v>
      </c>
      <c r="G116" s="709">
        <v>0</v>
      </c>
      <c r="H116" s="709">
        <v>0</v>
      </c>
      <c r="I116" s="709">
        <v>0</v>
      </c>
      <c r="J116" s="709">
        <v>0</v>
      </c>
      <c r="K116" s="709">
        <v>0</v>
      </c>
      <c r="L116" s="709">
        <v>0</v>
      </c>
      <c r="M116" s="709">
        <v>0</v>
      </c>
      <c r="N116" s="709">
        <v>0</v>
      </c>
      <c r="O116" s="709">
        <v>0</v>
      </c>
      <c r="P116" s="709">
        <v>0</v>
      </c>
      <c r="Q116" s="709">
        <v>0</v>
      </c>
      <c r="R116" s="709">
        <v>0</v>
      </c>
      <c r="S116" s="709">
        <v>0</v>
      </c>
      <c r="T116" s="709">
        <v>0</v>
      </c>
      <c r="U116" s="709">
        <v>0</v>
      </c>
      <c r="V116" s="709">
        <v>0</v>
      </c>
      <c r="W116" s="709">
        <v>0</v>
      </c>
      <c r="X116" s="709">
        <v>0</v>
      </c>
      <c r="Y116" s="709">
        <v>0</v>
      </c>
      <c r="Z116" s="709">
        <v>0</v>
      </c>
      <c r="AA116" s="709">
        <v>0</v>
      </c>
      <c r="AB116" s="709">
        <v>0</v>
      </c>
      <c r="AC116" s="709">
        <v>0</v>
      </c>
      <c r="AD116" s="709">
        <v>0</v>
      </c>
      <c r="AE116" s="709">
        <v>0</v>
      </c>
      <c r="AF116" s="709">
        <v>0</v>
      </c>
      <c r="AG116" s="709">
        <v>0</v>
      </c>
      <c r="AH116" s="709">
        <v>0</v>
      </c>
      <c r="AI116" s="709">
        <v>0</v>
      </c>
      <c r="AJ116" s="709">
        <v>0</v>
      </c>
      <c r="AK116" s="709">
        <v>0</v>
      </c>
      <c r="AL116" s="709">
        <v>0</v>
      </c>
      <c r="AM116" s="709">
        <v>0</v>
      </c>
      <c r="AN116" s="709">
        <v>0</v>
      </c>
      <c r="AO116" s="709">
        <v>0</v>
      </c>
      <c r="AP116" s="709">
        <v>0</v>
      </c>
      <c r="AQ116" s="709">
        <v>0</v>
      </c>
      <c r="AR116" s="709">
        <v>0</v>
      </c>
      <c r="AS116" s="709">
        <v>0</v>
      </c>
    </row>
    <row r="117" spans="1:45">
      <c r="A117" s="708" t="s">
        <v>1161</v>
      </c>
      <c r="B117" s="709">
        <v>6</v>
      </c>
      <c r="C117" s="709">
        <v>6</v>
      </c>
      <c r="D117" s="709">
        <v>0</v>
      </c>
      <c r="E117" s="709">
        <v>6</v>
      </c>
      <c r="F117" s="709">
        <v>0</v>
      </c>
      <c r="G117" s="709">
        <v>0</v>
      </c>
      <c r="H117" s="709">
        <v>0</v>
      </c>
      <c r="I117" s="709">
        <v>0</v>
      </c>
      <c r="J117" s="709">
        <v>0</v>
      </c>
      <c r="K117" s="709">
        <v>0</v>
      </c>
      <c r="L117" s="709">
        <v>0</v>
      </c>
      <c r="M117" s="709">
        <v>0</v>
      </c>
      <c r="N117" s="709">
        <v>0</v>
      </c>
      <c r="O117" s="709">
        <v>0</v>
      </c>
      <c r="P117" s="709">
        <v>0</v>
      </c>
      <c r="Q117" s="709">
        <v>0</v>
      </c>
      <c r="R117" s="709">
        <v>0</v>
      </c>
      <c r="S117" s="709">
        <v>0</v>
      </c>
      <c r="T117" s="709">
        <v>0</v>
      </c>
      <c r="U117" s="709">
        <v>0</v>
      </c>
      <c r="V117" s="709">
        <v>0</v>
      </c>
      <c r="W117" s="709">
        <v>0</v>
      </c>
      <c r="X117" s="709">
        <v>0</v>
      </c>
      <c r="Y117" s="709">
        <v>6</v>
      </c>
      <c r="Z117" s="709">
        <v>0</v>
      </c>
      <c r="AA117" s="709">
        <v>0</v>
      </c>
      <c r="AB117" s="709">
        <v>0</v>
      </c>
      <c r="AC117" s="709">
        <v>0</v>
      </c>
      <c r="AD117" s="709">
        <v>0</v>
      </c>
      <c r="AE117" s="709">
        <v>0</v>
      </c>
      <c r="AF117" s="709">
        <v>0</v>
      </c>
      <c r="AG117" s="709">
        <v>0</v>
      </c>
      <c r="AH117" s="709">
        <v>0</v>
      </c>
      <c r="AI117" s="709">
        <v>0</v>
      </c>
      <c r="AJ117" s="709">
        <v>0</v>
      </c>
      <c r="AK117" s="709">
        <v>0</v>
      </c>
      <c r="AL117" s="709">
        <v>0</v>
      </c>
      <c r="AM117" s="709">
        <v>0</v>
      </c>
      <c r="AN117" s="709">
        <v>0</v>
      </c>
      <c r="AO117" s="709">
        <v>0</v>
      </c>
      <c r="AP117" s="709">
        <v>0</v>
      </c>
      <c r="AQ117" s="709">
        <v>0</v>
      </c>
      <c r="AR117" s="709">
        <v>0</v>
      </c>
      <c r="AS117" s="709">
        <v>0</v>
      </c>
    </row>
    <row r="118" spans="1:45">
      <c r="A118" s="708" t="s">
        <v>1162</v>
      </c>
      <c r="B118" s="709">
        <v>1250</v>
      </c>
      <c r="C118" s="709">
        <v>1250</v>
      </c>
      <c r="D118" s="709">
        <v>0</v>
      </c>
      <c r="E118" s="709">
        <v>1250</v>
      </c>
      <c r="F118" s="709">
        <v>0</v>
      </c>
      <c r="G118" s="709">
        <v>1250</v>
      </c>
      <c r="H118" s="709">
        <v>0</v>
      </c>
      <c r="I118" s="709">
        <v>0</v>
      </c>
      <c r="J118" s="709">
        <v>0</v>
      </c>
      <c r="K118" s="709">
        <v>0</v>
      </c>
      <c r="L118" s="709">
        <v>0</v>
      </c>
      <c r="M118" s="709">
        <v>0</v>
      </c>
      <c r="N118" s="709">
        <v>0</v>
      </c>
      <c r="O118" s="709">
        <v>0</v>
      </c>
      <c r="P118" s="709">
        <v>0</v>
      </c>
      <c r="Q118" s="709">
        <v>1250</v>
      </c>
      <c r="R118" s="709">
        <v>0</v>
      </c>
      <c r="S118" s="709">
        <v>0</v>
      </c>
      <c r="T118" s="709">
        <v>0</v>
      </c>
      <c r="U118" s="709">
        <v>0</v>
      </c>
      <c r="V118" s="709">
        <v>0</v>
      </c>
      <c r="W118" s="709">
        <v>0</v>
      </c>
      <c r="X118" s="709">
        <v>0</v>
      </c>
      <c r="Y118" s="709">
        <v>0</v>
      </c>
      <c r="Z118" s="709">
        <v>0</v>
      </c>
      <c r="AA118" s="709">
        <v>0</v>
      </c>
      <c r="AB118" s="709">
        <v>0</v>
      </c>
      <c r="AC118" s="709">
        <v>0</v>
      </c>
      <c r="AD118" s="709">
        <v>0</v>
      </c>
      <c r="AE118" s="709">
        <v>0</v>
      </c>
      <c r="AF118" s="709">
        <v>0</v>
      </c>
      <c r="AG118" s="709">
        <v>0</v>
      </c>
      <c r="AH118" s="709">
        <v>0</v>
      </c>
      <c r="AI118" s="709">
        <v>0</v>
      </c>
      <c r="AJ118" s="709">
        <v>0</v>
      </c>
      <c r="AK118" s="709">
        <v>0</v>
      </c>
      <c r="AL118" s="709">
        <v>0</v>
      </c>
      <c r="AM118" s="709">
        <v>0</v>
      </c>
      <c r="AN118" s="709">
        <v>0</v>
      </c>
      <c r="AO118" s="709">
        <v>0</v>
      </c>
      <c r="AP118" s="709">
        <v>0</v>
      </c>
      <c r="AQ118" s="709">
        <v>0</v>
      </c>
      <c r="AR118" s="709">
        <v>0</v>
      </c>
      <c r="AS118" s="709">
        <v>0</v>
      </c>
    </row>
    <row r="119" spans="1:45">
      <c r="A119" s="708" t="s">
        <v>1163</v>
      </c>
      <c r="B119" s="709">
        <v>181</v>
      </c>
      <c r="C119" s="709">
        <v>181</v>
      </c>
      <c r="D119" s="709">
        <v>106</v>
      </c>
      <c r="E119" s="709">
        <v>75</v>
      </c>
      <c r="F119" s="709">
        <v>0</v>
      </c>
      <c r="G119" s="709">
        <v>75</v>
      </c>
      <c r="H119" s="709">
        <v>0</v>
      </c>
      <c r="I119" s="709">
        <v>0</v>
      </c>
      <c r="J119" s="709">
        <v>0</v>
      </c>
      <c r="K119" s="709">
        <v>0</v>
      </c>
      <c r="L119" s="709">
        <v>0</v>
      </c>
      <c r="M119" s="709">
        <v>0</v>
      </c>
      <c r="N119" s="709">
        <v>0</v>
      </c>
      <c r="O119" s="709">
        <v>0</v>
      </c>
      <c r="P119" s="709">
        <v>0</v>
      </c>
      <c r="Q119" s="709">
        <v>75</v>
      </c>
      <c r="R119" s="709">
        <v>0</v>
      </c>
      <c r="S119" s="709">
        <v>0</v>
      </c>
      <c r="T119" s="709">
        <v>0</v>
      </c>
      <c r="U119" s="709">
        <v>0</v>
      </c>
      <c r="V119" s="709">
        <v>0</v>
      </c>
      <c r="W119" s="709">
        <v>0</v>
      </c>
      <c r="X119" s="709">
        <v>0</v>
      </c>
      <c r="Y119" s="709">
        <v>0</v>
      </c>
      <c r="Z119" s="709">
        <v>0</v>
      </c>
      <c r="AA119" s="709">
        <v>0</v>
      </c>
      <c r="AB119" s="709">
        <v>0</v>
      </c>
      <c r="AC119" s="709">
        <v>0</v>
      </c>
      <c r="AD119" s="709">
        <v>0</v>
      </c>
      <c r="AE119" s="709">
        <v>0</v>
      </c>
      <c r="AF119" s="709">
        <v>0</v>
      </c>
      <c r="AG119" s="709">
        <v>0</v>
      </c>
      <c r="AH119" s="709">
        <v>0</v>
      </c>
      <c r="AI119" s="709">
        <v>0</v>
      </c>
      <c r="AJ119" s="709">
        <v>0</v>
      </c>
      <c r="AK119" s="709">
        <v>106</v>
      </c>
      <c r="AL119" s="709">
        <v>0</v>
      </c>
      <c r="AM119" s="709">
        <v>106</v>
      </c>
      <c r="AN119" s="709">
        <v>0</v>
      </c>
      <c r="AO119" s="709">
        <v>0</v>
      </c>
      <c r="AP119" s="709">
        <v>0</v>
      </c>
      <c r="AQ119" s="709">
        <v>30</v>
      </c>
      <c r="AR119" s="709">
        <v>0</v>
      </c>
      <c r="AS119" s="709">
        <v>0</v>
      </c>
    </row>
    <row r="120" spans="1:45">
      <c r="A120" s="708" t="s">
        <v>1164</v>
      </c>
      <c r="B120" s="709">
        <v>62</v>
      </c>
      <c r="C120" s="709">
        <v>62</v>
      </c>
      <c r="D120" s="709">
        <v>0</v>
      </c>
      <c r="E120" s="709">
        <v>62</v>
      </c>
      <c r="F120" s="709">
        <v>0</v>
      </c>
      <c r="G120" s="709">
        <v>58</v>
      </c>
      <c r="H120" s="709">
        <v>0</v>
      </c>
      <c r="I120" s="709">
        <v>0</v>
      </c>
      <c r="J120" s="709">
        <v>0</v>
      </c>
      <c r="K120" s="709">
        <v>0</v>
      </c>
      <c r="L120" s="709">
        <v>0</v>
      </c>
      <c r="M120" s="709">
        <v>0</v>
      </c>
      <c r="N120" s="709">
        <v>4</v>
      </c>
      <c r="O120" s="709">
        <v>0</v>
      </c>
      <c r="P120" s="709">
        <v>0</v>
      </c>
      <c r="Q120" s="709">
        <v>58</v>
      </c>
      <c r="R120" s="709">
        <v>0</v>
      </c>
      <c r="S120" s="709">
        <v>0</v>
      </c>
      <c r="T120" s="709">
        <v>0</v>
      </c>
      <c r="U120" s="709">
        <v>0</v>
      </c>
      <c r="V120" s="709">
        <v>0</v>
      </c>
      <c r="W120" s="709">
        <v>0</v>
      </c>
      <c r="X120" s="709">
        <v>0</v>
      </c>
      <c r="Y120" s="709">
        <v>0</v>
      </c>
      <c r="Z120" s="709">
        <v>0</v>
      </c>
      <c r="AA120" s="709">
        <v>0</v>
      </c>
      <c r="AB120" s="709">
        <v>0</v>
      </c>
      <c r="AC120" s="709">
        <v>0</v>
      </c>
      <c r="AD120" s="709">
        <v>0</v>
      </c>
      <c r="AE120" s="709">
        <v>0</v>
      </c>
      <c r="AF120" s="709">
        <v>0</v>
      </c>
      <c r="AG120" s="709">
        <v>0</v>
      </c>
      <c r="AH120" s="709">
        <v>0</v>
      </c>
      <c r="AI120" s="709">
        <v>0</v>
      </c>
      <c r="AJ120" s="709">
        <v>0</v>
      </c>
      <c r="AK120" s="709">
        <v>0</v>
      </c>
      <c r="AL120" s="709">
        <v>0</v>
      </c>
      <c r="AM120" s="709">
        <v>0</v>
      </c>
      <c r="AN120" s="709">
        <v>0</v>
      </c>
      <c r="AO120" s="709">
        <v>0</v>
      </c>
      <c r="AP120" s="709">
        <v>0</v>
      </c>
      <c r="AQ120" s="709">
        <v>0</v>
      </c>
      <c r="AR120" s="709">
        <v>0</v>
      </c>
      <c r="AS120" s="709">
        <v>0</v>
      </c>
    </row>
    <row r="121" spans="1:45">
      <c r="A121" s="708" t="s">
        <v>1165</v>
      </c>
      <c r="B121" s="709">
        <v>0</v>
      </c>
      <c r="C121" s="709">
        <v>0</v>
      </c>
      <c r="D121" s="709">
        <v>0</v>
      </c>
      <c r="E121" s="709">
        <v>0</v>
      </c>
      <c r="F121" s="709">
        <v>0</v>
      </c>
      <c r="G121" s="709">
        <v>0</v>
      </c>
      <c r="H121" s="709">
        <v>0</v>
      </c>
      <c r="I121" s="709">
        <v>0</v>
      </c>
      <c r="J121" s="709">
        <v>0</v>
      </c>
      <c r="K121" s="709">
        <v>0</v>
      </c>
      <c r="L121" s="709">
        <v>0</v>
      </c>
      <c r="M121" s="709">
        <v>0</v>
      </c>
      <c r="N121" s="709">
        <v>0</v>
      </c>
      <c r="O121" s="709">
        <v>0</v>
      </c>
      <c r="P121" s="709">
        <v>0</v>
      </c>
      <c r="Q121" s="709">
        <v>0</v>
      </c>
      <c r="R121" s="709">
        <v>0</v>
      </c>
      <c r="S121" s="709">
        <v>0</v>
      </c>
      <c r="T121" s="709">
        <v>0</v>
      </c>
      <c r="U121" s="709">
        <v>0</v>
      </c>
      <c r="V121" s="709">
        <v>0</v>
      </c>
      <c r="W121" s="709">
        <v>0</v>
      </c>
      <c r="X121" s="709">
        <v>0</v>
      </c>
      <c r="Y121" s="709">
        <v>0</v>
      </c>
      <c r="Z121" s="709">
        <v>0</v>
      </c>
      <c r="AA121" s="709">
        <v>0</v>
      </c>
      <c r="AB121" s="709">
        <v>0</v>
      </c>
      <c r="AC121" s="709">
        <v>0</v>
      </c>
      <c r="AD121" s="709">
        <v>0</v>
      </c>
      <c r="AE121" s="709">
        <v>0</v>
      </c>
      <c r="AF121" s="709">
        <v>0</v>
      </c>
      <c r="AG121" s="709">
        <v>0</v>
      </c>
      <c r="AH121" s="709">
        <v>0</v>
      </c>
      <c r="AI121" s="709">
        <v>0</v>
      </c>
      <c r="AJ121" s="709">
        <v>0</v>
      </c>
      <c r="AK121" s="709">
        <v>0</v>
      </c>
      <c r="AL121" s="709">
        <v>0</v>
      </c>
      <c r="AM121" s="709">
        <v>0</v>
      </c>
      <c r="AN121" s="709">
        <v>0</v>
      </c>
      <c r="AO121" s="709">
        <v>0</v>
      </c>
      <c r="AP121" s="709">
        <v>0</v>
      </c>
      <c r="AQ121" s="709">
        <v>0</v>
      </c>
      <c r="AR121" s="709">
        <v>0</v>
      </c>
      <c r="AS121" s="709">
        <v>0</v>
      </c>
    </row>
    <row r="122" spans="1:45">
      <c r="A122" s="708" t="s">
        <v>1166</v>
      </c>
      <c r="B122" s="709">
        <v>7262</v>
      </c>
      <c r="C122" s="709">
        <v>7203</v>
      </c>
      <c r="D122" s="709">
        <v>2162</v>
      </c>
      <c r="E122" s="709">
        <v>5041</v>
      </c>
      <c r="F122" s="709">
        <v>1584</v>
      </c>
      <c r="G122" s="709">
        <v>1584</v>
      </c>
      <c r="H122" s="709">
        <v>1584</v>
      </c>
      <c r="I122" s="709">
        <v>1584</v>
      </c>
      <c r="J122" s="709">
        <v>1584</v>
      </c>
      <c r="K122" s="709">
        <v>1584</v>
      </c>
      <c r="L122" s="709">
        <v>0</v>
      </c>
      <c r="M122" s="709">
        <v>0</v>
      </c>
      <c r="N122" s="709">
        <v>2651</v>
      </c>
      <c r="O122" s="709">
        <v>0</v>
      </c>
      <c r="P122" s="709">
        <v>0</v>
      </c>
      <c r="Q122" s="709">
        <v>0</v>
      </c>
      <c r="R122" s="709">
        <v>0</v>
      </c>
      <c r="S122" s="709">
        <v>0</v>
      </c>
      <c r="T122" s="709">
        <v>0</v>
      </c>
      <c r="U122" s="709">
        <v>0</v>
      </c>
      <c r="V122" s="709">
        <v>1584</v>
      </c>
      <c r="W122" s="709">
        <v>0</v>
      </c>
      <c r="X122" s="709">
        <v>0</v>
      </c>
      <c r="Y122" s="709">
        <v>0</v>
      </c>
      <c r="Z122" s="709">
        <v>0</v>
      </c>
      <c r="AA122" s="709">
        <v>390</v>
      </c>
      <c r="AB122" s="709">
        <v>0</v>
      </c>
      <c r="AC122" s="709">
        <v>0</v>
      </c>
      <c r="AD122" s="709">
        <v>0</v>
      </c>
      <c r="AE122" s="709">
        <v>2000</v>
      </c>
      <c r="AF122" s="709">
        <v>0</v>
      </c>
      <c r="AG122" s="709">
        <v>59</v>
      </c>
      <c r="AH122" s="709">
        <v>0</v>
      </c>
      <c r="AI122" s="709">
        <v>0</v>
      </c>
      <c r="AJ122" s="709">
        <v>0</v>
      </c>
      <c r="AK122" s="709">
        <v>578</v>
      </c>
      <c r="AL122" s="709">
        <v>0</v>
      </c>
      <c r="AM122" s="709">
        <v>2162</v>
      </c>
      <c r="AN122" s="709">
        <v>0</v>
      </c>
      <c r="AO122" s="709">
        <v>0</v>
      </c>
      <c r="AP122" s="709">
        <v>0</v>
      </c>
      <c r="AQ122" s="709">
        <v>0</v>
      </c>
      <c r="AR122" s="709">
        <v>0</v>
      </c>
      <c r="AS122" s="709">
        <v>0</v>
      </c>
    </row>
    <row r="123" spans="1:45">
      <c r="A123" s="708" t="s">
        <v>1167</v>
      </c>
      <c r="B123" s="709">
        <v>199</v>
      </c>
      <c r="C123" s="709">
        <v>199</v>
      </c>
      <c r="D123" s="709">
        <v>26</v>
      </c>
      <c r="E123" s="709">
        <v>173</v>
      </c>
      <c r="F123" s="709">
        <v>0</v>
      </c>
      <c r="G123" s="709">
        <v>0</v>
      </c>
      <c r="H123" s="709">
        <v>0</v>
      </c>
      <c r="I123" s="709">
        <v>0</v>
      </c>
      <c r="J123" s="709">
        <v>0</v>
      </c>
      <c r="K123" s="709">
        <v>0</v>
      </c>
      <c r="L123" s="709">
        <v>0</v>
      </c>
      <c r="M123" s="709">
        <v>0</v>
      </c>
      <c r="N123" s="709">
        <v>0</v>
      </c>
      <c r="O123" s="709">
        <v>0</v>
      </c>
      <c r="P123" s="709">
        <v>0</v>
      </c>
      <c r="Q123" s="709">
        <v>0</v>
      </c>
      <c r="R123" s="709">
        <v>0</v>
      </c>
      <c r="S123" s="709">
        <v>0</v>
      </c>
      <c r="T123" s="709">
        <v>0</v>
      </c>
      <c r="U123" s="709">
        <v>0</v>
      </c>
      <c r="V123" s="709">
        <v>0</v>
      </c>
      <c r="W123" s="709">
        <v>0</v>
      </c>
      <c r="X123" s="709">
        <v>0</v>
      </c>
      <c r="Y123" s="709">
        <v>0</v>
      </c>
      <c r="Z123" s="709">
        <v>0</v>
      </c>
      <c r="AA123" s="709">
        <v>173</v>
      </c>
      <c r="AB123" s="709">
        <v>0</v>
      </c>
      <c r="AC123" s="709">
        <v>0</v>
      </c>
      <c r="AD123" s="709">
        <v>0</v>
      </c>
      <c r="AE123" s="709">
        <v>0</v>
      </c>
      <c r="AF123" s="709">
        <v>0</v>
      </c>
      <c r="AG123" s="709">
        <v>0</v>
      </c>
      <c r="AH123" s="709">
        <v>0</v>
      </c>
      <c r="AI123" s="709">
        <v>0</v>
      </c>
      <c r="AJ123" s="709">
        <v>0</v>
      </c>
      <c r="AK123" s="709">
        <v>26</v>
      </c>
      <c r="AL123" s="709">
        <v>0</v>
      </c>
      <c r="AM123" s="709">
        <v>26</v>
      </c>
      <c r="AN123" s="709">
        <v>0</v>
      </c>
      <c r="AO123" s="709">
        <v>0</v>
      </c>
      <c r="AP123" s="709">
        <v>0</v>
      </c>
      <c r="AQ123" s="709">
        <v>0</v>
      </c>
      <c r="AR123" s="709">
        <v>0</v>
      </c>
      <c r="AS123" s="709">
        <v>0</v>
      </c>
    </row>
    <row r="124" spans="1:45">
      <c r="A124" s="708" t="s">
        <v>1168</v>
      </c>
      <c r="B124" s="709">
        <v>2600</v>
      </c>
      <c r="C124" s="709">
        <v>2589</v>
      </c>
      <c r="D124" s="709">
        <v>286</v>
      </c>
      <c r="E124" s="709">
        <v>2303</v>
      </c>
      <c r="F124" s="709">
        <v>286</v>
      </c>
      <c r="G124" s="709">
        <v>324</v>
      </c>
      <c r="H124" s="709">
        <v>324</v>
      </c>
      <c r="I124" s="709">
        <v>286</v>
      </c>
      <c r="J124" s="709">
        <v>286</v>
      </c>
      <c r="K124" s="709">
        <v>286</v>
      </c>
      <c r="L124" s="709">
        <v>0</v>
      </c>
      <c r="M124" s="709">
        <v>11</v>
      </c>
      <c r="N124" s="709">
        <v>98</v>
      </c>
      <c r="O124" s="709">
        <v>0</v>
      </c>
      <c r="P124" s="709">
        <v>0</v>
      </c>
      <c r="Q124" s="709">
        <v>0</v>
      </c>
      <c r="R124" s="709">
        <v>0</v>
      </c>
      <c r="S124" s="709">
        <v>0</v>
      </c>
      <c r="T124" s="709">
        <v>0</v>
      </c>
      <c r="U124" s="709">
        <v>209</v>
      </c>
      <c r="V124" s="709">
        <v>1</v>
      </c>
      <c r="W124" s="709">
        <v>0</v>
      </c>
      <c r="X124" s="709">
        <v>0</v>
      </c>
      <c r="Y124" s="709">
        <v>0</v>
      </c>
      <c r="Z124" s="709">
        <v>0</v>
      </c>
      <c r="AA124" s="709">
        <v>0</v>
      </c>
      <c r="AB124" s="709">
        <v>0</v>
      </c>
      <c r="AC124" s="709">
        <v>0</v>
      </c>
      <c r="AD124" s="709">
        <v>65</v>
      </c>
      <c r="AE124" s="709">
        <v>2167</v>
      </c>
      <c r="AF124" s="709">
        <v>0</v>
      </c>
      <c r="AG124" s="709">
        <v>0</v>
      </c>
      <c r="AH124" s="709">
        <v>0</v>
      </c>
      <c r="AI124" s="709">
        <v>38</v>
      </c>
      <c r="AJ124" s="709">
        <v>11</v>
      </c>
      <c r="AK124" s="709">
        <v>0</v>
      </c>
      <c r="AL124" s="709">
        <v>0</v>
      </c>
      <c r="AM124" s="709">
        <v>286</v>
      </c>
      <c r="AN124" s="709">
        <v>0</v>
      </c>
      <c r="AO124" s="709">
        <v>0</v>
      </c>
      <c r="AP124" s="709">
        <v>0</v>
      </c>
      <c r="AQ124" s="709">
        <v>0</v>
      </c>
      <c r="AR124" s="709">
        <v>0</v>
      </c>
      <c r="AS124" s="709">
        <v>0</v>
      </c>
    </row>
    <row r="125" spans="1:45">
      <c r="A125" s="708" t="s">
        <v>1169</v>
      </c>
      <c r="B125" s="709">
        <v>2171</v>
      </c>
      <c r="C125" s="709">
        <v>2171</v>
      </c>
      <c r="D125" s="709">
        <v>1054</v>
      </c>
      <c r="E125" s="709">
        <v>1117</v>
      </c>
      <c r="F125" s="709">
        <v>182</v>
      </c>
      <c r="G125" s="709">
        <v>182</v>
      </c>
      <c r="H125" s="709">
        <v>182</v>
      </c>
      <c r="I125" s="709">
        <v>182</v>
      </c>
      <c r="J125" s="709">
        <v>182</v>
      </c>
      <c r="K125" s="709">
        <v>182</v>
      </c>
      <c r="L125" s="709">
        <v>0</v>
      </c>
      <c r="M125" s="709">
        <v>0</v>
      </c>
      <c r="N125" s="709">
        <v>0</v>
      </c>
      <c r="O125" s="709">
        <v>0</v>
      </c>
      <c r="P125" s="709">
        <v>0</v>
      </c>
      <c r="Q125" s="709">
        <v>0</v>
      </c>
      <c r="R125" s="709">
        <v>0</v>
      </c>
      <c r="S125" s="709">
        <v>0</v>
      </c>
      <c r="T125" s="709">
        <v>0</v>
      </c>
      <c r="U125" s="709">
        <v>0</v>
      </c>
      <c r="V125" s="709">
        <v>0</v>
      </c>
      <c r="W125" s="709">
        <v>0</v>
      </c>
      <c r="X125" s="709">
        <v>0</v>
      </c>
      <c r="Y125" s="709">
        <v>0</v>
      </c>
      <c r="Z125" s="709">
        <v>0</v>
      </c>
      <c r="AA125" s="709">
        <v>0</v>
      </c>
      <c r="AB125" s="709">
        <v>0</v>
      </c>
      <c r="AC125" s="709">
        <v>0</v>
      </c>
      <c r="AD125" s="709">
        <v>0</v>
      </c>
      <c r="AE125" s="709">
        <v>1117</v>
      </c>
      <c r="AF125" s="709">
        <v>0</v>
      </c>
      <c r="AG125" s="709">
        <v>0</v>
      </c>
      <c r="AH125" s="709">
        <v>0</v>
      </c>
      <c r="AI125" s="709">
        <v>0</v>
      </c>
      <c r="AJ125" s="709">
        <v>182</v>
      </c>
      <c r="AK125" s="709">
        <v>0</v>
      </c>
      <c r="AL125" s="709">
        <v>872</v>
      </c>
      <c r="AM125" s="709">
        <v>1054</v>
      </c>
      <c r="AN125" s="709">
        <v>0</v>
      </c>
      <c r="AO125" s="709">
        <v>0</v>
      </c>
      <c r="AP125" s="709">
        <v>0</v>
      </c>
      <c r="AQ125" s="709">
        <v>0</v>
      </c>
      <c r="AR125" s="709">
        <v>0</v>
      </c>
      <c r="AS125" s="709">
        <v>0</v>
      </c>
    </row>
    <row r="126" spans="1:45">
      <c r="A126" s="708" t="s">
        <v>1170</v>
      </c>
      <c r="B126" s="709">
        <v>10020</v>
      </c>
      <c r="C126" s="709">
        <v>9673</v>
      </c>
      <c r="D126" s="709">
        <v>6746</v>
      </c>
      <c r="E126" s="709">
        <v>2927</v>
      </c>
      <c r="F126" s="709">
        <v>2425</v>
      </c>
      <c r="G126" s="709">
        <v>2425</v>
      </c>
      <c r="H126" s="709">
        <v>2425</v>
      </c>
      <c r="I126" s="709">
        <v>2425</v>
      </c>
      <c r="J126" s="709">
        <v>2425</v>
      </c>
      <c r="K126" s="709">
        <v>2425</v>
      </c>
      <c r="L126" s="709">
        <v>0</v>
      </c>
      <c r="M126" s="709">
        <v>0</v>
      </c>
      <c r="N126" s="709">
        <v>1555</v>
      </c>
      <c r="O126" s="709">
        <v>0</v>
      </c>
      <c r="P126" s="709">
        <v>130</v>
      </c>
      <c r="Q126" s="709">
        <v>0</v>
      </c>
      <c r="R126" s="709">
        <v>0</v>
      </c>
      <c r="S126" s="709">
        <v>0</v>
      </c>
      <c r="T126" s="709">
        <v>0</v>
      </c>
      <c r="U126" s="709">
        <v>0</v>
      </c>
      <c r="V126" s="709">
        <v>812</v>
      </c>
      <c r="W126" s="709">
        <v>0</v>
      </c>
      <c r="X126" s="709">
        <v>0</v>
      </c>
      <c r="Y126" s="709">
        <v>0</v>
      </c>
      <c r="Z126" s="709">
        <v>0</v>
      </c>
      <c r="AA126" s="709">
        <v>1372</v>
      </c>
      <c r="AB126" s="709">
        <v>0</v>
      </c>
      <c r="AC126" s="709">
        <v>1483</v>
      </c>
      <c r="AD126" s="709">
        <v>0</v>
      </c>
      <c r="AE126" s="709">
        <v>0</v>
      </c>
      <c r="AF126" s="709">
        <v>0</v>
      </c>
      <c r="AG126" s="709">
        <v>347</v>
      </c>
      <c r="AH126" s="709">
        <v>0</v>
      </c>
      <c r="AI126" s="709">
        <v>0</v>
      </c>
      <c r="AJ126" s="709">
        <v>0</v>
      </c>
      <c r="AK126" s="709">
        <v>4321</v>
      </c>
      <c r="AL126" s="709">
        <v>0</v>
      </c>
      <c r="AM126" s="709">
        <v>6746</v>
      </c>
      <c r="AN126" s="709">
        <v>0</v>
      </c>
      <c r="AO126" s="709">
        <v>0</v>
      </c>
      <c r="AP126" s="709">
        <v>0</v>
      </c>
      <c r="AQ126" s="709">
        <v>0</v>
      </c>
      <c r="AR126" s="709">
        <v>0</v>
      </c>
      <c r="AS126" s="709">
        <v>0</v>
      </c>
    </row>
    <row r="127" spans="1:45">
      <c r="A127" s="708" t="s">
        <v>1171</v>
      </c>
      <c r="B127" s="709">
        <v>1122</v>
      </c>
      <c r="C127" s="709">
        <v>1122</v>
      </c>
      <c r="D127" s="709">
        <v>0</v>
      </c>
      <c r="E127" s="709">
        <v>1122</v>
      </c>
      <c r="F127" s="709">
        <v>0</v>
      </c>
      <c r="G127" s="709">
        <v>0</v>
      </c>
      <c r="H127" s="709">
        <v>0</v>
      </c>
      <c r="I127" s="709">
        <v>0</v>
      </c>
      <c r="J127" s="709">
        <v>0</v>
      </c>
      <c r="K127" s="709">
        <v>0</v>
      </c>
      <c r="L127" s="709">
        <v>0</v>
      </c>
      <c r="M127" s="709">
        <v>0</v>
      </c>
      <c r="N127" s="709">
        <v>0</v>
      </c>
      <c r="O127" s="709">
        <v>0</v>
      </c>
      <c r="P127" s="709">
        <v>0</v>
      </c>
      <c r="Q127" s="709">
        <v>0</v>
      </c>
      <c r="R127" s="709">
        <v>0</v>
      </c>
      <c r="S127" s="709">
        <v>0</v>
      </c>
      <c r="T127" s="709">
        <v>0</v>
      </c>
      <c r="U127" s="709">
        <v>0</v>
      </c>
      <c r="V127" s="709">
        <v>0</v>
      </c>
      <c r="W127" s="709">
        <v>0</v>
      </c>
      <c r="X127" s="709">
        <v>0</v>
      </c>
      <c r="Y127" s="709">
        <v>0</v>
      </c>
      <c r="Z127" s="709">
        <v>0</v>
      </c>
      <c r="AA127" s="709">
        <v>1122</v>
      </c>
      <c r="AB127" s="709">
        <v>0</v>
      </c>
      <c r="AC127" s="709">
        <v>0</v>
      </c>
      <c r="AD127" s="709">
        <v>0</v>
      </c>
      <c r="AE127" s="709">
        <v>0</v>
      </c>
      <c r="AF127" s="709">
        <v>0</v>
      </c>
      <c r="AG127" s="709">
        <v>0</v>
      </c>
      <c r="AH127" s="709">
        <v>0</v>
      </c>
      <c r="AI127" s="709">
        <v>0</v>
      </c>
      <c r="AJ127" s="709">
        <v>0</v>
      </c>
      <c r="AK127" s="709">
        <v>0</v>
      </c>
      <c r="AL127" s="709">
        <v>0</v>
      </c>
      <c r="AM127" s="709">
        <v>25</v>
      </c>
      <c r="AN127" s="709">
        <v>0</v>
      </c>
      <c r="AO127" s="709">
        <v>25</v>
      </c>
      <c r="AP127" s="709">
        <v>0</v>
      </c>
      <c r="AQ127" s="709">
        <v>0</v>
      </c>
      <c r="AR127" s="709">
        <v>0</v>
      </c>
      <c r="AS127" s="709">
        <v>0</v>
      </c>
    </row>
    <row r="128" spans="1:45">
      <c r="A128" s="708" t="s">
        <v>1172</v>
      </c>
      <c r="B128" s="709">
        <v>9419</v>
      </c>
      <c r="C128" s="709">
        <v>9119</v>
      </c>
      <c r="D128" s="709">
        <v>7768</v>
      </c>
      <c r="E128" s="709">
        <v>1351</v>
      </c>
      <c r="F128" s="709">
        <v>7768</v>
      </c>
      <c r="G128" s="709">
        <v>7827</v>
      </c>
      <c r="H128" s="709">
        <v>7827</v>
      </c>
      <c r="I128" s="709">
        <v>7768</v>
      </c>
      <c r="J128" s="709">
        <v>7768</v>
      </c>
      <c r="K128" s="709">
        <v>7768</v>
      </c>
      <c r="L128" s="709">
        <v>0</v>
      </c>
      <c r="M128" s="709">
        <v>27</v>
      </c>
      <c r="N128" s="709">
        <v>203</v>
      </c>
      <c r="O128" s="709">
        <v>0</v>
      </c>
      <c r="P128" s="709">
        <v>4650</v>
      </c>
      <c r="Q128" s="709">
        <v>0</v>
      </c>
      <c r="R128" s="709">
        <v>0</v>
      </c>
      <c r="S128" s="709">
        <v>0</v>
      </c>
      <c r="T128" s="709">
        <v>0</v>
      </c>
      <c r="U128" s="709">
        <v>2669</v>
      </c>
      <c r="V128" s="709">
        <v>8</v>
      </c>
      <c r="W128" s="709">
        <v>0</v>
      </c>
      <c r="X128" s="709">
        <v>0</v>
      </c>
      <c r="Y128" s="709">
        <v>0</v>
      </c>
      <c r="Z128" s="709">
        <v>0</v>
      </c>
      <c r="AA128" s="709">
        <v>0</v>
      </c>
      <c r="AB128" s="709">
        <v>0</v>
      </c>
      <c r="AC128" s="709">
        <v>0</v>
      </c>
      <c r="AD128" s="709">
        <v>280</v>
      </c>
      <c r="AE128" s="709">
        <v>1089</v>
      </c>
      <c r="AF128" s="709">
        <v>0</v>
      </c>
      <c r="AG128" s="709">
        <v>273</v>
      </c>
      <c r="AH128" s="709">
        <v>0</v>
      </c>
      <c r="AI128" s="709">
        <v>59</v>
      </c>
      <c r="AJ128" s="709">
        <v>161</v>
      </c>
      <c r="AK128" s="709">
        <v>0</v>
      </c>
      <c r="AL128" s="709">
        <v>0</v>
      </c>
      <c r="AM128" s="709">
        <v>7768</v>
      </c>
      <c r="AN128" s="709">
        <v>0</v>
      </c>
      <c r="AO128" s="709">
        <v>0</v>
      </c>
      <c r="AP128" s="709">
        <v>0</v>
      </c>
      <c r="AQ128" s="709">
        <v>0</v>
      </c>
      <c r="AR128" s="709">
        <v>0</v>
      </c>
      <c r="AS128" s="709">
        <v>0</v>
      </c>
    </row>
    <row r="129" spans="1:45">
      <c r="A129" s="708" t="s">
        <v>1173</v>
      </c>
      <c r="B129" s="709">
        <v>1178</v>
      </c>
      <c r="C129" s="709">
        <v>1178</v>
      </c>
      <c r="D129" s="709">
        <v>1162</v>
      </c>
      <c r="E129" s="709">
        <v>16</v>
      </c>
      <c r="F129" s="709">
        <v>747</v>
      </c>
      <c r="G129" s="709">
        <v>759</v>
      </c>
      <c r="H129" s="709">
        <v>759</v>
      </c>
      <c r="I129" s="709">
        <v>747</v>
      </c>
      <c r="J129" s="709">
        <v>747</v>
      </c>
      <c r="K129" s="709">
        <v>747</v>
      </c>
      <c r="L129" s="709">
        <v>0</v>
      </c>
      <c r="M129" s="709">
        <v>0</v>
      </c>
      <c r="N129" s="709">
        <v>0</v>
      </c>
      <c r="O129" s="709">
        <v>0</v>
      </c>
      <c r="P129" s="709">
        <v>0</v>
      </c>
      <c r="Q129" s="709">
        <v>0</v>
      </c>
      <c r="R129" s="709">
        <v>0</v>
      </c>
      <c r="S129" s="709">
        <v>0</v>
      </c>
      <c r="T129" s="709">
        <v>0</v>
      </c>
      <c r="U129" s="709">
        <v>0</v>
      </c>
      <c r="V129" s="709">
        <v>0</v>
      </c>
      <c r="W129" s="709">
        <v>0</v>
      </c>
      <c r="X129" s="709">
        <v>0</v>
      </c>
      <c r="Y129" s="709">
        <v>0</v>
      </c>
      <c r="Z129" s="709">
        <v>0</v>
      </c>
      <c r="AA129" s="709">
        <v>0</v>
      </c>
      <c r="AB129" s="709">
        <v>0</v>
      </c>
      <c r="AC129" s="709">
        <v>0</v>
      </c>
      <c r="AD129" s="709">
        <v>0</v>
      </c>
      <c r="AE129" s="709">
        <v>4</v>
      </c>
      <c r="AF129" s="709">
        <v>0</v>
      </c>
      <c r="AG129" s="709">
        <v>0</v>
      </c>
      <c r="AH129" s="709">
        <v>0</v>
      </c>
      <c r="AI129" s="709">
        <v>12</v>
      </c>
      <c r="AJ129" s="709">
        <v>747</v>
      </c>
      <c r="AK129" s="709">
        <v>0</v>
      </c>
      <c r="AL129" s="709">
        <v>415</v>
      </c>
      <c r="AM129" s="709">
        <v>1162</v>
      </c>
      <c r="AN129" s="709">
        <v>0</v>
      </c>
      <c r="AO129" s="709">
        <v>0</v>
      </c>
      <c r="AP129" s="709">
        <v>0</v>
      </c>
      <c r="AQ129" s="709">
        <v>0</v>
      </c>
      <c r="AR129" s="709">
        <v>0</v>
      </c>
      <c r="AS129" s="709">
        <v>0</v>
      </c>
    </row>
    <row r="130" spans="1:45">
      <c r="A130" s="708" t="s">
        <v>1174</v>
      </c>
      <c r="B130" s="709">
        <v>965</v>
      </c>
      <c r="C130" s="709">
        <v>965</v>
      </c>
      <c r="D130" s="709">
        <v>965</v>
      </c>
      <c r="E130" s="709">
        <v>0</v>
      </c>
      <c r="F130" s="709">
        <v>28</v>
      </c>
      <c r="G130" s="709">
        <v>28</v>
      </c>
      <c r="H130" s="709">
        <v>28</v>
      </c>
      <c r="I130" s="709">
        <v>28</v>
      </c>
      <c r="J130" s="709">
        <v>28</v>
      </c>
      <c r="K130" s="709">
        <v>28</v>
      </c>
      <c r="L130" s="709">
        <v>0</v>
      </c>
      <c r="M130" s="709">
        <v>0</v>
      </c>
      <c r="N130" s="709">
        <v>0</v>
      </c>
      <c r="O130" s="709">
        <v>0</v>
      </c>
      <c r="P130" s="709">
        <v>0</v>
      </c>
      <c r="Q130" s="709">
        <v>0</v>
      </c>
      <c r="R130" s="709">
        <v>0</v>
      </c>
      <c r="S130" s="709">
        <v>0</v>
      </c>
      <c r="T130" s="709">
        <v>0</v>
      </c>
      <c r="U130" s="709">
        <v>0</v>
      </c>
      <c r="V130" s="709">
        <v>28</v>
      </c>
      <c r="W130" s="709">
        <v>0</v>
      </c>
      <c r="X130" s="709">
        <v>0</v>
      </c>
      <c r="Y130" s="709">
        <v>0</v>
      </c>
      <c r="Z130" s="709">
        <v>0</v>
      </c>
      <c r="AA130" s="709">
        <v>0</v>
      </c>
      <c r="AB130" s="709">
        <v>0</v>
      </c>
      <c r="AC130" s="709">
        <v>0</v>
      </c>
      <c r="AD130" s="709">
        <v>0</v>
      </c>
      <c r="AE130" s="709">
        <v>0</v>
      </c>
      <c r="AF130" s="709">
        <v>0</v>
      </c>
      <c r="AG130" s="709">
        <v>0</v>
      </c>
      <c r="AH130" s="709">
        <v>0</v>
      </c>
      <c r="AI130" s="709">
        <v>0</v>
      </c>
      <c r="AJ130" s="709">
        <v>0</v>
      </c>
      <c r="AK130" s="709">
        <v>937</v>
      </c>
      <c r="AL130" s="709">
        <v>0</v>
      </c>
      <c r="AM130" s="709">
        <v>965</v>
      </c>
      <c r="AN130" s="709">
        <v>0</v>
      </c>
      <c r="AO130" s="709">
        <v>0</v>
      </c>
      <c r="AP130" s="709">
        <v>0</v>
      </c>
      <c r="AQ130" s="709">
        <v>0</v>
      </c>
      <c r="AR130" s="709">
        <v>0</v>
      </c>
      <c r="AS130" s="709">
        <v>0</v>
      </c>
    </row>
    <row r="131" spans="1:45">
      <c r="A131" s="708" t="s">
        <v>1175</v>
      </c>
      <c r="B131" s="709">
        <v>0</v>
      </c>
      <c r="C131" s="709">
        <v>0</v>
      </c>
      <c r="D131" s="709">
        <v>0</v>
      </c>
      <c r="E131" s="709">
        <v>0</v>
      </c>
      <c r="F131" s="709">
        <v>0</v>
      </c>
      <c r="G131" s="709">
        <v>0</v>
      </c>
      <c r="H131" s="709">
        <v>0</v>
      </c>
      <c r="I131" s="709">
        <v>0</v>
      </c>
      <c r="J131" s="709">
        <v>0</v>
      </c>
      <c r="K131" s="709">
        <v>0</v>
      </c>
      <c r="L131" s="709">
        <v>0</v>
      </c>
      <c r="M131" s="709">
        <v>0</v>
      </c>
      <c r="N131" s="709">
        <v>0</v>
      </c>
      <c r="O131" s="709">
        <v>0</v>
      </c>
      <c r="P131" s="709">
        <v>0</v>
      </c>
      <c r="Q131" s="709">
        <v>0</v>
      </c>
      <c r="R131" s="709">
        <v>0</v>
      </c>
      <c r="S131" s="709">
        <v>0</v>
      </c>
      <c r="T131" s="709">
        <v>0</v>
      </c>
      <c r="U131" s="709">
        <v>0</v>
      </c>
      <c r="V131" s="709">
        <v>0</v>
      </c>
      <c r="W131" s="709">
        <v>0</v>
      </c>
      <c r="X131" s="709">
        <v>0</v>
      </c>
      <c r="Y131" s="709">
        <v>0</v>
      </c>
      <c r="Z131" s="709">
        <v>0</v>
      </c>
      <c r="AA131" s="709">
        <v>0</v>
      </c>
      <c r="AB131" s="709">
        <v>0</v>
      </c>
      <c r="AC131" s="709">
        <v>0</v>
      </c>
      <c r="AD131" s="709">
        <v>0</v>
      </c>
      <c r="AE131" s="709">
        <v>0</v>
      </c>
      <c r="AF131" s="709">
        <v>0</v>
      </c>
      <c r="AG131" s="709">
        <v>0</v>
      </c>
      <c r="AH131" s="709">
        <v>0</v>
      </c>
      <c r="AI131" s="709">
        <v>0</v>
      </c>
      <c r="AJ131" s="709">
        <v>0</v>
      </c>
      <c r="AK131" s="709">
        <v>0</v>
      </c>
      <c r="AL131" s="709">
        <v>0</v>
      </c>
      <c r="AM131" s="709">
        <v>0</v>
      </c>
      <c r="AN131" s="709">
        <v>0</v>
      </c>
      <c r="AO131" s="709">
        <v>0</v>
      </c>
      <c r="AP131" s="709">
        <v>0</v>
      </c>
      <c r="AQ131" s="709">
        <v>0</v>
      </c>
      <c r="AR131" s="709">
        <v>0</v>
      </c>
      <c r="AS131" s="709">
        <v>0</v>
      </c>
    </row>
    <row r="132" spans="1:45">
      <c r="A132" s="708" t="s">
        <v>1176</v>
      </c>
      <c r="B132" s="709">
        <v>4</v>
      </c>
      <c r="C132" s="709">
        <v>4</v>
      </c>
      <c r="D132" s="709">
        <v>0</v>
      </c>
      <c r="E132" s="709">
        <v>4</v>
      </c>
      <c r="F132" s="709">
        <v>0</v>
      </c>
      <c r="G132" s="709">
        <v>4</v>
      </c>
      <c r="H132" s="709">
        <v>4</v>
      </c>
      <c r="I132" s="709">
        <v>0</v>
      </c>
      <c r="J132" s="709">
        <v>0</v>
      </c>
      <c r="K132" s="709">
        <v>0</v>
      </c>
      <c r="L132" s="709">
        <v>0</v>
      </c>
      <c r="M132" s="709">
        <v>0</v>
      </c>
      <c r="N132" s="709">
        <v>0</v>
      </c>
      <c r="O132" s="709">
        <v>0</v>
      </c>
      <c r="P132" s="709">
        <v>0</v>
      </c>
      <c r="Q132" s="709">
        <v>0</v>
      </c>
      <c r="R132" s="709">
        <v>0</v>
      </c>
      <c r="S132" s="709">
        <v>0</v>
      </c>
      <c r="T132" s="709">
        <v>0</v>
      </c>
      <c r="U132" s="709">
        <v>0</v>
      </c>
      <c r="V132" s="709">
        <v>0</v>
      </c>
      <c r="W132" s="709">
        <v>0</v>
      </c>
      <c r="X132" s="709">
        <v>0</v>
      </c>
      <c r="Y132" s="709">
        <v>0</v>
      </c>
      <c r="Z132" s="709">
        <v>0</v>
      </c>
      <c r="AA132" s="709">
        <v>0</v>
      </c>
      <c r="AB132" s="709">
        <v>0</v>
      </c>
      <c r="AC132" s="709">
        <v>0</v>
      </c>
      <c r="AD132" s="709">
        <v>0</v>
      </c>
      <c r="AE132" s="709">
        <v>0</v>
      </c>
      <c r="AF132" s="709">
        <v>0</v>
      </c>
      <c r="AG132" s="709">
        <v>0</v>
      </c>
      <c r="AH132" s="709">
        <v>0</v>
      </c>
      <c r="AI132" s="709">
        <v>4</v>
      </c>
      <c r="AJ132" s="709">
        <v>0</v>
      </c>
      <c r="AK132" s="709">
        <v>0</v>
      </c>
      <c r="AL132" s="709">
        <v>0</v>
      </c>
      <c r="AM132" s="709">
        <v>0</v>
      </c>
      <c r="AN132" s="709">
        <v>0</v>
      </c>
      <c r="AO132" s="709">
        <v>0</v>
      </c>
      <c r="AP132" s="709">
        <v>0</v>
      </c>
      <c r="AQ132" s="709">
        <v>0</v>
      </c>
      <c r="AR132" s="709">
        <v>0</v>
      </c>
      <c r="AS132" s="709">
        <v>0</v>
      </c>
    </row>
    <row r="133" spans="1:45">
      <c r="A133" s="708" t="s">
        <v>1177</v>
      </c>
      <c r="B133" s="709">
        <v>10</v>
      </c>
      <c r="C133" s="709">
        <v>10</v>
      </c>
      <c r="D133" s="709">
        <v>0</v>
      </c>
      <c r="E133" s="709">
        <v>10</v>
      </c>
      <c r="F133" s="709">
        <v>0</v>
      </c>
      <c r="G133" s="709">
        <v>10</v>
      </c>
      <c r="H133" s="709">
        <v>10</v>
      </c>
      <c r="I133" s="709">
        <v>0</v>
      </c>
      <c r="J133" s="709">
        <v>0</v>
      </c>
      <c r="K133" s="709">
        <v>0</v>
      </c>
      <c r="L133" s="709">
        <v>0</v>
      </c>
      <c r="M133" s="709">
        <v>0</v>
      </c>
      <c r="N133" s="709">
        <v>0</v>
      </c>
      <c r="O133" s="709">
        <v>0</v>
      </c>
      <c r="P133" s="709">
        <v>0</v>
      </c>
      <c r="Q133" s="709">
        <v>0</v>
      </c>
      <c r="R133" s="709">
        <v>0</v>
      </c>
      <c r="S133" s="709">
        <v>0</v>
      </c>
      <c r="T133" s="709">
        <v>0</v>
      </c>
      <c r="U133" s="709">
        <v>0</v>
      </c>
      <c r="V133" s="709">
        <v>0</v>
      </c>
      <c r="W133" s="709">
        <v>0</v>
      </c>
      <c r="X133" s="709">
        <v>0</v>
      </c>
      <c r="Y133" s="709">
        <v>0</v>
      </c>
      <c r="Z133" s="709">
        <v>0</v>
      </c>
      <c r="AA133" s="709">
        <v>0</v>
      </c>
      <c r="AB133" s="709">
        <v>0</v>
      </c>
      <c r="AC133" s="709">
        <v>0</v>
      </c>
      <c r="AD133" s="709">
        <v>0</v>
      </c>
      <c r="AE133" s="709">
        <v>0</v>
      </c>
      <c r="AF133" s="709">
        <v>0</v>
      </c>
      <c r="AG133" s="709">
        <v>0</v>
      </c>
      <c r="AH133" s="709">
        <v>0</v>
      </c>
      <c r="AI133" s="709">
        <v>10</v>
      </c>
      <c r="AJ133" s="709">
        <v>0</v>
      </c>
      <c r="AK133" s="709">
        <v>0</v>
      </c>
      <c r="AL133" s="709">
        <v>0</v>
      </c>
      <c r="AM133" s="709">
        <v>0</v>
      </c>
      <c r="AN133" s="709">
        <v>0</v>
      </c>
      <c r="AO133" s="709">
        <v>0</v>
      </c>
      <c r="AP133" s="709">
        <v>0</v>
      </c>
      <c r="AQ133" s="709">
        <v>0</v>
      </c>
      <c r="AR133" s="709">
        <v>0</v>
      </c>
      <c r="AS133" s="709">
        <v>0</v>
      </c>
    </row>
    <row r="134" spans="1:45">
      <c r="A134" s="708" t="s">
        <v>1178</v>
      </c>
      <c r="B134" s="709">
        <v>0</v>
      </c>
      <c r="C134" s="709">
        <v>0</v>
      </c>
      <c r="D134" s="709">
        <v>0</v>
      </c>
      <c r="E134" s="709">
        <v>0</v>
      </c>
      <c r="F134" s="709">
        <v>0</v>
      </c>
      <c r="G134" s="709">
        <v>0</v>
      </c>
      <c r="H134" s="709">
        <v>0</v>
      </c>
      <c r="I134" s="709">
        <v>0</v>
      </c>
      <c r="J134" s="709">
        <v>0</v>
      </c>
      <c r="K134" s="709">
        <v>0</v>
      </c>
      <c r="L134" s="709">
        <v>0</v>
      </c>
      <c r="M134" s="709">
        <v>0</v>
      </c>
      <c r="N134" s="709">
        <v>0</v>
      </c>
      <c r="O134" s="709">
        <v>0</v>
      </c>
      <c r="P134" s="709">
        <v>0</v>
      </c>
      <c r="Q134" s="709">
        <v>0</v>
      </c>
      <c r="R134" s="709">
        <v>0</v>
      </c>
      <c r="S134" s="709">
        <v>0</v>
      </c>
      <c r="T134" s="709">
        <v>0</v>
      </c>
      <c r="U134" s="709">
        <v>0</v>
      </c>
      <c r="V134" s="709">
        <v>0</v>
      </c>
      <c r="W134" s="709">
        <v>0</v>
      </c>
      <c r="X134" s="709">
        <v>0</v>
      </c>
      <c r="Y134" s="709">
        <v>0</v>
      </c>
      <c r="Z134" s="709">
        <v>0</v>
      </c>
      <c r="AA134" s="709">
        <v>0</v>
      </c>
      <c r="AB134" s="709">
        <v>0</v>
      </c>
      <c r="AC134" s="709">
        <v>0</v>
      </c>
      <c r="AD134" s="709">
        <v>0</v>
      </c>
      <c r="AE134" s="709">
        <v>0</v>
      </c>
      <c r="AF134" s="709">
        <v>0</v>
      </c>
      <c r="AG134" s="709">
        <v>0</v>
      </c>
      <c r="AH134" s="709">
        <v>0</v>
      </c>
      <c r="AI134" s="709">
        <v>0</v>
      </c>
      <c r="AJ134" s="709">
        <v>0</v>
      </c>
      <c r="AK134" s="709">
        <v>0</v>
      </c>
      <c r="AL134" s="709">
        <v>0</v>
      </c>
      <c r="AM134" s="709">
        <v>0</v>
      </c>
      <c r="AN134" s="709">
        <v>0</v>
      </c>
      <c r="AO134" s="709">
        <v>0</v>
      </c>
      <c r="AP134" s="709">
        <v>0</v>
      </c>
      <c r="AQ134" s="709">
        <v>0</v>
      </c>
      <c r="AR134" s="709">
        <v>0</v>
      </c>
      <c r="AS134" s="709">
        <v>0</v>
      </c>
    </row>
    <row r="135" spans="1:45">
      <c r="A135" s="708" t="s">
        <v>1179</v>
      </c>
      <c r="B135" s="709">
        <v>0</v>
      </c>
      <c r="C135" s="709">
        <v>0</v>
      </c>
      <c r="D135" s="709">
        <v>0</v>
      </c>
      <c r="E135" s="709">
        <v>0</v>
      </c>
      <c r="F135" s="709">
        <v>0</v>
      </c>
      <c r="G135" s="709">
        <v>0</v>
      </c>
      <c r="H135" s="709">
        <v>0</v>
      </c>
      <c r="I135" s="709">
        <v>0</v>
      </c>
      <c r="J135" s="709">
        <v>0</v>
      </c>
      <c r="K135" s="709">
        <v>0</v>
      </c>
      <c r="L135" s="709">
        <v>0</v>
      </c>
      <c r="M135" s="709">
        <v>0</v>
      </c>
      <c r="N135" s="709">
        <v>0</v>
      </c>
      <c r="O135" s="709">
        <v>0</v>
      </c>
      <c r="P135" s="709">
        <v>0</v>
      </c>
      <c r="Q135" s="709">
        <v>0</v>
      </c>
      <c r="R135" s="709">
        <v>0</v>
      </c>
      <c r="S135" s="709">
        <v>0</v>
      </c>
      <c r="T135" s="709">
        <v>0</v>
      </c>
      <c r="U135" s="709">
        <v>0</v>
      </c>
      <c r="V135" s="709">
        <v>0</v>
      </c>
      <c r="W135" s="709">
        <v>0</v>
      </c>
      <c r="X135" s="709">
        <v>0</v>
      </c>
      <c r="Y135" s="709">
        <v>0</v>
      </c>
      <c r="Z135" s="709">
        <v>0</v>
      </c>
      <c r="AA135" s="709">
        <v>0</v>
      </c>
      <c r="AB135" s="709">
        <v>0</v>
      </c>
      <c r="AC135" s="709">
        <v>0</v>
      </c>
      <c r="AD135" s="709">
        <v>0</v>
      </c>
      <c r="AE135" s="709">
        <v>0</v>
      </c>
      <c r="AF135" s="709">
        <v>0</v>
      </c>
      <c r="AG135" s="709">
        <v>0</v>
      </c>
      <c r="AH135" s="709">
        <v>0</v>
      </c>
      <c r="AI135" s="709">
        <v>0</v>
      </c>
      <c r="AJ135" s="709">
        <v>0</v>
      </c>
      <c r="AK135" s="709">
        <v>0</v>
      </c>
      <c r="AL135" s="709">
        <v>0</v>
      </c>
      <c r="AM135" s="709">
        <v>0</v>
      </c>
      <c r="AN135" s="709">
        <v>0</v>
      </c>
      <c r="AO135" s="709">
        <v>0</v>
      </c>
      <c r="AP135" s="709">
        <v>0</v>
      </c>
      <c r="AQ135" s="709">
        <v>0</v>
      </c>
      <c r="AR135" s="709">
        <v>0</v>
      </c>
      <c r="AS135" s="709">
        <v>0</v>
      </c>
    </row>
    <row r="136" spans="1:45">
      <c r="A136" s="708" t="s">
        <v>1180</v>
      </c>
      <c r="B136" s="709">
        <v>110</v>
      </c>
      <c r="C136" s="709">
        <v>110</v>
      </c>
      <c r="D136" s="709">
        <v>110</v>
      </c>
      <c r="E136" s="709">
        <v>0</v>
      </c>
      <c r="F136" s="709">
        <v>110</v>
      </c>
      <c r="G136" s="709">
        <v>110</v>
      </c>
      <c r="H136" s="709">
        <v>110</v>
      </c>
      <c r="I136" s="709">
        <v>110</v>
      </c>
      <c r="J136" s="709">
        <v>110</v>
      </c>
      <c r="K136" s="709">
        <v>110</v>
      </c>
      <c r="L136" s="709">
        <v>0</v>
      </c>
      <c r="M136" s="709">
        <v>0</v>
      </c>
      <c r="N136" s="709">
        <v>0</v>
      </c>
      <c r="O136" s="709">
        <v>0</v>
      </c>
      <c r="P136" s="709">
        <v>0</v>
      </c>
      <c r="Q136" s="709">
        <v>0</v>
      </c>
      <c r="R136" s="709">
        <v>0</v>
      </c>
      <c r="S136" s="709">
        <v>0</v>
      </c>
      <c r="T136" s="709">
        <v>0</v>
      </c>
      <c r="U136" s="709">
        <v>0</v>
      </c>
      <c r="V136" s="709">
        <v>110</v>
      </c>
      <c r="W136" s="709">
        <v>0</v>
      </c>
      <c r="X136" s="709">
        <v>0</v>
      </c>
      <c r="Y136" s="709">
        <v>0</v>
      </c>
      <c r="Z136" s="709">
        <v>0</v>
      </c>
      <c r="AA136" s="709">
        <v>0</v>
      </c>
      <c r="AB136" s="709">
        <v>0</v>
      </c>
      <c r="AC136" s="709">
        <v>0</v>
      </c>
      <c r="AD136" s="709">
        <v>0</v>
      </c>
      <c r="AE136" s="709">
        <v>0</v>
      </c>
      <c r="AF136" s="709">
        <v>0</v>
      </c>
      <c r="AG136" s="709">
        <v>0</v>
      </c>
      <c r="AH136" s="709">
        <v>0</v>
      </c>
      <c r="AI136" s="709">
        <v>0</v>
      </c>
      <c r="AJ136" s="709">
        <v>0</v>
      </c>
      <c r="AK136" s="709">
        <v>0</v>
      </c>
      <c r="AL136" s="709">
        <v>0</v>
      </c>
      <c r="AM136" s="709">
        <v>110</v>
      </c>
      <c r="AN136" s="709">
        <v>0</v>
      </c>
      <c r="AO136" s="709">
        <v>0</v>
      </c>
      <c r="AP136" s="709">
        <v>0</v>
      </c>
      <c r="AQ136" s="709">
        <v>0</v>
      </c>
      <c r="AR136" s="709">
        <v>0</v>
      </c>
      <c r="AS136" s="709">
        <v>0</v>
      </c>
    </row>
    <row r="137" spans="1:45">
      <c r="A137" s="708" t="s">
        <v>1181</v>
      </c>
      <c r="B137" s="709">
        <v>0</v>
      </c>
      <c r="C137" s="709">
        <v>0</v>
      </c>
      <c r="D137" s="709">
        <v>0</v>
      </c>
      <c r="E137" s="709">
        <v>0</v>
      </c>
      <c r="F137" s="709">
        <v>0</v>
      </c>
      <c r="G137" s="709">
        <v>0</v>
      </c>
      <c r="H137" s="709">
        <v>0</v>
      </c>
      <c r="I137" s="709">
        <v>0</v>
      </c>
      <c r="J137" s="709">
        <v>0</v>
      </c>
      <c r="K137" s="709">
        <v>0</v>
      </c>
      <c r="L137" s="709">
        <v>0</v>
      </c>
      <c r="M137" s="709">
        <v>0</v>
      </c>
      <c r="N137" s="709">
        <v>0</v>
      </c>
      <c r="O137" s="709">
        <v>0</v>
      </c>
      <c r="P137" s="709">
        <v>0</v>
      </c>
      <c r="Q137" s="709">
        <v>0</v>
      </c>
      <c r="R137" s="709">
        <v>0</v>
      </c>
      <c r="S137" s="709">
        <v>0</v>
      </c>
      <c r="T137" s="709">
        <v>0</v>
      </c>
      <c r="U137" s="709">
        <v>0</v>
      </c>
      <c r="V137" s="709">
        <v>0</v>
      </c>
      <c r="W137" s="709">
        <v>0</v>
      </c>
      <c r="X137" s="709">
        <v>0</v>
      </c>
      <c r="Y137" s="709">
        <v>0</v>
      </c>
      <c r="Z137" s="709">
        <v>0</v>
      </c>
      <c r="AA137" s="709">
        <v>0</v>
      </c>
      <c r="AB137" s="709">
        <v>0</v>
      </c>
      <c r="AC137" s="709">
        <v>0</v>
      </c>
      <c r="AD137" s="709">
        <v>0</v>
      </c>
      <c r="AE137" s="709">
        <v>0</v>
      </c>
      <c r="AF137" s="709">
        <v>0</v>
      </c>
      <c r="AG137" s="709">
        <v>0</v>
      </c>
      <c r="AH137" s="709">
        <v>0</v>
      </c>
      <c r="AI137" s="709">
        <v>0</v>
      </c>
      <c r="AJ137" s="709">
        <v>0</v>
      </c>
      <c r="AK137" s="709">
        <v>0</v>
      </c>
      <c r="AL137" s="709">
        <v>0</v>
      </c>
      <c r="AM137" s="709">
        <v>0</v>
      </c>
      <c r="AN137" s="709">
        <v>0</v>
      </c>
      <c r="AO137" s="709">
        <v>0</v>
      </c>
      <c r="AP137" s="709">
        <v>0</v>
      </c>
      <c r="AQ137" s="709">
        <v>0</v>
      </c>
      <c r="AR137" s="709">
        <v>0</v>
      </c>
      <c r="AS137" s="709">
        <v>0</v>
      </c>
    </row>
    <row r="138" spans="1:45">
      <c r="A138" s="708" t="s">
        <v>1182</v>
      </c>
      <c r="B138" s="709">
        <v>0</v>
      </c>
      <c r="C138" s="709">
        <v>0</v>
      </c>
      <c r="D138" s="709">
        <v>0</v>
      </c>
      <c r="E138" s="709">
        <v>0</v>
      </c>
      <c r="F138" s="709">
        <v>0</v>
      </c>
      <c r="G138" s="709">
        <v>0</v>
      </c>
      <c r="H138" s="709">
        <v>0</v>
      </c>
      <c r="I138" s="709">
        <v>0</v>
      </c>
      <c r="J138" s="709">
        <v>0</v>
      </c>
      <c r="K138" s="709">
        <v>0</v>
      </c>
      <c r="L138" s="709">
        <v>0</v>
      </c>
      <c r="M138" s="709">
        <v>0</v>
      </c>
      <c r="N138" s="709">
        <v>0</v>
      </c>
      <c r="O138" s="709">
        <v>0</v>
      </c>
      <c r="P138" s="709">
        <v>0</v>
      </c>
      <c r="Q138" s="709">
        <v>0</v>
      </c>
      <c r="R138" s="709">
        <v>0</v>
      </c>
      <c r="S138" s="709">
        <v>0</v>
      </c>
      <c r="T138" s="709">
        <v>0</v>
      </c>
      <c r="U138" s="709">
        <v>0</v>
      </c>
      <c r="V138" s="709">
        <v>0</v>
      </c>
      <c r="W138" s="709">
        <v>0</v>
      </c>
      <c r="X138" s="709">
        <v>0</v>
      </c>
      <c r="Y138" s="709">
        <v>0</v>
      </c>
      <c r="Z138" s="709">
        <v>0</v>
      </c>
      <c r="AA138" s="709">
        <v>0</v>
      </c>
      <c r="AB138" s="709">
        <v>0</v>
      </c>
      <c r="AC138" s="709">
        <v>0</v>
      </c>
      <c r="AD138" s="709">
        <v>0</v>
      </c>
      <c r="AE138" s="709">
        <v>0</v>
      </c>
      <c r="AF138" s="709">
        <v>0</v>
      </c>
      <c r="AG138" s="709">
        <v>0</v>
      </c>
      <c r="AH138" s="709">
        <v>0</v>
      </c>
      <c r="AI138" s="709">
        <v>0</v>
      </c>
      <c r="AJ138" s="709">
        <v>0</v>
      </c>
      <c r="AK138" s="709">
        <v>0</v>
      </c>
      <c r="AL138" s="709">
        <v>0</v>
      </c>
      <c r="AM138" s="709">
        <v>0</v>
      </c>
      <c r="AN138" s="709">
        <v>0</v>
      </c>
      <c r="AO138" s="709">
        <v>0</v>
      </c>
      <c r="AP138" s="709">
        <v>0</v>
      </c>
      <c r="AQ138" s="709">
        <v>0</v>
      </c>
      <c r="AR138" s="709">
        <v>0</v>
      </c>
      <c r="AS138" s="709">
        <v>0</v>
      </c>
    </row>
    <row r="139" spans="1:45">
      <c r="A139" s="708" t="s">
        <v>1183</v>
      </c>
      <c r="B139" s="709">
        <v>0</v>
      </c>
      <c r="C139" s="709">
        <v>0</v>
      </c>
      <c r="D139" s="709">
        <v>0</v>
      </c>
      <c r="E139" s="709">
        <v>0</v>
      </c>
      <c r="F139" s="709">
        <v>0</v>
      </c>
      <c r="G139" s="709">
        <v>0</v>
      </c>
      <c r="H139" s="709">
        <v>0</v>
      </c>
      <c r="I139" s="709">
        <v>0</v>
      </c>
      <c r="J139" s="709">
        <v>0</v>
      </c>
      <c r="K139" s="709">
        <v>0</v>
      </c>
      <c r="L139" s="709">
        <v>0</v>
      </c>
      <c r="M139" s="709">
        <v>0</v>
      </c>
      <c r="N139" s="709">
        <v>0</v>
      </c>
      <c r="O139" s="709">
        <v>0</v>
      </c>
      <c r="P139" s="709">
        <v>0</v>
      </c>
      <c r="Q139" s="709">
        <v>0</v>
      </c>
      <c r="R139" s="709">
        <v>0</v>
      </c>
      <c r="S139" s="709">
        <v>0</v>
      </c>
      <c r="T139" s="709">
        <v>0</v>
      </c>
      <c r="U139" s="709">
        <v>0</v>
      </c>
      <c r="V139" s="709">
        <v>0</v>
      </c>
      <c r="W139" s="709">
        <v>0</v>
      </c>
      <c r="X139" s="709">
        <v>0</v>
      </c>
      <c r="Y139" s="709">
        <v>0</v>
      </c>
      <c r="Z139" s="709">
        <v>0</v>
      </c>
      <c r="AA139" s="709">
        <v>0</v>
      </c>
      <c r="AB139" s="709">
        <v>0</v>
      </c>
      <c r="AC139" s="709">
        <v>0</v>
      </c>
      <c r="AD139" s="709">
        <v>0</v>
      </c>
      <c r="AE139" s="709">
        <v>0</v>
      </c>
      <c r="AF139" s="709">
        <v>0</v>
      </c>
      <c r="AG139" s="709">
        <v>0</v>
      </c>
      <c r="AH139" s="709">
        <v>0</v>
      </c>
      <c r="AI139" s="709">
        <v>0</v>
      </c>
      <c r="AJ139" s="709">
        <v>0</v>
      </c>
      <c r="AK139" s="709">
        <v>0</v>
      </c>
      <c r="AL139" s="709">
        <v>0</v>
      </c>
      <c r="AM139" s="709">
        <v>0</v>
      </c>
      <c r="AN139" s="709">
        <v>0</v>
      </c>
      <c r="AO139" s="709">
        <v>0</v>
      </c>
      <c r="AP139" s="709">
        <v>0</v>
      </c>
      <c r="AQ139" s="709">
        <v>0</v>
      </c>
      <c r="AR139" s="709">
        <v>0</v>
      </c>
      <c r="AS139" s="709">
        <v>0</v>
      </c>
    </row>
    <row r="140" spans="1:45">
      <c r="A140" s="708" t="s">
        <v>1184</v>
      </c>
      <c r="B140" s="709">
        <v>0</v>
      </c>
      <c r="C140" s="709">
        <v>0</v>
      </c>
      <c r="D140" s="709">
        <v>0</v>
      </c>
      <c r="E140" s="709">
        <v>0</v>
      </c>
      <c r="F140" s="709">
        <v>0</v>
      </c>
      <c r="G140" s="709">
        <v>0</v>
      </c>
      <c r="H140" s="709">
        <v>0</v>
      </c>
      <c r="I140" s="709">
        <v>0</v>
      </c>
      <c r="J140" s="709">
        <v>0</v>
      </c>
      <c r="K140" s="709">
        <v>0</v>
      </c>
      <c r="L140" s="709">
        <v>0</v>
      </c>
      <c r="M140" s="709">
        <v>0</v>
      </c>
      <c r="N140" s="709">
        <v>0</v>
      </c>
      <c r="O140" s="709">
        <v>0</v>
      </c>
      <c r="P140" s="709">
        <v>0</v>
      </c>
      <c r="Q140" s="709">
        <v>0</v>
      </c>
      <c r="R140" s="709">
        <v>0</v>
      </c>
      <c r="S140" s="709">
        <v>0</v>
      </c>
      <c r="T140" s="709">
        <v>0</v>
      </c>
      <c r="U140" s="709">
        <v>0</v>
      </c>
      <c r="V140" s="709">
        <v>0</v>
      </c>
      <c r="W140" s="709">
        <v>0</v>
      </c>
      <c r="X140" s="709">
        <v>0</v>
      </c>
      <c r="Y140" s="709">
        <v>0</v>
      </c>
      <c r="Z140" s="709">
        <v>0</v>
      </c>
      <c r="AA140" s="709">
        <v>0</v>
      </c>
      <c r="AB140" s="709">
        <v>0</v>
      </c>
      <c r="AC140" s="709">
        <v>0</v>
      </c>
      <c r="AD140" s="709">
        <v>0</v>
      </c>
      <c r="AE140" s="709">
        <v>0</v>
      </c>
      <c r="AF140" s="709">
        <v>0</v>
      </c>
      <c r="AG140" s="709">
        <v>0</v>
      </c>
      <c r="AH140" s="709">
        <v>0</v>
      </c>
      <c r="AI140" s="709">
        <v>0</v>
      </c>
      <c r="AJ140" s="709">
        <v>0</v>
      </c>
      <c r="AK140" s="709">
        <v>0</v>
      </c>
      <c r="AL140" s="709">
        <v>0</v>
      </c>
      <c r="AM140" s="709">
        <v>0</v>
      </c>
      <c r="AN140" s="709">
        <v>0</v>
      </c>
      <c r="AO140" s="709">
        <v>0</v>
      </c>
      <c r="AP140" s="709">
        <v>0</v>
      </c>
      <c r="AQ140" s="709">
        <v>0</v>
      </c>
      <c r="AR140" s="709">
        <v>0</v>
      </c>
      <c r="AS140" s="709">
        <v>0</v>
      </c>
    </row>
    <row r="141" spans="1:45">
      <c r="A141" s="708" t="s">
        <v>1185</v>
      </c>
      <c r="B141" s="709">
        <v>0</v>
      </c>
      <c r="C141" s="709">
        <v>0</v>
      </c>
      <c r="D141" s="709">
        <v>0</v>
      </c>
      <c r="E141" s="709">
        <v>0</v>
      </c>
      <c r="F141" s="709">
        <v>0</v>
      </c>
      <c r="G141" s="709">
        <v>0</v>
      </c>
      <c r="H141" s="709">
        <v>0</v>
      </c>
      <c r="I141" s="709">
        <v>0</v>
      </c>
      <c r="J141" s="709">
        <v>0</v>
      </c>
      <c r="K141" s="709">
        <v>0</v>
      </c>
      <c r="L141" s="709">
        <v>0</v>
      </c>
      <c r="M141" s="709">
        <v>0</v>
      </c>
      <c r="N141" s="709">
        <v>0</v>
      </c>
      <c r="O141" s="709">
        <v>0</v>
      </c>
      <c r="P141" s="709">
        <v>0</v>
      </c>
      <c r="Q141" s="709">
        <v>0</v>
      </c>
      <c r="R141" s="709">
        <v>0</v>
      </c>
      <c r="S141" s="709">
        <v>0</v>
      </c>
      <c r="T141" s="709">
        <v>0</v>
      </c>
      <c r="U141" s="709">
        <v>0</v>
      </c>
      <c r="V141" s="709">
        <v>0</v>
      </c>
      <c r="W141" s="709">
        <v>0</v>
      </c>
      <c r="X141" s="709">
        <v>0</v>
      </c>
      <c r="Y141" s="709">
        <v>0</v>
      </c>
      <c r="Z141" s="709">
        <v>0</v>
      </c>
      <c r="AA141" s="709">
        <v>0</v>
      </c>
      <c r="AB141" s="709">
        <v>0</v>
      </c>
      <c r="AC141" s="709">
        <v>0</v>
      </c>
      <c r="AD141" s="709">
        <v>0</v>
      </c>
      <c r="AE141" s="709">
        <v>0</v>
      </c>
      <c r="AF141" s="709">
        <v>0</v>
      </c>
      <c r="AG141" s="709">
        <v>0</v>
      </c>
      <c r="AH141" s="709">
        <v>0</v>
      </c>
      <c r="AI141" s="709">
        <v>0</v>
      </c>
      <c r="AJ141" s="709">
        <v>0</v>
      </c>
      <c r="AK141" s="709">
        <v>0</v>
      </c>
      <c r="AL141" s="709">
        <v>0</v>
      </c>
      <c r="AM141" s="709">
        <v>0</v>
      </c>
      <c r="AN141" s="709">
        <v>0</v>
      </c>
      <c r="AO141" s="709">
        <v>0</v>
      </c>
      <c r="AP141" s="709">
        <v>0</v>
      </c>
      <c r="AQ141" s="709">
        <v>0</v>
      </c>
      <c r="AR141" s="709">
        <v>0</v>
      </c>
      <c r="AS141" s="709">
        <v>0</v>
      </c>
    </row>
    <row r="142" spans="1:45">
      <c r="A142" s="708" t="s">
        <v>1186</v>
      </c>
      <c r="B142" s="709">
        <v>5647</v>
      </c>
      <c r="C142" s="709">
        <v>5586</v>
      </c>
      <c r="D142" s="709">
        <v>5586</v>
      </c>
      <c r="E142" s="709">
        <v>0</v>
      </c>
      <c r="F142" s="709">
        <v>5586</v>
      </c>
      <c r="G142" s="709">
        <v>5586</v>
      </c>
      <c r="H142" s="709">
        <v>5586</v>
      </c>
      <c r="I142" s="709">
        <v>5586</v>
      </c>
      <c r="J142" s="709">
        <v>5586</v>
      </c>
      <c r="K142" s="709">
        <v>5586</v>
      </c>
      <c r="L142" s="709">
        <v>0</v>
      </c>
      <c r="M142" s="709">
        <v>0</v>
      </c>
      <c r="N142" s="709">
        <v>0</v>
      </c>
      <c r="O142" s="709">
        <v>0</v>
      </c>
      <c r="P142" s="709">
        <v>0</v>
      </c>
      <c r="Q142" s="709">
        <v>0</v>
      </c>
      <c r="R142" s="709">
        <v>0</v>
      </c>
      <c r="S142" s="709">
        <v>0</v>
      </c>
      <c r="T142" s="709">
        <v>0</v>
      </c>
      <c r="U142" s="709">
        <v>3756</v>
      </c>
      <c r="V142" s="709">
        <v>281</v>
      </c>
      <c r="W142" s="709">
        <v>0</v>
      </c>
      <c r="X142" s="709">
        <v>0</v>
      </c>
      <c r="Y142" s="709">
        <v>0</v>
      </c>
      <c r="Z142" s="709">
        <v>0</v>
      </c>
      <c r="AA142" s="709">
        <v>0</v>
      </c>
      <c r="AB142" s="709">
        <v>0</v>
      </c>
      <c r="AC142" s="709">
        <v>1503</v>
      </c>
      <c r="AD142" s="709">
        <v>0</v>
      </c>
      <c r="AE142" s="709">
        <v>0</v>
      </c>
      <c r="AF142" s="709">
        <v>0</v>
      </c>
      <c r="AG142" s="709">
        <v>61</v>
      </c>
      <c r="AH142" s="709">
        <v>0</v>
      </c>
      <c r="AI142" s="709">
        <v>0</v>
      </c>
      <c r="AJ142" s="709">
        <v>46</v>
      </c>
      <c r="AK142" s="709">
        <v>0</v>
      </c>
      <c r="AL142" s="709">
        <v>0</v>
      </c>
      <c r="AM142" s="709">
        <v>5586</v>
      </c>
      <c r="AN142" s="709">
        <v>0</v>
      </c>
      <c r="AO142" s="709">
        <v>0</v>
      </c>
      <c r="AP142" s="709">
        <v>0</v>
      </c>
      <c r="AQ142" s="709">
        <v>0</v>
      </c>
      <c r="AR142" s="709">
        <v>0</v>
      </c>
      <c r="AS142" s="709">
        <v>0</v>
      </c>
    </row>
    <row r="143" spans="1:45">
      <c r="A143" s="708" t="s">
        <v>1187</v>
      </c>
      <c r="B143" s="709">
        <v>0</v>
      </c>
      <c r="C143" s="709">
        <v>0</v>
      </c>
      <c r="D143" s="709">
        <v>0</v>
      </c>
      <c r="E143" s="709">
        <v>0</v>
      </c>
      <c r="F143" s="709">
        <v>0</v>
      </c>
      <c r="G143" s="709">
        <v>0</v>
      </c>
      <c r="H143" s="709">
        <v>0</v>
      </c>
      <c r="I143" s="709">
        <v>0</v>
      </c>
      <c r="J143" s="709">
        <v>0</v>
      </c>
      <c r="K143" s="709">
        <v>0</v>
      </c>
      <c r="L143" s="709">
        <v>0</v>
      </c>
      <c r="M143" s="709">
        <v>0</v>
      </c>
      <c r="N143" s="709">
        <v>0</v>
      </c>
      <c r="O143" s="709">
        <v>0</v>
      </c>
      <c r="P143" s="709">
        <v>0</v>
      </c>
      <c r="Q143" s="709">
        <v>0</v>
      </c>
      <c r="R143" s="709">
        <v>0</v>
      </c>
      <c r="S143" s="709">
        <v>0</v>
      </c>
      <c r="T143" s="709">
        <v>0</v>
      </c>
      <c r="U143" s="709">
        <v>0</v>
      </c>
      <c r="V143" s="709">
        <v>0</v>
      </c>
      <c r="W143" s="709">
        <v>0</v>
      </c>
      <c r="X143" s="709">
        <v>0</v>
      </c>
      <c r="Y143" s="709">
        <v>0</v>
      </c>
      <c r="Z143" s="709">
        <v>0</v>
      </c>
      <c r="AA143" s="709">
        <v>0</v>
      </c>
      <c r="AB143" s="709">
        <v>0</v>
      </c>
      <c r="AC143" s="709">
        <v>0</v>
      </c>
      <c r="AD143" s="709">
        <v>0</v>
      </c>
      <c r="AE143" s="709">
        <v>0</v>
      </c>
      <c r="AF143" s="709">
        <v>0</v>
      </c>
      <c r="AG143" s="709">
        <v>0</v>
      </c>
      <c r="AH143" s="709">
        <v>0</v>
      </c>
      <c r="AI143" s="709">
        <v>0</v>
      </c>
      <c r="AJ143" s="709">
        <v>0</v>
      </c>
      <c r="AK143" s="709">
        <v>0</v>
      </c>
      <c r="AL143" s="709">
        <v>0</v>
      </c>
      <c r="AM143" s="709">
        <v>0</v>
      </c>
      <c r="AN143" s="709">
        <v>0</v>
      </c>
      <c r="AO143" s="709">
        <v>0</v>
      </c>
      <c r="AP143" s="709">
        <v>0</v>
      </c>
      <c r="AQ143" s="709">
        <v>0</v>
      </c>
      <c r="AR143" s="709">
        <v>0</v>
      </c>
      <c r="AS143" s="709">
        <v>0</v>
      </c>
    </row>
    <row r="144" spans="1:45">
      <c r="A144" s="708" t="s">
        <v>1188</v>
      </c>
      <c r="B144" s="709">
        <v>29110</v>
      </c>
      <c r="C144" s="709">
        <v>29027</v>
      </c>
      <c r="D144" s="709">
        <v>29025</v>
      </c>
      <c r="E144" s="709">
        <v>2</v>
      </c>
      <c r="F144" s="709">
        <v>28786</v>
      </c>
      <c r="G144" s="709">
        <v>28788</v>
      </c>
      <c r="H144" s="709">
        <v>28788</v>
      </c>
      <c r="I144" s="709">
        <v>28786</v>
      </c>
      <c r="J144" s="709">
        <v>28786</v>
      </c>
      <c r="K144" s="709">
        <v>28786</v>
      </c>
      <c r="L144" s="709">
        <v>0</v>
      </c>
      <c r="M144" s="709">
        <v>23</v>
      </c>
      <c r="N144" s="709">
        <v>0</v>
      </c>
      <c r="O144" s="709">
        <v>239</v>
      </c>
      <c r="P144" s="709">
        <v>4272</v>
      </c>
      <c r="Q144" s="709">
        <v>0</v>
      </c>
      <c r="R144" s="709">
        <v>0</v>
      </c>
      <c r="S144" s="709">
        <v>0</v>
      </c>
      <c r="T144" s="709">
        <v>0</v>
      </c>
      <c r="U144" s="709">
        <v>5525</v>
      </c>
      <c r="V144" s="709">
        <v>14407</v>
      </c>
      <c r="W144" s="709">
        <v>0</v>
      </c>
      <c r="X144" s="709">
        <v>0</v>
      </c>
      <c r="Y144" s="709">
        <v>0</v>
      </c>
      <c r="Z144" s="709">
        <v>0</v>
      </c>
      <c r="AA144" s="709">
        <v>0</v>
      </c>
      <c r="AB144" s="709">
        <v>0</v>
      </c>
      <c r="AC144" s="709">
        <v>4258</v>
      </c>
      <c r="AD144" s="709">
        <v>276</v>
      </c>
      <c r="AE144" s="709">
        <v>0</v>
      </c>
      <c r="AF144" s="709">
        <v>0</v>
      </c>
      <c r="AG144" s="709">
        <v>60</v>
      </c>
      <c r="AH144" s="709">
        <v>0</v>
      </c>
      <c r="AI144" s="709">
        <v>2</v>
      </c>
      <c r="AJ144" s="709">
        <v>48</v>
      </c>
      <c r="AK144" s="709">
        <v>0</v>
      </c>
      <c r="AL144" s="709">
        <v>0</v>
      </c>
      <c r="AM144" s="709">
        <v>29025</v>
      </c>
      <c r="AN144" s="709">
        <v>0</v>
      </c>
      <c r="AO144" s="709">
        <v>0</v>
      </c>
      <c r="AP144" s="709">
        <v>0</v>
      </c>
      <c r="AQ144" s="709">
        <v>0</v>
      </c>
      <c r="AR144" s="709">
        <v>64</v>
      </c>
      <c r="AS144" s="709">
        <v>0</v>
      </c>
    </row>
    <row r="145" spans="1:45">
      <c r="A145" s="708" t="s">
        <v>1189</v>
      </c>
      <c r="B145" s="709">
        <v>62</v>
      </c>
      <c r="C145" s="709">
        <v>22</v>
      </c>
      <c r="D145" s="709">
        <v>0</v>
      </c>
      <c r="E145" s="709">
        <v>22</v>
      </c>
      <c r="F145" s="709">
        <v>0</v>
      </c>
      <c r="G145" s="709">
        <v>0</v>
      </c>
      <c r="H145" s="709">
        <v>0</v>
      </c>
      <c r="I145" s="709">
        <v>0</v>
      </c>
      <c r="J145" s="709">
        <v>0</v>
      </c>
      <c r="K145" s="709">
        <v>0</v>
      </c>
      <c r="L145" s="709">
        <v>0</v>
      </c>
      <c r="M145" s="709">
        <v>0</v>
      </c>
      <c r="N145" s="709">
        <v>0</v>
      </c>
      <c r="O145" s="709">
        <v>0</v>
      </c>
      <c r="P145" s="709">
        <v>0</v>
      </c>
      <c r="Q145" s="709">
        <v>0</v>
      </c>
      <c r="R145" s="709">
        <v>0</v>
      </c>
      <c r="S145" s="709">
        <v>0</v>
      </c>
      <c r="T145" s="709">
        <v>0</v>
      </c>
      <c r="U145" s="709">
        <v>0</v>
      </c>
      <c r="V145" s="709">
        <v>0</v>
      </c>
      <c r="W145" s="709">
        <v>0</v>
      </c>
      <c r="X145" s="709">
        <v>0</v>
      </c>
      <c r="Y145" s="709">
        <v>0</v>
      </c>
      <c r="Z145" s="709">
        <v>0</v>
      </c>
      <c r="AA145" s="709">
        <v>22</v>
      </c>
      <c r="AB145" s="709">
        <v>0</v>
      </c>
      <c r="AC145" s="709">
        <v>0</v>
      </c>
      <c r="AD145" s="709">
        <v>0</v>
      </c>
      <c r="AE145" s="709">
        <v>0</v>
      </c>
      <c r="AF145" s="709">
        <v>0</v>
      </c>
      <c r="AG145" s="709">
        <v>40</v>
      </c>
      <c r="AH145" s="709">
        <v>0</v>
      </c>
      <c r="AI145" s="709">
        <v>0</v>
      </c>
      <c r="AJ145" s="709">
        <v>0</v>
      </c>
      <c r="AK145" s="709">
        <v>0</v>
      </c>
      <c r="AL145" s="709">
        <v>0</v>
      </c>
      <c r="AM145" s="709">
        <v>0</v>
      </c>
      <c r="AN145" s="709">
        <v>0</v>
      </c>
      <c r="AO145" s="709">
        <v>0</v>
      </c>
      <c r="AP145" s="709">
        <v>0</v>
      </c>
      <c r="AQ145" s="709">
        <v>0</v>
      </c>
      <c r="AR145" s="709">
        <v>0</v>
      </c>
      <c r="AS145" s="709">
        <v>0</v>
      </c>
    </row>
    <row r="146" spans="1:45">
      <c r="A146" s="708" t="s">
        <v>1190</v>
      </c>
      <c r="B146" s="709">
        <v>431</v>
      </c>
      <c r="C146" s="709">
        <v>431</v>
      </c>
      <c r="D146" s="709">
        <v>431</v>
      </c>
      <c r="E146" s="709">
        <v>0</v>
      </c>
      <c r="F146" s="709">
        <v>296</v>
      </c>
      <c r="G146" s="709">
        <v>296</v>
      </c>
      <c r="H146" s="709">
        <v>296</v>
      </c>
      <c r="I146" s="709">
        <v>296</v>
      </c>
      <c r="J146" s="709">
        <v>296</v>
      </c>
      <c r="K146" s="709">
        <v>296</v>
      </c>
      <c r="L146" s="709">
        <v>0</v>
      </c>
      <c r="M146" s="709">
        <v>0</v>
      </c>
      <c r="N146" s="709">
        <v>0</v>
      </c>
      <c r="O146" s="709">
        <v>0</v>
      </c>
      <c r="P146" s="709">
        <v>11</v>
      </c>
      <c r="Q146" s="709">
        <v>0</v>
      </c>
      <c r="R146" s="709">
        <v>0</v>
      </c>
      <c r="S146" s="709">
        <v>0</v>
      </c>
      <c r="T146" s="709">
        <v>0</v>
      </c>
      <c r="U146" s="709">
        <v>0</v>
      </c>
      <c r="V146" s="709">
        <v>285</v>
      </c>
      <c r="W146" s="709">
        <v>0</v>
      </c>
      <c r="X146" s="709">
        <v>0</v>
      </c>
      <c r="Y146" s="709">
        <v>0</v>
      </c>
      <c r="Z146" s="709">
        <v>0</v>
      </c>
      <c r="AA146" s="709">
        <v>0</v>
      </c>
      <c r="AB146" s="709">
        <v>0</v>
      </c>
      <c r="AC146" s="709">
        <v>0</v>
      </c>
      <c r="AD146" s="709">
        <v>0</v>
      </c>
      <c r="AE146" s="709">
        <v>0</v>
      </c>
      <c r="AF146" s="709">
        <v>0</v>
      </c>
      <c r="AG146" s="709">
        <v>0</v>
      </c>
      <c r="AH146" s="709">
        <v>0</v>
      </c>
      <c r="AI146" s="709">
        <v>0</v>
      </c>
      <c r="AJ146" s="709">
        <v>0</v>
      </c>
      <c r="AK146" s="709">
        <v>135</v>
      </c>
      <c r="AL146" s="709">
        <v>0</v>
      </c>
      <c r="AM146" s="709">
        <v>431</v>
      </c>
      <c r="AN146" s="709">
        <v>0</v>
      </c>
      <c r="AO146" s="709">
        <v>0</v>
      </c>
      <c r="AP146" s="709">
        <v>0</v>
      </c>
      <c r="AQ146" s="709">
        <v>0</v>
      </c>
      <c r="AR146" s="709">
        <v>0</v>
      </c>
      <c r="AS146" s="709">
        <v>0</v>
      </c>
    </row>
    <row r="147" spans="1:45">
      <c r="A147" s="708" t="s">
        <v>1191</v>
      </c>
      <c r="B147" s="709">
        <v>281</v>
      </c>
      <c r="C147" s="709">
        <v>281</v>
      </c>
      <c r="D147" s="709">
        <v>268</v>
      </c>
      <c r="E147" s="709">
        <v>13</v>
      </c>
      <c r="F147" s="709">
        <v>17</v>
      </c>
      <c r="G147" s="709">
        <v>23</v>
      </c>
      <c r="H147" s="709">
        <v>23</v>
      </c>
      <c r="I147" s="709">
        <v>23</v>
      </c>
      <c r="J147" s="709">
        <v>23</v>
      </c>
      <c r="K147" s="709">
        <v>17</v>
      </c>
      <c r="L147" s="709">
        <v>0</v>
      </c>
      <c r="M147" s="709">
        <v>0</v>
      </c>
      <c r="N147" s="709">
        <v>0</v>
      </c>
      <c r="O147" s="709">
        <v>0</v>
      </c>
      <c r="P147" s="709">
        <v>0</v>
      </c>
      <c r="Q147" s="709">
        <v>0</v>
      </c>
      <c r="R147" s="709">
        <v>0</v>
      </c>
      <c r="S147" s="709">
        <v>0</v>
      </c>
      <c r="T147" s="709">
        <v>0</v>
      </c>
      <c r="U147" s="709">
        <v>0</v>
      </c>
      <c r="V147" s="709">
        <v>0</v>
      </c>
      <c r="W147" s="709">
        <v>0</v>
      </c>
      <c r="X147" s="709">
        <v>0</v>
      </c>
      <c r="Y147" s="709">
        <v>0</v>
      </c>
      <c r="Z147" s="709">
        <v>0</v>
      </c>
      <c r="AA147" s="709">
        <v>0</v>
      </c>
      <c r="AB147" s="709">
        <v>0</v>
      </c>
      <c r="AC147" s="709">
        <v>0</v>
      </c>
      <c r="AD147" s="709">
        <v>9</v>
      </c>
      <c r="AE147" s="709">
        <v>7</v>
      </c>
      <c r="AF147" s="709">
        <v>0</v>
      </c>
      <c r="AG147" s="709">
        <v>0</v>
      </c>
      <c r="AH147" s="709">
        <v>6</v>
      </c>
      <c r="AI147" s="709">
        <v>0</v>
      </c>
      <c r="AJ147" s="709">
        <v>8</v>
      </c>
      <c r="AK147" s="709">
        <v>251</v>
      </c>
      <c r="AL147" s="709">
        <v>0</v>
      </c>
      <c r="AM147" s="709">
        <v>303</v>
      </c>
      <c r="AN147" s="709">
        <v>0</v>
      </c>
      <c r="AO147" s="709">
        <v>35</v>
      </c>
      <c r="AP147" s="709">
        <v>0</v>
      </c>
      <c r="AQ147" s="709">
        <v>0</v>
      </c>
      <c r="AR147" s="709">
        <v>0</v>
      </c>
      <c r="AS147" s="709">
        <v>0</v>
      </c>
    </row>
    <row r="148" spans="1:45">
      <c r="A148" s="708" t="s">
        <v>1192</v>
      </c>
      <c r="B148" s="709">
        <v>890</v>
      </c>
      <c r="C148" s="709">
        <v>890</v>
      </c>
      <c r="D148" s="709">
        <v>890</v>
      </c>
      <c r="E148" s="709">
        <v>0</v>
      </c>
      <c r="F148" s="709">
        <v>890</v>
      </c>
      <c r="G148" s="709">
        <v>890</v>
      </c>
      <c r="H148" s="709">
        <v>890</v>
      </c>
      <c r="I148" s="709">
        <v>890</v>
      </c>
      <c r="J148" s="709">
        <v>890</v>
      </c>
      <c r="K148" s="709">
        <v>890</v>
      </c>
      <c r="L148" s="709">
        <v>0</v>
      </c>
      <c r="M148" s="709">
        <v>0</v>
      </c>
      <c r="N148" s="709">
        <v>0</v>
      </c>
      <c r="O148" s="709">
        <v>0</v>
      </c>
      <c r="P148" s="709">
        <v>643</v>
      </c>
      <c r="Q148" s="709">
        <v>0</v>
      </c>
      <c r="R148" s="709">
        <v>0</v>
      </c>
      <c r="S148" s="709">
        <v>0</v>
      </c>
      <c r="T148" s="709">
        <v>0</v>
      </c>
      <c r="U148" s="709">
        <v>0</v>
      </c>
      <c r="V148" s="709">
        <v>247</v>
      </c>
      <c r="W148" s="709">
        <v>0</v>
      </c>
      <c r="X148" s="709">
        <v>0</v>
      </c>
      <c r="Y148" s="709">
        <v>0</v>
      </c>
      <c r="Z148" s="709">
        <v>0</v>
      </c>
      <c r="AA148" s="709">
        <v>0</v>
      </c>
      <c r="AB148" s="709">
        <v>0</v>
      </c>
      <c r="AC148" s="709">
        <v>0</v>
      </c>
      <c r="AD148" s="709">
        <v>0</v>
      </c>
      <c r="AE148" s="709">
        <v>0</v>
      </c>
      <c r="AF148" s="709">
        <v>0</v>
      </c>
      <c r="AG148" s="709">
        <v>0</v>
      </c>
      <c r="AH148" s="709">
        <v>0</v>
      </c>
      <c r="AI148" s="709">
        <v>0</v>
      </c>
      <c r="AJ148" s="709">
        <v>0</v>
      </c>
      <c r="AK148" s="709">
        <v>0</v>
      </c>
      <c r="AL148" s="709">
        <v>0</v>
      </c>
      <c r="AM148" s="709">
        <v>890</v>
      </c>
      <c r="AN148" s="709">
        <v>0</v>
      </c>
      <c r="AO148" s="709">
        <v>0</v>
      </c>
      <c r="AP148" s="709">
        <v>0</v>
      </c>
      <c r="AQ148" s="709">
        <v>0</v>
      </c>
      <c r="AR148" s="709">
        <v>0</v>
      </c>
      <c r="AS148" s="709">
        <v>0</v>
      </c>
    </row>
    <row r="149" spans="1:45">
      <c r="A149" s="708" t="s">
        <v>1193</v>
      </c>
      <c r="B149" s="709">
        <v>193</v>
      </c>
      <c r="C149" s="709">
        <v>193</v>
      </c>
      <c r="D149" s="709">
        <v>130</v>
      </c>
      <c r="E149" s="709">
        <v>63</v>
      </c>
      <c r="F149" s="709">
        <v>2</v>
      </c>
      <c r="G149" s="709">
        <v>3</v>
      </c>
      <c r="H149" s="709">
        <v>3</v>
      </c>
      <c r="I149" s="709">
        <v>2</v>
      </c>
      <c r="J149" s="709">
        <v>2</v>
      </c>
      <c r="K149" s="709">
        <v>2</v>
      </c>
      <c r="L149" s="709">
        <v>0</v>
      </c>
      <c r="M149" s="709">
        <v>0</v>
      </c>
      <c r="N149" s="709">
        <v>0</v>
      </c>
      <c r="O149" s="709">
        <v>0</v>
      </c>
      <c r="P149" s="709">
        <v>0</v>
      </c>
      <c r="Q149" s="709">
        <v>0</v>
      </c>
      <c r="R149" s="709">
        <v>0</v>
      </c>
      <c r="S149" s="709">
        <v>0</v>
      </c>
      <c r="T149" s="709">
        <v>0</v>
      </c>
      <c r="U149" s="709">
        <v>0</v>
      </c>
      <c r="V149" s="709">
        <v>0</v>
      </c>
      <c r="W149" s="709">
        <v>0</v>
      </c>
      <c r="X149" s="709">
        <v>0</v>
      </c>
      <c r="Y149" s="709">
        <v>51</v>
      </c>
      <c r="Z149" s="709">
        <v>0</v>
      </c>
      <c r="AA149" s="709">
        <v>0</v>
      </c>
      <c r="AB149" s="709">
        <v>0</v>
      </c>
      <c r="AC149" s="709">
        <v>0</v>
      </c>
      <c r="AD149" s="709">
        <v>0</v>
      </c>
      <c r="AE149" s="709">
        <v>11</v>
      </c>
      <c r="AF149" s="709">
        <v>0</v>
      </c>
      <c r="AG149" s="709">
        <v>0</v>
      </c>
      <c r="AH149" s="709">
        <v>0</v>
      </c>
      <c r="AI149" s="709">
        <v>1</v>
      </c>
      <c r="AJ149" s="709">
        <v>2</v>
      </c>
      <c r="AK149" s="709">
        <v>0</v>
      </c>
      <c r="AL149" s="709">
        <v>128</v>
      </c>
      <c r="AM149" s="709">
        <v>130</v>
      </c>
      <c r="AN149" s="709">
        <v>0</v>
      </c>
      <c r="AO149" s="709">
        <v>0</v>
      </c>
      <c r="AP149" s="709">
        <v>0</v>
      </c>
      <c r="AQ149" s="709">
        <v>0</v>
      </c>
      <c r="AR149" s="709">
        <v>74</v>
      </c>
      <c r="AS149" s="709">
        <v>0</v>
      </c>
    </row>
    <row r="150" spans="1:45">
      <c r="A150" s="708" t="s">
        <v>1194</v>
      </c>
      <c r="B150" s="709">
        <v>0</v>
      </c>
      <c r="C150" s="709">
        <v>0</v>
      </c>
      <c r="D150" s="709">
        <v>0</v>
      </c>
      <c r="E150" s="709">
        <v>0</v>
      </c>
      <c r="F150" s="709">
        <v>0</v>
      </c>
      <c r="G150" s="709">
        <v>0</v>
      </c>
      <c r="H150" s="709">
        <v>0</v>
      </c>
      <c r="I150" s="709">
        <v>0</v>
      </c>
      <c r="J150" s="709">
        <v>0</v>
      </c>
      <c r="K150" s="709">
        <v>0</v>
      </c>
      <c r="L150" s="709">
        <v>0</v>
      </c>
      <c r="M150" s="709">
        <v>0</v>
      </c>
      <c r="N150" s="709">
        <v>0</v>
      </c>
      <c r="O150" s="709">
        <v>0</v>
      </c>
      <c r="P150" s="709">
        <v>0</v>
      </c>
      <c r="Q150" s="709">
        <v>0</v>
      </c>
      <c r="R150" s="709">
        <v>0</v>
      </c>
      <c r="S150" s="709">
        <v>0</v>
      </c>
      <c r="T150" s="709">
        <v>0</v>
      </c>
      <c r="U150" s="709">
        <v>0</v>
      </c>
      <c r="V150" s="709">
        <v>0</v>
      </c>
      <c r="W150" s="709">
        <v>0</v>
      </c>
      <c r="X150" s="709">
        <v>0</v>
      </c>
      <c r="Y150" s="709">
        <v>0</v>
      </c>
      <c r="Z150" s="709">
        <v>0</v>
      </c>
      <c r="AA150" s="709">
        <v>0</v>
      </c>
      <c r="AB150" s="709">
        <v>0</v>
      </c>
      <c r="AC150" s="709">
        <v>0</v>
      </c>
      <c r="AD150" s="709">
        <v>0</v>
      </c>
      <c r="AE150" s="709">
        <v>0</v>
      </c>
      <c r="AF150" s="709">
        <v>0</v>
      </c>
      <c r="AG150" s="709">
        <v>0</v>
      </c>
      <c r="AH150" s="709">
        <v>0</v>
      </c>
      <c r="AI150" s="709">
        <v>0</v>
      </c>
      <c r="AJ150" s="709">
        <v>0</v>
      </c>
      <c r="AK150" s="709">
        <v>0</v>
      </c>
      <c r="AL150" s="709">
        <v>0</v>
      </c>
      <c r="AM150" s="709">
        <v>0</v>
      </c>
      <c r="AN150" s="709">
        <v>0</v>
      </c>
      <c r="AO150" s="709">
        <v>0</v>
      </c>
      <c r="AP150" s="709">
        <v>0</v>
      </c>
      <c r="AQ150" s="709">
        <v>0</v>
      </c>
      <c r="AR150" s="709">
        <v>0</v>
      </c>
      <c r="AS150" s="709">
        <v>24</v>
      </c>
    </row>
    <row r="151" spans="1:45">
      <c r="A151" s="708" t="s">
        <v>1195</v>
      </c>
      <c r="B151" s="709">
        <v>0</v>
      </c>
      <c r="C151" s="709">
        <v>0</v>
      </c>
      <c r="D151" s="709">
        <v>0</v>
      </c>
      <c r="E151" s="709">
        <v>0</v>
      </c>
      <c r="F151" s="709">
        <v>0</v>
      </c>
      <c r="G151" s="709">
        <v>0</v>
      </c>
      <c r="H151" s="709">
        <v>0</v>
      </c>
      <c r="I151" s="709">
        <v>0</v>
      </c>
      <c r="J151" s="709">
        <v>0</v>
      </c>
      <c r="K151" s="709">
        <v>0</v>
      </c>
      <c r="L151" s="709">
        <v>0</v>
      </c>
      <c r="M151" s="709">
        <v>0</v>
      </c>
      <c r="N151" s="709">
        <v>0</v>
      </c>
      <c r="O151" s="709">
        <v>0</v>
      </c>
      <c r="P151" s="709">
        <v>0</v>
      </c>
      <c r="Q151" s="709">
        <v>0</v>
      </c>
      <c r="R151" s="709">
        <v>0</v>
      </c>
      <c r="S151" s="709">
        <v>0</v>
      </c>
      <c r="T151" s="709">
        <v>0</v>
      </c>
      <c r="U151" s="709">
        <v>0</v>
      </c>
      <c r="V151" s="709">
        <v>0</v>
      </c>
      <c r="W151" s="709">
        <v>0</v>
      </c>
      <c r="X151" s="709">
        <v>0</v>
      </c>
      <c r="Y151" s="709">
        <v>0</v>
      </c>
      <c r="Z151" s="709">
        <v>0</v>
      </c>
      <c r="AA151" s="709">
        <v>0</v>
      </c>
      <c r="AB151" s="709">
        <v>0</v>
      </c>
      <c r="AC151" s="709">
        <v>0</v>
      </c>
      <c r="AD151" s="709">
        <v>0</v>
      </c>
      <c r="AE151" s="709">
        <v>0</v>
      </c>
      <c r="AF151" s="709">
        <v>0</v>
      </c>
      <c r="AG151" s="709">
        <v>0</v>
      </c>
      <c r="AH151" s="709">
        <v>0</v>
      </c>
      <c r="AI151" s="709">
        <v>0</v>
      </c>
      <c r="AJ151" s="709">
        <v>0</v>
      </c>
      <c r="AK151" s="709">
        <v>0</v>
      </c>
      <c r="AL151" s="709">
        <v>0</v>
      </c>
      <c r="AM151" s="709">
        <v>0</v>
      </c>
      <c r="AN151" s="709">
        <v>0</v>
      </c>
      <c r="AO151" s="709">
        <v>0</v>
      </c>
      <c r="AP151" s="709">
        <v>0</v>
      </c>
      <c r="AQ151" s="709">
        <v>0</v>
      </c>
      <c r="AR151" s="709">
        <v>0</v>
      </c>
      <c r="AS151" s="709">
        <v>0</v>
      </c>
    </row>
    <row r="152" spans="1:45">
      <c r="A152" s="708" t="s">
        <v>1196</v>
      </c>
      <c r="B152" s="709">
        <v>0</v>
      </c>
      <c r="C152" s="709">
        <v>0</v>
      </c>
      <c r="D152" s="709">
        <v>0</v>
      </c>
      <c r="E152" s="709">
        <v>0</v>
      </c>
      <c r="F152" s="709">
        <v>0</v>
      </c>
      <c r="G152" s="709">
        <v>0</v>
      </c>
      <c r="H152" s="709">
        <v>0</v>
      </c>
      <c r="I152" s="709">
        <v>0</v>
      </c>
      <c r="J152" s="709">
        <v>0</v>
      </c>
      <c r="K152" s="709">
        <v>0</v>
      </c>
      <c r="L152" s="709">
        <v>0</v>
      </c>
      <c r="M152" s="709">
        <v>0</v>
      </c>
      <c r="N152" s="709">
        <v>0</v>
      </c>
      <c r="O152" s="709">
        <v>0</v>
      </c>
      <c r="P152" s="709">
        <v>0</v>
      </c>
      <c r="Q152" s="709">
        <v>0</v>
      </c>
      <c r="R152" s="709">
        <v>0</v>
      </c>
      <c r="S152" s="709">
        <v>0</v>
      </c>
      <c r="T152" s="709">
        <v>0</v>
      </c>
      <c r="U152" s="709">
        <v>0</v>
      </c>
      <c r="V152" s="709">
        <v>0</v>
      </c>
      <c r="W152" s="709">
        <v>0</v>
      </c>
      <c r="X152" s="709">
        <v>0</v>
      </c>
      <c r="Y152" s="709">
        <v>0</v>
      </c>
      <c r="Z152" s="709">
        <v>0</v>
      </c>
      <c r="AA152" s="709">
        <v>0</v>
      </c>
      <c r="AB152" s="709">
        <v>0</v>
      </c>
      <c r="AC152" s="709">
        <v>0</v>
      </c>
      <c r="AD152" s="709">
        <v>0</v>
      </c>
      <c r="AE152" s="709">
        <v>0</v>
      </c>
      <c r="AF152" s="709">
        <v>0</v>
      </c>
      <c r="AG152" s="709">
        <v>0</v>
      </c>
      <c r="AH152" s="709">
        <v>0</v>
      </c>
      <c r="AI152" s="709">
        <v>0</v>
      </c>
      <c r="AJ152" s="709">
        <v>0</v>
      </c>
      <c r="AK152" s="709">
        <v>0</v>
      </c>
      <c r="AL152" s="709">
        <v>0</v>
      </c>
      <c r="AM152" s="709">
        <v>0</v>
      </c>
      <c r="AN152" s="709">
        <v>0</v>
      </c>
      <c r="AO152" s="709">
        <v>0</v>
      </c>
      <c r="AP152" s="709">
        <v>0</v>
      </c>
      <c r="AQ152" s="709">
        <v>0</v>
      </c>
      <c r="AR152" s="709">
        <v>0</v>
      </c>
      <c r="AS152" s="709">
        <v>688</v>
      </c>
    </row>
    <row r="153" spans="1:45">
      <c r="A153" s="708" t="s">
        <v>1197</v>
      </c>
      <c r="B153" s="709">
        <v>1</v>
      </c>
      <c r="C153" s="709">
        <v>1</v>
      </c>
      <c r="D153" s="709">
        <v>0</v>
      </c>
      <c r="E153" s="709">
        <v>1</v>
      </c>
      <c r="F153" s="709">
        <v>0</v>
      </c>
      <c r="G153" s="709">
        <v>1</v>
      </c>
      <c r="H153" s="709">
        <v>1</v>
      </c>
      <c r="I153" s="709">
        <v>0</v>
      </c>
      <c r="J153" s="709">
        <v>0</v>
      </c>
      <c r="K153" s="709">
        <v>0</v>
      </c>
      <c r="L153" s="709">
        <v>0</v>
      </c>
      <c r="M153" s="709">
        <v>0</v>
      </c>
      <c r="N153" s="709">
        <v>0</v>
      </c>
      <c r="O153" s="709">
        <v>0</v>
      </c>
      <c r="P153" s="709">
        <v>0</v>
      </c>
      <c r="Q153" s="709">
        <v>0</v>
      </c>
      <c r="R153" s="709">
        <v>0</v>
      </c>
      <c r="S153" s="709">
        <v>0</v>
      </c>
      <c r="T153" s="709">
        <v>0</v>
      </c>
      <c r="U153" s="709">
        <v>0</v>
      </c>
      <c r="V153" s="709">
        <v>0</v>
      </c>
      <c r="W153" s="709">
        <v>0</v>
      </c>
      <c r="X153" s="709">
        <v>0</v>
      </c>
      <c r="Y153" s="709">
        <v>0</v>
      </c>
      <c r="Z153" s="709">
        <v>0</v>
      </c>
      <c r="AA153" s="709">
        <v>0</v>
      </c>
      <c r="AB153" s="709">
        <v>0</v>
      </c>
      <c r="AC153" s="709">
        <v>0</v>
      </c>
      <c r="AD153" s="709">
        <v>0</v>
      </c>
      <c r="AE153" s="709">
        <v>0</v>
      </c>
      <c r="AF153" s="709">
        <v>0</v>
      </c>
      <c r="AG153" s="709">
        <v>0</v>
      </c>
      <c r="AH153" s="709">
        <v>0</v>
      </c>
      <c r="AI153" s="709">
        <v>1</v>
      </c>
      <c r="AJ153" s="709">
        <v>0</v>
      </c>
      <c r="AK153" s="709">
        <v>0</v>
      </c>
      <c r="AL153" s="709">
        <v>0</v>
      </c>
      <c r="AM153" s="709">
        <v>0</v>
      </c>
      <c r="AN153" s="709">
        <v>0</v>
      </c>
      <c r="AO153" s="709">
        <v>0</v>
      </c>
      <c r="AP153" s="709">
        <v>0</v>
      </c>
      <c r="AQ153" s="709">
        <v>0</v>
      </c>
      <c r="AR153" s="709">
        <v>0</v>
      </c>
      <c r="AS153" s="709">
        <v>0</v>
      </c>
    </row>
    <row r="154" spans="1:45">
      <c r="A154" s="708" t="s">
        <v>1198</v>
      </c>
      <c r="B154" s="709">
        <v>0</v>
      </c>
      <c r="C154" s="709">
        <v>0</v>
      </c>
      <c r="D154" s="709">
        <v>0</v>
      </c>
      <c r="E154" s="709">
        <v>0</v>
      </c>
      <c r="F154" s="709">
        <v>0</v>
      </c>
      <c r="G154" s="709">
        <v>0</v>
      </c>
      <c r="H154" s="709">
        <v>0</v>
      </c>
      <c r="I154" s="709">
        <v>0</v>
      </c>
      <c r="J154" s="709">
        <v>0</v>
      </c>
      <c r="K154" s="709">
        <v>0</v>
      </c>
      <c r="L154" s="709">
        <v>0</v>
      </c>
      <c r="M154" s="709">
        <v>0</v>
      </c>
      <c r="N154" s="709">
        <v>0</v>
      </c>
      <c r="O154" s="709">
        <v>0</v>
      </c>
      <c r="P154" s="709">
        <v>0</v>
      </c>
      <c r="Q154" s="709">
        <v>0</v>
      </c>
      <c r="R154" s="709">
        <v>0</v>
      </c>
      <c r="S154" s="709">
        <v>0</v>
      </c>
      <c r="T154" s="709">
        <v>0</v>
      </c>
      <c r="U154" s="709">
        <v>0</v>
      </c>
      <c r="V154" s="709">
        <v>0</v>
      </c>
      <c r="W154" s="709">
        <v>0</v>
      </c>
      <c r="X154" s="709">
        <v>0</v>
      </c>
      <c r="Y154" s="709">
        <v>0</v>
      </c>
      <c r="Z154" s="709">
        <v>0</v>
      </c>
      <c r="AA154" s="709">
        <v>0</v>
      </c>
      <c r="AB154" s="709">
        <v>0</v>
      </c>
      <c r="AC154" s="709">
        <v>0</v>
      </c>
      <c r="AD154" s="709">
        <v>0</v>
      </c>
      <c r="AE154" s="709">
        <v>0</v>
      </c>
      <c r="AF154" s="709">
        <v>0</v>
      </c>
      <c r="AG154" s="709">
        <v>0</v>
      </c>
      <c r="AH154" s="709">
        <v>0</v>
      </c>
      <c r="AI154" s="709">
        <v>0</v>
      </c>
      <c r="AJ154" s="709">
        <v>0</v>
      </c>
      <c r="AK154" s="709">
        <v>0</v>
      </c>
      <c r="AL154" s="709">
        <v>0</v>
      </c>
      <c r="AM154" s="709">
        <v>0</v>
      </c>
      <c r="AN154" s="709">
        <v>0</v>
      </c>
      <c r="AO154" s="709">
        <v>0</v>
      </c>
      <c r="AP154" s="709">
        <v>0</v>
      </c>
      <c r="AQ154" s="709">
        <v>0</v>
      </c>
      <c r="AR154" s="709">
        <v>0</v>
      </c>
      <c r="AS154" s="709">
        <v>0</v>
      </c>
    </row>
    <row r="155" spans="1:45">
      <c r="A155" s="708" t="s">
        <v>1199</v>
      </c>
      <c r="B155" s="709">
        <v>4</v>
      </c>
      <c r="C155" s="709">
        <v>4</v>
      </c>
      <c r="D155" s="709">
        <v>4</v>
      </c>
      <c r="E155" s="709">
        <v>0</v>
      </c>
      <c r="F155" s="709">
        <v>0</v>
      </c>
      <c r="G155" s="709">
        <v>0</v>
      </c>
      <c r="H155" s="709">
        <v>0</v>
      </c>
      <c r="I155" s="709">
        <v>0</v>
      </c>
      <c r="J155" s="709">
        <v>0</v>
      </c>
      <c r="K155" s="709">
        <v>0</v>
      </c>
      <c r="L155" s="709">
        <v>0</v>
      </c>
      <c r="M155" s="709">
        <v>0</v>
      </c>
      <c r="N155" s="709">
        <v>0</v>
      </c>
      <c r="O155" s="709">
        <v>0</v>
      </c>
      <c r="P155" s="709">
        <v>0</v>
      </c>
      <c r="Q155" s="709">
        <v>0</v>
      </c>
      <c r="R155" s="709">
        <v>0</v>
      </c>
      <c r="S155" s="709">
        <v>0</v>
      </c>
      <c r="T155" s="709">
        <v>0</v>
      </c>
      <c r="U155" s="709">
        <v>0</v>
      </c>
      <c r="V155" s="709">
        <v>0</v>
      </c>
      <c r="W155" s="709">
        <v>0</v>
      </c>
      <c r="X155" s="709">
        <v>0</v>
      </c>
      <c r="Y155" s="709">
        <v>0</v>
      </c>
      <c r="Z155" s="709">
        <v>0</v>
      </c>
      <c r="AA155" s="709">
        <v>0</v>
      </c>
      <c r="AB155" s="709">
        <v>0</v>
      </c>
      <c r="AC155" s="709">
        <v>0</v>
      </c>
      <c r="AD155" s="709">
        <v>0</v>
      </c>
      <c r="AE155" s="709">
        <v>0</v>
      </c>
      <c r="AF155" s="709">
        <v>0</v>
      </c>
      <c r="AG155" s="709">
        <v>0</v>
      </c>
      <c r="AH155" s="709">
        <v>0</v>
      </c>
      <c r="AI155" s="709">
        <v>0</v>
      </c>
      <c r="AJ155" s="709">
        <v>0</v>
      </c>
      <c r="AK155" s="709">
        <v>4</v>
      </c>
      <c r="AL155" s="709">
        <v>0</v>
      </c>
      <c r="AM155" s="709">
        <v>4</v>
      </c>
      <c r="AN155" s="709">
        <v>0</v>
      </c>
      <c r="AO155" s="709">
        <v>0</v>
      </c>
      <c r="AP155" s="709">
        <v>0</v>
      </c>
      <c r="AQ155" s="709">
        <v>0</v>
      </c>
      <c r="AR155" s="709">
        <v>0</v>
      </c>
      <c r="AS155" s="709">
        <v>0</v>
      </c>
    </row>
    <row r="156" spans="1:45">
      <c r="A156" s="708" t="s">
        <v>1200</v>
      </c>
      <c r="B156" s="709">
        <v>0</v>
      </c>
      <c r="C156" s="709">
        <v>0</v>
      </c>
      <c r="D156" s="709">
        <v>0</v>
      </c>
      <c r="E156" s="709">
        <v>0</v>
      </c>
      <c r="F156" s="709">
        <v>0</v>
      </c>
      <c r="G156" s="709">
        <v>0</v>
      </c>
      <c r="H156" s="709">
        <v>0</v>
      </c>
      <c r="I156" s="709">
        <v>0</v>
      </c>
      <c r="J156" s="709">
        <v>0</v>
      </c>
      <c r="K156" s="709">
        <v>0</v>
      </c>
      <c r="L156" s="709">
        <v>0</v>
      </c>
      <c r="M156" s="709">
        <v>0</v>
      </c>
      <c r="N156" s="709">
        <v>0</v>
      </c>
      <c r="O156" s="709">
        <v>0</v>
      </c>
      <c r="P156" s="709">
        <v>0</v>
      </c>
      <c r="Q156" s="709">
        <v>0</v>
      </c>
      <c r="R156" s="709">
        <v>0</v>
      </c>
      <c r="S156" s="709">
        <v>0</v>
      </c>
      <c r="T156" s="709">
        <v>0</v>
      </c>
      <c r="U156" s="709">
        <v>0</v>
      </c>
      <c r="V156" s="709">
        <v>0</v>
      </c>
      <c r="W156" s="709">
        <v>0</v>
      </c>
      <c r="X156" s="709">
        <v>0</v>
      </c>
      <c r="Y156" s="709">
        <v>0</v>
      </c>
      <c r="Z156" s="709">
        <v>0</v>
      </c>
      <c r="AA156" s="709">
        <v>0</v>
      </c>
      <c r="AB156" s="709">
        <v>0</v>
      </c>
      <c r="AC156" s="709">
        <v>0</v>
      </c>
      <c r="AD156" s="709">
        <v>0</v>
      </c>
      <c r="AE156" s="709">
        <v>0</v>
      </c>
      <c r="AF156" s="709">
        <v>0</v>
      </c>
      <c r="AG156" s="709">
        <v>0</v>
      </c>
      <c r="AH156" s="709">
        <v>0</v>
      </c>
      <c r="AI156" s="709">
        <v>0</v>
      </c>
      <c r="AJ156" s="709">
        <v>0</v>
      </c>
      <c r="AK156" s="709">
        <v>0</v>
      </c>
      <c r="AL156" s="709">
        <v>0</v>
      </c>
      <c r="AM156" s="709">
        <v>0</v>
      </c>
      <c r="AN156" s="709">
        <v>0</v>
      </c>
      <c r="AO156" s="709">
        <v>0</v>
      </c>
      <c r="AP156" s="709">
        <v>0</v>
      </c>
      <c r="AQ156" s="709">
        <v>0</v>
      </c>
      <c r="AR156" s="709">
        <v>0</v>
      </c>
      <c r="AS156" s="709">
        <v>0</v>
      </c>
    </row>
    <row r="157" spans="1:45">
      <c r="A157" s="708" t="s">
        <v>1201</v>
      </c>
      <c r="B157" s="709">
        <v>0</v>
      </c>
      <c r="C157" s="709">
        <v>0</v>
      </c>
      <c r="D157" s="709">
        <v>0</v>
      </c>
      <c r="E157" s="709">
        <v>0</v>
      </c>
      <c r="F157" s="709">
        <v>0</v>
      </c>
      <c r="G157" s="709">
        <v>0</v>
      </c>
      <c r="H157" s="709">
        <v>0</v>
      </c>
      <c r="I157" s="709">
        <v>0</v>
      </c>
      <c r="J157" s="709">
        <v>0</v>
      </c>
      <c r="K157" s="709">
        <v>0</v>
      </c>
      <c r="L157" s="709">
        <v>0</v>
      </c>
      <c r="M157" s="709">
        <v>0</v>
      </c>
      <c r="N157" s="709">
        <v>0</v>
      </c>
      <c r="O157" s="709">
        <v>0</v>
      </c>
      <c r="P157" s="709">
        <v>0</v>
      </c>
      <c r="Q157" s="709">
        <v>0</v>
      </c>
      <c r="R157" s="709">
        <v>0</v>
      </c>
      <c r="S157" s="709">
        <v>0</v>
      </c>
      <c r="T157" s="709">
        <v>0</v>
      </c>
      <c r="U157" s="709">
        <v>0</v>
      </c>
      <c r="V157" s="709">
        <v>0</v>
      </c>
      <c r="W157" s="709">
        <v>0</v>
      </c>
      <c r="X157" s="709">
        <v>0</v>
      </c>
      <c r="Y157" s="709">
        <v>0</v>
      </c>
      <c r="Z157" s="709">
        <v>0</v>
      </c>
      <c r="AA157" s="709">
        <v>0</v>
      </c>
      <c r="AB157" s="709">
        <v>0</v>
      </c>
      <c r="AC157" s="709">
        <v>0</v>
      </c>
      <c r="AD157" s="709">
        <v>0</v>
      </c>
      <c r="AE157" s="709">
        <v>0</v>
      </c>
      <c r="AF157" s="709">
        <v>0</v>
      </c>
      <c r="AG157" s="709">
        <v>0</v>
      </c>
      <c r="AH157" s="709">
        <v>0</v>
      </c>
      <c r="AI157" s="709">
        <v>0</v>
      </c>
      <c r="AJ157" s="709">
        <v>0</v>
      </c>
      <c r="AK157" s="709">
        <v>0</v>
      </c>
      <c r="AL157" s="709">
        <v>0</v>
      </c>
      <c r="AM157" s="709">
        <v>0</v>
      </c>
      <c r="AN157" s="709">
        <v>0</v>
      </c>
      <c r="AO157" s="709">
        <v>0</v>
      </c>
      <c r="AP157" s="709">
        <v>0</v>
      </c>
      <c r="AQ157" s="709">
        <v>0</v>
      </c>
      <c r="AR157" s="709">
        <v>0</v>
      </c>
      <c r="AS157" s="709">
        <v>0</v>
      </c>
    </row>
    <row r="158" spans="1:45">
      <c r="A158" s="708" t="s">
        <v>1202</v>
      </c>
      <c r="B158" s="709">
        <v>0</v>
      </c>
      <c r="C158" s="709">
        <v>0</v>
      </c>
      <c r="D158" s="709">
        <v>0</v>
      </c>
      <c r="E158" s="709">
        <v>0</v>
      </c>
      <c r="F158" s="709">
        <v>0</v>
      </c>
      <c r="G158" s="709">
        <v>0</v>
      </c>
      <c r="H158" s="709">
        <v>0</v>
      </c>
      <c r="I158" s="709">
        <v>0</v>
      </c>
      <c r="J158" s="709">
        <v>0</v>
      </c>
      <c r="K158" s="709">
        <v>0</v>
      </c>
      <c r="L158" s="709">
        <v>0</v>
      </c>
      <c r="M158" s="709">
        <v>0</v>
      </c>
      <c r="N158" s="709">
        <v>0</v>
      </c>
      <c r="O158" s="709">
        <v>0</v>
      </c>
      <c r="P158" s="709">
        <v>0</v>
      </c>
      <c r="Q158" s="709">
        <v>0</v>
      </c>
      <c r="R158" s="709">
        <v>0</v>
      </c>
      <c r="S158" s="709">
        <v>0</v>
      </c>
      <c r="T158" s="709">
        <v>0</v>
      </c>
      <c r="U158" s="709">
        <v>0</v>
      </c>
      <c r="V158" s="709">
        <v>0</v>
      </c>
      <c r="W158" s="709">
        <v>0</v>
      </c>
      <c r="X158" s="709">
        <v>0</v>
      </c>
      <c r="Y158" s="709">
        <v>0</v>
      </c>
      <c r="Z158" s="709">
        <v>0</v>
      </c>
      <c r="AA158" s="709">
        <v>0</v>
      </c>
      <c r="AB158" s="709">
        <v>0</v>
      </c>
      <c r="AC158" s="709">
        <v>0</v>
      </c>
      <c r="AD158" s="709">
        <v>0</v>
      </c>
      <c r="AE158" s="709">
        <v>0</v>
      </c>
      <c r="AF158" s="709">
        <v>0</v>
      </c>
      <c r="AG158" s="709">
        <v>0</v>
      </c>
      <c r="AH158" s="709">
        <v>0</v>
      </c>
      <c r="AI158" s="709">
        <v>0</v>
      </c>
      <c r="AJ158" s="709">
        <v>0</v>
      </c>
      <c r="AK158" s="709">
        <v>0</v>
      </c>
      <c r="AL158" s="709">
        <v>0</v>
      </c>
      <c r="AM158" s="709">
        <v>0</v>
      </c>
      <c r="AN158" s="709">
        <v>0</v>
      </c>
      <c r="AO158" s="709">
        <v>0</v>
      </c>
      <c r="AP158" s="709">
        <v>0</v>
      </c>
      <c r="AQ158" s="709">
        <v>0</v>
      </c>
      <c r="AR158" s="709">
        <v>0</v>
      </c>
      <c r="AS158" s="709">
        <v>0</v>
      </c>
    </row>
    <row r="159" spans="1:45">
      <c r="A159" s="708" t="s">
        <v>1203</v>
      </c>
      <c r="B159" s="709">
        <v>0</v>
      </c>
      <c r="C159" s="709">
        <v>0</v>
      </c>
      <c r="D159" s="709">
        <v>0</v>
      </c>
      <c r="E159" s="709">
        <v>0</v>
      </c>
      <c r="F159" s="709">
        <v>0</v>
      </c>
      <c r="G159" s="709">
        <v>0</v>
      </c>
      <c r="H159" s="709">
        <v>0</v>
      </c>
      <c r="I159" s="709">
        <v>0</v>
      </c>
      <c r="J159" s="709">
        <v>0</v>
      </c>
      <c r="K159" s="709">
        <v>0</v>
      </c>
      <c r="L159" s="709">
        <v>0</v>
      </c>
      <c r="M159" s="709">
        <v>0</v>
      </c>
      <c r="N159" s="709">
        <v>0</v>
      </c>
      <c r="O159" s="709">
        <v>0</v>
      </c>
      <c r="P159" s="709">
        <v>0</v>
      </c>
      <c r="Q159" s="709">
        <v>0</v>
      </c>
      <c r="R159" s="709">
        <v>0</v>
      </c>
      <c r="S159" s="709">
        <v>0</v>
      </c>
      <c r="T159" s="709">
        <v>0</v>
      </c>
      <c r="U159" s="709">
        <v>0</v>
      </c>
      <c r="V159" s="709">
        <v>0</v>
      </c>
      <c r="W159" s="709">
        <v>0</v>
      </c>
      <c r="X159" s="709">
        <v>0</v>
      </c>
      <c r="Y159" s="709">
        <v>0</v>
      </c>
      <c r="Z159" s="709">
        <v>0</v>
      </c>
      <c r="AA159" s="709">
        <v>0</v>
      </c>
      <c r="AB159" s="709">
        <v>0</v>
      </c>
      <c r="AC159" s="709">
        <v>0</v>
      </c>
      <c r="AD159" s="709">
        <v>0</v>
      </c>
      <c r="AE159" s="709">
        <v>0</v>
      </c>
      <c r="AF159" s="709">
        <v>0</v>
      </c>
      <c r="AG159" s="709">
        <v>0</v>
      </c>
      <c r="AH159" s="709">
        <v>0</v>
      </c>
      <c r="AI159" s="709">
        <v>0</v>
      </c>
      <c r="AJ159" s="709">
        <v>0</v>
      </c>
      <c r="AK159" s="709">
        <v>0</v>
      </c>
      <c r="AL159" s="709">
        <v>0</v>
      </c>
      <c r="AM159" s="709">
        <v>0</v>
      </c>
      <c r="AN159" s="709">
        <v>0</v>
      </c>
      <c r="AO159" s="709">
        <v>0</v>
      </c>
      <c r="AP159" s="709">
        <v>0</v>
      </c>
      <c r="AQ159" s="709">
        <v>0</v>
      </c>
      <c r="AR159" s="709">
        <v>0</v>
      </c>
      <c r="AS159" s="709">
        <v>0</v>
      </c>
    </row>
    <row r="160" spans="1:45">
      <c r="A160" s="708" t="s">
        <v>1204</v>
      </c>
      <c r="B160" s="709">
        <v>0</v>
      </c>
      <c r="C160" s="709">
        <v>0</v>
      </c>
      <c r="D160" s="709">
        <v>0</v>
      </c>
      <c r="E160" s="709">
        <v>0</v>
      </c>
      <c r="F160" s="709">
        <v>0</v>
      </c>
      <c r="G160" s="709">
        <v>0</v>
      </c>
      <c r="H160" s="709">
        <v>0</v>
      </c>
      <c r="I160" s="709">
        <v>0</v>
      </c>
      <c r="J160" s="709">
        <v>0</v>
      </c>
      <c r="K160" s="709">
        <v>0</v>
      </c>
      <c r="L160" s="709">
        <v>0</v>
      </c>
      <c r="M160" s="709">
        <v>0</v>
      </c>
      <c r="N160" s="709">
        <v>0</v>
      </c>
      <c r="O160" s="709">
        <v>0</v>
      </c>
      <c r="P160" s="709">
        <v>0</v>
      </c>
      <c r="Q160" s="709">
        <v>0</v>
      </c>
      <c r="R160" s="709">
        <v>0</v>
      </c>
      <c r="S160" s="709">
        <v>0</v>
      </c>
      <c r="T160" s="709">
        <v>0</v>
      </c>
      <c r="U160" s="709">
        <v>0</v>
      </c>
      <c r="V160" s="709">
        <v>0</v>
      </c>
      <c r="W160" s="709">
        <v>0</v>
      </c>
      <c r="X160" s="709">
        <v>0</v>
      </c>
      <c r="Y160" s="709">
        <v>0</v>
      </c>
      <c r="Z160" s="709">
        <v>0</v>
      </c>
      <c r="AA160" s="709">
        <v>0</v>
      </c>
      <c r="AB160" s="709">
        <v>0</v>
      </c>
      <c r="AC160" s="709">
        <v>0</v>
      </c>
      <c r="AD160" s="709">
        <v>0</v>
      </c>
      <c r="AE160" s="709">
        <v>0</v>
      </c>
      <c r="AF160" s="709">
        <v>0</v>
      </c>
      <c r="AG160" s="709">
        <v>0</v>
      </c>
      <c r="AH160" s="709">
        <v>0</v>
      </c>
      <c r="AI160" s="709">
        <v>0</v>
      </c>
      <c r="AJ160" s="709">
        <v>0</v>
      </c>
      <c r="AK160" s="709">
        <v>0</v>
      </c>
      <c r="AL160" s="709">
        <v>0</v>
      </c>
      <c r="AM160" s="709">
        <v>0</v>
      </c>
      <c r="AN160" s="709">
        <v>0</v>
      </c>
      <c r="AO160" s="709">
        <v>0</v>
      </c>
      <c r="AP160" s="709">
        <v>0</v>
      </c>
      <c r="AQ160" s="709">
        <v>0</v>
      </c>
      <c r="AR160" s="709">
        <v>0</v>
      </c>
      <c r="AS160" s="709">
        <v>0</v>
      </c>
    </row>
    <row r="161" spans="1:45">
      <c r="A161" s="708" t="s">
        <v>1205</v>
      </c>
      <c r="B161" s="709">
        <v>0</v>
      </c>
      <c r="C161" s="709">
        <v>0</v>
      </c>
      <c r="D161" s="709">
        <v>0</v>
      </c>
      <c r="E161" s="709">
        <v>0</v>
      </c>
      <c r="F161" s="709">
        <v>0</v>
      </c>
      <c r="G161" s="709">
        <v>0</v>
      </c>
      <c r="H161" s="709">
        <v>0</v>
      </c>
      <c r="I161" s="709">
        <v>0</v>
      </c>
      <c r="J161" s="709">
        <v>0</v>
      </c>
      <c r="K161" s="709">
        <v>0</v>
      </c>
      <c r="L161" s="709">
        <v>0</v>
      </c>
      <c r="M161" s="709">
        <v>0</v>
      </c>
      <c r="N161" s="709">
        <v>0</v>
      </c>
      <c r="O161" s="709">
        <v>0</v>
      </c>
      <c r="P161" s="709">
        <v>0</v>
      </c>
      <c r="Q161" s="709">
        <v>0</v>
      </c>
      <c r="R161" s="709">
        <v>0</v>
      </c>
      <c r="S161" s="709">
        <v>0</v>
      </c>
      <c r="T161" s="709">
        <v>0</v>
      </c>
      <c r="U161" s="709">
        <v>0</v>
      </c>
      <c r="V161" s="709">
        <v>0</v>
      </c>
      <c r="W161" s="709">
        <v>0</v>
      </c>
      <c r="X161" s="709">
        <v>0</v>
      </c>
      <c r="Y161" s="709">
        <v>0</v>
      </c>
      <c r="Z161" s="709">
        <v>0</v>
      </c>
      <c r="AA161" s="709">
        <v>0</v>
      </c>
      <c r="AB161" s="709">
        <v>0</v>
      </c>
      <c r="AC161" s="709">
        <v>0</v>
      </c>
      <c r="AD161" s="709">
        <v>0</v>
      </c>
      <c r="AE161" s="709">
        <v>0</v>
      </c>
      <c r="AF161" s="709">
        <v>0</v>
      </c>
      <c r="AG161" s="709">
        <v>0</v>
      </c>
      <c r="AH161" s="709">
        <v>0</v>
      </c>
      <c r="AI161" s="709">
        <v>0</v>
      </c>
      <c r="AJ161" s="709">
        <v>0</v>
      </c>
      <c r="AK161" s="709">
        <v>0</v>
      </c>
      <c r="AL161" s="709">
        <v>0</v>
      </c>
      <c r="AM161" s="709">
        <v>0</v>
      </c>
      <c r="AN161" s="709">
        <v>0</v>
      </c>
      <c r="AO161" s="709">
        <v>0</v>
      </c>
      <c r="AP161" s="709">
        <v>0</v>
      </c>
      <c r="AQ161" s="709">
        <v>0</v>
      </c>
      <c r="AR161" s="709">
        <v>0</v>
      </c>
      <c r="AS161" s="709">
        <v>0</v>
      </c>
    </row>
    <row r="162" spans="1:45">
      <c r="A162" s="708" t="s">
        <v>1206</v>
      </c>
      <c r="B162" s="709">
        <v>3418</v>
      </c>
      <c r="C162" s="709">
        <v>3393</v>
      </c>
      <c r="D162" s="709">
        <v>3256</v>
      </c>
      <c r="E162" s="709">
        <v>137</v>
      </c>
      <c r="F162" s="709">
        <v>2305</v>
      </c>
      <c r="G162" s="709">
        <v>2305</v>
      </c>
      <c r="H162" s="709">
        <v>2305</v>
      </c>
      <c r="I162" s="709">
        <v>2305</v>
      </c>
      <c r="J162" s="709">
        <v>2305</v>
      </c>
      <c r="K162" s="709">
        <v>2305</v>
      </c>
      <c r="L162" s="709">
        <v>0</v>
      </c>
      <c r="M162" s="709">
        <v>0</v>
      </c>
      <c r="N162" s="709">
        <v>69</v>
      </c>
      <c r="O162" s="709">
        <v>94</v>
      </c>
      <c r="P162" s="709">
        <v>1891</v>
      </c>
      <c r="Q162" s="709">
        <v>0</v>
      </c>
      <c r="R162" s="709">
        <v>0</v>
      </c>
      <c r="S162" s="709">
        <v>15</v>
      </c>
      <c r="T162" s="709">
        <v>0</v>
      </c>
      <c r="U162" s="709">
        <v>44</v>
      </c>
      <c r="V162" s="709">
        <v>187</v>
      </c>
      <c r="W162" s="709">
        <v>0</v>
      </c>
      <c r="X162" s="709">
        <v>0</v>
      </c>
      <c r="Y162" s="709">
        <v>0</v>
      </c>
      <c r="Z162" s="709">
        <v>4</v>
      </c>
      <c r="AA162" s="709">
        <v>12</v>
      </c>
      <c r="AB162" s="709">
        <v>0</v>
      </c>
      <c r="AC162" s="709">
        <v>33</v>
      </c>
      <c r="AD162" s="709">
        <v>88</v>
      </c>
      <c r="AE162" s="709">
        <v>56</v>
      </c>
      <c r="AF162" s="709">
        <v>0</v>
      </c>
      <c r="AG162" s="709">
        <v>25</v>
      </c>
      <c r="AH162" s="709">
        <v>0</v>
      </c>
      <c r="AI162" s="709">
        <v>0</v>
      </c>
      <c r="AJ162" s="709">
        <v>43</v>
      </c>
      <c r="AK162" s="709">
        <v>857</v>
      </c>
      <c r="AL162" s="709">
        <v>0</v>
      </c>
      <c r="AM162" s="709">
        <v>3256</v>
      </c>
      <c r="AN162" s="709">
        <v>0</v>
      </c>
      <c r="AO162" s="709">
        <v>0</v>
      </c>
      <c r="AP162" s="709">
        <v>65</v>
      </c>
      <c r="AQ162" s="709">
        <v>17</v>
      </c>
      <c r="AR162" s="709">
        <v>0</v>
      </c>
      <c r="AS162" s="709">
        <v>0</v>
      </c>
    </row>
    <row r="163" spans="1:45">
      <c r="A163" s="708" t="s">
        <v>1207</v>
      </c>
      <c r="B163" s="709">
        <v>6039</v>
      </c>
      <c r="C163" s="709">
        <v>5154</v>
      </c>
      <c r="D163" s="709">
        <v>4125</v>
      </c>
      <c r="E163" s="709">
        <v>1029</v>
      </c>
      <c r="F163" s="709">
        <v>1408</v>
      </c>
      <c r="G163" s="709">
        <v>1529</v>
      </c>
      <c r="H163" s="709">
        <v>1529</v>
      </c>
      <c r="I163" s="709">
        <v>1528</v>
      </c>
      <c r="J163" s="709">
        <v>1528</v>
      </c>
      <c r="K163" s="709">
        <v>1408</v>
      </c>
      <c r="L163" s="709">
        <v>0</v>
      </c>
      <c r="M163" s="709">
        <v>38</v>
      </c>
      <c r="N163" s="709">
        <v>69</v>
      </c>
      <c r="O163" s="709">
        <v>641</v>
      </c>
      <c r="P163" s="709">
        <v>700</v>
      </c>
      <c r="Q163" s="709">
        <v>0</v>
      </c>
      <c r="R163" s="709">
        <v>0</v>
      </c>
      <c r="S163" s="709">
        <v>0</v>
      </c>
      <c r="T163" s="709">
        <v>0</v>
      </c>
      <c r="U163" s="709">
        <v>0</v>
      </c>
      <c r="V163" s="709">
        <v>0</v>
      </c>
      <c r="W163" s="709">
        <v>0</v>
      </c>
      <c r="X163" s="709">
        <v>34</v>
      </c>
      <c r="Y163" s="709">
        <v>49</v>
      </c>
      <c r="Z163" s="709">
        <v>13</v>
      </c>
      <c r="AA163" s="709">
        <v>54</v>
      </c>
      <c r="AB163" s="709">
        <v>0</v>
      </c>
      <c r="AC163" s="709">
        <v>0</v>
      </c>
      <c r="AD163" s="709">
        <v>31</v>
      </c>
      <c r="AE163" s="709">
        <v>702</v>
      </c>
      <c r="AF163" s="709">
        <v>0</v>
      </c>
      <c r="AG163" s="709">
        <v>847</v>
      </c>
      <c r="AH163" s="709">
        <v>120</v>
      </c>
      <c r="AI163" s="709">
        <v>1</v>
      </c>
      <c r="AJ163" s="709">
        <v>664</v>
      </c>
      <c r="AK163" s="709">
        <v>2076</v>
      </c>
      <c r="AL163" s="709">
        <v>0</v>
      </c>
      <c r="AM163" s="709">
        <v>4533</v>
      </c>
      <c r="AN163" s="709">
        <v>0</v>
      </c>
      <c r="AO163" s="709">
        <v>408</v>
      </c>
      <c r="AP163" s="709">
        <v>231</v>
      </c>
      <c r="AQ163" s="709">
        <v>230</v>
      </c>
      <c r="AR163" s="709">
        <v>0</v>
      </c>
      <c r="AS163" s="709">
        <v>0</v>
      </c>
    </row>
    <row r="164" spans="1:45">
      <c r="A164" s="708" t="s">
        <v>1208</v>
      </c>
      <c r="B164" s="709">
        <v>1670</v>
      </c>
      <c r="C164" s="709">
        <v>1670</v>
      </c>
      <c r="D164" s="709">
        <v>1626</v>
      </c>
      <c r="E164" s="709">
        <v>44</v>
      </c>
      <c r="F164" s="709">
        <v>1612</v>
      </c>
      <c r="G164" s="709">
        <v>1612</v>
      </c>
      <c r="H164" s="709">
        <v>1612</v>
      </c>
      <c r="I164" s="709">
        <v>1612</v>
      </c>
      <c r="J164" s="709">
        <v>1612</v>
      </c>
      <c r="K164" s="709">
        <v>1612</v>
      </c>
      <c r="L164" s="709">
        <v>0</v>
      </c>
      <c r="M164" s="709">
        <v>0</v>
      </c>
      <c r="N164" s="709">
        <v>0</v>
      </c>
      <c r="O164" s="709">
        <v>14</v>
      </c>
      <c r="P164" s="709">
        <v>1450</v>
      </c>
      <c r="Q164" s="709">
        <v>0</v>
      </c>
      <c r="R164" s="709">
        <v>0</v>
      </c>
      <c r="S164" s="709">
        <v>0</v>
      </c>
      <c r="T164" s="709">
        <v>0</v>
      </c>
      <c r="U164" s="709">
        <v>63</v>
      </c>
      <c r="V164" s="709">
        <v>69</v>
      </c>
      <c r="W164" s="709">
        <v>0</v>
      </c>
      <c r="X164" s="709">
        <v>0</v>
      </c>
      <c r="Y164" s="709">
        <v>0</v>
      </c>
      <c r="Z164" s="709">
        <v>0</v>
      </c>
      <c r="AA164" s="709">
        <v>0</v>
      </c>
      <c r="AB164" s="709">
        <v>0</v>
      </c>
      <c r="AC164" s="709">
        <v>14</v>
      </c>
      <c r="AD164" s="709">
        <v>0</v>
      </c>
      <c r="AE164" s="709">
        <v>44</v>
      </c>
      <c r="AF164" s="709">
        <v>0</v>
      </c>
      <c r="AG164" s="709">
        <v>0</v>
      </c>
      <c r="AH164" s="709">
        <v>0</v>
      </c>
      <c r="AI164" s="709">
        <v>0</v>
      </c>
      <c r="AJ164" s="709">
        <v>16</v>
      </c>
      <c r="AK164" s="709">
        <v>0</v>
      </c>
      <c r="AL164" s="709">
        <v>0</v>
      </c>
      <c r="AM164" s="709">
        <v>1626</v>
      </c>
      <c r="AN164" s="709">
        <v>0</v>
      </c>
      <c r="AO164" s="709">
        <v>0</v>
      </c>
      <c r="AP164" s="709">
        <v>108</v>
      </c>
      <c r="AQ164" s="709">
        <v>0</v>
      </c>
      <c r="AR164" s="709">
        <v>0</v>
      </c>
      <c r="AS164" s="709">
        <v>0</v>
      </c>
    </row>
    <row r="165" spans="1:45">
      <c r="A165" s="708" t="s">
        <v>1209</v>
      </c>
      <c r="B165" s="709">
        <v>1021</v>
      </c>
      <c r="C165" s="709">
        <v>509</v>
      </c>
      <c r="D165" s="709">
        <v>203</v>
      </c>
      <c r="E165" s="709">
        <v>306</v>
      </c>
      <c r="F165" s="709">
        <v>18</v>
      </c>
      <c r="G165" s="709">
        <v>19</v>
      </c>
      <c r="H165" s="709">
        <v>19</v>
      </c>
      <c r="I165" s="709">
        <v>18</v>
      </c>
      <c r="J165" s="709">
        <v>18</v>
      </c>
      <c r="K165" s="709">
        <v>18</v>
      </c>
      <c r="L165" s="709">
        <v>0</v>
      </c>
      <c r="M165" s="709">
        <v>0</v>
      </c>
      <c r="N165" s="709">
        <v>97</v>
      </c>
      <c r="O165" s="709">
        <v>21</v>
      </c>
      <c r="P165" s="709">
        <v>0</v>
      </c>
      <c r="Q165" s="709">
        <v>0</v>
      </c>
      <c r="R165" s="709">
        <v>0</v>
      </c>
      <c r="S165" s="709">
        <v>0</v>
      </c>
      <c r="T165" s="709">
        <v>0</v>
      </c>
      <c r="U165" s="709">
        <v>0</v>
      </c>
      <c r="V165" s="709">
        <v>0</v>
      </c>
      <c r="W165" s="709">
        <v>0</v>
      </c>
      <c r="X165" s="709">
        <v>0</v>
      </c>
      <c r="Y165" s="709">
        <v>27</v>
      </c>
      <c r="Z165" s="709">
        <v>0</v>
      </c>
      <c r="AA165" s="709">
        <v>0</v>
      </c>
      <c r="AB165" s="709">
        <v>0</v>
      </c>
      <c r="AC165" s="709">
        <v>0</v>
      </c>
      <c r="AD165" s="709">
        <v>0</v>
      </c>
      <c r="AE165" s="709">
        <v>181</v>
      </c>
      <c r="AF165" s="709">
        <v>0</v>
      </c>
      <c r="AG165" s="709">
        <v>512</v>
      </c>
      <c r="AH165" s="709">
        <v>0</v>
      </c>
      <c r="AI165" s="709">
        <v>1</v>
      </c>
      <c r="AJ165" s="709">
        <v>18</v>
      </c>
      <c r="AK165" s="709">
        <v>0</v>
      </c>
      <c r="AL165" s="709">
        <v>164</v>
      </c>
      <c r="AM165" s="709">
        <v>207</v>
      </c>
      <c r="AN165" s="709">
        <v>0</v>
      </c>
      <c r="AO165" s="709">
        <v>4</v>
      </c>
      <c r="AP165" s="709">
        <v>0</v>
      </c>
      <c r="AQ165" s="709">
        <v>0</v>
      </c>
      <c r="AR165" s="709">
        <v>350</v>
      </c>
      <c r="AS165" s="709">
        <v>0</v>
      </c>
    </row>
    <row r="166" spans="1:45">
      <c r="A166" s="708" t="s">
        <v>1210</v>
      </c>
      <c r="B166" s="709">
        <v>41689</v>
      </c>
      <c r="C166" s="709">
        <v>25962</v>
      </c>
      <c r="D166" s="709">
        <v>22077</v>
      </c>
      <c r="E166" s="709">
        <v>3885</v>
      </c>
      <c r="F166" s="709">
        <v>13095</v>
      </c>
      <c r="G166" s="709">
        <v>13223</v>
      </c>
      <c r="H166" s="709">
        <v>13179</v>
      </c>
      <c r="I166" s="709">
        <v>13108</v>
      </c>
      <c r="J166" s="709">
        <v>13108</v>
      </c>
      <c r="K166" s="709">
        <v>13095</v>
      </c>
      <c r="L166" s="709">
        <v>64</v>
      </c>
      <c r="M166" s="709">
        <v>36</v>
      </c>
      <c r="N166" s="709">
        <v>300</v>
      </c>
      <c r="O166" s="709">
        <v>4450</v>
      </c>
      <c r="P166" s="709">
        <v>362</v>
      </c>
      <c r="Q166" s="709">
        <v>44</v>
      </c>
      <c r="R166" s="709">
        <v>0</v>
      </c>
      <c r="S166" s="709">
        <v>0</v>
      </c>
      <c r="T166" s="709">
        <v>0</v>
      </c>
      <c r="U166" s="709">
        <v>307</v>
      </c>
      <c r="V166" s="709">
        <v>4553</v>
      </c>
      <c r="W166" s="709">
        <v>0</v>
      </c>
      <c r="X166" s="709">
        <v>483</v>
      </c>
      <c r="Y166" s="709">
        <v>1836</v>
      </c>
      <c r="Z166" s="709">
        <v>0</v>
      </c>
      <c r="AA166" s="709">
        <v>604</v>
      </c>
      <c r="AB166" s="709">
        <v>0</v>
      </c>
      <c r="AC166" s="709">
        <v>9</v>
      </c>
      <c r="AD166" s="709">
        <v>4397</v>
      </c>
      <c r="AE166" s="709">
        <v>534</v>
      </c>
      <c r="AF166" s="709">
        <v>2037</v>
      </c>
      <c r="AG166" s="709">
        <v>15691</v>
      </c>
      <c r="AH166" s="709">
        <v>13</v>
      </c>
      <c r="AI166" s="709">
        <v>71</v>
      </c>
      <c r="AJ166" s="709">
        <v>1366</v>
      </c>
      <c r="AK166" s="709">
        <v>4532</v>
      </c>
      <c r="AL166" s="709">
        <v>0</v>
      </c>
      <c r="AM166" s="709">
        <v>22077</v>
      </c>
      <c r="AN166" s="709">
        <v>0</v>
      </c>
      <c r="AO166" s="709">
        <v>0</v>
      </c>
      <c r="AP166" s="709">
        <v>0</v>
      </c>
      <c r="AQ166" s="709">
        <v>3140</v>
      </c>
      <c r="AR166" s="709">
        <v>0</v>
      </c>
      <c r="AS166" s="709">
        <v>311</v>
      </c>
    </row>
    <row r="167" spans="1:45">
      <c r="A167" s="708" t="s">
        <v>1211</v>
      </c>
      <c r="B167" s="709">
        <v>22606</v>
      </c>
      <c r="C167" s="709">
        <v>21041</v>
      </c>
      <c r="D167" s="709">
        <v>14755</v>
      </c>
      <c r="E167" s="709">
        <v>6286</v>
      </c>
      <c r="F167" s="709">
        <v>11861</v>
      </c>
      <c r="G167" s="709">
        <v>13981</v>
      </c>
      <c r="H167" s="709">
        <v>11958</v>
      </c>
      <c r="I167" s="709">
        <v>11905</v>
      </c>
      <c r="J167" s="709">
        <v>11905</v>
      </c>
      <c r="K167" s="709">
        <v>11861</v>
      </c>
      <c r="L167" s="709">
        <v>0</v>
      </c>
      <c r="M167" s="709">
        <v>820</v>
      </c>
      <c r="N167" s="709">
        <v>297</v>
      </c>
      <c r="O167" s="709">
        <v>291</v>
      </c>
      <c r="P167" s="709">
        <v>18</v>
      </c>
      <c r="Q167" s="709">
        <v>2023</v>
      </c>
      <c r="R167" s="709">
        <v>0</v>
      </c>
      <c r="S167" s="709">
        <v>0</v>
      </c>
      <c r="T167" s="709">
        <v>0</v>
      </c>
      <c r="U167" s="709">
        <v>0</v>
      </c>
      <c r="V167" s="709">
        <v>0</v>
      </c>
      <c r="W167" s="709">
        <v>0</v>
      </c>
      <c r="X167" s="709">
        <v>1293</v>
      </c>
      <c r="Y167" s="709">
        <v>1507</v>
      </c>
      <c r="Z167" s="709">
        <v>0</v>
      </c>
      <c r="AA167" s="709">
        <v>325</v>
      </c>
      <c r="AB167" s="709">
        <v>0</v>
      </c>
      <c r="AC167" s="709">
        <v>0</v>
      </c>
      <c r="AD167" s="709">
        <v>2489</v>
      </c>
      <c r="AE167" s="709">
        <v>744</v>
      </c>
      <c r="AF167" s="709">
        <v>0</v>
      </c>
      <c r="AG167" s="709">
        <v>745</v>
      </c>
      <c r="AH167" s="709">
        <v>44</v>
      </c>
      <c r="AI167" s="709">
        <v>53</v>
      </c>
      <c r="AJ167" s="709">
        <v>9354</v>
      </c>
      <c r="AK167" s="709">
        <v>2603</v>
      </c>
      <c r="AL167" s="709">
        <v>0</v>
      </c>
      <c r="AM167" s="709">
        <v>14755</v>
      </c>
      <c r="AN167" s="709">
        <v>0</v>
      </c>
      <c r="AO167" s="709">
        <v>0</v>
      </c>
      <c r="AP167" s="709">
        <v>0</v>
      </c>
      <c r="AQ167" s="709">
        <v>1259</v>
      </c>
      <c r="AR167" s="709">
        <v>2777</v>
      </c>
      <c r="AS167" s="709">
        <v>0</v>
      </c>
    </row>
    <row r="168" spans="1:45">
      <c r="A168" s="708" t="s">
        <v>1212</v>
      </c>
      <c r="B168" s="709">
        <v>62183</v>
      </c>
      <c r="C168" s="709">
        <v>61865</v>
      </c>
      <c r="D168" s="709">
        <v>58905</v>
      </c>
      <c r="E168" s="709">
        <v>2960</v>
      </c>
      <c r="F168" s="709">
        <v>58822</v>
      </c>
      <c r="G168" s="709">
        <v>58947</v>
      </c>
      <c r="H168" s="709">
        <v>58944</v>
      </c>
      <c r="I168" s="709">
        <v>58822</v>
      </c>
      <c r="J168" s="709">
        <v>58822</v>
      </c>
      <c r="K168" s="709">
        <v>58822</v>
      </c>
      <c r="L168" s="709">
        <v>0</v>
      </c>
      <c r="M168" s="709">
        <v>0</v>
      </c>
      <c r="N168" s="709">
        <v>244</v>
      </c>
      <c r="O168" s="709">
        <v>83</v>
      </c>
      <c r="P168" s="709">
        <v>14253</v>
      </c>
      <c r="Q168" s="709">
        <v>3</v>
      </c>
      <c r="R168" s="709">
        <v>0</v>
      </c>
      <c r="S168" s="709">
        <v>0</v>
      </c>
      <c r="T168" s="709">
        <v>0</v>
      </c>
      <c r="U168" s="709">
        <v>8370</v>
      </c>
      <c r="V168" s="709">
        <v>32382</v>
      </c>
      <c r="W168" s="709">
        <v>0</v>
      </c>
      <c r="X168" s="709">
        <v>0</v>
      </c>
      <c r="Y168" s="709">
        <v>0</v>
      </c>
      <c r="Z168" s="709">
        <v>0</v>
      </c>
      <c r="AA168" s="709">
        <v>23</v>
      </c>
      <c r="AB168" s="709">
        <v>0</v>
      </c>
      <c r="AC168" s="709">
        <v>0</v>
      </c>
      <c r="AD168" s="709">
        <v>91</v>
      </c>
      <c r="AE168" s="709">
        <v>2568</v>
      </c>
      <c r="AF168" s="709">
        <v>2978</v>
      </c>
      <c r="AG168" s="709">
        <v>318</v>
      </c>
      <c r="AH168" s="709">
        <v>0</v>
      </c>
      <c r="AI168" s="709">
        <v>122</v>
      </c>
      <c r="AJ168" s="709">
        <v>748</v>
      </c>
      <c r="AK168" s="709">
        <v>0</v>
      </c>
      <c r="AL168" s="709">
        <v>0</v>
      </c>
      <c r="AM168" s="709">
        <v>58905</v>
      </c>
      <c r="AN168" s="709">
        <v>0</v>
      </c>
      <c r="AO168" s="709">
        <v>0</v>
      </c>
      <c r="AP168" s="709">
        <v>0</v>
      </c>
      <c r="AQ168" s="709">
        <v>0</v>
      </c>
      <c r="AR168" s="709">
        <v>226</v>
      </c>
      <c r="AS168" s="709">
        <v>453</v>
      </c>
    </row>
    <row r="169" spans="1:45">
      <c r="A169" s="708" t="s">
        <v>1213</v>
      </c>
      <c r="B169" s="709">
        <v>3273</v>
      </c>
      <c r="C169" s="709">
        <v>2976</v>
      </c>
      <c r="D169" s="709">
        <v>1741</v>
      </c>
      <c r="E169" s="709">
        <v>1235</v>
      </c>
      <c r="F169" s="709">
        <v>354</v>
      </c>
      <c r="G169" s="709">
        <v>708</v>
      </c>
      <c r="H169" s="709">
        <v>381</v>
      </c>
      <c r="I169" s="709">
        <v>376</v>
      </c>
      <c r="J169" s="709">
        <v>376</v>
      </c>
      <c r="K169" s="709">
        <v>354</v>
      </c>
      <c r="L169" s="709">
        <v>0</v>
      </c>
      <c r="M169" s="709">
        <v>105</v>
      </c>
      <c r="N169" s="709">
        <v>727</v>
      </c>
      <c r="O169" s="709">
        <v>14</v>
      </c>
      <c r="P169" s="709">
        <v>0</v>
      </c>
      <c r="Q169" s="709">
        <v>327</v>
      </c>
      <c r="R169" s="709">
        <v>0</v>
      </c>
      <c r="S169" s="709">
        <v>0</v>
      </c>
      <c r="T169" s="709">
        <v>0</v>
      </c>
      <c r="U169" s="709">
        <v>0</v>
      </c>
      <c r="V169" s="709">
        <v>0</v>
      </c>
      <c r="W169" s="709">
        <v>0</v>
      </c>
      <c r="X169" s="709">
        <v>36</v>
      </c>
      <c r="Y169" s="709">
        <v>7</v>
      </c>
      <c r="Z169" s="709">
        <v>0</v>
      </c>
      <c r="AA169" s="709">
        <v>0</v>
      </c>
      <c r="AB169" s="709">
        <v>0</v>
      </c>
      <c r="AC169" s="709">
        <v>0</v>
      </c>
      <c r="AD169" s="709">
        <v>0</v>
      </c>
      <c r="AE169" s="709">
        <v>111</v>
      </c>
      <c r="AF169" s="709">
        <v>0</v>
      </c>
      <c r="AG169" s="709">
        <v>192</v>
      </c>
      <c r="AH169" s="709">
        <v>22</v>
      </c>
      <c r="AI169" s="709">
        <v>5</v>
      </c>
      <c r="AJ169" s="709">
        <v>354</v>
      </c>
      <c r="AK169" s="709">
        <v>0</v>
      </c>
      <c r="AL169" s="709">
        <v>1373</v>
      </c>
      <c r="AM169" s="709">
        <v>1741</v>
      </c>
      <c r="AN169" s="709">
        <v>0</v>
      </c>
      <c r="AO169" s="709">
        <v>0</v>
      </c>
      <c r="AP169" s="709">
        <v>0</v>
      </c>
      <c r="AQ169" s="709">
        <v>0</v>
      </c>
      <c r="AR169" s="709">
        <v>1091</v>
      </c>
      <c r="AS169" s="709">
        <v>0</v>
      </c>
    </row>
    <row r="170" spans="1:45">
      <c r="A170" s="708" t="s">
        <v>1214</v>
      </c>
      <c r="B170" s="709">
        <v>116</v>
      </c>
      <c r="C170" s="709">
        <v>116</v>
      </c>
      <c r="D170" s="709">
        <v>0</v>
      </c>
      <c r="E170" s="709">
        <v>116</v>
      </c>
      <c r="F170" s="709">
        <v>0</v>
      </c>
      <c r="G170" s="709">
        <v>0</v>
      </c>
      <c r="H170" s="709">
        <v>0</v>
      </c>
      <c r="I170" s="709">
        <v>0</v>
      </c>
      <c r="J170" s="709">
        <v>0</v>
      </c>
      <c r="K170" s="709">
        <v>0</v>
      </c>
      <c r="L170" s="709">
        <v>0</v>
      </c>
      <c r="M170" s="709">
        <v>0</v>
      </c>
      <c r="N170" s="709">
        <v>0</v>
      </c>
      <c r="O170" s="709">
        <v>0</v>
      </c>
      <c r="P170" s="709">
        <v>0</v>
      </c>
      <c r="Q170" s="709">
        <v>0</v>
      </c>
      <c r="R170" s="709">
        <v>0</v>
      </c>
      <c r="S170" s="709">
        <v>0</v>
      </c>
      <c r="T170" s="709">
        <v>0</v>
      </c>
      <c r="U170" s="709">
        <v>0</v>
      </c>
      <c r="V170" s="709">
        <v>0</v>
      </c>
      <c r="W170" s="709">
        <v>0</v>
      </c>
      <c r="X170" s="709">
        <v>0</v>
      </c>
      <c r="Y170" s="709">
        <v>116</v>
      </c>
      <c r="Z170" s="709">
        <v>0</v>
      </c>
      <c r="AA170" s="709">
        <v>0</v>
      </c>
      <c r="AB170" s="709">
        <v>0</v>
      </c>
      <c r="AC170" s="709">
        <v>0</v>
      </c>
      <c r="AD170" s="709">
        <v>0</v>
      </c>
      <c r="AE170" s="709">
        <v>0</v>
      </c>
      <c r="AF170" s="709">
        <v>0</v>
      </c>
      <c r="AG170" s="709">
        <v>0</v>
      </c>
      <c r="AH170" s="709">
        <v>0</v>
      </c>
      <c r="AI170" s="709">
        <v>0</v>
      </c>
      <c r="AJ170" s="709">
        <v>0</v>
      </c>
      <c r="AK170" s="709">
        <v>0</v>
      </c>
      <c r="AL170" s="709">
        <v>0</v>
      </c>
      <c r="AM170" s="709">
        <v>0</v>
      </c>
      <c r="AN170" s="709">
        <v>0</v>
      </c>
      <c r="AO170" s="709">
        <v>0</v>
      </c>
      <c r="AP170" s="709">
        <v>0</v>
      </c>
      <c r="AQ170" s="709">
        <v>0</v>
      </c>
      <c r="AR170" s="709">
        <v>0</v>
      </c>
      <c r="AS170" s="709">
        <v>0</v>
      </c>
    </row>
    <row r="171" spans="1:45">
      <c r="A171" s="708" t="s">
        <v>1215</v>
      </c>
      <c r="B171" s="709">
        <v>0</v>
      </c>
      <c r="C171" s="709">
        <v>0</v>
      </c>
      <c r="D171" s="709">
        <v>0</v>
      </c>
      <c r="E171" s="709">
        <v>0</v>
      </c>
      <c r="F171" s="709">
        <v>0</v>
      </c>
      <c r="G171" s="709">
        <v>0</v>
      </c>
      <c r="H171" s="709">
        <v>0</v>
      </c>
      <c r="I171" s="709">
        <v>0</v>
      </c>
      <c r="J171" s="709">
        <v>0</v>
      </c>
      <c r="K171" s="709">
        <v>0</v>
      </c>
      <c r="L171" s="709">
        <v>0</v>
      </c>
      <c r="M171" s="709">
        <v>0</v>
      </c>
      <c r="N171" s="709">
        <v>0</v>
      </c>
      <c r="O171" s="709">
        <v>0</v>
      </c>
      <c r="P171" s="709">
        <v>0</v>
      </c>
      <c r="Q171" s="709">
        <v>0</v>
      </c>
      <c r="R171" s="709">
        <v>0</v>
      </c>
      <c r="S171" s="709">
        <v>0</v>
      </c>
      <c r="T171" s="709">
        <v>0</v>
      </c>
      <c r="U171" s="709">
        <v>0</v>
      </c>
      <c r="V171" s="709">
        <v>0</v>
      </c>
      <c r="W171" s="709">
        <v>0</v>
      </c>
      <c r="X171" s="709">
        <v>0</v>
      </c>
      <c r="Y171" s="709">
        <v>0</v>
      </c>
      <c r="Z171" s="709">
        <v>0</v>
      </c>
      <c r="AA171" s="709">
        <v>0</v>
      </c>
      <c r="AB171" s="709">
        <v>0</v>
      </c>
      <c r="AC171" s="709">
        <v>0</v>
      </c>
      <c r="AD171" s="709">
        <v>0</v>
      </c>
      <c r="AE171" s="709">
        <v>0</v>
      </c>
      <c r="AF171" s="709">
        <v>0</v>
      </c>
      <c r="AG171" s="709">
        <v>0</v>
      </c>
      <c r="AH171" s="709">
        <v>0</v>
      </c>
      <c r="AI171" s="709">
        <v>0</v>
      </c>
      <c r="AJ171" s="709">
        <v>0</v>
      </c>
      <c r="AK171" s="709">
        <v>0</v>
      </c>
      <c r="AL171" s="709">
        <v>0</v>
      </c>
      <c r="AM171" s="709">
        <v>0</v>
      </c>
      <c r="AN171" s="709">
        <v>0</v>
      </c>
      <c r="AO171" s="709">
        <v>0</v>
      </c>
      <c r="AP171" s="709">
        <v>0</v>
      </c>
      <c r="AQ171" s="709">
        <v>0</v>
      </c>
      <c r="AR171" s="709">
        <v>0</v>
      </c>
      <c r="AS171" s="709">
        <v>0</v>
      </c>
    </row>
    <row r="172" spans="1:45">
      <c r="A172" s="708" t="s">
        <v>1216</v>
      </c>
      <c r="B172" s="709">
        <v>0</v>
      </c>
      <c r="C172" s="709">
        <v>0</v>
      </c>
      <c r="D172" s="709">
        <v>0</v>
      </c>
      <c r="E172" s="709">
        <v>0</v>
      </c>
      <c r="F172" s="709">
        <v>0</v>
      </c>
      <c r="G172" s="709">
        <v>0</v>
      </c>
      <c r="H172" s="709">
        <v>0</v>
      </c>
      <c r="I172" s="709">
        <v>0</v>
      </c>
      <c r="J172" s="709">
        <v>0</v>
      </c>
      <c r="K172" s="709">
        <v>0</v>
      </c>
      <c r="L172" s="709">
        <v>0</v>
      </c>
      <c r="M172" s="709">
        <v>0</v>
      </c>
      <c r="N172" s="709">
        <v>0</v>
      </c>
      <c r="O172" s="709">
        <v>0</v>
      </c>
      <c r="P172" s="709">
        <v>0</v>
      </c>
      <c r="Q172" s="709">
        <v>0</v>
      </c>
      <c r="R172" s="709">
        <v>0</v>
      </c>
      <c r="S172" s="709">
        <v>0</v>
      </c>
      <c r="T172" s="709">
        <v>0</v>
      </c>
      <c r="U172" s="709">
        <v>0</v>
      </c>
      <c r="V172" s="709">
        <v>0</v>
      </c>
      <c r="W172" s="709">
        <v>0</v>
      </c>
      <c r="X172" s="709">
        <v>0</v>
      </c>
      <c r="Y172" s="709">
        <v>0</v>
      </c>
      <c r="Z172" s="709">
        <v>0</v>
      </c>
      <c r="AA172" s="709">
        <v>0</v>
      </c>
      <c r="AB172" s="709">
        <v>0</v>
      </c>
      <c r="AC172" s="709">
        <v>0</v>
      </c>
      <c r="AD172" s="709">
        <v>0</v>
      </c>
      <c r="AE172" s="709">
        <v>0</v>
      </c>
      <c r="AF172" s="709">
        <v>0</v>
      </c>
      <c r="AG172" s="709">
        <v>0</v>
      </c>
      <c r="AH172" s="709">
        <v>0</v>
      </c>
      <c r="AI172" s="709">
        <v>0</v>
      </c>
      <c r="AJ172" s="709">
        <v>0</v>
      </c>
      <c r="AK172" s="709">
        <v>0</v>
      </c>
      <c r="AL172" s="709">
        <v>0</v>
      </c>
      <c r="AM172" s="709">
        <v>0</v>
      </c>
      <c r="AN172" s="709">
        <v>0</v>
      </c>
      <c r="AO172" s="709">
        <v>0</v>
      </c>
      <c r="AP172" s="709">
        <v>0</v>
      </c>
      <c r="AQ172" s="709">
        <v>0</v>
      </c>
      <c r="AR172" s="709">
        <v>0</v>
      </c>
      <c r="AS172" s="709">
        <v>0</v>
      </c>
    </row>
    <row r="173" spans="1:45">
      <c r="A173" s="708" t="s">
        <v>1217</v>
      </c>
      <c r="B173" s="709">
        <v>0</v>
      </c>
      <c r="C173" s="709">
        <v>0</v>
      </c>
      <c r="D173" s="709">
        <v>0</v>
      </c>
      <c r="E173" s="709">
        <v>0</v>
      </c>
      <c r="F173" s="709">
        <v>0</v>
      </c>
      <c r="G173" s="709">
        <v>0</v>
      </c>
      <c r="H173" s="709">
        <v>0</v>
      </c>
      <c r="I173" s="709">
        <v>0</v>
      </c>
      <c r="J173" s="709">
        <v>0</v>
      </c>
      <c r="K173" s="709">
        <v>0</v>
      </c>
      <c r="L173" s="709">
        <v>0</v>
      </c>
      <c r="M173" s="709">
        <v>0</v>
      </c>
      <c r="N173" s="709">
        <v>0</v>
      </c>
      <c r="O173" s="709">
        <v>0</v>
      </c>
      <c r="P173" s="709">
        <v>0</v>
      </c>
      <c r="Q173" s="709">
        <v>0</v>
      </c>
      <c r="R173" s="709">
        <v>0</v>
      </c>
      <c r="S173" s="709">
        <v>0</v>
      </c>
      <c r="T173" s="709">
        <v>0</v>
      </c>
      <c r="U173" s="709">
        <v>0</v>
      </c>
      <c r="V173" s="709">
        <v>0</v>
      </c>
      <c r="W173" s="709">
        <v>0</v>
      </c>
      <c r="X173" s="709">
        <v>0</v>
      </c>
      <c r="Y173" s="709">
        <v>0</v>
      </c>
      <c r="Z173" s="709">
        <v>0</v>
      </c>
      <c r="AA173" s="709">
        <v>0</v>
      </c>
      <c r="AB173" s="709">
        <v>0</v>
      </c>
      <c r="AC173" s="709">
        <v>0</v>
      </c>
      <c r="AD173" s="709">
        <v>0</v>
      </c>
      <c r="AE173" s="709">
        <v>0</v>
      </c>
      <c r="AF173" s="709">
        <v>0</v>
      </c>
      <c r="AG173" s="709">
        <v>0</v>
      </c>
      <c r="AH173" s="709">
        <v>0</v>
      </c>
      <c r="AI173" s="709">
        <v>0</v>
      </c>
      <c r="AJ173" s="709">
        <v>0</v>
      </c>
      <c r="AK173" s="709">
        <v>0</v>
      </c>
      <c r="AL173" s="709">
        <v>0</v>
      </c>
      <c r="AM173" s="709">
        <v>0</v>
      </c>
      <c r="AN173" s="709">
        <v>0</v>
      </c>
      <c r="AO173" s="709">
        <v>0</v>
      </c>
      <c r="AP173" s="709">
        <v>0</v>
      </c>
      <c r="AQ173" s="709">
        <v>0</v>
      </c>
      <c r="AR173" s="709">
        <v>0</v>
      </c>
      <c r="AS173" s="709">
        <v>0</v>
      </c>
    </row>
    <row r="174" spans="1:45">
      <c r="A174" s="708" t="s">
        <v>1218</v>
      </c>
      <c r="B174" s="709">
        <v>1507</v>
      </c>
      <c r="C174" s="709">
        <v>490</v>
      </c>
      <c r="D174" s="709">
        <v>490</v>
      </c>
      <c r="E174" s="709">
        <v>0</v>
      </c>
      <c r="F174" s="709">
        <v>490</v>
      </c>
      <c r="G174" s="709">
        <v>490</v>
      </c>
      <c r="H174" s="709">
        <v>490</v>
      </c>
      <c r="I174" s="709">
        <v>490</v>
      </c>
      <c r="J174" s="709">
        <v>490</v>
      </c>
      <c r="K174" s="709">
        <v>490</v>
      </c>
      <c r="L174" s="709">
        <v>0</v>
      </c>
      <c r="M174" s="709">
        <v>1017</v>
      </c>
      <c r="N174" s="709">
        <v>0</v>
      </c>
      <c r="O174" s="709">
        <v>0</v>
      </c>
      <c r="P174" s="709">
        <v>490</v>
      </c>
      <c r="Q174" s="709">
        <v>0</v>
      </c>
      <c r="R174" s="709">
        <v>0</v>
      </c>
      <c r="S174" s="709">
        <v>0</v>
      </c>
      <c r="T174" s="709">
        <v>0</v>
      </c>
      <c r="U174" s="709">
        <v>0</v>
      </c>
      <c r="V174" s="709">
        <v>0</v>
      </c>
      <c r="W174" s="709">
        <v>0</v>
      </c>
      <c r="X174" s="709">
        <v>0</v>
      </c>
      <c r="Y174" s="709">
        <v>0</v>
      </c>
      <c r="Z174" s="709">
        <v>0</v>
      </c>
      <c r="AA174" s="709">
        <v>0</v>
      </c>
      <c r="AB174" s="709">
        <v>0</v>
      </c>
      <c r="AC174" s="709">
        <v>0</v>
      </c>
      <c r="AD174" s="709">
        <v>0</v>
      </c>
      <c r="AE174" s="709">
        <v>0</v>
      </c>
      <c r="AF174" s="709">
        <v>0</v>
      </c>
      <c r="AG174" s="709">
        <v>0</v>
      </c>
      <c r="AH174" s="709">
        <v>0</v>
      </c>
      <c r="AI174" s="709">
        <v>0</v>
      </c>
      <c r="AJ174" s="709">
        <v>0</v>
      </c>
      <c r="AK174" s="709">
        <v>0</v>
      </c>
      <c r="AL174" s="709">
        <v>0</v>
      </c>
      <c r="AM174" s="709">
        <v>490</v>
      </c>
      <c r="AN174" s="709">
        <v>0</v>
      </c>
      <c r="AO174" s="709">
        <v>0</v>
      </c>
      <c r="AP174" s="709">
        <v>0</v>
      </c>
      <c r="AQ174" s="709">
        <v>0</v>
      </c>
      <c r="AR174" s="709">
        <v>0</v>
      </c>
      <c r="AS174" s="709">
        <v>0</v>
      </c>
    </row>
    <row r="175" spans="1:45">
      <c r="A175" s="708" t="s">
        <v>1219</v>
      </c>
      <c r="B175" s="709">
        <v>65</v>
      </c>
      <c r="C175" s="709">
        <v>65</v>
      </c>
      <c r="D175" s="709">
        <v>65</v>
      </c>
      <c r="E175" s="709">
        <v>0</v>
      </c>
      <c r="F175" s="709">
        <v>65</v>
      </c>
      <c r="G175" s="709">
        <v>65</v>
      </c>
      <c r="H175" s="709">
        <v>65</v>
      </c>
      <c r="I175" s="709">
        <v>65</v>
      </c>
      <c r="J175" s="709">
        <v>65</v>
      </c>
      <c r="K175" s="709">
        <v>65</v>
      </c>
      <c r="L175" s="709">
        <v>0</v>
      </c>
      <c r="M175" s="709">
        <v>0</v>
      </c>
      <c r="N175" s="709">
        <v>0</v>
      </c>
      <c r="O175" s="709">
        <v>0</v>
      </c>
      <c r="P175" s="709">
        <v>65</v>
      </c>
      <c r="Q175" s="709">
        <v>0</v>
      </c>
      <c r="R175" s="709">
        <v>0</v>
      </c>
      <c r="S175" s="709">
        <v>0</v>
      </c>
      <c r="T175" s="709">
        <v>0</v>
      </c>
      <c r="U175" s="709">
        <v>0</v>
      </c>
      <c r="V175" s="709">
        <v>0</v>
      </c>
      <c r="W175" s="709">
        <v>0</v>
      </c>
      <c r="X175" s="709">
        <v>0</v>
      </c>
      <c r="Y175" s="709">
        <v>0</v>
      </c>
      <c r="Z175" s="709">
        <v>0</v>
      </c>
      <c r="AA175" s="709">
        <v>0</v>
      </c>
      <c r="AB175" s="709">
        <v>0</v>
      </c>
      <c r="AC175" s="709">
        <v>0</v>
      </c>
      <c r="AD175" s="709">
        <v>0</v>
      </c>
      <c r="AE175" s="709">
        <v>0</v>
      </c>
      <c r="AF175" s="709">
        <v>0</v>
      </c>
      <c r="AG175" s="709">
        <v>0</v>
      </c>
      <c r="AH175" s="709">
        <v>0</v>
      </c>
      <c r="AI175" s="709">
        <v>0</v>
      </c>
      <c r="AJ175" s="709">
        <v>0</v>
      </c>
      <c r="AK175" s="709">
        <v>0</v>
      </c>
      <c r="AL175" s="709">
        <v>0</v>
      </c>
      <c r="AM175" s="709">
        <v>65</v>
      </c>
      <c r="AN175" s="709">
        <v>0</v>
      </c>
      <c r="AO175" s="709">
        <v>0</v>
      </c>
      <c r="AP175" s="709">
        <v>0</v>
      </c>
      <c r="AQ175" s="709">
        <v>0</v>
      </c>
      <c r="AR175" s="709">
        <v>0</v>
      </c>
      <c r="AS175" s="709">
        <v>0</v>
      </c>
    </row>
    <row r="176" spans="1:45">
      <c r="A176" s="708" t="s">
        <v>1220</v>
      </c>
      <c r="B176" s="709">
        <v>241</v>
      </c>
      <c r="C176" s="709">
        <v>241</v>
      </c>
      <c r="D176" s="709">
        <v>241</v>
      </c>
      <c r="E176" s="709">
        <v>0</v>
      </c>
      <c r="F176" s="709">
        <v>241</v>
      </c>
      <c r="G176" s="709">
        <v>241</v>
      </c>
      <c r="H176" s="709">
        <v>241</v>
      </c>
      <c r="I176" s="709">
        <v>241</v>
      </c>
      <c r="J176" s="709">
        <v>241</v>
      </c>
      <c r="K176" s="709">
        <v>241</v>
      </c>
      <c r="L176" s="709">
        <v>0</v>
      </c>
      <c r="M176" s="709">
        <v>0</v>
      </c>
      <c r="N176" s="709">
        <v>0</v>
      </c>
      <c r="O176" s="709">
        <v>0</v>
      </c>
      <c r="P176" s="709">
        <v>0</v>
      </c>
      <c r="Q176" s="709">
        <v>0</v>
      </c>
      <c r="R176" s="709">
        <v>0</v>
      </c>
      <c r="S176" s="709">
        <v>0</v>
      </c>
      <c r="T176" s="709">
        <v>0</v>
      </c>
      <c r="U176" s="709">
        <v>0</v>
      </c>
      <c r="V176" s="709">
        <v>241</v>
      </c>
      <c r="W176" s="709">
        <v>0</v>
      </c>
      <c r="X176" s="709">
        <v>0</v>
      </c>
      <c r="Y176" s="709">
        <v>0</v>
      </c>
      <c r="Z176" s="709">
        <v>0</v>
      </c>
      <c r="AA176" s="709">
        <v>0</v>
      </c>
      <c r="AB176" s="709">
        <v>0</v>
      </c>
      <c r="AC176" s="709">
        <v>0</v>
      </c>
      <c r="AD176" s="709">
        <v>0</v>
      </c>
      <c r="AE176" s="709">
        <v>0</v>
      </c>
      <c r="AF176" s="709">
        <v>0</v>
      </c>
      <c r="AG176" s="709">
        <v>0</v>
      </c>
      <c r="AH176" s="709">
        <v>0</v>
      </c>
      <c r="AI176" s="709">
        <v>0</v>
      </c>
      <c r="AJ176" s="709">
        <v>0</v>
      </c>
      <c r="AK176" s="709">
        <v>0</v>
      </c>
      <c r="AL176" s="709">
        <v>0</v>
      </c>
      <c r="AM176" s="709">
        <v>241</v>
      </c>
      <c r="AN176" s="709">
        <v>0</v>
      </c>
      <c r="AO176" s="709">
        <v>0</v>
      </c>
      <c r="AP176" s="709">
        <v>0</v>
      </c>
      <c r="AQ176" s="709">
        <v>0</v>
      </c>
      <c r="AR176" s="709">
        <v>0</v>
      </c>
      <c r="AS176" s="709">
        <v>0</v>
      </c>
    </row>
    <row r="177" spans="1:45">
      <c r="A177" s="708" t="s">
        <v>1221</v>
      </c>
      <c r="B177" s="709">
        <v>0</v>
      </c>
      <c r="C177" s="709">
        <v>0</v>
      </c>
      <c r="D177" s="709">
        <v>0</v>
      </c>
      <c r="E177" s="709">
        <v>0</v>
      </c>
      <c r="F177" s="709">
        <v>0</v>
      </c>
      <c r="G177" s="709">
        <v>0</v>
      </c>
      <c r="H177" s="709">
        <v>0</v>
      </c>
      <c r="I177" s="709">
        <v>0</v>
      </c>
      <c r="J177" s="709">
        <v>0</v>
      </c>
      <c r="K177" s="709">
        <v>0</v>
      </c>
      <c r="L177" s="709">
        <v>0</v>
      </c>
      <c r="M177" s="709">
        <v>0</v>
      </c>
      <c r="N177" s="709">
        <v>0</v>
      </c>
      <c r="O177" s="709">
        <v>0</v>
      </c>
      <c r="P177" s="709">
        <v>0</v>
      </c>
      <c r="Q177" s="709">
        <v>0</v>
      </c>
      <c r="R177" s="709">
        <v>0</v>
      </c>
      <c r="S177" s="709">
        <v>0</v>
      </c>
      <c r="T177" s="709">
        <v>0</v>
      </c>
      <c r="U177" s="709">
        <v>0</v>
      </c>
      <c r="V177" s="709">
        <v>0</v>
      </c>
      <c r="W177" s="709">
        <v>0</v>
      </c>
      <c r="X177" s="709">
        <v>0</v>
      </c>
      <c r="Y177" s="709">
        <v>0</v>
      </c>
      <c r="Z177" s="709">
        <v>0</v>
      </c>
      <c r="AA177" s="709">
        <v>0</v>
      </c>
      <c r="AB177" s="709">
        <v>0</v>
      </c>
      <c r="AC177" s="709">
        <v>0</v>
      </c>
      <c r="AD177" s="709">
        <v>0</v>
      </c>
      <c r="AE177" s="709">
        <v>0</v>
      </c>
      <c r="AF177" s="709">
        <v>0</v>
      </c>
      <c r="AG177" s="709">
        <v>0</v>
      </c>
      <c r="AH177" s="709">
        <v>0</v>
      </c>
      <c r="AI177" s="709">
        <v>0</v>
      </c>
      <c r="AJ177" s="709">
        <v>0</v>
      </c>
      <c r="AK177" s="709">
        <v>0</v>
      </c>
      <c r="AL177" s="709">
        <v>0</v>
      </c>
      <c r="AM177" s="709">
        <v>0</v>
      </c>
      <c r="AN177" s="709">
        <v>0</v>
      </c>
      <c r="AO177" s="709">
        <v>0</v>
      </c>
      <c r="AP177" s="709">
        <v>0</v>
      </c>
      <c r="AQ177" s="709">
        <v>0</v>
      </c>
      <c r="AR177" s="709">
        <v>0</v>
      </c>
      <c r="AS177" s="709">
        <v>0</v>
      </c>
    </row>
    <row r="178" spans="1:45">
      <c r="A178" s="708" t="s">
        <v>1222</v>
      </c>
      <c r="B178" s="709">
        <v>13134</v>
      </c>
      <c r="C178" s="709">
        <v>13134</v>
      </c>
      <c r="D178" s="709">
        <v>11008</v>
      </c>
      <c r="E178" s="709">
        <v>2126</v>
      </c>
      <c r="F178" s="709">
        <v>11008</v>
      </c>
      <c r="G178" s="709">
        <v>11008</v>
      </c>
      <c r="H178" s="709">
        <v>11008</v>
      </c>
      <c r="I178" s="709">
        <v>11008</v>
      </c>
      <c r="J178" s="709">
        <v>11008</v>
      </c>
      <c r="K178" s="709">
        <v>11008</v>
      </c>
      <c r="L178" s="709">
        <v>0</v>
      </c>
      <c r="M178" s="709">
        <v>0</v>
      </c>
      <c r="N178" s="709">
        <v>2126</v>
      </c>
      <c r="O178" s="709">
        <v>0</v>
      </c>
      <c r="P178" s="709">
        <v>56</v>
      </c>
      <c r="Q178" s="709">
        <v>0</v>
      </c>
      <c r="R178" s="709">
        <v>0</v>
      </c>
      <c r="S178" s="709">
        <v>0</v>
      </c>
      <c r="T178" s="709">
        <v>0</v>
      </c>
      <c r="U178" s="709">
        <v>9779</v>
      </c>
      <c r="V178" s="709">
        <v>1169</v>
      </c>
      <c r="W178" s="709">
        <v>0</v>
      </c>
      <c r="X178" s="709">
        <v>0</v>
      </c>
      <c r="Y178" s="709">
        <v>0</v>
      </c>
      <c r="Z178" s="709">
        <v>0</v>
      </c>
      <c r="AA178" s="709">
        <v>0</v>
      </c>
      <c r="AB178" s="709">
        <v>0</v>
      </c>
      <c r="AC178" s="709">
        <v>0</v>
      </c>
      <c r="AD178" s="709">
        <v>0</v>
      </c>
      <c r="AE178" s="709">
        <v>0</v>
      </c>
      <c r="AF178" s="709">
        <v>0</v>
      </c>
      <c r="AG178" s="709">
        <v>0</v>
      </c>
      <c r="AH178" s="709">
        <v>0</v>
      </c>
      <c r="AI178" s="709">
        <v>0</v>
      </c>
      <c r="AJ178" s="709">
        <v>4</v>
      </c>
      <c r="AK178" s="709">
        <v>0</v>
      </c>
      <c r="AL178" s="709">
        <v>0</v>
      </c>
      <c r="AM178" s="709">
        <v>11008</v>
      </c>
      <c r="AN178" s="709">
        <v>0</v>
      </c>
      <c r="AO178" s="709">
        <v>0</v>
      </c>
      <c r="AP178" s="709">
        <v>0</v>
      </c>
      <c r="AQ178" s="709">
        <v>0</v>
      </c>
      <c r="AR178" s="709">
        <v>0</v>
      </c>
      <c r="AS178" s="709">
        <v>0</v>
      </c>
    </row>
    <row r="179" spans="1:45">
      <c r="A179" s="708" t="s">
        <v>1223</v>
      </c>
      <c r="B179" s="709">
        <v>1557</v>
      </c>
      <c r="C179" s="709">
        <v>1557</v>
      </c>
      <c r="D179" s="709">
        <v>247</v>
      </c>
      <c r="E179" s="709">
        <v>1310</v>
      </c>
      <c r="F179" s="709">
        <v>0</v>
      </c>
      <c r="G179" s="709">
        <v>0</v>
      </c>
      <c r="H179" s="709">
        <v>0</v>
      </c>
      <c r="I179" s="709">
        <v>0</v>
      </c>
      <c r="J179" s="709">
        <v>0</v>
      </c>
      <c r="K179" s="709">
        <v>0</v>
      </c>
      <c r="L179" s="709">
        <v>0</v>
      </c>
      <c r="M179" s="709">
        <v>0</v>
      </c>
      <c r="N179" s="709">
        <v>1286</v>
      </c>
      <c r="O179" s="709">
        <v>247</v>
      </c>
      <c r="P179" s="709">
        <v>0</v>
      </c>
      <c r="Q179" s="709">
        <v>0</v>
      </c>
      <c r="R179" s="709">
        <v>0</v>
      </c>
      <c r="S179" s="709">
        <v>0</v>
      </c>
      <c r="T179" s="709">
        <v>0</v>
      </c>
      <c r="U179" s="709">
        <v>0</v>
      </c>
      <c r="V179" s="709">
        <v>0</v>
      </c>
      <c r="W179" s="709">
        <v>0</v>
      </c>
      <c r="X179" s="709">
        <v>24</v>
      </c>
      <c r="Y179" s="709">
        <v>0</v>
      </c>
      <c r="Z179" s="709">
        <v>0</v>
      </c>
      <c r="AA179" s="709">
        <v>0</v>
      </c>
      <c r="AB179" s="709">
        <v>0</v>
      </c>
      <c r="AC179" s="709">
        <v>0</v>
      </c>
      <c r="AD179" s="709">
        <v>0</v>
      </c>
      <c r="AE179" s="709">
        <v>0</v>
      </c>
      <c r="AF179" s="709">
        <v>0</v>
      </c>
      <c r="AG179" s="709">
        <v>0</v>
      </c>
      <c r="AH179" s="709">
        <v>0</v>
      </c>
      <c r="AI179" s="709">
        <v>0</v>
      </c>
      <c r="AJ179" s="709">
        <v>0</v>
      </c>
      <c r="AK179" s="709">
        <v>0</v>
      </c>
      <c r="AL179" s="709">
        <v>0</v>
      </c>
      <c r="AM179" s="709">
        <v>247</v>
      </c>
      <c r="AN179" s="709">
        <v>0</v>
      </c>
      <c r="AO179" s="709">
        <v>0</v>
      </c>
      <c r="AP179" s="709">
        <v>0</v>
      </c>
      <c r="AQ179" s="709">
        <v>0</v>
      </c>
      <c r="AR179" s="709">
        <v>0</v>
      </c>
      <c r="AS179" s="709">
        <v>0</v>
      </c>
    </row>
    <row r="180" spans="1:45">
      <c r="A180" s="708" t="s">
        <v>1224</v>
      </c>
      <c r="B180" s="709">
        <v>8527</v>
      </c>
      <c r="C180" s="709">
        <v>8304</v>
      </c>
      <c r="D180" s="709">
        <v>8112</v>
      </c>
      <c r="E180" s="709">
        <v>192</v>
      </c>
      <c r="F180" s="709">
        <v>8112</v>
      </c>
      <c r="G180" s="709">
        <v>8112</v>
      </c>
      <c r="H180" s="709">
        <v>8112</v>
      </c>
      <c r="I180" s="709">
        <v>8112</v>
      </c>
      <c r="J180" s="709">
        <v>8112</v>
      </c>
      <c r="K180" s="709">
        <v>8112</v>
      </c>
      <c r="L180" s="709">
        <v>0</v>
      </c>
      <c r="M180" s="709">
        <v>223</v>
      </c>
      <c r="N180" s="709">
        <v>192</v>
      </c>
      <c r="O180" s="709">
        <v>0</v>
      </c>
      <c r="P180" s="709">
        <v>2308</v>
      </c>
      <c r="Q180" s="709">
        <v>0</v>
      </c>
      <c r="R180" s="709">
        <v>0</v>
      </c>
      <c r="S180" s="709">
        <v>0</v>
      </c>
      <c r="T180" s="709">
        <v>0</v>
      </c>
      <c r="U180" s="709">
        <v>693</v>
      </c>
      <c r="V180" s="709">
        <v>1861</v>
      </c>
      <c r="W180" s="709">
        <v>0</v>
      </c>
      <c r="X180" s="709">
        <v>0</v>
      </c>
      <c r="Y180" s="709">
        <v>0</v>
      </c>
      <c r="Z180" s="709">
        <v>0</v>
      </c>
      <c r="AA180" s="709">
        <v>0</v>
      </c>
      <c r="AB180" s="709">
        <v>0</v>
      </c>
      <c r="AC180" s="709">
        <v>1819</v>
      </c>
      <c r="AD180" s="709">
        <v>1428</v>
      </c>
      <c r="AE180" s="709">
        <v>0</v>
      </c>
      <c r="AF180" s="709">
        <v>0</v>
      </c>
      <c r="AG180" s="709">
        <v>0</v>
      </c>
      <c r="AH180" s="709">
        <v>0</v>
      </c>
      <c r="AI180" s="709">
        <v>0</v>
      </c>
      <c r="AJ180" s="709">
        <v>3</v>
      </c>
      <c r="AK180" s="709">
        <v>0</v>
      </c>
      <c r="AL180" s="709">
        <v>0</v>
      </c>
      <c r="AM180" s="709">
        <v>8112</v>
      </c>
      <c r="AN180" s="709">
        <v>0</v>
      </c>
      <c r="AO180" s="709">
        <v>0</v>
      </c>
      <c r="AP180" s="709">
        <v>0</v>
      </c>
      <c r="AQ180" s="709">
        <v>0</v>
      </c>
      <c r="AR180" s="709">
        <v>0</v>
      </c>
      <c r="AS180" s="709">
        <v>0</v>
      </c>
    </row>
    <row r="181" spans="1:45">
      <c r="A181" s="708" t="s">
        <v>1225</v>
      </c>
      <c r="B181" s="709">
        <v>374</v>
      </c>
      <c r="C181" s="709">
        <v>277</v>
      </c>
      <c r="D181" s="709">
        <v>16</v>
      </c>
      <c r="E181" s="709">
        <v>261</v>
      </c>
      <c r="F181" s="709">
        <v>5</v>
      </c>
      <c r="G181" s="709">
        <v>5</v>
      </c>
      <c r="H181" s="709">
        <v>5</v>
      </c>
      <c r="I181" s="709">
        <v>5</v>
      </c>
      <c r="J181" s="709">
        <v>5</v>
      </c>
      <c r="K181" s="709">
        <v>5</v>
      </c>
      <c r="L181" s="709">
        <v>0</v>
      </c>
      <c r="M181" s="709">
        <v>0</v>
      </c>
      <c r="N181" s="709">
        <v>261</v>
      </c>
      <c r="O181" s="709">
        <v>11</v>
      </c>
      <c r="P181" s="709">
        <v>0</v>
      </c>
      <c r="Q181" s="709">
        <v>0</v>
      </c>
      <c r="R181" s="709">
        <v>0</v>
      </c>
      <c r="S181" s="709">
        <v>0</v>
      </c>
      <c r="T181" s="709">
        <v>0</v>
      </c>
      <c r="U181" s="709">
        <v>0</v>
      </c>
      <c r="V181" s="709">
        <v>0</v>
      </c>
      <c r="W181" s="709">
        <v>0</v>
      </c>
      <c r="X181" s="709">
        <v>0</v>
      </c>
      <c r="Y181" s="709">
        <v>0</v>
      </c>
      <c r="Z181" s="709">
        <v>0</v>
      </c>
      <c r="AA181" s="709">
        <v>0</v>
      </c>
      <c r="AB181" s="709">
        <v>0</v>
      </c>
      <c r="AC181" s="709">
        <v>0</v>
      </c>
      <c r="AD181" s="709">
        <v>0</v>
      </c>
      <c r="AE181" s="709">
        <v>0</v>
      </c>
      <c r="AF181" s="709">
        <v>0</v>
      </c>
      <c r="AG181" s="709">
        <v>97</v>
      </c>
      <c r="AH181" s="709">
        <v>0</v>
      </c>
      <c r="AI181" s="709">
        <v>0</v>
      </c>
      <c r="AJ181" s="709">
        <v>5</v>
      </c>
      <c r="AK181" s="709">
        <v>0</v>
      </c>
      <c r="AL181" s="709">
        <v>0</v>
      </c>
      <c r="AM181" s="709">
        <v>16</v>
      </c>
      <c r="AN181" s="709">
        <v>0</v>
      </c>
      <c r="AO181" s="709">
        <v>0</v>
      </c>
      <c r="AP181" s="709">
        <v>0</v>
      </c>
      <c r="AQ181" s="709">
        <v>0</v>
      </c>
      <c r="AR181" s="709">
        <v>0</v>
      </c>
      <c r="AS181" s="709">
        <v>0</v>
      </c>
    </row>
    <row r="182" spans="1:45">
      <c r="A182" s="708" t="s">
        <v>1226</v>
      </c>
      <c r="B182" s="709">
        <v>658016</v>
      </c>
      <c r="C182" s="709">
        <v>591835</v>
      </c>
      <c r="D182" s="709">
        <v>487101</v>
      </c>
      <c r="E182" s="709">
        <v>104734</v>
      </c>
      <c r="F182" s="709">
        <v>446942</v>
      </c>
      <c r="G182" s="709">
        <v>462875</v>
      </c>
      <c r="H182" s="709">
        <v>459432</v>
      </c>
      <c r="I182" s="709">
        <v>447500</v>
      </c>
      <c r="J182" s="709">
        <v>447500</v>
      </c>
      <c r="K182" s="709">
        <v>446942</v>
      </c>
      <c r="L182" s="709">
        <v>15679</v>
      </c>
      <c r="M182" s="709">
        <v>16450</v>
      </c>
      <c r="N182" s="709">
        <v>12012</v>
      </c>
      <c r="O182" s="709">
        <v>34643</v>
      </c>
      <c r="P182" s="709">
        <v>164530</v>
      </c>
      <c r="Q182" s="709">
        <v>3443</v>
      </c>
      <c r="R182" s="709">
        <v>0</v>
      </c>
      <c r="S182" s="709">
        <v>0</v>
      </c>
      <c r="T182" s="709">
        <v>0</v>
      </c>
      <c r="U182" s="709">
        <v>41751</v>
      </c>
      <c r="V182" s="709">
        <v>52596</v>
      </c>
      <c r="W182" s="709">
        <v>0</v>
      </c>
      <c r="X182" s="709">
        <v>13355</v>
      </c>
      <c r="Y182" s="709">
        <v>20854</v>
      </c>
      <c r="Z182" s="709">
        <v>0</v>
      </c>
      <c r="AA182" s="709">
        <v>33484</v>
      </c>
      <c r="AB182" s="709">
        <v>0</v>
      </c>
      <c r="AC182" s="709">
        <v>110848</v>
      </c>
      <c r="AD182" s="709">
        <v>24184</v>
      </c>
      <c r="AE182" s="709">
        <v>9096</v>
      </c>
      <c r="AF182" s="709">
        <v>1798</v>
      </c>
      <c r="AG182" s="709">
        <v>49731</v>
      </c>
      <c r="AH182" s="709">
        <v>558</v>
      </c>
      <c r="AI182" s="709">
        <v>11932</v>
      </c>
      <c r="AJ182" s="709">
        <v>35556</v>
      </c>
      <c r="AK182" s="709">
        <v>5516</v>
      </c>
      <c r="AL182" s="709">
        <v>0</v>
      </c>
      <c r="AM182" s="709">
        <v>487112</v>
      </c>
      <c r="AN182" s="709">
        <v>0</v>
      </c>
      <c r="AO182" s="709">
        <v>11</v>
      </c>
      <c r="AP182" s="709">
        <v>905</v>
      </c>
      <c r="AQ182" s="709">
        <v>6690</v>
      </c>
      <c r="AR182" s="709">
        <v>0</v>
      </c>
      <c r="AS182" s="709">
        <v>14334</v>
      </c>
    </row>
    <row r="183" spans="1:45">
      <c r="A183" s="708" t="s">
        <v>1227</v>
      </c>
      <c r="B183" s="709">
        <v>166912</v>
      </c>
      <c r="C183" s="709">
        <v>135566</v>
      </c>
      <c r="D183" s="709">
        <v>43686</v>
      </c>
      <c r="E183" s="709">
        <v>91880</v>
      </c>
      <c r="F183" s="709">
        <v>38654</v>
      </c>
      <c r="G183" s="709">
        <v>67599</v>
      </c>
      <c r="H183" s="709">
        <v>60016</v>
      </c>
      <c r="I183" s="709">
        <v>41184</v>
      </c>
      <c r="J183" s="709">
        <v>41184</v>
      </c>
      <c r="K183" s="709">
        <v>38654</v>
      </c>
      <c r="L183" s="709">
        <v>114</v>
      </c>
      <c r="M183" s="709">
        <v>11917</v>
      </c>
      <c r="N183" s="709">
        <v>19224</v>
      </c>
      <c r="O183" s="709">
        <v>3957</v>
      </c>
      <c r="P183" s="709">
        <v>14892</v>
      </c>
      <c r="Q183" s="709">
        <v>7583</v>
      </c>
      <c r="R183" s="709">
        <v>0</v>
      </c>
      <c r="S183" s="709">
        <v>0</v>
      </c>
      <c r="T183" s="709">
        <v>0</v>
      </c>
      <c r="U183" s="709">
        <v>0</v>
      </c>
      <c r="V183" s="709">
        <v>0</v>
      </c>
      <c r="W183" s="709">
        <v>0</v>
      </c>
      <c r="X183" s="709">
        <v>9663</v>
      </c>
      <c r="Y183" s="709">
        <v>10561</v>
      </c>
      <c r="Z183" s="709">
        <v>0</v>
      </c>
      <c r="AA183" s="709">
        <v>15530</v>
      </c>
      <c r="AB183" s="709">
        <v>0</v>
      </c>
      <c r="AC183" s="709">
        <v>3481</v>
      </c>
      <c r="AD183" s="709">
        <v>7671</v>
      </c>
      <c r="AE183" s="709">
        <v>7957</v>
      </c>
      <c r="AF183" s="709">
        <v>0</v>
      </c>
      <c r="AG183" s="709">
        <v>19429</v>
      </c>
      <c r="AH183" s="709">
        <v>2530</v>
      </c>
      <c r="AI183" s="709">
        <v>18832</v>
      </c>
      <c r="AJ183" s="709">
        <v>12496</v>
      </c>
      <c r="AK183" s="709">
        <v>1075</v>
      </c>
      <c r="AL183" s="709">
        <v>0</v>
      </c>
      <c r="AM183" s="709">
        <v>43991</v>
      </c>
      <c r="AN183" s="709">
        <v>0</v>
      </c>
      <c r="AO183" s="709">
        <v>305</v>
      </c>
      <c r="AP183" s="709">
        <v>4124</v>
      </c>
      <c r="AQ183" s="709">
        <v>1959</v>
      </c>
      <c r="AR183" s="709">
        <v>484</v>
      </c>
      <c r="AS183" s="709">
        <v>0</v>
      </c>
    </row>
    <row r="184" spans="1:45">
      <c r="A184" s="708" t="s">
        <v>1228</v>
      </c>
      <c r="B184" s="709">
        <v>316753</v>
      </c>
      <c r="C184" s="709">
        <v>314622</v>
      </c>
      <c r="D184" s="709">
        <v>307776</v>
      </c>
      <c r="E184" s="709">
        <v>6846</v>
      </c>
      <c r="F184" s="709">
        <v>307101</v>
      </c>
      <c r="G184" s="709">
        <v>308181</v>
      </c>
      <c r="H184" s="709">
        <v>308124</v>
      </c>
      <c r="I184" s="709">
        <v>307145</v>
      </c>
      <c r="J184" s="709">
        <v>307145</v>
      </c>
      <c r="K184" s="709">
        <v>307101</v>
      </c>
      <c r="L184" s="709">
        <v>0</v>
      </c>
      <c r="M184" s="709">
        <v>275</v>
      </c>
      <c r="N184" s="709">
        <v>2530</v>
      </c>
      <c r="O184" s="709">
        <v>675</v>
      </c>
      <c r="P184" s="709">
        <v>147445</v>
      </c>
      <c r="Q184" s="709">
        <v>57</v>
      </c>
      <c r="R184" s="709">
        <v>0</v>
      </c>
      <c r="S184" s="709">
        <v>0</v>
      </c>
      <c r="T184" s="709">
        <v>0</v>
      </c>
      <c r="U184" s="709">
        <v>65786</v>
      </c>
      <c r="V184" s="709">
        <v>68226</v>
      </c>
      <c r="W184" s="709">
        <v>0</v>
      </c>
      <c r="X184" s="709">
        <v>438</v>
      </c>
      <c r="Y184" s="709">
        <v>201</v>
      </c>
      <c r="Z184" s="709">
        <v>869</v>
      </c>
      <c r="AA184" s="709">
        <v>255</v>
      </c>
      <c r="AB184" s="709">
        <v>0</v>
      </c>
      <c r="AC184" s="709">
        <v>14586</v>
      </c>
      <c r="AD184" s="709">
        <v>892</v>
      </c>
      <c r="AE184" s="709">
        <v>2342</v>
      </c>
      <c r="AF184" s="709">
        <v>6899</v>
      </c>
      <c r="AG184" s="709">
        <v>1856</v>
      </c>
      <c r="AH184" s="709">
        <v>44</v>
      </c>
      <c r="AI184" s="709">
        <v>979</v>
      </c>
      <c r="AJ184" s="709">
        <v>2398</v>
      </c>
      <c r="AK184" s="709">
        <v>0</v>
      </c>
      <c r="AL184" s="709">
        <v>0</v>
      </c>
      <c r="AM184" s="709">
        <v>307776</v>
      </c>
      <c r="AN184" s="709">
        <v>0</v>
      </c>
      <c r="AO184" s="709">
        <v>0</v>
      </c>
      <c r="AP184" s="709">
        <v>444</v>
      </c>
      <c r="AQ184" s="709">
        <v>0</v>
      </c>
      <c r="AR184" s="709">
        <v>77</v>
      </c>
      <c r="AS184" s="709">
        <v>19133</v>
      </c>
    </row>
    <row r="185" spans="1:45">
      <c r="A185" s="708" t="s">
        <v>1229</v>
      </c>
      <c r="B185" s="709">
        <v>76634</v>
      </c>
      <c r="C185" s="709">
        <v>72029</v>
      </c>
      <c r="D185" s="709">
        <v>55431</v>
      </c>
      <c r="E185" s="709">
        <v>16598</v>
      </c>
      <c r="F185" s="709">
        <v>8424</v>
      </c>
      <c r="G185" s="709">
        <v>15835</v>
      </c>
      <c r="H185" s="709">
        <v>13267</v>
      </c>
      <c r="I185" s="709">
        <v>8425</v>
      </c>
      <c r="J185" s="709">
        <v>8425</v>
      </c>
      <c r="K185" s="709">
        <v>8424</v>
      </c>
      <c r="L185" s="709">
        <v>0</v>
      </c>
      <c r="M185" s="709">
        <v>101</v>
      </c>
      <c r="N185" s="709">
        <v>3680</v>
      </c>
      <c r="O185" s="709">
        <v>102</v>
      </c>
      <c r="P185" s="709">
        <v>0</v>
      </c>
      <c r="Q185" s="709">
        <v>2568</v>
      </c>
      <c r="R185" s="709">
        <v>0</v>
      </c>
      <c r="S185" s="709">
        <v>0</v>
      </c>
      <c r="T185" s="709">
        <v>0</v>
      </c>
      <c r="U185" s="709">
        <v>0</v>
      </c>
      <c r="V185" s="709">
        <v>0</v>
      </c>
      <c r="W185" s="709">
        <v>0</v>
      </c>
      <c r="X185" s="709">
        <v>1226</v>
      </c>
      <c r="Y185" s="709">
        <v>536</v>
      </c>
      <c r="Z185" s="709">
        <v>0</v>
      </c>
      <c r="AA185" s="709">
        <v>1766</v>
      </c>
      <c r="AB185" s="709">
        <v>0</v>
      </c>
      <c r="AC185" s="709">
        <v>7183</v>
      </c>
      <c r="AD185" s="709">
        <v>475</v>
      </c>
      <c r="AE185" s="709">
        <v>1979</v>
      </c>
      <c r="AF185" s="709">
        <v>0</v>
      </c>
      <c r="AG185" s="709">
        <v>4504</v>
      </c>
      <c r="AH185" s="709">
        <v>1</v>
      </c>
      <c r="AI185" s="709">
        <v>4842</v>
      </c>
      <c r="AJ185" s="709">
        <v>766</v>
      </c>
      <c r="AK185" s="709">
        <v>0</v>
      </c>
      <c r="AL185" s="709">
        <v>46905</v>
      </c>
      <c r="AM185" s="709">
        <v>55431</v>
      </c>
      <c r="AN185" s="709">
        <v>0</v>
      </c>
      <c r="AO185" s="709">
        <v>0</v>
      </c>
      <c r="AP185" s="709">
        <v>0</v>
      </c>
      <c r="AQ185" s="709">
        <v>0</v>
      </c>
      <c r="AR185" s="709">
        <v>474</v>
      </c>
      <c r="AS185" s="709">
        <v>0</v>
      </c>
    </row>
    <row r="186" spans="1:45">
      <c r="A186" s="708" t="s">
        <v>1230</v>
      </c>
      <c r="B186" s="709">
        <v>1746</v>
      </c>
      <c r="C186" s="709">
        <v>1746</v>
      </c>
      <c r="D186" s="709">
        <v>1746</v>
      </c>
      <c r="E186" s="709">
        <v>0</v>
      </c>
      <c r="F186" s="709">
        <v>826</v>
      </c>
      <c r="G186" s="709">
        <v>826</v>
      </c>
      <c r="H186" s="709">
        <v>826</v>
      </c>
      <c r="I186" s="709">
        <v>826</v>
      </c>
      <c r="J186" s="709">
        <v>826</v>
      </c>
      <c r="K186" s="709">
        <v>826</v>
      </c>
      <c r="L186" s="709">
        <v>277</v>
      </c>
      <c r="M186" s="709">
        <v>0</v>
      </c>
      <c r="N186" s="709">
        <v>0</v>
      </c>
      <c r="O186" s="709">
        <v>0</v>
      </c>
      <c r="P186" s="709">
        <v>0</v>
      </c>
      <c r="Q186" s="709">
        <v>0</v>
      </c>
      <c r="R186" s="709">
        <v>0</v>
      </c>
      <c r="S186" s="709">
        <v>0</v>
      </c>
      <c r="T186" s="709">
        <v>0</v>
      </c>
      <c r="U186" s="709">
        <v>0</v>
      </c>
      <c r="V186" s="709">
        <v>6</v>
      </c>
      <c r="W186" s="709">
        <v>0</v>
      </c>
      <c r="X186" s="709">
        <v>0</v>
      </c>
      <c r="Y186" s="709">
        <v>0</v>
      </c>
      <c r="Z186" s="709">
        <v>0</v>
      </c>
      <c r="AA186" s="709">
        <v>0</v>
      </c>
      <c r="AB186" s="709">
        <v>0</v>
      </c>
      <c r="AC186" s="709">
        <v>0</v>
      </c>
      <c r="AD186" s="709">
        <v>531</v>
      </c>
      <c r="AE186" s="709">
        <v>0</v>
      </c>
      <c r="AF186" s="709">
        <v>0</v>
      </c>
      <c r="AG186" s="709">
        <v>0</v>
      </c>
      <c r="AH186" s="709">
        <v>0</v>
      </c>
      <c r="AI186" s="709">
        <v>0</v>
      </c>
      <c r="AJ186" s="709">
        <v>12</v>
      </c>
      <c r="AK186" s="709">
        <v>920</v>
      </c>
      <c r="AL186" s="709">
        <v>0</v>
      </c>
      <c r="AM186" s="709">
        <v>1746</v>
      </c>
      <c r="AN186" s="709">
        <v>0</v>
      </c>
      <c r="AO186" s="709">
        <v>0</v>
      </c>
      <c r="AP186" s="709">
        <v>0</v>
      </c>
      <c r="AQ186" s="709">
        <v>0</v>
      </c>
      <c r="AR186" s="709">
        <v>0</v>
      </c>
      <c r="AS186" s="709">
        <v>0</v>
      </c>
    </row>
    <row r="187" spans="1:45">
      <c r="A187" s="708" t="s">
        <v>1231</v>
      </c>
      <c r="B187" s="709">
        <v>272</v>
      </c>
      <c r="C187" s="709">
        <v>249</v>
      </c>
      <c r="D187" s="709">
        <v>242</v>
      </c>
      <c r="E187" s="709">
        <v>7</v>
      </c>
      <c r="F187" s="709">
        <v>18</v>
      </c>
      <c r="G187" s="709">
        <v>18</v>
      </c>
      <c r="H187" s="709">
        <v>18</v>
      </c>
      <c r="I187" s="709">
        <v>18</v>
      </c>
      <c r="J187" s="709">
        <v>18</v>
      </c>
      <c r="K187" s="709">
        <v>18</v>
      </c>
      <c r="L187" s="709">
        <v>0</v>
      </c>
      <c r="M187" s="709">
        <v>0</v>
      </c>
      <c r="N187" s="709">
        <v>0</v>
      </c>
      <c r="O187" s="709">
        <v>0</v>
      </c>
      <c r="P187" s="709">
        <v>0</v>
      </c>
      <c r="Q187" s="709">
        <v>0</v>
      </c>
      <c r="R187" s="709">
        <v>0</v>
      </c>
      <c r="S187" s="709">
        <v>0</v>
      </c>
      <c r="T187" s="709">
        <v>0</v>
      </c>
      <c r="U187" s="709">
        <v>0</v>
      </c>
      <c r="V187" s="709">
        <v>0</v>
      </c>
      <c r="W187" s="709">
        <v>0</v>
      </c>
      <c r="X187" s="709">
        <v>0</v>
      </c>
      <c r="Y187" s="709">
        <v>0</v>
      </c>
      <c r="Z187" s="709">
        <v>0</v>
      </c>
      <c r="AA187" s="709">
        <v>0</v>
      </c>
      <c r="AB187" s="709">
        <v>0</v>
      </c>
      <c r="AC187" s="709">
        <v>0</v>
      </c>
      <c r="AD187" s="709">
        <v>3</v>
      </c>
      <c r="AE187" s="709">
        <v>7</v>
      </c>
      <c r="AF187" s="709">
        <v>0</v>
      </c>
      <c r="AG187" s="709">
        <v>23</v>
      </c>
      <c r="AH187" s="709">
        <v>0</v>
      </c>
      <c r="AI187" s="709">
        <v>0</v>
      </c>
      <c r="AJ187" s="709">
        <v>15</v>
      </c>
      <c r="AK187" s="709">
        <v>224</v>
      </c>
      <c r="AL187" s="709">
        <v>0</v>
      </c>
      <c r="AM187" s="709">
        <v>671</v>
      </c>
      <c r="AN187" s="709">
        <v>0</v>
      </c>
      <c r="AO187" s="709">
        <v>429</v>
      </c>
      <c r="AP187" s="709">
        <v>0</v>
      </c>
      <c r="AQ187" s="709">
        <v>0</v>
      </c>
      <c r="AR187" s="709">
        <v>0</v>
      </c>
      <c r="AS187" s="709">
        <v>0</v>
      </c>
    </row>
    <row r="188" spans="1:45">
      <c r="A188" s="708" t="s">
        <v>1232</v>
      </c>
      <c r="B188" s="709">
        <v>2377</v>
      </c>
      <c r="C188" s="709">
        <v>2352</v>
      </c>
      <c r="D188" s="709">
        <v>598</v>
      </c>
      <c r="E188" s="709">
        <v>1754</v>
      </c>
      <c r="F188" s="709">
        <v>598</v>
      </c>
      <c r="G188" s="709">
        <v>598</v>
      </c>
      <c r="H188" s="709">
        <v>598</v>
      </c>
      <c r="I188" s="709">
        <v>598</v>
      </c>
      <c r="J188" s="709">
        <v>598</v>
      </c>
      <c r="K188" s="709">
        <v>598</v>
      </c>
      <c r="L188" s="709">
        <v>0</v>
      </c>
      <c r="M188" s="709">
        <v>0</v>
      </c>
      <c r="N188" s="709">
        <v>29</v>
      </c>
      <c r="O188" s="709">
        <v>0</v>
      </c>
      <c r="P188" s="709">
        <v>0</v>
      </c>
      <c r="Q188" s="709">
        <v>0</v>
      </c>
      <c r="R188" s="709">
        <v>0</v>
      </c>
      <c r="S188" s="709">
        <v>0</v>
      </c>
      <c r="T188" s="709">
        <v>0</v>
      </c>
      <c r="U188" s="709">
        <v>0</v>
      </c>
      <c r="V188" s="709">
        <v>98</v>
      </c>
      <c r="W188" s="709">
        <v>0</v>
      </c>
      <c r="X188" s="709">
        <v>0</v>
      </c>
      <c r="Y188" s="709">
        <v>0</v>
      </c>
      <c r="Z188" s="709">
        <v>0</v>
      </c>
      <c r="AA188" s="709">
        <v>0</v>
      </c>
      <c r="AB188" s="709">
        <v>0</v>
      </c>
      <c r="AC188" s="709">
        <v>0</v>
      </c>
      <c r="AD188" s="709">
        <v>33</v>
      </c>
      <c r="AE188" s="709">
        <v>1725</v>
      </c>
      <c r="AF188" s="709">
        <v>0</v>
      </c>
      <c r="AG188" s="709">
        <v>25</v>
      </c>
      <c r="AH188" s="709">
        <v>0</v>
      </c>
      <c r="AI188" s="709">
        <v>0</v>
      </c>
      <c r="AJ188" s="709">
        <v>467</v>
      </c>
      <c r="AK188" s="709">
        <v>0</v>
      </c>
      <c r="AL188" s="709">
        <v>0</v>
      </c>
      <c r="AM188" s="709">
        <v>598</v>
      </c>
      <c r="AN188" s="709">
        <v>0</v>
      </c>
      <c r="AO188" s="709">
        <v>0</v>
      </c>
      <c r="AP188" s="709">
        <v>398</v>
      </c>
      <c r="AQ188" s="709">
        <v>0</v>
      </c>
      <c r="AR188" s="709">
        <v>0</v>
      </c>
      <c r="AS188" s="709">
        <v>0</v>
      </c>
    </row>
    <row r="189" spans="1:45">
      <c r="A189" s="708" t="s">
        <v>1233</v>
      </c>
      <c r="B189" s="709">
        <v>801</v>
      </c>
      <c r="C189" s="709">
        <v>714</v>
      </c>
      <c r="D189" s="709">
        <v>24</v>
      </c>
      <c r="E189" s="709">
        <v>690</v>
      </c>
      <c r="F189" s="709">
        <v>24</v>
      </c>
      <c r="G189" s="709">
        <v>337</v>
      </c>
      <c r="H189" s="709">
        <v>337</v>
      </c>
      <c r="I189" s="709">
        <v>24</v>
      </c>
      <c r="J189" s="709">
        <v>24</v>
      </c>
      <c r="K189" s="709">
        <v>24</v>
      </c>
      <c r="L189" s="709">
        <v>0</v>
      </c>
      <c r="M189" s="709">
        <v>75</v>
      </c>
      <c r="N189" s="709">
        <v>364</v>
      </c>
      <c r="O189" s="709">
        <v>0</v>
      </c>
      <c r="P189" s="709">
        <v>0</v>
      </c>
      <c r="Q189" s="709">
        <v>0</v>
      </c>
      <c r="R189" s="709">
        <v>0</v>
      </c>
      <c r="S189" s="709">
        <v>0</v>
      </c>
      <c r="T189" s="709">
        <v>0</v>
      </c>
      <c r="U189" s="709">
        <v>0</v>
      </c>
      <c r="V189" s="709">
        <v>0</v>
      </c>
      <c r="W189" s="709">
        <v>0</v>
      </c>
      <c r="X189" s="709">
        <v>0</v>
      </c>
      <c r="Y189" s="709">
        <v>0</v>
      </c>
      <c r="Z189" s="709">
        <v>0</v>
      </c>
      <c r="AA189" s="709">
        <v>0</v>
      </c>
      <c r="AB189" s="709">
        <v>0</v>
      </c>
      <c r="AC189" s="709">
        <v>0</v>
      </c>
      <c r="AD189" s="709">
        <v>0</v>
      </c>
      <c r="AE189" s="709">
        <v>13</v>
      </c>
      <c r="AF189" s="709">
        <v>0</v>
      </c>
      <c r="AG189" s="709">
        <v>12</v>
      </c>
      <c r="AH189" s="709">
        <v>0</v>
      </c>
      <c r="AI189" s="709">
        <v>313</v>
      </c>
      <c r="AJ189" s="709">
        <v>24</v>
      </c>
      <c r="AK189" s="709">
        <v>0</v>
      </c>
      <c r="AL189" s="709">
        <v>0</v>
      </c>
      <c r="AM189" s="709">
        <v>24</v>
      </c>
      <c r="AN189" s="709">
        <v>0</v>
      </c>
      <c r="AO189" s="709">
        <v>0</v>
      </c>
      <c r="AP189" s="709">
        <v>0</v>
      </c>
      <c r="AQ189" s="709">
        <v>0</v>
      </c>
      <c r="AR189" s="709">
        <v>0</v>
      </c>
      <c r="AS189" s="709">
        <v>0</v>
      </c>
    </row>
    <row r="190" spans="1:45">
      <c r="A190" s="708" t="s">
        <v>1234</v>
      </c>
      <c r="B190" s="709">
        <v>33489</v>
      </c>
      <c r="C190" s="709">
        <v>33489</v>
      </c>
      <c r="D190" s="709">
        <v>32621</v>
      </c>
      <c r="E190" s="709">
        <v>868</v>
      </c>
      <c r="F190" s="709">
        <v>22768</v>
      </c>
      <c r="G190" s="709">
        <v>22768</v>
      </c>
      <c r="H190" s="709">
        <v>22768</v>
      </c>
      <c r="I190" s="709">
        <v>22768</v>
      </c>
      <c r="J190" s="709">
        <v>22768</v>
      </c>
      <c r="K190" s="709">
        <v>22768</v>
      </c>
      <c r="L190" s="709">
        <v>1232</v>
      </c>
      <c r="M190" s="709">
        <v>0</v>
      </c>
      <c r="N190" s="709">
        <v>480</v>
      </c>
      <c r="O190" s="709">
        <v>3899</v>
      </c>
      <c r="P190" s="709">
        <v>15015</v>
      </c>
      <c r="Q190" s="709">
        <v>0</v>
      </c>
      <c r="R190" s="709">
        <v>0</v>
      </c>
      <c r="S190" s="709">
        <v>0</v>
      </c>
      <c r="T190" s="709">
        <v>0</v>
      </c>
      <c r="U190" s="709">
        <v>1605</v>
      </c>
      <c r="V190" s="709">
        <v>2736</v>
      </c>
      <c r="W190" s="709">
        <v>0</v>
      </c>
      <c r="X190" s="709">
        <v>0</v>
      </c>
      <c r="Y190" s="709">
        <v>0</v>
      </c>
      <c r="Z190" s="709">
        <v>0</v>
      </c>
      <c r="AA190" s="709">
        <v>388</v>
      </c>
      <c r="AB190" s="709">
        <v>0</v>
      </c>
      <c r="AC190" s="709">
        <v>0</v>
      </c>
      <c r="AD190" s="709">
        <v>643</v>
      </c>
      <c r="AE190" s="709">
        <v>0</v>
      </c>
      <c r="AF190" s="709">
        <v>0</v>
      </c>
      <c r="AG190" s="709">
        <v>0</v>
      </c>
      <c r="AH190" s="709">
        <v>0</v>
      </c>
      <c r="AI190" s="709">
        <v>0</v>
      </c>
      <c r="AJ190" s="709">
        <v>1537</v>
      </c>
      <c r="AK190" s="709">
        <v>5954</v>
      </c>
      <c r="AL190" s="709">
        <v>0</v>
      </c>
      <c r="AM190" s="709">
        <v>34185</v>
      </c>
      <c r="AN190" s="709">
        <v>0</v>
      </c>
      <c r="AO190" s="709">
        <v>1564</v>
      </c>
      <c r="AP190" s="709">
        <v>0</v>
      </c>
      <c r="AQ190" s="709">
        <v>0</v>
      </c>
      <c r="AR190" s="709">
        <v>0</v>
      </c>
      <c r="AS190" s="709">
        <v>0</v>
      </c>
    </row>
    <row r="191" spans="1:45">
      <c r="A191" s="708" t="s">
        <v>1235</v>
      </c>
      <c r="B191" s="709">
        <v>6372</v>
      </c>
      <c r="C191" s="709">
        <v>6372</v>
      </c>
      <c r="D191" s="709">
        <v>6371</v>
      </c>
      <c r="E191" s="709">
        <v>1</v>
      </c>
      <c r="F191" s="709">
        <v>3318</v>
      </c>
      <c r="G191" s="709">
        <v>3318</v>
      </c>
      <c r="H191" s="709">
        <v>3318</v>
      </c>
      <c r="I191" s="709">
        <v>3318</v>
      </c>
      <c r="J191" s="709">
        <v>3318</v>
      </c>
      <c r="K191" s="709">
        <v>3318</v>
      </c>
      <c r="L191" s="709">
        <v>52</v>
      </c>
      <c r="M191" s="709">
        <v>0</v>
      </c>
      <c r="N191" s="709">
        <v>1</v>
      </c>
      <c r="O191" s="709">
        <v>430</v>
      </c>
      <c r="P191" s="709">
        <v>1875</v>
      </c>
      <c r="Q191" s="709">
        <v>0</v>
      </c>
      <c r="R191" s="709">
        <v>0</v>
      </c>
      <c r="S191" s="709">
        <v>0</v>
      </c>
      <c r="T191" s="709">
        <v>0</v>
      </c>
      <c r="U191" s="709">
        <v>552</v>
      </c>
      <c r="V191" s="709">
        <v>0</v>
      </c>
      <c r="W191" s="709">
        <v>0</v>
      </c>
      <c r="X191" s="709">
        <v>0</v>
      </c>
      <c r="Y191" s="709">
        <v>0</v>
      </c>
      <c r="Z191" s="709">
        <v>0</v>
      </c>
      <c r="AA191" s="709">
        <v>0</v>
      </c>
      <c r="AB191" s="709">
        <v>0</v>
      </c>
      <c r="AC191" s="709">
        <v>0</v>
      </c>
      <c r="AD191" s="709">
        <v>490</v>
      </c>
      <c r="AE191" s="709">
        <v>0</v>
      </c>
      <c r="AF191" s="709">
        <v>0</v>
      </c>
      <c r="AG191" s="709">
        <v>0</v>
      </c>
      <c r="AH191" s="709">
        <v>0</v>
      </c>
      <c r="AI191" s="709">
        <v>0</v>
      </c>
      <c r="AJ191" s="709">
        <v>349</v>
      </c>
      <c r="AK191" s="709">
        <v>2623</v>
      </c>
      <c r="AL191" s="709">
        <v>0</v>
      </c>
      <c r="AM191" s="709">
        <v>7535</v>
      </c>
      <c r="AN191" s="709">
        <v>28</v>
      </c>
      <c r="AO191" s="709">
        <v>1164</v>
      </c>
      <c r="AP191" s="709">
        <v>0</v>
      </c>
      <c r="AQ191" s="709">
        <v>0</v>
      </c>
      <c r="AR191" s="709">
        <v>0</v>
      </c>
      <c r="AS191" s="709">
        <v>0</v>
      </c>
    </row>
    <row r="192" spans="1:45">
      <c r="A192" s="708" t="s">
        <v>1236</v>
      </c>
      <c r="B192" s="709">
        <v>15816</v>
      </c>
      <c r="C192" s="709">
        <v>15816</v>
      </c>
      <c r="D192" s="709">
        <v>15455</v>
      </c>
      <c r="E192" s="709">
        <v>361</v>
      </c>
      <c r="F192" s="709">
        <v>8059</v>
      </c>
      <c r="G192" s="709">
        <v>8076</v>
      </c>
      <c r="H192" s="709">
        <v>8076</v>
      </c>
      <c r="I192" s="709">
        <v>8059</v>
      </c>
      <c r="J192" s="709">
        <v>8059</v>
      </c>
      <c r="K192" s="709">
        <v>8059</v>
      </c>
      <c r="L192" s="709">
        <v>0</v>
      </c>
      <c r="M192" s="709">
        <v>0</v>
      </c>
      <c r="N192" s="709">
        <v>344</v>
      </c>
      <c r="O192" s="709">
        <v>7396</v>
      </c>
      <c r="P192" s="709">
        <v>0</v>
      </c>
      <c r="Q192" s="709">
        <v>0</v>
      </c>
      <c r="R192" s="709">
        <v>0</v>
      </c>
      <c r="S192" s="709">
        <v>0</v>
      </c>
      <c r="T192" s="709">
        <v>0</v>
      </c>
      <c r="U192" s="709">
        <v>6445</v>
      </c>
      <c r="V192" s="709">
        <v>266</v>
      </c>
      <c r="W192" s="709">
        <v>0</v>
      </c>
      <c r="X192" s="709">
        <v>0</v>
      </c>
      <c r="Y192" s="709">
        <v>0</v>
      </c>
      <c r="Z192" s="709">
        <v>0</v>
      </c>
      <c r="AA192" s="709">
        <v>0</v>
      </c>
      <c r="AB192" s="709">
        <v>0</v>
      </c>
      <c r="AC192" s="709">
        <v>1166</v>
      </c>
      <c r="AD192" s="709">
        <v>27</v>
      </c>
      <c r="AE192" s="709">
        <v>0</v>
      </c>
      <c r="AF192" s="709">
        <v>0</v>
      </c>
      <c r="AG192" s="709">
        <v>0</v>
      </c>
      <c r="AH192" s="709">
        <v>0</v>
      </c>
      <c r="AI192" s="709">
        <v>17</v>
      </c>
      <c r="AJ192" s="709">
        <v>155</v>
      </c>
      <c r="AK192" s="709">
        <v>0</v>
      </c>
      <c r="AL192" s="709">
        <v>0</v>
      </c>
      <c r="AM192" s="709">
        <v>15455</v>
      </c>
      <c r="AN192" s="709">
        <v>0</v>
      </c>
      <c r="AO192" s="709">
        <v>0</v>
      </c>
      <c r="AP192" s="709">
        <v>4386</v>
      </c>
      <c r="AQ192" s="709">
        <v>0</v>
      </c>
      <c r="AR192" s="709">
        <v>0</v>
      </c>
      <c r="AS192" s="709">
        <v>0</v>
      </c>
    </row>
    <row r="193" spans="1:45">
      <c r="A193" s="708" t="s">
        <v>1237</v>
      </c>
      <c r="B193" s="709">
        <v>6757</v>
      </c>
      <c r="C193" s="709">
        <v>6757</v>
      </c>
      <c r="D193" s="709">
        <v>5938</v>
      </c>
      <c r="E193" s="709">
        <v>819</v>
      </c>
      <c r="F193" s="709">
        <v>4570</v>
      </c>
      <c r="G193" s="709">
        <v>4660</v>
      </c>
      <c r="H193" s="709">
        <v>4660</v>
      </c>
      <c r="I193" s="709">
        <v>4570</v>
      </c>
      <c r="J193" s="709">
        <v>4570</v>
      </c>
      <c r="K193" s="709">
        <v>4570</v>
      </c>
      <c r="L193" s="709">
        <v>0</v>
      </c>
      <c r="M193" s="709">
        <v>0</v>
      </c>
      <c r="N193" s="709">
        <v>729</v>
      </c>
      <c r="O193" s="709">
        <v>1368</v>
      </c>
      <c r="P193" s="709">
        <v>0</v>
      </c>
      <c r="Q193" s="709">
        <v>0</v>
      </c>
      <c r="R193" s="709">
        <v>0</v>
      </c>
      <c r="S193" s="709">
        <v>0</v>
      </c>
      <c r="T193" s="709">
        <v>0</v>
      </c>
      <c r="U193" s="709">
        <v>2215</v>
      </c>
      <c r="V193" s="709">
        <v>0</v>
      </c>
      <c r="W193" s="709">
        <v>0</v>
      </c>
      <c r="X193" s="709">
        <v>0</v>
      </c>
      <c r="Y193" s="709">
        <v>0</v>
      </c>
      <c r="Z193" s="709">
        <v>0</v>
      </c>
      <c r="AA193" s="709">
        <v>0</v>
      </c>
      <c r="AB193" s="709">
        <v>0</v>
      </c>
      <c r="AC193" s="709">
        <v>2355</v>
      </c>
      <c r="AD193" s="709">
        <v>0</v>
      </c>
      <c r="AE193" s="709">
        <v>0</v>
      </c>
      <c r="AF193" s="709">
        <v>0</v>
      </c>
      <c r="AG193" s="709">
        <v>0</v>
      </c>
      <c r="AH193" s="709">
        <v>0</v>
      </c>
      <c r="AI193" s="709">
        <v>90</v>
      </c>
      <c r="AJ193" s="709">
        <v>0</v>
      </c>
      <c r="AK193" s="709">
        <v>0</v>
      </c>
      <c r="AL193" s="709">
        <v>0</v>
      </c>
      <c r="AM193" s="709">
        <v>5938</v>
      </c>
      <c r="AN193" s="709">
        <v>0</v>
      </c>
      <c r="AO193" s="709">
        <v>0</v>
      </c>
      <c r="AP193" s="709">
        <v>149</v>
      </c>
      <c r="AQ193" s="709">
        <v>0</v>
      </c>
      <c r="AR193" s="709">
        <v>0</v>
      </c>
      <c r="AS193" s="709">
        <v>0</v>
      </c>
    </row>
    <row r="194" spans="1:45">
      <c r="A194" s="708" t="s">
        <v>1238</v>
      </c>
      <c r="B194" s="709">
        <v>36219</v>
      </c>
      <c r="C194" s="709">
        <v>36219</v>
      </c>
      <c r="D194" s="709">
        <v>35511</v>
      </c>
      <c r="E194" s="709">
        <v>708</v>
      </c>
      <c r="F194" s="709">
        <v>23390</v>
      </c>
      <c r="G194" s="709">
        <v>23390</v>
      </c>
      <c r="H194" s="709">
        <v>23390</v>
      </c>
      <c r="I194" s="709">
        <v>23390</v>
      </c>
      <c r="J194" s="709">
        <v>23390</v>
      </c>
      <c r="K194" s="709">
        <v>23390</v>
      </c>
      <c r="L194" s="709">
        <v>1767</v>
      </c>
      <c r="M194" s="709">
        <v>0</v>
      </c>
      <c r="N194" s="709">
        <v>320</v>
      </c>
      <c r="O194" s="709">
        <v>3190</v>
      </c>
      <c r="P194" s="709">
        <v>15016</v>
      </c>
      <c r="Q194" s="709">
        <v>0</v>
      </c>
      <c r="R194" s="709">
        <v>0</v>
      </c>
      <c r="S194" s="709">
        <v>0</v>
      </c>
      <c r="T194" s="709">
        <v>0</v>
      </c>
      <c r="U194" s="709">
        <v>1605</v>
      </c>
      <c r="V194" s="709">
        <v>2735</v>
      </c>
      <c r="W194" s="709">
        <v>0</v>
      </c>
      <c r="X194" s="709">
        <v>0</v>
      </c>
      <c r="Y194" s="709">
        <v>0</v>
      </c>
      <c r="Z194" s="709">
        <v>0</v>
      </c>
      <c r="AA194" s="709">
        <v>388</v>
      </c>
      <c r="AB194" s="709">
        <v>0</v>
      </c>
      <c r="AC194" s="709">
        <v>0</v>
      </c>
      <c r="AD194" s="709">
        <v>1572</v>
      </c>
      <c r="AE194" s="709">
        <v>0</v>
      </c>
      <c r="AF194" s="709">
        <v>0</v>
      </c>
      <c r="AG194" s="709">
        <v>0</v>
      </c>
      <c r="AH194" s="709">
        <v>0</v>
      </c>
      <c r="AI194" s="709">
        <v>0</v>
      </c>
      <c r="AJ194" s="709">
        <v>695</v>
      </c>
      <c r="AK194" s="709">
        <v>8931</v>
      </c>
      <c r="AL194" s="709">
        <v>0</v>
      </c>
      <c r="AM194" s="709">
        <v>37075</v>
      </c>
      <c r="AN194" s="709">
        <v>0</v>
      </c>
      <c r="AO194" s="709">
        <v>1564</v>
      </c>
      <c r="AP194" s="709">
        <v>0</v>
      </c>
      <c r="AQ194" s="709">
        <v>0</v>
      </c>
      <c r="AR194" s="709">
        <v>0</v>
      </c>
      <c r="AS194" s="709">
        <v>0</v>
      </c>
    </row>
    <row r="195" spans="1:45">
      <c r="A195" s="708" t="s">
        <v>1239</v>
      </c>
      <c r="B195" s="709">
        <v>7773</v>
      </c>
      <c r="C195" s="709">
        <v>7773</v>
      </c>
      <c r="D195" s="709">
        <v>7772</v>
      </c>
      <c r="E195" s="709">
        <v>1</v>
      </c>
      <c r="F195" s="709">
        <v>3485</v>
      </c>
      <c r="G195" s="709">
        <v>3485</v>
      </c>
      <c r="H195" s="709">
        <v>3485</v>
      </c>
      <c r="I195" s="709">
        <v>3485</v>
      </c>
      <c r="J195" s="709">
        <v>3485</v>
      </c>
      <c r="K195" s="709">
        <v>3485</v>
      </c>
      <c r="L195" s="709">
        <v>75</v>
      </c>
      <c r="M195" s="709">
        <v>0</v>
      </c>
      <c r="N195" s="709">
        <v>1</v>
      </c>
      <c r="O195" s="709">
        <v>352</v>
      </c>
      <c r="P195" s="709">
        <v>1875</v>
      </c>
      <c r="Q195" s="709">
        <v>0</v>
      </c>
      <c r="R195" s="709">
        <v>0</v>
      </c>
      <c r="S195" s="709">
        <v>0</v>
      </c>
      <c r="T195" s="709">
        <v>0</v>
      </c>
      <c r="U195" s="709">
        <v>552</v>
      </c>
      <c r="V195" s="709">
        <v>0</v>
      </c>
      <c r="W195" s="709">
        <v>0</v>
      </c>
      <c r="X195" s="709">
        <v>0</v>
      </c>
      <c r="Y195" s="709">
        <v>0</v>
      </c>
      <c r="Z195" s="709">
        <v>0</v>
      </c>
      <c r="AA195" s="709">
        <v>0</v>
      </c>
      <c r="AB195" s="709">
        <v>0</v>
      </c>
      <c r="AC195" s="709">
        <v>0</v>
      </c>
      <c r="AD195" s="709">
        <v>800</v>
      </c>
      <c r="AE195" s="709">
        <v>0</v>
      </c>
      <c r="AF195" s="709">
        <v>0</v>
      </c>
      <c r="AG195" s="709">
        <v>0</v>
      </c>
      <c r="AH195" s="709">
        <v>0</v>
      </c>
      <c r="AI195" s="709">
        <v>0</v>
      </c>
      <c r="AJ195" s="709">
        <v>183</v>
      </c>
      <c r="AK195" s="709">
        <v>3935</v>
      </c>
      <c r="AL195" s="709">
        <v>0</v>
      </c>
      <c r="AM195" s="709">
        <v>8936</v>
      </c>
      <c r="AN195" s="709">
        <v>28</v>
      </c>
      <c r="AO195" s="709">
        <v>1164</v>
      </c>
      <c r="AP195" s="709">
        <v>0</v>
      </c>
      <c r="AQ195" s="709">
        <v>0</v>
      </c>
      <c r="AR195" s="709">
        <v>0</v>
      </c>
      <c r="AS195" s="709">
        <v>0</v>
      </c>
    </row>
    <row r="196" spans="1:45">
      <c r="A196" s="708" t="s">
        <v>1240</v>
      </c>
      <c r="B196" s="709">
        <v>14410</v>
      </c>
      <c r="C196" s="709">
        <v>14410</v>
      </c>
      <c r="D196" s="709">
        <v>14164</v>
      </c>
      <c r="E196" s="709">
        <v>246</v>
      </c>
      <c r="F196" s="709">
        <v>8113</v>
      </c>
      <c r="G196" s="709">
        <v>8130</v>
      </c>
      <c r="H196" s="709">
        <v>8130</v>
      </c>
      <c r="I196" s="709">
        <v>8113</v>
      </c>
      <c r="J196" s="709">
        <v>8113</v>
      </c>
      <c r="K196" s="709">
        <v>8113</v>
      </c>
      <c r="L196" s="709">
        <v>0</v>
      </c>
      <c r="M196" s="709">
        <v>0</v>
      </c>
      <c r="N196" s="709">
        <v>229</v>
      </c>
      <c r="O196" s="709">
        <v>6051</v>
      </c>
      <c r="P196" s="709">
        <v>0</v>
      </c>
      <c r="Q196" s="709">
        <v>0</v>
      </c>
      <c r="R196" s="709">
        <v>0</v>
      </c>
      <c r="S196" s="709">
        <v>0</v>
      </c>
      <c r="T196" s="709">
        <v>0</v>
      </c>
      <c r="U196" s="709">
        <v>6445</v>
      </c>
      <c r="V196" s="709">
        <v>265</v>
      </c>
      <c r="W196" s="709">
        <v>0</v>
      </c>
      <c r="X196" s="709">
        <v>0</v>
      </c>
      <c r="Y196" s="709">
        <v>0</v>
      </c>
      <c r="Z196" s="709">
        <v>0</v>
      </c>
      <c r="AA196" s="709">
        <v>0</v>
      </c>
      <c r="AB196" s="709">
        <v>0</v>
      </c>
      <c r="AC196" s="709">
        <v>1315</v>
      </c>
      <c r="AD196" s="709">
        <v>46</v>
      </c>
      <c r="AE196" s="709">
        <v>0</v>
      </c>
      <c r="AF196" s="709">
        <v>0</v>
      </c>
      <c r="AG196" s="709">
        <v>0</v>
      </c>
      <c r="AH196" s="709">
        <v>0</v>
      </c>
      <c r="AI196" s="709">
        <v>17</v>
      </c>
      <c r="AJ196" s="709">
        <v>42</v>
      </c>
      <c r="AK196" s="709">
        <v>0</v>
      </c>
      <c r="AL196" s="709">
        <v>0</v>
      </c>
      <c r="AM196" s="709">
        <v>14164</v>
      </c>
      <c r="AN196" s="709">
        <v>0</v>
      </c>
      <c r="AO196" s="709">
        <v>0</v>
      </c>
      <c r="AP196" s="709">
        <v>4386</v>
      </c>
      <c r="AQ196" s="709">
        <v>0</v>
      </c>
      <c r="AR196" s="709">
        <v>0</v>
      </c>
      <c r="AS196" s="709">
        <v>0</v>
      </c>
    </row>
    <row r="197" spans="1:45">
      <c r="A197" s="708" t="s">
        <v>1241</v>
      </c>
      <c r="B197" s="709">
        <v>6566</v>
      </c>
      <c r="C197" s="709">
        <v>6566</v>
      </c>
      <c r="D197" s="709">
        <v>5989</v>
      </c>
      <c r="E197" s="709">
        <v>577</v>
      </c>
      <c r="F197" s="709">
        <v>4870</v>
      </c>
      <c r="G197" s="709">
        <v>4961</v>
      </c>
      <c r="H197" s="709">
        <v>4961</v>
      </c>
      <c r="I197" s="709">
        <v>4870</v>
      </c>
      <c r="J197" s="709">
        <v>4870</v>
      </c>
      <c r="K197" s="709">
        <v>4870</v>
      </c>
      <c r="L197" s="709">
        <v>0</v>
      </c>
      <c r="M197" s="709">
        <v>0</v>
      </c>
      <c r="N197" s="709">
        <v>486</v>
      </c>
      <c r="O197" s="709">
        <v>1119</v>
      </c>
      <c r="P197" s="709">
        <v>0</v>
      </c>
      <c r="Q197" s="709">
        <v>0</v>
      </c>
      <c r="R197" s="709">
        <v>0</v>
      </c>
      <c r="S197" s="709">
        <v>0</v>
      </c>
      <c r="T197" s="709">
        <v>0</v>
      </c>
      <c r="U197" s="709">
        <v>2215</v>
      </c>
      <c r="V197" s="709">
        <v>0</v>
      </c>
      <c r="W197" s="709">
        <v>0</v>
      </c>
      <c r="X197" s="709">
        <v>0</v>
      </c>
      <c r="Y197" s="709">
        <v>0</v>
      </c>
      <c r="Z197" s="709">
        <v>0</v>
      </c>
      <c r="AA197" s="709">
        <v>0</v>
      </c>
      <c r="AB197" s="709">
        <v>0</v>
      </c>
      <c r="AC197" s="709">
        <v>2655</v>
      </c>
      <c r="AD197" s="709">
        <v>0</v>
      </c>
      <c r="AE197" s="709">
        <v>0</v>
      </c>
      <c r="AF197" s="709">
        <v>0</v>
      </c>
      <c r="AG197" s="709">
        <v>0</v>
      </c>
      <c r="AH197" s="709">
        <v>0</v>
      </c>
      <c r="AI197" s="709">
        <v>91</v>
      </c>
      <c r="AJ197" s="709">
        <v>0</v>
      </c>
      <c r="AK197" s="709">
        <v>0</v>
      </c>
      <c r="AL197" s="709">
        <v>0</v>
      </c>
      <c r="AM197" s="709">
        <v>5989</v>
      </c>
      <c r="AN197" s="709">
        <v>0</v>
      </c>
      <c r="AO197" s="709">
        <v>0</v>
      </c>
      <c r="AP197" s="709">
        <v>149</v>
      </c>
      <c r="AQ197" s="709">
        <v>0</v>
      </c>
      <c r="AR197" s="709">
        <v>0</v>
      </c>
      <c r="AS197" s="709">
        <v>0</v>
      </c>
    </row>
    <row r="198" spans="1:45">
      <c r="A198" s="708" t="s">
        <v>1242</v>
      </c>
      <c r="B198" s="709">
        <v>84259</v>
      </c>
      <c r="C198" s="709">
        <v>84259</v>
      </c>
      <c r="D198" s="709">
        <v>82322</v>
      </c>
      <c r="E198" s="709">
        <v>1937</v>
      </c>
      <c r="F198" s="709">
        <v>38743</v>
      </c>
      <c r="G198" s="709">
        <v>38775</v>
      </c>
      <c r="H198" s="709">
        <v>38775</v>
      </c>
      <c r="I198" s="709">
        <v>38763</v>
      </c>
      <c r="J198" s="709">
        <v>38763</v>
      </c>
      <c r="K198" s="709">
        <v>38743</v>
      </c>
      <c r="L198" s="709">
        <v>0</v>
      </c>
      <c r="M198" s="709">
        <v>0</v>
      </c>
      <c r="N198" s="709">
        <v>513</v>
      </c>
      <c r="O198" s="709">
        <v>9875</v>
      </c>
      <c r="P198" s="709">
        <v>4631</v>
      </c>
      <c r="Q198" s="709">
        <v>0</v>
      </c>
      <c r="R198" s="709">
        <v>0</v>
      </c>
      <c r="S198" s="709">
        <v>0</v>
      </c>
      <c r="T198" s="709">
        <v>0</v>
      </c>
      <c r="U198" s="709">
        <v>0</v>
      </c>
      <c r="V198" s="709">
        <v>3339</v>
      </c>
      <c r="W198" s="709">
        <v>0</v>
      </c>
      <c r="X198" s="709">
        <v>357</v>
      </c>
      <c r="Y198" s="709">
        <v>0</v>
      </c>
      <c r="Z198" s="709">
        <v>0</v>
      </c>
      <c r="AA198" s="709">
        <v>208</v>
      </c>
      <c r="AB198" s="709">
        <v>0</v>
      </c>
      <c r="AC198" s="709">
        <v>1171</v>
      </c>
      <c r="AD198" s="709">
        <v>2727</v>
      </c>
      <c r="AE198" s="709">
        <v>827</v>
      </c>
      <c r="AF198" s="709">
        <v>0</v>
      </c>
      <c r="AG198" s="709">
        <v>0</v>
      </c>
      <c r="AH198" s="709">
        <v>20</v>
      </c>
      <c r="AI198" s="709">
        <v>12</v>
      </c>
      <c r="AJ198" s="709">
        <v>26875</v>
      </c>
      <c r="AK198" s="709">
        <v>33704</v>
      </c>
      <c r="AL198" s="709">
        <v>0</v>
      </c>
      <c r="AM198" s="709">
        <v>82322</v>
      </c>
      <c r="AN198" s="709">
        <v>0</v>
      </c>
      <c r="AO198" s="709">
        <v>0</v>
      </c>
      <c r="AP198" s="709">
        <v>121</v>
      </c>
      <c r="AQ198" s="709">
        <v>0</v>
      </c>
      <c r="AR198" s="709">
        <v>0</v>
      </c>
      <c r="AS198" s="709">
        <v>0</v>
      </c>
    </row>
    <row r="199" spans="1:45">
      <c r="A199" s="708" t="s">
        <v>1243</v>
      </c>
      <c r="B199" s="709">
        <v>78090</v>
      </c>
      <c r="C199" s="709">
        <v>78074</v>
      </c>
      <c r="D199" s="709">
        <v>66571</v>
      </c>
      <c r="E199" s="709">
        <v>11503</v>
      </c>
      <c r="F199" s="709">
        <v>23939</v>
      </c>
      <c r="G199" s="709">
        <v>27804</v>
      </c>
      <c r="H199" s="709">
        <v>24393</v>
      </c>
      <c r="I199" s="709">
        <v>24198</v>
      </c>
      <c r="J199" s="709">
        <v>24198</v>
      </c>
      <c r="K199" s="709">
        <v>23939</v>
      </c>
      <c r="L199" s="709">
        <v>0</v>
      </c>
      <c r="M199" s="709">
        <v>0</v>
      </c>
      <c r="N199" s="709">
        <v>285</v>
      </c>
      <c r="O199" s="709">
        <v>10229</v>
      </c>
      <c r="P199" s="709">
        <v>3395</v>
      </c>
      <c r="Q199" s="709">
        <v>3411</v>
      </c>
      <c r="R199" s="709">
        <v>0</v>
      </c>
      <c r="S199" s="709">
        <v>0</v>
      </c>
      <c r="T199" s="709">
        <v>0</v>
      </c>
      <c r="U199" s="709">
        <v>0</v>
      </c>
      <c r="V199" s="709">
        <v>0</v>
      </c>
      <c r="W199" s="709">
        <v>0</v>
      </c>
      <c r="X199" s="709">
        <v>2188</v>
      </c>
      <c r="Y199" s="709">
        <v>3841</v>
      </c>
      <c r="Z199" s="709">
        <v>40</v>
      </c>
      <c r="AA199" s="709">
        <v>224</v>
      </c>
      <c r="AB199" s="709">
        <v>0</v>
      </c>
      <c r="AC199" s="709">
        <v>0</v>
      </c>
      <c r="AD199" s="709">
        <v>7541</v>
      </c>
      <c r="AE199" s="709">
        <v>1100</v>
      </c>
      <c r="AF199" s="709">
        <v>0</v>
      </c>
      <c r="AG199" s="709">
        <v>16</v>
      </c>
      <c r="AH199" s="709">
        <v>259</v>
      </c>
      <c r="AI199" s="709">
        <v>195</v>
      </c>
      <c r="AJ199" s="709">
        <v>12963</v>
      </c>
      <c r="AK199" s="709">
        <v>32403</v>
      </c>
      <c r="AL199" s="709">
        <v>0</v>
      </c>
      <c r="AM199" s="709">
        <v>67858</v>
      </c>
      <c r="AN199" s="709">
        <v>0</v>
      </c>
      <c r="AO199" s="709">
        <v>1287</v>
      </c>
      <c r="AP199" s="709">
        <v>0</v>
      </c>
      <c r="AQ199" s="709">
        <v>0</v>
      </c>
      <c r="AR199" s="709">
        <v>0</v>
      </c>
      <c r="AS199" s="709">
        <v>0</v>
      </c>
    </row>
    <row r="200" spans="1:45">
      <c r="A200" s="708" t="s">
        <v>1244</v>
      </c>
      <c r="B200" s="709">
        <v>36689</v>
      </c>
      <c r="C200" s="709">
        <v>36659</v>
      </c>
      <c r="D200" s="709">
        <v>34353</v>
      </c>
      <c r="E200" s="709">
        <v>2306</v>
      </c>
      <c r="F200" s="709">
        <v>7714</v>
      </c>
      <c r="G200" s="709">
        <v>8026</v>
      </c>
      <c r="H200" s="709">
        <v>7993</v>
      </c>
      <c r="I200" s="709">
        <v>7827</v>
      </c>
      <c r="J200" s="709">
        <v>7827</v>
      </c>
      <c r="K200" s="709">
        <v>7714</v>
      </c>
      <c r="L200" s="709">
        <v>0</v>
      </c>
      <c r="M200" s="709">
        <v>0</v>
      </c>
      <c r="N200" s="709">
        <v>1244</v>
      </c>
      <c r="O200" s="709">
        <v>61</v>
      </c>
      <c r="P200" s="709">
        <v>0</v>
      </c>
      <c r="Q200" s="709">
        <v>33</v>
      </c>
      <c r="R200" s="709">
        <v>0</v>
      </c>
      <c r="S200" s="709">
        <v>0</v>
      </c>
      <c r="T200" s="709">
        <v>0</v>
      </c>
      <c r="U200" s="709">
        <v>0</v>
      </c>
      <c r="V200" s="709">
        <v>549</v>
      </c>
      <c r="W200" s="709">
        <v>0</v>
      </c>
      <c r="X200" s="709">
        <v>1</v>
      </c>
      <c r="Y200" s="709">
        <v>131</v>
      </c>
      <c r="Z200" s="709">
        <v>0</v>
      </c>
      <c r="AA200" s="709">
        <v>19</v>
      </c>
      <c r="AB200" s="709">
        <v>0</v>
      </c>
      <c r="AC200" s="709">
        <v>0</v>
      </c>
      <c r="AD200" s="709">
        <v>759</v>
      </c>
      <c r="AE200" s="709">
        <v>599</v>
      </c>
      <c r="AF200" s="709">
        <v>0</v>
      </c>
      <c r="AG200" s="709">
        <v>30</v>
      </c>
      <c r="AH200" s="709">
        <v>113</v>
      </c>
      <c r="AI200" s="709">
        <v>166</v>
      </c>
      <c r="AJ200" s="709">
        <v>6406</v>
      </c>
      <c r="AK200" s="709">
        <v>26578</v>
      </c>
      <c r="AL200" s="709">
        <v>0</v>
      </c>
      <c r="AM200" s="709">
        <v>34353</v>
      </c>
      <c r="AN200" s="709">
        <v>0</v>
      </c>
      <c r="AO200" s="709">
        <v>0</v>
      </c>
      <c r="AP200" s="709">
        <v>35</v>
      </c>
      <c r="AQ200" s="709">
        <v>0</v>
      </c>
      <c r="AR200" s="709">
        <v>0</v>
      </c>
      <c r="AS200" s="709">
        <v>0</v>
      </c>
    </row>
    <row r="201" spans="1:45">
      <c r="A201" s="708" t="s">
        <v>1245</v>
      </c>
      <c r="B201" s="709">
        <v>6386</v>
      </c>
      <c r="C201" s="709">
        <v>5675</v>
      </c>
      <c r="D201" s="709">
        <v>1030</v>
      </c>
      <c r="E201" s="709">
        <v>4645</v>
      </c>
      <c r="F201" s="709">
        <v>778</v>
      </c>
      <c r="G201" s="709">
        <v>2446</v>
      </c>
      <c r="H201" s="709">
        <v>2078</v>
      </c>
      <c r="I201" s="709">
        <v>778</v>
      </c>
      <c r="J201" s="709">
        <v>778</v>
      </c>
      <c r="K201" s="709">
        <v>778</v>
      </c>
      <c r="L201" s="709">
        <v>0</v>
      </c>
      <c r="M201" s="709">
        <v>31</v>
      </c>
      <c r="N201" s="709">
        <v>152</v>
      </c>
      <c r="O201" s="709">
        <v>252</v>
      </c>
      <c r="P201" s="709">
        <v>0</v>
      </c>
      <c r="Q201" s="709">
        <v>368</v>
      </c>
      <c r="R201" s="709">
        <v>0</v>
      </c>
      <c r="S201" s="709">
        <v>0</v>
      </c>
      <c r="T201" s="709">
        <v>0</v>
      </c>
      <c r="U201" s="709">
        <v>0</v>
      </c>
      <c r="V201" s="709">
        <v>0</v>
      </c>
      <c r="W201" s="709">
        <v>0</v>
      </c>
      <c r="X201" s="709">
        <v>1763</v>
      </c>
      <c r="Y201" s="709">
        <v>820</v>
      </c>
      <c r="Z201" s="709">
        <v>0</v>
      </c>
      <c r="AA201" s="709">
        <v>0</v>
      </c>
      <c r="AB201" s="709">
        <v>0</v>
      </c>
      <c r="AC201" s="709">
        <v>0</v>
      </c>
      <c r="AD201" s="709">
        <v>19</v>
      </c>
      <c r="AE201" s="709">
        <v>242</v>
      </c>
      <c r="AF201" s="709">
        <v>0</v>
      </c>
      <c r="AG201" s="709">
        <v>680</v>
      </c>
      <c r="AH201" s="709">
        <v>0</v>
      </c>
      <c r="AI201" s="709">
        <v>1300</v>
      </c>
      <c r="AJ201" s="709">
        <v>759</v>
      </c>
      <c r="AK201" s="709">
        <v>0</v>
      </c>
      <c r="AL201" s="709">
        <v>0</v>
      </c>
      <c r="AM201" s="709">
        <v>1059</v>
      </c>
      <c r="AN201" s="709">
        <v>0</v>
      </c>
      <c r="AO201" s="709">
        <v>29</v>
      </c>
      <c r="AP201" s="709">
        <v>0</v>
      </c>
      <c r="AQ201" s="709">
        <v>0</v>
      </c>
      <c r="AR201" s="709">
        <v>100</v>
      </c>
      <c r="AS201" s="709">
        <v>0</v>
      </c>
    </row>
    <row r="202" spans="1:45">
      <c r="A202" s="708" t="s">
        <v>1246</v>
      </c>
      <c r="B202" s="709">
        <v>971</v>
      </c>
      <c r="C202" s="709">
        <v>971</v>
      </c>
      <c r="D202" s="709">
        <v>922</v>
      </c>
      <c r="E202" s="709">
        <v>49</v>
      </c>
      <c r="F202" s="709">
        <v>696</v>
      </c>
      <c r="G202" s="709">
        <v>734</v>
      </c>
      <c r="H202" s="709">
        <v>696</v>
      </c>
      <c r="I202" s="709">
        <v>696</v>
      </c>
      <c r="J202" s="709">
        <v>696</v>
      </c>
      <c r="K202" s="709">
        <v>696</v>
      </c>
      <c r="L202" s="709">
        <v>43</v>
      </c>
      <c r="M202" s="709">
        <v>0</v>
      </c>
      <c r="N202" s="709">
        <v>2</v>
      </c>
      <c r="O202" s="709">
        <v>20</v>
      </c>
      <c r="P202" s="709">
        <v>338</v>
      </c>
      <c r="Q202" s="709">
        <v>38</v>
      </c>
      <c r="R202" s="709">
        <v>0</v>
      </c>
      <c r="S202" s="709">
        <v>0</v>
      </c>
      <c r="T202" s="709">
        <v>0</v>
      </c>
      <c r="U202" s="709">
        <v>0</v>
      </c>
      <c r="V202" s="709">
        <v>207</v>
      </c>
      <c r="W202" s="709">
        <v>0</v>
      </c>
      <c r="X202" s="709">
        <v>0</v>
      </c>
      <c r="Y202" s="709">
        <v>0</v>
      </c>
      <c r="Z202" s="709">
        <v>0</v>
      </c>
      <c r="AA202" s="709">
        <v>0</v>
      </c>
      <c r="AB202" s="709">
        <v>0</v>
      </c>
      <c r="AC202" s="709">
        <v>63</v>
      </c>
      <c r="AD202" s="709">
        <v>0</v>
      </c>
      <c r="AE202" s="709">
        <v>9</v>
      </c>
      <c r="AF202" s="709">
        <v>0</v>
      </c>
      <c r="AG202" s="709">
        <v>0</v>
      </c>
      <c r="AH202" s="709">
        <v>0</v>
      </c>
      <c r="AI202" s="709">
        <v>0</v>
      </c>
      <c r="AJ202" s="709">
        <v>45</v>
      </c>
      <c r="AK202" s="709">
        <v>206</v>
      </c>
      <c r="AL202" s="709">
        <v>0</v>
      </c>
      <c r="AM202" s="709">
        <v>922</v>
      </c>
      <c r="AN202" s="709">
        <v>0</v>
      </c>
      <c r="AO202" s="709">
        <v>0</v>
      </c>
      <c r="AP202" s="709">
        <v>0</v>
      </c>
      <c r="AQ202" s="709">
        <v>0</v>
      </c>
      <c r="AR202" s="709">
        <v>0</v>
      </c>
      <c r="AS202" s="709">
        <v>0</v>
      </c>
    </row>
    <row r="203" spans="1:45">
      <c r="A203" s="708" t="s">
        <v>1247</v>
      </c>
      <c r="B203" s="709">
        <v>1082</v>
      </c>
      <c r="C203" s="709">
        <v>1082</v>
      </c>
      <c r="D203" s="709">
        <v>1070</v>
      </c>
      <c r="E203" s="709">
        <v>12</v>
      </c>
      <c r="F203" s="709">
        <v>979</v>
      </c>
      <c r="G203" s="709">
        <v>979</v>
      </c>
      <c r="H203" s="709">
        <v>979</v>
      </c>
      <c r="I203" s="709">
        <v>979</v>
      </c>
      <c r="J203" s="709">
        <v>979</v>
      </c>
      <c r="K203" s="709">
        <v>979</v>
      </c>
      <c r="L203" s="709">
        <v>0</v>
      </c>
      <c r="M203" s="709">
        <v>0</v>
      </c>
      <c r="N203" s="709">
        <v>12</v>
      </c>
      <c r="O203" s="709">
        <v>3</v>
      </c>
      <c r="P203" s="709">
        <v>214</v>
      </c>
      <c r="Q203" s="709">
        <v>0</v>
      </c>
      <c r="R203" s="709">
        <v>0</v>
      </c>
      <c r="S203" s="709">
        <v>0</v>
      </c>
      <c r="T203" s="709">
        <v>0</v>
      </c>
      <c r="U203" s="709">
        <v>0</v>
      </c>
      <c r="V203" s="709">
        <v>0</v>
      </c>
      <c r="W203" s="709">
        <v>0</v>
      </c>
      <c r="X203" s="709">
        <v>0</v>
      </c>
      <c r="Y203" s="709">
        <v>0</v>
      </c>
      <c r="Z203" s="709">
        <v>0</v>
      </c>
      <c r="AA203" s="709">
        <v>0</v>
      </c>
      <c r="AB203" s="709">
        <v>0</v>
      </c>
      <c r="AC203" s="709">
        <v>0</v>
      </c>
      <c r="AD203" s="709">
        <v>0</v>
      </c>
      <c r="AE203" s="709">
        <v>0</v>
      </c>
      <c r="AF203" s="709">
        <v>0</v>
      </c>
      <c r="AG203" s="709">
        <v>0</v>
      </c>
      <c r="AH203" s="709">
        <v>0</v>
      </c>
      <c r="AI203" s="709">
        <v>0</v>
      </c>
      <c r="AJ203" s="709">
        <v>765</v>
      </c>
      <c r="AK203" s="709">
        <v>88</v>
      </c>
      <c r="AL203" s="709">
        <v>0</v>
      </c>
      <c r="AM203" s="709">
        <v>1078</v>
      </c>
      <c r="AN203" s="709">
        <v>0</v>
      </c>
      <c r="AO203" s="709">
        <v>8</v>
      </c>
      <c r="AP203" s="709">
        <v>19</v>
      </c>
      <c r="AQ203" s="709">
        <v>0</v>
      </c>
      <c r="AR203" s="709">
        <v>0</v>
      </c>
      <c r="AS203" s="709">
        <v>0</v>
      </c>
    </row>
    <row r="204" spans="1:45">
      <c r="A204" s="708" t="s">
        <v>1248</v>
      </c>
      <c r="B204" s="709">
        <v>208</v>
      </c>
      <c r="C204" s="709">
        <v>208</v>
      </c>
      <c r="D204" s="709">
        <v>50</v>
      </c>
      <c r="E204" s="709">
        <v>158</v>
      </c>
      <c r="F204" s="709">
        <v>20</v>
      </c>
      <c r="G204" s="709">
        <v>21</v>
      </c>
      <c r="H204" s="709">
        <v>21</v>
      </c>
      <c r="I204" s="709">
        <v>20</v>
      </c>
      <c r="J204" s="709">
        <v>20</v>
      </c>
      <c r="K204" s="709">
        <v>20</v>
      </c>
      <c r="L204" s="709">
        <v>0</v>
      </c>
      <c r="M204" s="709">
        <v>0</v>
      </c>
      <c r="N204" s="709">
        <v>75</v>
      </c>
      <c r="O204" s="709">
        <v>30</v>
      </c>
      <c r="P204" s="709">
        <v>0</v>
      </c>
      <c r="Q204" s="709">
        <v>0</v>
      </c>
      <c r="R204" s="709">
        <v>0</v>
      </c>
      <c r="S204" s="709">
        <v>0</v>
      </c>
      <c r="T204" s="709">
        <v>0</v>
      </c>
      <c r="U204" s="709">
        <v>0</v>
      </c>
      <c r="V204" s="709">
        <v>15</v>
      </c>
      <c r="W204" s="709">
        <v>0</v>
      </c>
      <c r="X204" s="709">
        <v>0</v>
      </c>
      <c r="Y204" s="709">
        <v>0</v>
      </c>
      <c r="Z204" s="709">
        <v>0</v>
      </c>
      <c r="AA204" s="709">
        <v>0</v>
      </c>
      <c r="AB204" s="709">
        <v>0</v>
      </c>
      <c r="AC204" s="709">
        <v>5</v>
      </c>
      <c r="AD204" s="709">
        <v>0</v>
      </c>
      <c r="AE204" s="709">
        <v>82</v>
      </c>
      <c r="AF204" s="709">
        <v>0</v>
      </c>
      <c r="AG204" s="709">
        <v>0</v>
      </c>
      <c r="AH204" s="709">
        <v>0</v>
      </c>
      <c r="AI204" s="709">
        <v>1</v>
      </c>
      <c r="AJ204" s="709">
        <v>0</v>
      </c>
      <c r="AK204" s="709">
        <v>0</v>
      </c>
      <c r="AL204" s="709">
        <v>0</v>
      </c>
      <c r="AM204" s="709">
        <v>50</v>
      </c>
      <c r="AN204" s="709">
        <v>0</v>
      </c>
      <c r="AO204" s="709">
        <v>0</v>
      </c>
      <c r="AP204" s="709">
        <v>0</v>
      </c>
      <c r="AQ204" s="709">
        <v>0</v>
      </c>
      <c r="AR204" s="709">
        <v>0</v>
      </c>
      <c r="AS204" s="709">
        <v>0</v>
      </c>
    </row>
    <row r="205" spans="1:45">
      <c r="A205" s="708" t="s">
        <v>1249</v>
      </c>
      <c r="B205" s="709">
        <v>34</v>
      </c>
      <c r="C205" s="709">
        <v>34</v>
      </c>
      <c r="D205" s="709">
        <v>34</v>
      </c>
      <c r="E205" s="709">
        <v>0</v>
      </c>
      <c r="F205" s="709">
        <v>0</v>
      </c>
      <c r="G205" s="709">
        <v>0</v>
      </c>
      <c r="H205" s="709">
        <v>0</v>
      </c>
      <c r="I205" s="709">
        <v>0</v>
      </c>
      <c r="J205" s="709">
        <v>0</v>
      </c>
      <c r="K205" s="709">
        <v>0</v>
      </c>
      <c r="L205" s="709">
        <v>0</v>
      </c>
      <c r="M205" s="709">
        <v>0</v>
      </c>
      <c r="N205" s="709">
        <v>0</v>
      </c>
      <c r="O205" s="709">
        <v>34</v>
      </c>
      <c r="P205" s="709">
        <v>0</v>
      </c>
      <c r="Q205" s="709">
        <v>0</v>
      </c>
      <c r="R205" s="709">
        <v>0</v>
      </c>
      <c r="S205" s="709">
        <v>0</v>
      </c>
      <c r="T205" s="709">
        <v>0</v>
      </c>
      <c r="U205" s="709">
        <v>0</v>
      </c>
      <c r="V205" s="709">
        <v>0</v>
      </c>
      <c r="W205" s="709">
        <v>0</v>
      </c>
      <c r="X205" s="709">
        <v>0</v>
      </c>
      <c r="Y205" s="709">
        <v>0</v>
      </c>
      <c r="Z205" s="709">
        <v>0</v>
      </c>
      <c r="AA205" s="709">
        <v>0</v>
      </c>
      <c r="AB205" s="709">
        <v>0</v>
      </c>
      <c r="AC205" s="709">
        <v>0</v>
      </c>
      <c r="AD205" s="709">
        <v>0</v>
      </c>
      <c r="AE205" s="709">
        <v>0</v>
      </c>
      <c r="AF205" s="709">
        <v>0</v>
      </c>
      <c r="AG205" s="709">
        <v>0</v>
      </c>
      <c r="AH205" s="709">
        <v>0</v>
      </c>
      <c r="AI205" s="709">
        <v>0</v>
      </c>
      <c r="AJ205" s="709">
        <v>0</v>
      </c>
      <c r="AK205" s="709">
        <v>0</v>
      </c>
      <c r="AL205" s="709">
        <v>0</v>
      </c>
      <c r="AM205" s="709">
        <v>34</v>
      </c>
      <c r="AN205" s="709">
        <v>0</v>
      </c>
      <c r="AO205" s="709">
        <v>0</v>
      </c>
      <c r="AP205" s="709">
        <v>0</v>
      </c>
      <c r="AQ205" s="709">
        <v>0</v>
      </c>
      <c r="AR205" s="709">
        <v>0</v>
      </c>
      <c r="AS205" s="709">
        <v>0</v>
      </c>
    </row>
    <row r="206" spans="1:45">
      <c r="A206" s="708" t="s">
        <v>1250</v>
      </c>
      <c r="B206" s="709">
        <v>565</v>
      </c>
      <c r="C206" s="709">
        <v>565</v>
      </c>
      <c r="D206" s="709">
        <v>502</v>
      </c>
      <c r="E206" s="709">
        <v>63</v>
      </c>
      <c r="F206" s="709">
        <v>120</v>
      </c>
      <c r="G206" s="709">
        <v>120</v>
      </c>
      <c r="H206" s="709">
        <v>120</v>
      </c>
      <c r="I206" s="709">
        <v>120</v>
      </c>
      <c r="J206" s="709">
        <v>120</v>
      </c>
      <c r="K206" s="709">
        <v>120</v>
      </c>
      <c r="L206" s="709">
        <v>0</v>
      </c>
      <c r="M206" s="709">
        <v>0</v>
      </c>
      <c r="N206" s="709">
        <v>14</v>
      </c>
      <c r="O206" s="709">
        <v>0</v>
      </c>
      <c r="P206" s="709">
        <v>91</v>
      </c>
      <c r="Q206" s="709">
        <v>0</v>
      </c>
      <c r="R206" s="709">
        <v>0</v>
      </c>
      <c r="S206" s="709">
        <v>0</v>
      </c>
      <c r="T206" s="709">
        <v>0</v>
      </c>
      <c r="U206" s="709">
        <v>0</v>
      </c>
      <c r="V206" s="709">
        <v>9</v>
      </c>
      <c r="W206" s="709">
        <v>0</v>
      </c>
      <c r="X206" s="709">
        <v>43</v>
      </c>
      <c r="Y206" s="709">
        <v>6</v>
      </c>
      <c r="Z206" s="709">
        <v>0</v>
      </c>
      <c r="AA206" s="709">
        <v>0</v>
      </c>
      <c r="AB206" s="709">
        <v>0</v>
      </c>
      <c r="AC206" s="709">
        <v>0</v>
      </c>
      <c r="AD206" s="709">
        <v>20</v>
      </c>
      <c r="AE206" s="709">
        <v>0</v>
      </c>
      <c r="AF206" s="709">
        <v>0</v>
      </c>
      <c r="AG206" s="709">
        <v>0</v>
      </c>
      <c r="AH206" s="709">
        <v>0</v>
      </c>
      <c r="AI206" s="709">
        <v>0</v>
      </c>
      <c r="AJ206" s="709">
        <v>0</v>
      </c>
      <c r="AK206" s="709">
        <v>382</v>
      </c>
      <c r="AL206" s="709">
        <v>0</v>
      </c>
      <c r="AM206" s="709">
        <v>502</v>
      </c>
      <c r="AN206" s="709">
        <v>0</v>
      </c>
      <c r="AO206" s="709">
        <v>0</v>
      </c>
      <c r="AP206" s="709">
        <v>0</v>
      </c>
      <c r="AQ206" s="709">
        <v>0</v>
      </c>
      <c r="AR206" s="709">
        <v>0</v>
      </c>
      <c r="AS206" s="709">
        <v>0</v>
      </c>
    </row>
    <row r="207" spans="1:45">
      <c r="A207" s="708" t="s">
        <v>1251</v>
      </c>
      <c r="B207" s="709">
        <v>261</v>
      </c>
      <c r="C207" s="709">
        <v>261</v>
      </c>
      <c r="D207" s="709">
        <v>249</v>
      </c>
      <c r="E207" s="709">
        <v>12</v>
      </c>
      <c r="F207" s="709">
        <v>78</v>
      </c>
      <c r="G207" s="709">
        <v>78</v>
      </c>
      <c r="H207" s="709">
        <v>78</v>
      </c>
      <c r="I207" s="709">
        <v>78</v>
      </c>
      <c r="J207" s="709">
        <v>78</v>
      </c>
      <c r="K207" s="709">
        <v>78</v>
      </c>
      <c r="L207" s="709">
        <v>0</v>
      </c>
      <c r="M207" s="709">
        <v>0</v>
      </c>
      <c r="N207" s="709">
        <v>0</v>
      </c>
      <c r="O207" s="709">
        <v>8</v>
      </c>
      <c r="P207" s="709">
        <v>18</v>
      </c>
      <c r="Q207" s="709">
        <v>0</v>
      </c>
      <c r="R207" s="709">
        <v>0</v>
      </c>
      <c r="S207" s="709">
        <v>0</v>
      </c>
      <c r="T207" s="709">
        <v>0</v>
      </c>
      <c r="U207" s="709">
        <v>0</v>
      </c>
      <c r="V207" s="709">
        <v>0</v>
      </c>
      <c r="W207" s="709">
        <v>0</v>
      </c>
      <c r="X207" s="709">
        <v>0</v>
      </c>
      <c r="Y207" s="709">
        <v>12</v>
      </c>
      <c r="Z207" s="709">
        <v>0</v>
      </c>
      <c r="AA207" s="709">
        <v>0</v>
      </c>
      <c r="AB207" s="709">
        <v>0</v>
      </c>
      <c r="AC207" s="709">
        <v>0</v>
      </c>
      <c r="AD207" s="709">
        <v>0</v>
      </c>
      <c r="AE207" s="709">
        <v>0</v>
      </c>
      <c r="AF207" s="709">
        <v>0</v>
      </c>
      <c r="AG207" s="709">
        <v>0</v>
      </c>
      <c r="AH207" s="709">
        <v>0</v>
      </c>
      <c r="AI207" s="709">
        <v>0</v>
      </c>
      <c r="AJ207" s="709">
        <v>60</v>
      </c>
      <c r="AK207" s="709">
        <v>163</v>
      </c>
      <c r="AL207" s="709">
        <v>0</v>
      </c>
      <c r="AM207" s="709">
        <v>249</v>
      </c>
      <c r="AN207" s="709">
        <v>0</v>
      </c>
      <c r="AO207" s="709">
        <v>0</v>
      </c>
      <c r="AP207" s="709">
        <v>0</v>
      </c>
      <c r="AQ207" s="709">
        <v>0</v>
      </c>
      <c r="AR207" s="709">
        <v>0</v>
      </c>
      <c r="AS207" s="709">
        <v>0</v>
      </c>
    </row>
    <row r="208" spans="1:45">
      <c r="A208" s="708" t="s">
        <v>1252</v>
      </c>
      <c r="B208" s="709">
        <v>845</v>
      </c>
      <c r="C208" s="709">
        <v>845</v>
      </c>
      <c r="D208" s="709">
        <v>79</v>
      </c>
      <c r="E208" s="709">
        <v>766</v>
      </c>
      <c r="F208" s="709">
        <v>27</v>
      </c>
      <c r="G208" s="709">
        <v>63</v>
      </c>
      <c r="H208" s="709">
        <v>63</v>
      </c>
      <c r="I208" s="709">
        <v>27</v>
      </c>
      <c r="J208" s="709">
        <v>27</v>
      </c>
      <c r="K208" s="709">
        <v>27</v>
      </c>
      <c r="L208" s="709">
        <v>0</v>
      </c>
      <c r="M208" s="709">
        <v>0</v>
      </c>
      <c r="N208" s="709">
        <v>0</v>
      </c>
      <c r="O208" s="709">
        <v>52</v>
      </c>
      <c r="P208" s="709">
        <v>0</v>
      </c>
      <c r="Q208" s="709">
        <v>0</v>
      </c>
      <c r="R208" s="709">
        <v>0</v>
      </c>
      <c r="S208" s="709">
        <v>0</v>
      </c>
      <c r="T208" s="709">
        <v>0</v>
      </c>
      <c r="U208" s="709">
        <v>0</v>
      </c>
      <c r="V208" s="709">
        <v>0</v>
      </c>
      <c r="W208" s="709">
        <v>0</v>
      </c>
      <c r="X208" s="709">
        <v>0</v>
      </c>
      <c r="Y208" s="709">
        <v>0</v>
      </c>
      <c r="Z208" s="709">
        <v>0</v>
      </c>
      <c r="AA208" s="709">
        <v>4</v>
      </c>
      <c r="AB208" s="709">
        <v>0</v>
      </c>
      <c r="AC208" s="709">
        <v>0</v>
      </c>
      <c r="AD208" s="709">
        <v>27</v>
      </c>
      <c r="AE208" s="709">
        <v>726</v>
      </c>
      <c r="AF208" s="709">
        <v>0</v>
      </c>
      <c r="AG208" s="709">
        <v>0</v>
      </c>
      <c r="AH208" s="709">
        <v>0</v>
      </c>
      <c r="AI208" s="709">
        <v>36</v>
      </c>
      <c r="AJ208" s="709">
        <v>0</v>
      </c>
      <c r="AK208" s="709">
        <v>0</v>
      </c>
      <c r="AL208" s="709">
        <v>0</v>
      </c>
      <c r="AM208" s="709">
        <v>79</v>
      </c>
      <c r="AN208" s="709">
        <v>0</v>
      </c>
      <c r="AO208" s="709">
        <v>0</v>
      </c>
      <c r="AP208" s="709">
        <v>0</v>
      </c>
      <c r="AQ208" s="709">
        <v>0</v>
      </c>
      <c r="AR208" s="709">
        <v>0</v>
      </c>
      <c r="AS208" s="709">
        <v>0</v>
      </c>
    </row>
    <row r="209" spans="1:45">
      <c r="A209" s="708" t="s">
        <v>1253</v>
      </c>
      <c r="B209" s="709">
        <v>95</v>
      </c>
      <c r="C209" s="709">
        <v>95</v>
      </c>
      <c r="D209" s="709">
        <v>9</v>
      </c>
      <c r="E209" s="709">
        <v>86</v>
      </c>
      <c r="F209" s="709">
        <v>0</v>
      </c>
      <c r="G209" s="709">
        <v>85</v>
      </c>
      <c r="H209" s="709">
        <v>80</v>
      </c>
      <c r="I209" s="709">
        <v>0</v>
      </c>
      <c r="J209" s="709">
        <v>0</v>
      </c>
      <c r="K209" s="709">
        <v>0</v>
      </c>
      <c r="L209" s="709">
        <v>0</v>
      </c>
      <c r="M209" s="709">
        <v>0</v>
      </c>
      <c r="N209" s="709">
        <v>0</v>
      </c>
      <c r="O209" s="709">
        <v>9</v>
      </c>
      <c r="P209" s="709">
        <v>0</v>
      </c>
      <c r="Q209" s="709">
        <v>5</v>
      </c>
      <c r="R209" s="709">
        <v>0</v>
      </c>
      <c r="S209" s="709">
        <v>0</v>
      </c>
      <c r="T209" s="709">
        <v>0</v>
      </c>
      <c r="U209" s="709">
        <v>0</v>
      </c>
      <c r="V209" s="709">
        <v>0</v>
      </c>
      <c r="W209" s="709">
        <v>0</v>
      </c>
      <c r="X209" s="709">
        <v>0</v>
      </c>
      <c r="Y209" s="709">
        <v>0</v>
      </c>
      <c r="Z209" s="709">
        <v>0</v>
      </c>
      <c r="AA209" s="709">
        <v>0</v>
      </c>
      <c r="AB209" s="709">
        <v>0</v>
      </c>
      <c r="AC209" s="709">
        <v>0</v>
      </c>
      <c r="AD209" s="709">
        <v>0</v>
      </c>
      <c r="AE209" s="709">
        <v>1</v>
      </c>
      <c r="AF209" s="709">
        <v>0</v>
      </c>
      <c r="AG209" s="709">
        <v>0</v>
      </c>
      <c r="AH209" s="709">
        <v>0</v>
      </c>
      <c r="AI209" s="709">
        <v>80</v>
      </c>
      <c r="AJ209" s="709">
        <v>0</v>
      </c>
      <c r="AK209" s="709">
        <v>0</v>
      </c>
      <c r="AL209" s="709">
        <v>0</v>
      </c>
      <c r="AM209" s="709">
        <v>9</v>
      </c>
      <c r="AN209" s="709">
        <v>0</v>
      </c>
      <c r="AO209" s="709">
        <v>0</v>
      </c>
      <c r="AP209" s="709">
        <v>0</v>
      </c>
      <c r="AQ209" s="709">
        <v>0</v>
      </c>
      <c r="AR209" s="709">
        <v>0</v>
      </c>
      <c r="AS209" s="709">
        <v>0</v>
      </c>
    </row>
    <row r="210" spans="1:45">
      <c r="A210" s="708" t="s">
        <v>1254</v>
      </c>
      <c r="B210" s="709">
        <v>1847</v>
      </c>
      <c r="C210" s="709">
        <v>1847</v>
      </c>
      <c r="D210" s="709">
        <v>1847</v>
      </c>
      <c r="E210" s="709">
        <v>0</v>
      </c>
      <c r="F210" s="709">
        <v>1180</v>
      </c>
      <c r="G210" s="709">
        <v>1180</v>
      </c>
      <c r="H210" s="709">
        <v>1180</v>
      </c>
      <c r="I210" s="709">
        <v>1180</v>
      </c>
      <c r="J210" s="709">
        <v>1180</v>
      </c>
      <c r="K210" s="709">
        <v>1180</v>
      </c>
      <c r="L210" s="709">
        <v>110</v>
      </c>
      <c r="M210" s="709">
        <v>0</v>
      </c>
      <c r="N210" s="709">
        <v>0</v>
      </c>
      <c r="O210" s="709">
        <v>648</v>
      </c>
      <c r="P210" s="709">
        <v>234</v>
      </c>
      <c r="Q210" s="709">
        <v>0</v>
      </c>
      <c r="R210" s="709">
        <v>0</v>
      </c>
      <c r="S210" s="709">
        <v>0</v>
      </c>
      <c r="T210" s="709">
        <v>0</v>
      </c>
      <c r="U210" s="709">
        <v>0</v>
      </c>
      <c r="V210" s="709">
        <v>712</v>
      </c>
      <c r="W210" s="709">
        <v>0</v>
      </c>
      <c r="X210" s="709">
        <v>0</v>
      </c>
      <c r="Y210" s="709">
        <v>0</v>
      </c>
      <c r="Z210" s="709">
        <v>0</v>
      </c>
      <c r="AA210" s="709">
        <v>0</v>
      </c>
      <c r="AB210" s="709">
        <v>0</v>
      </c>
      <c r="AC210" s="709">
        <v>0</v>
      </c>
      <c r="AD210" s="709">
        <v>124</v>
      </c>
      <c r="AE210" s="709">
        <v>0</v>
      </c>
      <c r="AF210" s="709">
        <v>0</v>
      </c>
      <c r="AG210" s="709">
        <v>0</v>
      </c>
      <c r="AH210" s="709">
        <v>0</v>
      </c>
      <c r="AI210" s="709">
        <v>0</v>
      </c>
      <c r="AJ210" s="709">
        <v>0</v>
      </c>
      <c r="AK210" s="709">
        <v>19</v>
      </c>
      <c r="AL210" s="709">
        <v>0</v>
      </c>
      <c r="AM210" s="709">
        <v>1847</v>
      </c>
      <c r="AN210" s="709">
        <v>0</v>
      </c>
      <c r="AO210" s="709">
        <v>0</v>
      </c>
      <c r="AP210" s="709">
        <v>0</v>
      </c>
      <c r="AQ210" s="709">
        <v>0</v>
      </c>
      <c r="AR210" s="709">
        <v>0</v>
      </c>
      <c r="AS210" s="709">
        <v>0</v>
      </c>
    </row>
    <row r="211" spans="1:45">
      <c r="A211" s="708" t="s">
        <v>1255</v>
      </c>
      <c r="B211" s="709">
        <v>205</v>
      </c>
      <c r="C211" s="709">
        <v>205</v>
      </c>
      <c r="D211" s="709">
        <v>205</v>
      </c>
      <c r="E211" s="709">
        <v>0</v>
      </c>
      <c r="F211" s="709">
        <v>127</v>
      </c>
      <c r="G211" s="709">
        <v>127</v>
      </c>
      <c r="H211" s="709">
        <v>127</v>
      </c>
      <c r="I211" s="709">
        <v>127</v>
      </c>
      <c r="J211" s="709">
        <v>127</v>
      </c>
      <c r="K211" s="709">
        <v>127</v>
      </c>
      <c r="L211" s="709">
        <v>0</v>
      </c>
      <c r="M211" s="709">
        <v>0</v>
      </c>
      <c r="N211" s="709">
        <v>0</v>
      </c>
      <c r="O211" s="709">
        <v>70</v>
      </c>
      <c r="P211" s="709">
        <v>127</v>
      </c>
      <c r="Q211" s="709">
        <v>0</v>
      </c>
      <c r="R211" s="709">
        <v>0</v>
      </c>
      <c r="S211" s="709">
        <v>0</v>
      </c>
      <c r="T211" s="709">
        <v>0</v>
      </c>
      <c r="U211" s="709">
        <v>0</v>
      </c>
      <c r="V211" s="709">
        <v>0</v>
      </c>
      <c r="W211" s="709">
        <v>0</v>
      </c>
      <c r="X211" s="709">
        <v>0</v>
      </c>
      <c r="Y211" s="709">
        <v>0</v>
      </c>
      <c r="Z211" s="709">
        <v>0</v>
      </c>
      <c r="AA211" s="709">
        <v>0</v>
      </c>
      <c r="AB211" s="709">
        <v>0</v>
      </c>
      <c r="AC211" s="709">
        <v>0</v>
      </c>
      <c r="AD211" s="709">
        <v>0</v>
      </c>
      <c r="AE211" s="709">
        <v>0</v>
      </c>
      <c r="AF211" s="709">
        <v>0</v>
      </c>
      <c r="AG211" s="709">
        <v>0</v>
      </c>
      <c r="AH211" s="709">
        <v>0</v>
      </c>
      <c r="AI211" s="709">
        <v>0</v>
      </c>
      <c r="AJ211" s="709">
        <v>0</v>
      </c>
      <c r="AK211" s="709">
        <v>8</v>
      </c>
      <c r="AL211" s="709">
        <v>0</v>
      </c>
      <c r="AM211" s="709">
        <v>205</v>
      </c>
      <c r="AN211" s="709">
        <v>0</v>
      </c>
      <c r="AO211" s="709">
        <v>0</v>
      </c>
      <c r="AP211" s="709">
        <v>0</v>
      </c>
      <c r="AQ211" s="709">
        <v>0</v>
      </c>
      <c r="AR211" s="709">
        <v>0</v>
      </c>
      <c r="AS211" s="709">
        <v>0</v>
      </c>
    </row>
    <row r="212" spans="1:45">
      <c r="A212" s="708" t="s">
        <v>1256</v>
      </c>
      <c r="B212" s="709">
        <v>480</v>
      </c>
      <c r="C212" s="709">
        <v>480</v>
      </c>
      <c r="D212" s="709">
        <v>477</v>
      </c>
      <c r="E212" s="709">
        <v>3</v>
      </c>
      <c r="F212" s="709">
        <v>193</v>
      </c>
      <c r="G212" s="709">
        <v>193</v>
      </c>
      <c r="H212" s="709">
        <v>193</v>
      </c>
      <c r="I212" s="709">
        <v>193</v>
      </c>
      <c r="J212" s="709">
        <v>193</v>
      </c>
      <c r="K212" s="709">
        <v>193</v>
      </c>
      <c r="L212" s="709">
        <v>0</v>
      </c>
      <c r="M212" s="709">
        <v>0</v>
      </c>
      <c r="N212" s="709">
        <v>0</v>
      </c>
      <c r="O212" s="709">
        <v>284</v>
      </c>
      <c r="P212" s="709">
        <v>0</v>
      </c>
      <c r="Q212" s="709">
        <v>0</v>
      </c>
      <c r="R212" s="709">
        <v>0</v>
      </c>
      <c r="S212" s="709">
        <v>0</v>
      </c>
      <c r="T212" s="709">
        <v>0</v>
      </c>
      <c r="U212" s="709">
        <v>0</v>
      </c>
      <c r="V212" s="709">
        <v>141</v>
      </c>
      <c r="W212" s="709">
        <v>0</v>
      </c>
      <c r="X212" s="709">
        <v>0</v>
      </c>
      <c r="Y212" s="709">
        <v>0</v>
      </c>
      <c r="Z212" s="709">
        <v>0</v>
      </c>
      <c r="AA212" s="709">
        <v>0</v>
      </c>
      <c r="AB212" s="709">
        <v>0</v>
      </c>
      <c r="AC212" s="709">
        <v>0</v>
      </c>
      <c r="AD212" s="709">
        <v>52</v>
      </c>
      <c r="AE212" s="709">
        <v>3</v>
      </c>
      <c r="AF212" s="709">
        <v>0</v>
      </c>
      <c r="AG212" s="709">
        <v>0</v>
      </c>
      <c r="AH212" s="709">
        <v>0</v>
      </c>
      <c r="AI212" s="709">
        <v>0</v>
      </c>
      <c r="AJ212" s="709">
        <v>0</v>
      </c>
      <c r="AK212" s="709">
        <v>0</v>
      </c>
      <c r="AL212" s="709">
        <v>0</v>
      </c>
      <c r="AM212" s="709">
        <v>477</v>
      </c>
      <c r="AN212" s="709">
        <v>0</v>
      </c>
      <c r="AO212" s="709">
        <v>0</v>
      </c>
      <c r="AP212" s="709">
        <v>0</v>
      </c>
      <c r="AQ212" s="709">
        <v>0</v>
      </c>
      <c r="AR212" s="709">
        <v>0</v>
      </c>
      <c r="AS212" s="709">
        <v>0</v>
      </c>
    </row>
    <row r="213" spans="1:45">
      <c r="A213" s="708" t="s">
        <v>1257</v>
      </c>
      <c r="B213" s="709">
        <v>18</v>
      </c>
      <c r="C213" s="709">
        <v>18</v>
      </c>
      <c r="D213" s="709">
        <v>0</v>
      </c>
      <c r="E213" s="709">
        <v>18</v>
      </c>
      <c r="F213" s="709">
        <v>0</v>
      </c>
      <c r="G213" s="709">
        <v>18</v>
      </c>
      <c r="H213" s="709">
        <v>18</v>
      </c>
      <c r="I213" s="709">
        <v>0</v>
      </c>
      <c r="J213" s="709">
        <v>0</v>
      </c>
      <c r="K213" s="709">
        <v>0</v>
      </c>
      <c r="L213" s="709">
        <v>0</v>
      </c>
      <c r="M213" s="709">
        <v>0</v>
      </c>
      <c r="N213" s="709">
        <v>0</v>
      </c>
      <c r="O213" s="709">
        <v>0</v>
      </c>
      <c r="P213" s="709">
        <v>0</v>
      </c>
      <c r="Q213" s="709">
        <v>0</v>
      </c>
      <c r="R213" s="709">
        <v>0</v>
      </c>
      <c r="S213" s="709">
        <v>0</v>
      </c>
      <c r="T213" s="709">
        <v>0</v>
      </c>
      <c r="U213" s="709">
        <v>0</v>
      </c>
      <c r="V213" s="709">
        <v>0</v>
      </c>
      <c r="W213" s="709">
        <v>0</v>
      </c>
      <c r="X213" s="709">
        <v>0</v>
      </c>
      <c r="Y213" s="709">
        <v>0</v>
      </c>
      <c r="Z213" s="709">
        <v>0</v>
      </c>
      <c r="AA213" s="709">
        <v>0</v>
      </c>
      <c r="AB213" s="709">
        <v>0</v>
      </c>
      <c r="AC213" s="709">
        <v>0</v>
      </c>
      <c r="AD213" s="709">
        <v>0</v>
      </c>
      <c r="AE213" s="709">
        <v>0</v>
      </c>
      <c r="AF213" s="709">
        <v>0</v>
      </c>
      <c r="AG213" s="709">
        <v>0</v>
      </c>
      <c r="AH213" s="709">
        <v>0</v>
      </c>
      <c r="AI213" s="709">
        <v>18</v>
      </c>
      <c r="AJ213" s="709">
        <v>0</v>
      </c>
      <c r="AK213" s="709">
        <v>0</v>
      </c>
      <c r="AL213" s="709">
        <v>0</v>
      </c>
      <c r="AM213" s="709">
        <v>0</v>
      </c>
      <c r="AN213" s="709">
        <v>0</v>
      </c>
      <c r="AO213" s="709">
        <v>0</v>
      </c>
      <c r="AP213" s="709">
        <v>0</v>
      </c>
      <c r="AQ213" s="709">
        <v>0</v>
      </c>
      <c r="AR213" s="709">
        <v>0</v>
      </c>
      <c r="AS213" s="709">
        <v>0</v>
      </c>
    </row>
    <row r="214" spans="1:45">
      <c r="A214" s="708" t="s">
        <v>1258</v>
      </c>
      <c r="B214" s="709">
        <v>950</v>
      </c>
      <c r="C214" s="709">
        <v>950</v>
      </c>
      <c r="D214" s="709">
        <v>950</v>
      </c>
      <c r="E214" s="709">
        <v>0</v>
      </c>
      <c r="F214" s="709">
        <v>223</v>
      </c>
      <c r="G214" s="709">
        <v>223</v>
      </c>
      <c r="H214" s="709">
        <v>223</v>
      </c>
      <c r="I214" s="709">
        <v>223</v>
      </c>
      <c r="J214" s="709">
        <v>223</v>
      </c>
      <c r="K214" s="709">
        <v>223</v>
      </c>
      <c r="L214" s="709">
        <v>0</v>
      </c>
      <c r="M214" s="709">
        <v>0</v>
      </c>
      <c r="N214" s="709">
        <v>0</v>
      </c>
      <c r="O214" s="709">
        <v>0</v>
      </c>
      <c r="P214" s="709">
        <v>3</v>
      </c>
      <c r="Q214" s="709">
        <v>0</v>
      </c>
      <c r="R214" s="709">
        <v>0</v>
      </c>
      <c r="S214" s="709">
        <v>0</v>
      </c>
      <c r="T214" s="709">
        <v>0</v>
      </c>
      <c r="U214" s="709">
        <v>0</v>
      </c>
      <c r="V214" s="709">
        <v>0</v>
      </c>
      <c r="W214" s="709">
        <v>0</v>
      </c>
      <c r="X214" s="709">
        <v>0</v>
      </c>
      <c r="Y214" s="709">
        <v>0</v>
      </c>
      <c r="Z214" s="709">
        <v>0</v>
      </c>
      <c r="AA214" s="709">
        <v>0</v>
      </c>
      <c r="AB214" s="709">
        <v>0</v>
      </c>
      <c r="AC214" s="709">
        <v>0</v>
      </c>
      <c r="AD214" s="709">
        <v>220</v>
      </c>
      <c r="AE214" s="709">
        <v>0</v>
      </c>
      <c r="AF214" s="709">
        <v>0</v>
      </c>
      <c r="AG214" s="709">
        <v>0</v>
      </c>
      <c r="AH214" s="709">
        <v>0</v>
      </c>
      <c r="AI214" s="709">
        <v>0</v>
      </c>
      <c r="AJ214" s="709">
        <v>0</v>
      </c>
      <c r="AK214" s="709">
        <v>727</v>
      </c>
      <c r="AL214" s="709">
        <v>0</v>
      </c>
      <c r="AM214" s="709">
        <v>950</v>
      </c>
      <c r="AN214" s="709">
        <v>0</v>
      </c>
      <c r="AO214" s="709">
        <v>0</v>
      </c>
      <c r="AP214" s="709">
        <v>0</v>
      </c>
      <c r="AQ214" s="709">
        <v>0</v>
      </c>
      <c r="AR214" s="709">
        <v>0</v>
      </c>
      <c r="AS214" s="709">
        <v>0</v>
      </c>
    </row>
    <row r="215" spans="1:45">
      <c r="A215" s="708" t="s">
        <v>1259</v>
      </c>
      <c r="B215" s="709">
        <v>2045</v>
      </c>
      <c r="C215" s="709">
        <v>2045</v>
      </c>
      <c r="D215" s="709">
        <v>2045</v>
      </c>
      <c r="E215" s="709">
        <v>0</v>
      </c>
      <c r="F215" s="709">
        <v>31</v>
      </c>
      <c r="G215" s="709">
        <v>31</v>
      </c>
      <c r="H215" s="709">
        <v>31</v>
      </c>
      <c r="I215" s="709">
        <v>31</v>
      </c>
      <c r="J215" s="709">
        <v>31</v>
      </c>
      <c r="K215" s="709">
        <v>31</v>
      </c>
      <c r="L215" s="709">
        <v>0</v>
      </c>
      <c r="M215" s="709">
        <v>0</v>
      </c>
      <c r="N215" s="709">
        <v>0</v>
      </c>
      <c r="O215" s="709">
        <v>0</v>
      </c>
      <c r="P215" s="709">
        <v>31</v>
      </c>
      <c r="Q215" s="709">
        <v>0</v>
      </c>
      <c r="R215" s="709">
        <v>0</v>
      </c>
      <c r="S215" s="709">
        <v>0</v>
      </c>
      <c r="T215" s="709">
        <v>0</v>
      </c>
      <c r="U215" s="709">
        <v>0</v>
      </c>
      <c r="V215" s="709">
        <v>0</v>
      </c>
      <c r="W215" s="709">
        <v>0</v>
      </c>
      <c r="X215" s="709">
        <v>0</v>
      </c>
      <c r="Y215" s="709">
        <v>0</v>
      </c>
      <c r="Z215" s="709">
        <v>0</v>
      </c>
      <c r="AA215" s="709">
        <v>0</v>
      </c>
      <c r="AB215" s="709">
        <v>0</v>
      </c>
      <c r="AC215" s="709">
        <v>0</v>
      </c>
      <c r="AD215" s="709">
        <v>0</v>
      </c>
      <c r="AE215" s="709">
        <v>0</v>
      </c>
      <c r="AF215" s="709">
        <v>0</v>
      </c>
      <c r="AG215" s="709">
        <v>0</v>
      </c>
      <c r="AH215" s="709">
        <v>0</v>
      </c>
      <c r="AI215" s="709">
        <v>0</v>
      </c>
      <c r="AJ215" s="709">
        <v>0</v>
      </c>
      <c r="AK215" s="709">
        <v>2014</v>
      </c>
      <c r="AL215" s="709">
        <v>0</v>
      </c>
      <c r="AM215" s="709">
        <v>2045</v>
      </c>
      <c r="AN215" s="709">
        <v>0</v>
      </c>
      <c r="AO215" s="709">
        <v>0</v>
      </c>
      <c r="AP215" s="709">
        <v>0</v>
      </c>
      <c r="AQ215" s="709">
        <v>0</v>
      </c>
      <c r="AR215" s="709">
        <v>0</v>
      </c>
      <c r="AS215" s="709">
        <v>0</v>
      </c>
    </row>
    <row r="216" spans="1:45">
      <c r="A216" s="708" t="s">
        <v>1260</v>
      </c>
      <c r="B216" s="709">
        <v>53</v>
      </c>
      <c r="C216" s="709">
        <v>53</v>
      </c>
      <c r="D216" s="709">
        <v>53</v>
      </c>
      <c r="E216" s="709">
        <v>0</v>
      </c>
      <c r="F216" s="709">
        <v>53</v>
      </c>
      <c r="G216" s="709">
        <v>53</v>
      </c>
      <c r="H216" s="709">
        <v>53</v>
      </c>
      <c r="I216" s="709">
        <v>53</v>
      </c>
      <c r="J216" s="709">
        <v>53</v>
      </c>
      <c r="K216" s="709">
        <v>53</v>
      </c>
      <c r="L216" s="709">
        <v>0</v>
      </c>
      <c r="M216" s="709">
        <v>0</v>
      </c>
      <c r="N216" s="709">
        <v>0</v>
      </c>
      <c r="O216" s="709">
        <v>0</v>
      </c>
      <c r="P216" s="709">
        <v>0</v>
      </c>
      <c r="Q216" s="709">
        <v>0</v>
      </c>
      <c r="R216" s="709">
        <v>0</v>
      </c>
      <c r="S216" s="709">
        <v>0</v>
      </c>
      <c r="T216" s="709">
        <v>0</v>
      </c>
      <c r="U216" s="709">
        <v>0</v>
      </c>
      <c r="V216" s="709">
        <v>0</v>
      </c>
      <c r="W216" s="709">
        <v>0</v>
      </c>
      <c r="X216" s="709">
        <v>0</v>
      </c>
      <c r="Y216" s="709">
        <v>0</v>
      </c>
      <c r="Z216" s="709">
        <v>0</v>
      </c>
      <c r="AA216" s="709">
        <v>0</v>
      </c>
      <c r="AB216" s="709">
        <v>0</v>
      </c>
      <c r="AC216" s="709">
        <v>0</v>
      </c>
      <c r="AD216" s="709">
        <v>53</v>
      </c>
      <c r="AE216" s="709">
        <v>0</v>
      </c>
      <c r="AF216" s="709">
        <v>0</v>
      </c>
      <c r="AG216" s="709">
        <v>0</v>
      </c>
      <c r="AH216" s="709">
        <v>0</v>
      </c>
      <c r="AI216" s="709">
        <v>0</v>
      </c>
      <c r="AJ216" s="709">
        <v>0</v>
      </c>
      <c r="AK216" s="709">
        <v>0</v>
      </c>
      <c r="AL216" s="709">
        <v>0</v>
      </c>
      <c r="AM216" s="709">
        <v>53</v>
      </c>
      <c r="AN216" s="709">
        <v>0</v>
      </c>
      <c r="AO216" s="709">
        <v>0</v>
      </c>
      <c r="AP216" s="709">
        <v>0</v>
      </c>
      <c r="AQ216" s="709">
        <v>0</v>
      </c>
      <c r="AR216" s="709">
        <v>0</v>
      </c>
      <c r="AS216" s="709">
        <v>0</v>
      </c>
    </row>
    <row r="217" spans="1:45">
      <c r="A217" s="708" t="s">
        <v>1261</v>
      </c>
      <c r="B217" s="709">
        <v>0</v>
      </c>
      <c r="C217" s="709">
        <v>0</v>
      </c>
      <c r="D217" s="709">
        <v>0</v>
      </c>
      <c r="E217" s="709">
        <v>0</v>
      </c>
      <c r="F217" s="709">
        <v>0</v>
      </c>
      <c r="G217" s="709">
        <v>0</v>
      </c>
      <c r="H217" s="709">
        <v>0</v>
      </c>
      <c r="I217" s="709">
        <v>0</v>
      </c>
      <c r="J217" s="709">
        <v>0</v>
      </c>
      <c r="K217" s="709">
        <v>0</v>
      </c>
      <c r="L217" s="709">
        <v>0</v>
      </c>
      <c r="M217" s="709">
        <v>0</v>
      </c>
      <c r="N217" s="709">
        <v>0</v>
      </c>
      <c r="O217" s="709">
        <v>0</v>
      </c>
      <c r="P217" s="709">
        <v>0</v>
      </c>
      <c r="Q217" s="709">
        <v>0</v>
      </c>
      <c r="R217" s="709">
        <v>0</v>
      </c>
      <c r="S217" s="709">
        <v>0</v>
      </c>
      <c r="T217" s="709">
        <v>0</v>
      </c>
      <c r="U217" s="709">
        <v>0</v>
      </c>
      <c r="V217" s="709">
        <v>0</v>
      </c>
      <c r="W217" s="709">
        <v>0</v>
      </c>
      <c r="X217" s="709">
        <v>0</v>
      </c>
      <c r="Y217" s="709">
        <v>0</v>
      </c>
      <c r="Z217" s="709">
        <v>0</v>
      </c>
      <c r="AA217" s="709">
        <v>0</v>
      </c>
      <c r="AB217" s="709">
        <v>0</v>
      </c>
      <c r="AC217" s="709">
        <v>0</v>
      </c>
      <c r="AD217" s="709">
        <v>0</v>
      </c>
      <c r="AE217" s="709">
        <v>0</v>
      </c>
      <c r="AF217" s="709">
        <v>0</v>
      </c>
      <c r="AG217" s="709">
        <v>0</v>
      </c>
      <c r="AH217" s="709">
        <v>0</v>
      </c>
      <c r="AI217" s="709">
        <v>0</v>
      </c>
      <c r="AJ217" s="709">
        <v>0</v>
      </c>
      <c r="AK217" s="709">
        <v>0</v>
      </c>
      <c r="AL217" s="709">
        <v>0</v>
      </c>
      <c r="AM217" s="709">
        <v>0</v>
      </c>
      <c r="AN217" s="709">
        <v>0</v>
      </c>
      <c r="AO217" s="709">
        <v>0</v>
      </c>
      <c r="AP217" s="709">
        <v>0</v>
      </c>
      <c r="AQ217" s="709">
        <v>0</v>
      </c>
      <c r="AR217" s="709">
        <v>0</v>
      </c>
      <c r="AS217" s="709">
        <v>0</v>
      </c>
    </row>
    <row r="218" spans="1:45">
      <c r="A218" s="708" t="s">
        <v>1262</v>
      </c>
      <c r="B218" s="709">
        <v>153</v>
      </c>
      <c r="C218" s="709">
        <v>153</v>
      </c>
      <c r="D218" s="709">
        <v>153</v>
      </c>
      <c r="E218" s="709">
        <v>0</v>
      </c>
      <c r="F218" s="709">
        <v>0</v>
      </c>
      <c r="G218" s="709">
        <v>0</v>
      </c>
      <c r="H218" s="709">
        <v>0</v>
      </c>
      <c r="I218" s="709">
        <v>0</v>
      </c>
      <c r="J218" s="709">
        <v>0</v>
      </c>
      <c r="K218" s="709">
        <v>0</v>
      </c>
      <c r="L218" s="709">
        <v>0</v>
      </c>
      <c r="M218" s="709">
        <v>0</v>
      </c>
      <c r="N218" s="709">
        <v>0</v>
      </c>
      <c r="O218" s="709">
        <v>153</v>
      </c>
      <c r="P218" s="709">
        <v>0</v>
      </c>
      <c r="Q218" s="709">
        <v>0</v>
      </c>
      <c r="R218" s="709">
        <v>0</v>
      </c>
      <c r="S218" s="709">
        <v>0</v>
      </c>
      <c r="T218" s="709">
        <v>0</v>
      </c>
      <c r="U218" s="709">
        <v>0</v>
      </c>
      <c r="V218" s="709">
        <v>0</v>
      </c>
      <c r="W218" s="709">
        <v>0</v>
      </c>
      <c r="X218" s="709">
        <v>0</v>
      </c>
      <c r="Y218" s="709">
        <v>0</v>
      </c>
      <c r="Z218" s="709">
        <v>0</v>
      </c>
      <c r="AA218" s="709">
        <v>0</v>
      </c>
      <c r="AB218" s="709">
        <v>0</v>
      </c>
      <c r="AC218" s="709">
        <v>0</v>
      </c>
      <c r="AD218" s="709">
        <v>0</v>
      </c>
      <c r="AE218" s="709">
        <v>0</v>
      </c>
      <c r="AF218" s="709">
        <v>0</v>
      </c>
      <c r="AG218" s="709">
        <v>0</v>
      </c>
      <c r="AH218" s="709">
        <v>0</v>
      </c>
      <c r="AI218" s="709">
        <v>0</v>
      </c>
      <c r="AJ218" s="709">
        <v>0</v>
      </c>
      <c r="AK218" s="709">
        <v>0</v>
      </c>
      <c r="AL218" s="709">
        <v>0</v>
      </c>
      <c r="AM218" s="709">
        <v>153</v>
      </c>
      <c r="AN218" s="709">
        <v>0</v>
      </c>
      <c r="AO218" s="709">
        <v>0</v>
      </c>
      <c r="AP218" s="709">
        <v>0</v>
      </c>
      <c r="AQ218" s="709">
        <v>0</v>
      </c>
      <c r="AR218" s="709">
        <v>0</v>
      </c>
      <c r="AS218" s="709">
        <v>0</v>
      </c>
    </row>
    <row r="219" spans="1:45">
      <c r="A219" s="708" t="s">
        <v>1263</v>
      </c>
      <c r="B219" s="709">
        <v>282</v>
      </c>
      <c r="C219" s="709">
        <v>282</v>
      </c>
      <c r="D219" s="709">
        <v>153</v>
      </c>
      <c r="E219" s="709">
        <v>129</v>
      </c>
      <c r="F219" s="709">
        <v>153</v>
      </c>
      <c r="G219" s="709">
        <v>153</v>
      </c>
      <c r="H219" s="709">
        <v>153</v>
      </c>
      <c r="I219" s="709">
        <v>153</v>
      </c>
      <c r="J219" s="709">
        <v>153</v>
      </c>
      <c r="K219" s="709">
        <v>153</v>
      </c>
      <c r="L219" s="709">
        <v>0</v>
      </c>
      <c r="M219" s="709">
        <v>0</v>
      </c>
      <c r="N219" s="709">
        <v>129</v>
      </c>
      <c r="O219" s="709">
        <v>0</v>
      </c>
      <c r="P219" s="709">
        <v>153</v>
      </c>
      <c r="Q219" s="709">
        <v>0</v>
      </c>
      <c r="R219" s="709">
        <v>0</v>
      </c>
      <c r="S219" s="709">
        <v>0</v>
      </c>
      <c r="T219" s="709">
        <v>0</v>
      </c>
      <c r="U219" s="709">
        <v>0</v>
      </c>
      <c r="V219" s="709">
        <v>0</v>
      </c>
      <c r="W219" s="709">
        <v>0</v>
      </c>
      <c r="X219" s="709">
        <v>0</v>
      </c>
      <c r="Y219" s="709">
        <v>0</v>
      </c>
      <c r="Z219" s="709">
        <v>0</v>
      </c>
      <c r="AA219" s="709">
        <v>0</v>
      </c>
      <c r="AB219" s="709">
        <v>0</v>
      </c>
      <c r="AC219" s="709">
        <v>0</v>
      </c>
      <c r="AD219" s="709">
        <v>0</v>
      </c>
      <c r="AE219" s="709">
        <v>0</v>
      </c>
      <c r="AF219" s="709">
        <v>0</v>
      </c>
      <c r="AG219" s="709">
        <v>0</v>
      </c>
      <c r="AH219" s="709">
        <v>0</v>
      </c>
      <c r="AI219" s="709">
        <v>0</v>
      </c>
      <c r="AJ219" s="709">
        <v>0</v>
      </c>
      <c r="AK219" s="709">
        <v>0</v>
      </c>
      <c r="AL219" s="709">
        <v>0</v>
      </c>
      <c r="AM219" s="709">
        <v>153</v>
      </c>
      <c r="AN219" s="709">
        <v>0</v>
      </c>
      <c r="AO219" s="709">
        <v>0</v>
      </c>
      <c r="AP219" s="709">
        <v>0</v>
      </c>
      <c r="AQ219" s="709">
        <v>0</v>
      </c>
      <c r="AR219" s="709">
        <v>0</v>
      </c>
      <c r="AS219" s="709">
        <v>0</v>
      </c>
    </row>
    <row r="220" spans="1:45">
      <c r="A220" s="708" t="s">
        <v>1264</v>
      </c>
      <c r="B220" s="709">
        <v>-129</v>
      </c>
      <c r="C220" s="709">
        <v>-129</v>
      </c>
      <c r="D220" s="709">
        <v>0</v>
      </c>
      <c r="E220" s="709">
        <v>-129</v>
      </c>
      <c r="F220" s="709">
        <v>-153</v>
      </c>
      <c r="G220" s="709">
        <v>-153</v>
      </c>
      <c r="H220" s="709">
        <v>-153</v>
      </c>
      <c r="I220" s="709">
        <v>-153</v>
      </c>
      <c r="J220" s="709">
        <v>-153</v>
      </c>
      <c r="K220" s="709">
        <v>-153</v>
      </c>
      <c r="L220" s="709">
        <v>0</v>
      </c>
      <c r="M220" s="709">
        <v>0</v>
      </c>
      <c r="N220" s="709">
        <v>-129</v>
      </c>
      <c r="O220" s="709">
        <v>153</v>
      </c>
      <c r="P220" s="709">
        <v>-153</v>
      </c>
      <c r="Q220" s="709">
        <v>0</v>
      </c>
      <c r="R220" s="709">
        <v>0</v>
      </c>
      <c r="S220" s="709">
        <v>0</v>
      </c>
      <c r="T220" s="709">
        <v>0</v>
      </c>
      <c r="U220" s="709">
        <v>0</v>
      </c>
      <c r="V220" s="709">
        <v>0</v>
      </c>
      <c r="W220" s="709">
        <v>0</v>
      </c>
      <c r="X220" s="709">
        <v>0</v>
      </c>
      <c r="Y220" s="709">
        <v>0</v>
      </c>
      <c r="Z220" s="709">
        <v>0</v>
      </c>
      <c r="AA220" s="709">
        <v>0</v>
      </c>
      <c r="AB220" s="709">
        <v>0</v>
      </c>
      <c r="AC220" s="709">
        <v>0</v>
      </c>
      <c r="AD220" s="709">
        <v>0</v>
      </c>
      <c r="AE220" s="709">
        <v>0</v>
      </c>
      <c r="AF220" s="709">
        <v>0</v>
      </c>
      <c r="AG220" s="709">
        <v>0</v>
      </c>
      <c r="AH220" s="709">
        <v>0</v>
      </c>
      <c r="AI220" s="709">
        <v>0</v>
      </c>
      <c r="AJ220" s="709">
        <v>0</v>
      </c>
      <c r="AK220" s="709">
        <v>0</v>
      </c>
      <c r="AL220" s="709">
        <v>0</v>
      </c>
      <c r="AM220" s="709">
        <v>0</v>
      </c>
      <c r="AN220" s="709">
        <v>0</v>
      </c>
      <c r="AO220" s="709">
        <v>0</v>
      </c>
      <c r="AP220" s="709">
        <v>0</v>
      </c>
      <c r="AQ220" s="709">
        <v>0</v>
      </c>
      <c r="AR220" s="709">
        <v>0</v>
      </c>
      <c r="AS220" s="709">
        <v>0</v>
      </c>
    </row>
    <row r="221" spans="1:45">
      <c r="A221" s="708" t="s">
        <v>871</v>
      </c>
      <c r="B221" s="709">
        <v>2893042</v>
      </c>
      <c r="C221" s="709">
        <v>2713257</v>
      </c>
      <c r="D221" s="709">
        <v>1999238</v>
      </c>
      <c r="E221" s="709">
        <v>714019</v>
      </c>
      <c r="F221" s="709">
        <v>1632532</v>
      </c>
      <c r="G221" s="709">
        <v>1721958</v>
      </c>
      <c r="H221" s="709">
        <v>1695181</v>
      </c>
      <c r="I221" s="709">
        <v>1642636</v>
      </c>
      <c r="J221" s="709">
        <v>1642636</v>
      </c>
      <c r="K221" s="709">
        <v>1632532</v>
      </c>
      <c r="L221" s="709">
        <v>22366</v>
      </c>
      <c r="M221" s="709">
        <v>52111</v>
      </c>
      <c r="N221" s="709">
        <v>139236</v>
      </c>
      <c r="O221" s="709">
        <v>128456</v>
      </c>
      <c r="P221" s="709">
        <v>814755</v>
      </c>
      <c r="Q221" s="709">
        <v>26777</v>
      </c>
      <c r="R221" s="709">
        <v>0</v>
      </c>
      <c r="S221" s="709">
        <v>2049</v>
      </c>
      <c r="T221" s="709">
        <v>0</v>
      </c>
      <c r="U221" s="709">
        <v>174304</v>
      </c>
      <c r="V221" s="709">
        <v>193064</v>
      </c>
      <c r="W221" s="709">
        <v>0</v>
      </c>
      <c r="X221" s="709">
        <v>31144</v>
      </c>
      <c r="Y221" s="709">
        <v>49900</v>
      </c>
      <c r="Z221" s="709">
        <v>926</v>
      </c>
      <c r="AA221" s="709">
        <v>63597</v>
      </c>
      <c r="AB221" s="709">
        <v>0</v>
      </c>
      <c r="AC221" s="709">
        <v>170863</v>
      </c>
      <c r="AD221" s="709">
        <v>61603</v>
      </c>
      <c r="AE221" s="709">
        <v>340716</v>
      </c>
      <c r="AF221" s="709">
        <v>13712</v>
      </c>
      <c r="AG221" s="709">
        <v>127674</v>
      </c>
      <c r="AH221" s="709">
        <v>10104</v>
      </c>
      <c r="AI221" s="709">
        <v>52545</v>
      </c>
      <c r="AJ221" s="709">
        <v>178890</v>
      </c>
      <c r="AK221" s="709">
        <v>181066</v>
      </c>
      <c r="AL221" s="709">
        <v>57184</v>
      </c>
      <c r="AM221" s="709">
        <v>2011965</v>
      </c>
      <c r="AN221" s="709">
        <v>9293</v>
      </c>
      <c r="AO221" s="709">
        <v>12727</v>
      </c>
      <c r="AP221" s="709">
        <v>16667</v>
      </c>
      <c r="AQ221" s="709">
        <v>13325</v>
      </c>
      <c r="AR221" s="709">
        <v>6083</v>
      </c>
      <c r="AS221" s="709">
        <v>35597</v>
      </c>
    </row>
    <row r="222" spans="1:45">
      <c r="A222" s="708" t="s">
        <v>841</v>
      </c>
      <c r="B222" s="709">
        <v>2181678</v>
      </c>
      <c r="C222" s="709">
        <v>2043158</v>
      </c>
      <c r="D222" s="709">
        <v>1593209</v>
      </c>
      <c r="E222" s="709">
        <v>449949</v>
      </c>
      <c r="F222" s="709">
        <v>1374776</v>
      </c>
      <c r="G222" s="709">
        <v>1415320</v>
      </c>
      <c r="H222" s="709">
        <v>1405798</v>
      </c>
      <c r="I222" s="709">
        <v>1381880</v>
      </c>
      <c r="J222" s="709">
        <v>1381880</v>
      </c>
      <c r="K222" s="709">
        <v>1374776</v>
      </c>
      <c r="L222" s="709">
        <v>22074</v>
      </c>
      <c r="M222" s="709">
        <v>38422</v>
      </c>
      <c r="N222" s="709">
        <v>105961</v>
      </c>
      <c r="O222" s="709">
        <v>105847</v>
      </c>
      <c r="P222" s="709">
        <v>648582</v>
      </c>
      <c r="Q222" s="709">
        <v>9522</v>
      </c>
      <c r="R222" s="709">
        <v>0</v>
      </c>
      <c r="S222" s="709">
        <v>2049</v>
      </c>
      <c r="T222" s="709">
        <v>0</v>
      </c>
      <c r="U222" s="709">
        <v>168770</v>
      </c>
      <c r="V222" s="709">
        <v>193064</v>
      </c>
      <c r="W222" s="709">
        <v>0</v>
      </c>
      <c r="X222" s="709">
        <v>14677</v>
      </c>
      <c r="Y222" s="709">
        <v>27782</v>
      </c>
      <c r="Z222" s="709">
        <v>853</v>
      </c>
      <c r="AA222" s="709">
        <v>41010</v>
      </c>
      <c r="AB222" s="709">
        <v>0</v>
      </c>
      <c r="AC222" s="709">
        <v>155189</v>
      </c>
      <c r="AD222" s="709">
        <v>41595</v>
      </c>
      <c r="AE222" s="709">
        <v>219975</v>
      </c>
      <c r="AF222" s="709">
        <v>13712</v>
      </c>
      <c r="AG222" s="709">
        <v>100098</v>
      </c>
      <c r="AH222" s="709">
        <v>7104</v>
      </c>
      <c r="AI222" s="709">
        <v>23918</v>
      </c>
      <c r="AJ222" s="709">
        <v>128888</v>
      </c>
      <c r="AK222" s="709">
        <v>112586</v>
      </c>
      <c r="AL222" s="709">
        <v>0</v>
      </c>
      <c r="AM222" s="709">
        <v>1596693</v>
      </c>
      <c r="AN222" s="709">
        <v>8071</v>
      </c>
      <c r="AO222" s="709">
        <v>3484</v>
      </c>
      <c r="AP222" s="709">
        <v>10848</v>
      </c>
      <c r="AQ222" s="709">
        <v>9847</v>
      </c>
      <c r="AR222" s="709">
        <v>553</v>
      </c>
      <c r="AS222" s="709">
        <v>35597</v>
      </c>
    </row>
    <row r="223" spans="1:45">
      <c r="A223" s="708" t="s">
        <v>907</v>
      </c>
      <c r="B223" s="709">
        <v>704834</v>
      </c>
      <c r="C223" s="709">
        <v>664171</v>
      </c>
      <c r="D223" s="709">
        <v>406029</v>
      </c>
      <c r="E223" s="709">
        <v>258142</v>
      </c>
      <c r="F223" s="709">
        <v>257756</v>
      </c>
      <c r="G223" s="709">
        <v>304405</v>
      </c>
      <c r="H223" s="709">
        <v>287150</v>
      </c>
      <c r="I223" s="709">
        <v>260756</v>
      </c>
      <c r="J223" s="709">
        <v>260756</v>
      </c>
      <c r="K223" s="709">
        <v>257756</v>
      </c>
      <c r="L223" s="709">
        <v>292</v>
      </c>
      <c r="M223" s="709">
        <v>13087</v>
      </c>
      <c r="N223" s="709">
        <v>32179</v>
      </c>
      <c r="O223" s="709">
        <v>22609</v>
      </c>
      <c r="P223" s="709">
        <v>166173</v>
      </c>
      <c r="Q223" s="709">
        <v>17255</v>
      </c>
      <c r="R223" s="709">
        <v>0</v>
      </c>
      <c r="S223" s="709">
        <v>0</v>
      </c>
      <c r="T223" s="709">
        <v>0</v>
      </c>
      <c r="U223" s="709">
        <v>5534</v>
      </c>
      <c r="V223" s="709">
        <v>0</v>
      </c>
      <c r="W223" s="709">
        <v>0</v>
      </c>
      <c r="X223" s="709">
        <v>16467</v>
      </c>
      <c r="Y223" s="709">
        <v>20188</v>
      </c>
      <c r="Z223" s="709">
        <v>73</v>
      </c>
      <c r="AA223" s="709">
        <v>21918</v>
      </c>
      <c r="AB223" s="709">
        <v>0</v>
      </c>
      <c r="AC223" s="709">
        <v>15674</v>
      </c>
      <c r="AD223" s="709">
        <v>20008</v>
      </c>
      <c r="AE223" s="709">
        <v>120741</v>
      </c>
      <c r="AF223" s="709">
        <v>0</v>
      </c>
      <c r="AG223" s="709">
        <v>27576</v>
      </c>
      <c r="AH223" s="709">
        <v>3000</v>
      </c>
      <c r="AI223" s="709">
        <v>26394</v>
      </c>
      <c r="AJ223" s="709">
        <v>50002</v>
      </c>
      <c r="AK223" s="709">
        <v>68480</v>
      </c>
      <c r="AL223" s="709">
        <v>57184</v>
      </c>
      <c r="AM223" s="709">
        <v>415272</v>
      </c>
      <c r="AN223" s="709">
        <v>1222</v>
      </c>
      <c r="AO223" s="709">
        <v>9243</v>
      </c>
      <c r="AP223" s="709">
        <v>4719</v>
      </c>
      <c r="AQ223" s="709">
        <v>3478</v>
      </c>
      <c r="AR223" s="709">
        <v>5530</v>
      </c>
      <c r="AS223" s="709">
        <v>0</v>
      </c>
    </row>
    <row r="224" spans="1:45">
      <c r="A224" s="708" t="s">
        <v>655</v>
      </c>
      <c r="B224" s="709">
        <v>1505173</v>
      </c>
      <c r="C224" s="709">
        <v>1372856</v>
      </c>
      <c r="D224" s="709">
        <v>982874</v>
      </c>
      <c r="E224" s="709">
        <v>389982</v>
      </c>
      <c r="F224" s="709">
        <v>805904</v>
      </c>
      <c r="G224" s="709">
        <v>843913</v>
      </c>
      <c r="H224" s="709">
        <v>834631</v>
      </c>
      <c r="I224" s="709">
        <v>812851</v>
      </c>
      <c r="J224" s="709">
        <v>812851</v>
      </c>
      <c r="K224" s="709">
        <v>805904</v>
      </c>
      <c r="L224" s="709">
        <v>19172</v>
      </c>
      <c r="M224" s="709">
        <v>37854</v>
      </c>
      <c r="N224" s="709">
        <v>89991</v>
      </c>
      <c r="O224" s="709">
        <v>90962</v>
      </c>
      <c r="P224" s="709">
        <v>360677</v>
      </c>
      <c r="Q224" s="709">
        <v>9282</v>
      </c>
      <c r="R224" s="709">
        <v>0</v>
      </c>
      <c r="S224" s="709">
        <v>2049</v>
      </c>
      <c r="T224" s="709">
        <v>0</v>
      </c>
      <c r="U224" s="709">
        <v>59635</v>
      </c>
      <c r="V224" s="709">
        <v>72641</v>
      </c>
      <c r="W224" s="709">
        <v>0</v>
      </c>
      <c r="X224" s="709">
        <v>14238</v>
      </c>
      <c r="Y224" s="709">
        <v>22812</v>
      </c>
      <c r="Z224" s="709">
        <v>853</v>
      </c>
      <c r="AA224" s="709">
        <v>40709</v>
      </c>
      <c r="AB224" s="709">
        <v>0</v>
      </c>
      <c r="AC224" s="709">
        <v>132026</v>
      </c>
      <c r="AD224" s="709">
        <v>37566</v>
      </c>
      <c r="AE224" s="709">
        <v>184223</v>
      </c>
      <c r="AF224" s="709">
        <v>3835</v>
      </c>
      <c r="AG224" s="709">
        <v>94463</v>
      </c>
      <c r="AH224" s="709">
        <v>6947</v>
      </c>
      <c r="AI224" s="709">
        <v>21780</v>
      </c>
      <c r="AJ224" s="709">
        <v>117450</v>
      </c>
      <c r="AK224" s="709">
        <v>86008</v>
      </c>
      <c r="AL224" s="709">
        <v>0</v>
      </c>
      <c r="AM224" s="709">
        <v>986358</v>
      </c>
      <c r="AN224" s="709">
        <v>8071</v>
      </c>
      <c r="AO224" s="709">
        <v>3484</v>
      </c>
      <c r="AP224" s="709">
        <v>1091</v>
      </c>
      <c r="AQ224" s="709">
        <v>9847</v>
      </c>
      <c r="AR224" s="709">
        <v>0</v>
      </c>
      <c r="AS224" s="709">
        <v>14669</v>
      </c>
    </row>
    <row r="225" spans="1:45">
      <c r="A225" s="708" t="s">
        <v>656</v>
      </c>
      <c r="B225" s="709">
        <v>676505</v>
      </c>
      <c r="C225" s="709">
        <v>670302</v>
      </c>
      <c r="D225" s="709">
        <v>610335</v>
      </c>
      <c r="E225" s="709">
        <v>59967</v>
      </c>
      <c r="F225" s="709">
        <v>568872</v>
      </c>
      <c r="G225" s="709">
        <v>571407</v>
      </c>
      <c r="H225" s="709">
        <v>571167</v>
      </c>
      <c r="I225" s="709">
        <v>569029</v>
      </c>
      <c r="J225" s="709">
        <v>569029</v>
      </c>
      <c r="K225" s="709">
        <v>568872</v>
      </c>
      <c r="L225" s="709">
        <v>2902</v>
      </c>
      <c r="M225" s="709">
        <v>568</v>
      </c>
      <c r="N225" s="709">
        <v>15970</v>
      </c>
      <c r="O225" s="709">
        <v>14885</v>
      </c>
      <c r="P225" s="709">
        <v>287905</v>
      </c>
      <c r="Q225" s="709">
        <v>240</v>
      </c>
      <c r="R225" s="709">
        <v>0</v>
      </c>
      <c r="S225" s="709">
        <v>0</v>
      </c>
      <c r="T225" s="709">
        <v>0</v>
      </c>
      <c r="U225" s="709">
        <v>109135</v>
      </c>
      <c r="V225" s="709">
        <v>120423</v>
      </c>
      <c r="W225" s="709">
        <v>0</v>
      </c>
      <c r="X225" s="709">
        <v>439</v>
      </c>
      <c r="Y225" s="709">
        <v>4970</v>
      </c>
      <c r="Z225" s="709">
        <v>0</v>
      </c>
      <c r="AA225" s="709">
        <v>301</v>
      </c>
      <c r="AB225" s="709">
        <v>0</v>
      </c>
      <c r="AC225" s="709">
        <v>23163</v>
      </c>
      <c r="AD225" s="709">
        <v>4029</v>
      </c>
      <c r="AE225" s="709">
        <v>35752</v>
      </c>
      <c r="AF225" s="709">
        <v>9877</v>
      </c>
      <c r="AG225" s="709">
        <v>5635</v>
      </c>
      <c r="AH225" s="709">
        <v>157</v>
      </c>
      <c r="AI225" s="709">
        <v>2138</v>
      </c>
      <c r="AJ225" s="709">
        <v>11438</v>
      </c>
      <c r="AK225" s="709">
        <v>26578</v>
      </c>
      <c r="AL225" s="709">
        <v>0</v>
      </c>
      <c r="AM225" s="709">
        <v>610335</v>
      </c>
      <c r="AN225" s="709">
        <v>0</v>
      </c>
      <c r="AO225" s="709">
        <v>0</v>
      </c>
      <c r="AP225" s="709">
        <v>9757</v>
      </c>
      <c r="AQ225" s="709">
        <v>0</v>
      </c>
      <c r="AR225" s="709">
        <v>553</v>
      </c>
      <c r="AS225" s="709">
        <v>20928</v>
      </c>
    </row>
    <row r="226" spans="1:45">
      <c r="A226" s="708" t="s">
        <v>872</v>
      </c>
      <c r="B226" s="709">
        <v>6530</v>
      </c>
      <c r="C226" s="709">
        <v>5928</v>
      </c>
      <c r="D226" s="709">
        <v>0</v>
      </c>
      <c r="E226" s="709">
        <v>5928</v>
      </c>
      <c r="F226" s="709">
        <v>0</v>
      </c>
      <c r="G226" s="709">
        <v>2233</v>
      </c>
      <c r="H226" s="709">
        <v>2233</v>
      </c>
      <c r="I226" s="709">
        <v>0</v>
      </c>
      <c r="J226" s="709">
        <v>0</v>
      </c>
      <c r="K226" s="709">
        <v>0</v>
      </c>
      <c r="L226" s="709">
        <v>0</v>
      </c>
      <c r="M226" s="709">
        <v>602</v>
      </c>
      <c r="N226" s="709">
        <v>1096</v>
      </c>
      <c r="O226" s="709">
        <v>0</v>
      </c>
      <c r="P226" s="709">
        <v>0</v>
      </c>
      <c r="Q226" s="709">
        <v>0</v>
      </c>
      <c r="R226" s="709">
        <v>0</v>
      </c>
      <c r="S226" s="709">
        <v>0</v>
      </c>
      <c r="T226" s="709">
        <v>0</v>
      </c>
      <c r="U226" s="709">
        <v>0</v>
      </c>
      <c r="V226" s="709">
        <v>0</v>
      </c>
      <c r="W226" s="709">
        <v>0</v>
      </c>
      <c r="X226" s="709">
        <v>0</v>
      </c>
      <c r="Y226" s="709">
        <v>1930</v>
      </c>
      <c r="Z226" s="709">
        <v>0</v>
      </c>
      <c r="AA226" s="709">
        <v>669</v>
      </c>
      <c r="AB226" s="709">
        <v>0</v>
      </c>
      <c r="AC226" s="709">
        <v>0</v>
      </c>
      <c r="AD226" s="709">
        <v>0</v>
      </c>
      <c r="AE226" s="709">
        <v>0</v>
      </c>
      <c r="AF226" s="709">
        <v>0</v>
      </c>
      <c r="AG226" s="709">
        <v>0</v>
      </c>
      <c r="AH226" s="709">
        <v>0</v>
      </c>
      <c r="AI226" s="709">
        <v>2233</v>
      </c>
      <c r="AJ226" s="709">
        <v>0</v>
      </c>
      <c r="AK226" s="709">
        <v>0</v>
      </c>
      <c r="AL226" s="709">
        <v>0</v>
      </c>
      <c r="AM226" s="709">
        <v>0</v>
      </c>
      <c r="AN226" s="709">
        <v>0</v>
      </c>
      <c r="AO226" s="709">
        <v>0</v>
      </c>
      <c r="AP226" s="709">
        <v>1100</v>
      </c>
      <c r="AQ226" s="709">
        <v>0</v>
      </c>
      <c r="AR226" s="709">
        <v>0</v>
      </c>
      <c r="AS226" s="709">
        <v>0</v>
      </c>
    </row>
    <row r="227" spans="1:45">
      <c r="A227" s="708" t="s">
        <v>1265</v>
      </c>
      <c r="B227" s="709">
        <v>181511</v>
      </c>
      <c r="C227" s="709">
        <v>160223</v>
      </c>
      <c r="D227" s="709">
        <v>78129</v>
      </c>
      <c r="E227" s="709">
        <v>82094</v>
      </c>
      <c r="F227" s="709">
        <v>72644</v>
      </c>
      <c r="G227" s="709">
        <v>80035</v>
      </c>
      <c r="H227" s="709">
        <v>79685</v>
      </c>
      <c r="I227" s="709">
        <v>72891</v>
      </c>
      <c r="J227" s="709">
        <v>72891</v>
      </c>
      <c r="K227" s="709">
        <v>72644</v>
      </c>
      <c r="L227" s="709">
        <v>0</v>
      </c>
      <c r="M227" s="709">
        <v>8188</v>
      </c>
      <c r="N227" s="709">
        <v>14149</v>
      </c>
      <c r="O227" s="709">
        <v>1389</v>
      </c>
      <c r="P227" s="709">
        <v>0</v>
      </c>
      <c r="Q227" s="709">
        <v>350</v>
      </c>
      <c r="R227" s="709">
        <v>0</v>
      </c>
      <c r="S227" s="709">
        <v>0</v>
      </c>
      <c r="T227" s="709">
        <v>0</v>
      </c>
      <c r="U227" s="709">
        <v>0</v>
      </c>
      <c r="V227" s="709">
        <v>64014</v>
      </c>
      <c r="W227" s="709">
        <v>0</v>
      </c>
      <c r="X227" s="709">
        <v>853</v>
      </c>
      <c r="Y227" s="709">
        <v>2627</v>
      </c>
      <c r="Z227" s="709">
        <v>0</v>
      </c>
      <c r="AA227" s="709">
        <v>3773</v>
      </c>
      <c r="AB227" s="709">
        <v>0</v>
      </c>
      <c r="AC227" s="709">
        <v>8630</v>
      </c>
      <c r="AD227" s="709">
        <v>0</v>
      </c>
      <c r="AE227" s="709">
        <v>53301</v>
      </c>
      <c r="AF227" s="709">
        <v>0</v>
      </c>
      <c r="AG227" s="709">
        <v>13100</v>
      </c>
      <c r="AH227" s="709">
        <v>247</v>
      </c>
      <c r="AI227" s="709">
        <v>6794</v>
      </c>
      <c r="AJ227" s="709">
        <v>0</v>
      </c>
      <c r="AK227" s="709">
        <v>0</v>
      </c>
      <c r="AL227" s="709">
        <v>4096</v>
      </c>
      <c r="AM227" s="709">
        <v>78569</v>
      </c>
      <c r="AN227" s="709">
        <v>0</v>
      </c>
      <c r="AO227" s="709">
        <v>440</v>
      </c>
      <c r="AP227" s="709">
        <v>0</v>
      </c>
      <c r="AQ227" s="709">
        <v>871</v>
      </c>
      <c r="AR227" s="709">
        <v>409</v>
      </c>
      <c r="AS227" s="709">
        <v>0</v>
      </c>
    </row>
    <row r="228" spans="1:45">
      <c r="A228" s="708" t="s">
        <v>609</v>
      </c>
      <c r="B228" s="709">
        <v>23927</v>
      </c>
      <c r="C228" s="709">
        <v>13451</v>
      </c>
      <c r="D228" s="709">
        <v>1034</v>
      </c>
      <c r="E228" s="709">
        <v>12417</v>
      </c>
      <c r="F228" s="709">
        <v>0</v>
      </c>
      <c r="G228" s="709">
        <v>3876</v>
      </c>
      <c r="H228" s="709">
        <v>3876</v>
      </c>
      <c r="I228" s="709">
        <v>173</v>
      </c>
      <c r="J228" s="709">
        <v>173</v>
      </c>
      <c r="K228" s="709">
        <v>0</v>
      </c>
      <c r="L228" s="709">
        <v>0</v>
      </c>
      <c r="M228" s="709">
        <v>4583</v>
      </c>
      <c r="N228" s="709">
        <v>0</v>
      </c>
      <c r="O228" s="709">
        <v>1034</v>
      </c>
      <c r="P228" s="709">
        <v>0</v>
      </c>
      <c r="Q228" s="709">
        <v>0</v>
      </c>
      <c r="R228" s="709">
        <v>0</v>
      </c>
      <c r="S228" s="709">
        <v>0</v>
      </c>
      <c r="T228" s="709">
        <v>0</v>
      </c>
      <c r="U228" s="709">
        <v>0</v>
      </c>
      <c r="V228" s="709">
        <v>0</v>
      </c>
      <c r="W228" s="709">
        <v>0</v>
      </c>
      <c r="X228" s="709">
        <v>853</v>
      </c>
      <c r="Y228" s="709">
        <v>1215</v>
      </c>
      <c r="Z228" s="709">
        <v>0</v>
      </c>
      <c r="AA228" s="709">
        <v>0</v>
      </c>
      <c r="AB228" s="709">
        <v>0</v>
      </c>
      <c r="AC228" s="709">
        <v>0</v>
      </c>
      <c r="AD228" s="709">
        <v>0</v>
      </c>
      <c r="AE228" s="709">
        <v>6473</v>
      </c>
      <c r="AF228" s="709">
        <v>0</v>
      </c>
      <c r="AG228" s="709">
        <v>5893</v>
      </c>
      <c r="AH228" s="709">
        <v>173</v>
      </c>
      <c r="AI228" s="709">
        <v>3703</v>
      </c>
      <c r="AJ228" s="709">
        <v>0</v>
      </c>
      <c r="AK228" s="709">
        <v>0</v>
      </c>
      <c r="AL228" s="709">
        <v>0</v>
      </c>
      <c r="AM228" s="709">
        <v>1459</v>
      </c>
      <c r="AN228" s="709">
        <v>0</v>
      </c>
      <c r="AO228" s="709">
        <v>425</v>
      </c>
      <c r="AP228" s="709">
        <v>0</v>
      </c>
      <c r="AQ228" s="709">
        <v>871</v>
      </c>
      <c r="AR228" s="709">
        <v>101</v>
      </c>
      <c r="AS228" s="709">
        <v>0</v>
      </c>
    </row>
    <row r="229" spans="1:45">
      <c r="A229" s="708" t="s">
        <v>1266</v>
      </c>
      <c r="B229" s="709">
        <v>1738</v>
      </c>
      <c r="C229" s="709">
        <v>1658</v>
      </c>
      <c r="D229" s="709">
        <v>1652</v>
      </c>
      <c r="E229" s="709">
        <v>6</v>
      </c>
      <c r="F229" s="709">
        <v>1652</v>
      </c>
      <c r="G229" s="709">
        <v>1652</v>
      </c>
      <c r="H229" s="709">
        <v>1652</v>
      </c>
      <c r="I229" s="709">
        <v>1652</v>
      </c>
      <c r="J229" s="709">
        <v>1652</v>
      </c>
      <c r="K229" s="709">
        <v>1652</v>
      </c>
      <c r="L229" s="709">
        <v>0</v>
      </c>
      <c r="M229" s="709">
        <v>0</v>
      </c>
      <c r="N229" s="709">
        <v>0</v>
      </c>
      <c r="O229" s="709">
        <v>0</v>
      </c>
      <c r="P229" s="709">
        <v>0</v>
      </c>
      <c r="Q229" s="709">
        <v>0</v>
      </c>
      <c r="R229" s="709">
        <v>0</v>
      </c>
      <c r="S229" s="709">
        <v>0</v>
      </c>
      <c r="T229" s="709">
        <v>0</v>
      </c>
      <c r="U229" s="709">
        <v>0</v>
      </c>
      <c r="V229" s="709">
        <v>1652</v>
      </c>
      <c r="W229" s="709">
        <v>0</v>
      </c>
      <c r="X229" s="709">
        <v>0</v>
      </c>
      <c r="Y229" s="709">
        <v>0</v>
      </c>
      <c r="Z229" s="709">
        <v>0</v>
      </c>
      <c r="AA229" s="709">
        <v>0</v>
      </c>
      <c r="AB229" s="709">
        <v>0</v>
      </c>
      <c r="AC229" s="709">
        <v>0</v>
      </c>
      <c r="AD229" s="709">
        <v>0</v>
      </c>
      <c r="AE229" s="709">
        <v>6</v>
      </c>
      <c r="AF229" s="709">
        <v>0</v>
      </c>
      <c r="AG229" s="709">
        <v>80</v>
      </c>
      <c r="AH229" s="709">
        <v>0</v>
      </c>
      <c r="AI229" s="709">
        <v>0</v>
      </c>
      <c r="AJ229" s="709">
        <v>0</v>
      </c>
      <c r="AK229" s="709">
        <v>0</v>
      </c>
      <c r="AL229" s="709">
        <v>0</v>
      </c>
      <c r="AM229" s="709">
        <v>1652</v>
      </c>
      <c r="AN229" s="709">
        <v>0</v>
      </c>
      <c r="AO229" s="709">
        <v>0</v>
      </c>
      <c r="AP229" s="709">
        <v>0</v>
      </c>
      <c r="AQ229" s="709">
        <v>0</v>
      </c>
      <c r="AR229" s="709">
        <v>0</v>
      </c>
      <c r="AS229" s="709">
        <v>0</v>
      </c>
    </row>
    <row r="230" spans="1:45">
      <c r="A230" s="708" t="s">
        <v>1267</v>
      </c>
      <c r="B230" s="709">
        <v>57574</v>
      </c>
      <c r="C230" s="709">
        <v>53043</v>
      </c>
      <c r="D230" s="709">
        <v>32666</v>
      </c>
      <c r="E230" s="709">
        <v>20377</v>
      </c>
      <c r="F230" s="709">
        <v>29319</v>
      </c>
      <c r="G230" s="709">
        <v>30810</v>
      </c>
      <c r="H230" s="709">
        <v>30810</v>
      </c>
      <c r="I230" s="709">
        <v>29319</v>
      </c>
      <c r="J230" s="709">
        <v>29319</v>
      </c>
      <c r="K230" s="709">
        <v>29319</v>
      </c>
      <c r="L230" s="709">
        <v>0</v>
      </c>
      <c r="M230" s="709">
        <v>0</v>
      </c>
      <c r="N230" s="709">
        <v>3594</v>
      </c>
      <c r="O230" s="709">
        <v>355</v>
      </c>
      <c r="P230" s="709">
        <v>0</v>
      </c>
      <c r="Q230" s="709">
        <v>0</v>
      </c>
      <c r="R230" s="709">
        <v>0</v>
      </c>
      <c r="S230" s="709">
        <v>0</v>
      </c>
      <c r="T230" s="709">
        <v>0</v>
      </c>
      <c r="U230" s="709">
        <v>0</v>
      </c>
      <c r="V230" s="709">
        <v>26143</v>
      </c>
      <c r="W230" s="709">
        <v>0</v>
      </c>
      <c r="X230" s="709">
        <v>0</v>
      </c>
      <c r="Y230" s="709">
        <v>1353</v>
      </c>
      <c r="Z230" s="709">
        <v>0</v>
      </c>
      <c r="AA230" s="709">
        <v>3773</v>
      </c>
      <c r="AB230" s="709">
        <v>0</v>
      </c>
      <c r="AC230" s="709">
        <v>3176</v>
      </c>
      <c r="AD230" s="709">
        <v>0</v>
      </c>
      <c r="AE230" s="709">
        <v>10166</v>
      </c>
      <c r="AF230" s="709">
        <v>0</v>
      </c>
      <c r="AG230" s="709">
        <v>4531</v>
      </c>
      <c r="AH230" s="709">
        <v>0</v>
      </c>
      <c r="AI230" s="709">
        <v>1491</v>
      </c>
      <c r="AJ230" s="709">
        <v>0</v>
      </c>
      <c r="AK230" s="709">
        <v>0</v>
      </c>
      <c r="AL230" s="709">
        <v>2992</v>
      </c>
      <c r="AM230" s="709">
        <v>32666</v>
      </c>
      <c r="AN230" s="709">
        <v>0</v>
      </c>
      <c r="AO230" s="709">
        <v>0</v>
      </c>
      <c r="AP230" s="709">
        <v>0</v>
      </c>
      <c r="AQ230" s="709">
        <v>0</v>
      </c>
      <c r="AR230" s="709">
        <v>285</v>
      </c>
      <c r="AS230" s="709">
        <v>0</v>
      </c>
    </row>
    <row r="231" spans="1:45">
      <c r="A231" s="708" t="s">
        <v>1268</v>
      </c>
      <c r="B231" s="709">
        <v>591</v>
      </c>
      <c r="C231" s="709">
        <v>591</v>
      </c>
      <c r="D231" s="709">
        <v>0</v>
      </c>
      <c r="E231" s="709">
        <v>591</v>
      </c>
      <c r="F231" s="709">
        <v>0</v>
      </c>
      <c r="G231" s="709">
        <v>0</v>
      </c>
      <c r="H231" s="709">
        <v>0</v>
      </c>
      <c r="I231" s="709">
        <v>0</v>
      </c>
      <c r="J231" s="709">
        <v>0</v>
      </c>
      <c r="K231" s="709">
        <v>0</v>
      </c>
      <c r="L231" s="709">
        <v>0</v>
      </c>
      <c r="M231" s="709">
        <v>0</v>
      </c>
      <c r="N231" s="709">
        <v>591</v>
      </c>
      <c r="O231" s="709">
        <v>0</v>
      </c>
      <c r="P231" s="709">
        <v>0</v>
      </c>
      <c r="Q231" s="709">
        <v>0</v>
      </c>
      <c r="R231" s="709">
        <v>0</v>
      </c>
      <c r="S231" s="709">
        <v>0</v>
      </c>
      <c r="T231" s="709">
        <v>0</v>
      </c>
      <c r="U231" s="709">
        <v>0</v>
      </c>
      <c r="V231" s="709">
        <v>0</v>
      </c>
      <c r="W231" s="709">
        <v>0</v>
      </c>
      <c r="X231" s="709">
        <v>0</v>
      </c>
      <c r="Y231" s="709">
        <v>0</v>
      </c>
      <c r="Z231" s="709">
        <v>0</v>
      </c>
      <c r="AA231" s="709">
        <v>0</v>
      </c>
      <c r="AB231" s="709">
        <v>0</v>
      </c>
      <c r="AC231" s="709">
        <v>0</v>
      </c>
      <c r="AD231" s="709">
        <v>0</v>
      </c>
      <c r="AE231" s="709">
        <v>0</v>
      </c>
      <c r="AF231" s="709">
        <v>0</v>
      </c>
      <c r="AG231" s="709">
        <v>0</v>
      </c>
      <c r="AH231" s="709">
        <v>0</v>
      </c>
      <c r="AI231" s="709">
        <v>0</v>
      </c>
      <c r="AJ231" s="709">
        <v>0</v>
      </c>
      <c r="AK231" s="709">
        <v>0</v>
      </c>
      <c r="AL231" s="709">
        <v>0</v>
      </c>
      <c r="AM231" s="709">
        <v>0</v>
      </c>
      <c r="AN231" s="709">
        <v>0</v>
      </c>
      <c r="AO231" s="709">
        <v>0</v>
      </c>
      <c r="AP231" s="709">
        <v>0</v>
      </c>
      <c r="AQ231" s="709">
        <v>0</v>
      </c>
      <c r="AR231" s="709">
        <v>0</v>
      </c>
      <c r="AS231" s="709">
        <v>0</v>
      </c>
    </row>
    <row r="232" spans="1:45">
      <c r="A232" s="708" t="s">
        <v>1269</v>
      </c>
      <c r="B232" s="709">
        <v>10435</v>
      </c>
      <c r="C232" s="709">
        <v>10322</v>
      </c>
      <c r="D232" s="709">
        <v>0</v>
      </c>
      <c r="E232" s="709">
        <v>10322</v>
      </c>
      <c r="F232" s="709">
        <v>0</v>
      </c>
      <c r="G232" s="709">
        <v>269</v>
      </c>
      <c r="H232" s="709">
        <v>238</v>
      </c>
      <c r="I232" s="709">
        <v>74</v>
      </c>
      <c r="J232" s="709">
        <v>74</v>
      </c>
      <c r="K232" s="709">
        <v>0</v>
      </c>
      <c r="L232" s="709">
        <v>0</v>
      </c>
      <c r="M232" s="709">
        <v>36</v>
      </c>
      <c r="N232" s="709">
        <v>4096</v>
      </c>
      <c r="O232" s="709">
        <v>0</v>
      </c>
      <c r="P232" s="709">
        <v>0</v>
      </c>
      <c r="Q232" s="709">
        <v>31</v>
      </c>
      <c r="R232" s="709">
        <v>0</v>
      </c>
      <c r="S232" s="709">
        <v>0</v>
      </c>
      <c r="T232" s="709">
        <v>0</v>
      </c>
      <c r="U232" s="709">
        <v>0</v>
      </c>
      <c r="V232" s="709">
        <v>0</v>
      </c>
      <c r="W232" s="709">
        <v>0</v>
      </c>
      <c r="X232" s="709">
        <v>0</v>
      </c>
      <c r="Y232" s="709">
        <v>0</v>
      </c>
      <c r="Z232" s="709">
        <v>0</v>
      </c>
      <c r="AA232" s="709">
        <v>0</v>
      </c>
      <c r="AB232" s="709">
        <v>0</v>
      </c>
      <c r="AC232" s="709">
        <v>0</v>
      </c>
      <c r="AD232" s="709">
        <v>0</v>
      </c>
      <c r="AE232" s="709">
        <v>5957</v>
      </c>
      <c r="AF232" s="709">
        <v>0</v>
      </c>
      <c r="AG232" s="709">
        <v>77</v>
      </c>
      <c r="AH232" s="709">
        <v>74</v>
      </c>
      <c r="AI232" s="709">
        <v>164</v>
      </c>
      <c r="AJ232" s="709">
        <v>0</v>
      </c>
      <c r="AK232" s="709">
        <v>0</v>
      </c>
      <c r="AL232" s="709">
        <v>0</v>
      </c>
      <c r="AM232" s="709">
        <v>2</v>
      </c>
      <c r="AN232" s="709">
        <v>0</v>
      </c>
      <c r="AO232" s="709">
        <v>2</v>
      </c>
      <c r="AP232" s="709">
        <v>0</v>
      </c>
      <c r="AQ232" s="709">
        <v>0</v>
      </c>
      <c r="AR232" s="709">
        <v>0</v>
      </c>
      <c r="AS232" s="709">
        <v>0</v>
      </c>
    </row>
    <row r="233" spans="1:45">
      <c r="A233" s="708" t="s">
        <v>1270</v>
      </c>
      <c r="B233" s="709">
        <v>0</v>
      </c>
      <c r="C233" s="709">
        <v>0</v>
      </c>
      <c r="D233" s="709">
        <v>0</v>
      </c>
      <c r="E233" s="709">
        <v>0</v>
      </c>
      <c r="F233" s="709">
        <v>0</v>
      </c>
      <c r="G233" s="709">
        <v>0</v>
      </c>
      <c r="H233" s="709">
        <v>0</v>
      </c>
      <c r="I233" s="709">
        <v>0</v>
      </c>
      <c r="J233" s="709">
        <v>0</v>
      </c>
      <c r="K233" s="709">
        <v>0</v>
      </c>
      <c r="L233" s="709">
        <v>0</v>
      </c>
      <c r="M233" s="709">
        <v>0</v>
      </c>
      <c r="N233" s="709">
        <v>0</v>
      </c>
      <c r="O233" s="709">
        <v>0</v>
      </c>
      <c r="P233" s="709">
        <v>0</v>
      </c>
      <c r="Q233" s="709">
        <v>0</v>
      </c>
      <c r="R233" s="709">
        <v>0</v>
      </c>
      <c r="S233" s="709">
        <v>0</v>
      </c>
      <c r="T233" s="709">
        <v>0</v>
      </c>
      <c r="U233" s="709">
        <v>0</v>
      </c>
      <c r="V233" s="709">
        <v>0</v>
      </c>
      <c r="W233" s="709">
        <v>0</v>
      </c>
      <c r="X233" s="709">
        <v>0</v>
      </c>
      <c r="Y233" s="709">
        <v>0</v>
      </c>
      <c r="Z233" s="709">
        <v>0</v>
      </c>
      <c r="AA233" s="709">
        <v>0</v>
      </c>
      <c r="AB233" s="709">
        <v>0</v>
      </c>
      <c r="AC233" s="709">
        <v>0</v>
      </c>
      <c r="AD233" s="709">
        <v>0</v>
      </c>
      <c r="AE233" s="709">
        <v>0</v>
      </c>
      <c r="AF233" s="709">
        <v>0</v>
      </c>
      <c r="AG233" s="709">
        <v>0</v>
      </c>
      <c r="AH233" s="709">
        <v>0</v>
      </c>
      <c r="AI233" s="709">
        <v>0</v>
      </c>
      <c r="AJ233" s="709">
        <v>0</v>
      </c>
      <c r="AK233" s="709">
        <v>0</v>
      </c>
      <c r="AL233" s="709">
        <v>0</v>
      </c>
      <c r="AM233" s="709">
        <v>0</v>
      </c>
      <c r="AN233" s="709">
        <v>0</v>
      </c>
      <c r="AO233" s="709">
        <v>0</v>
      </c>
      <c r="AP233" s="709">
        <v>0</v>
      </c>
      <c r="AQ233" s="709">
        <v>0</v>
      </c>
      <c r="AR233" s="709">
        <v>0</v>
      </c>
      <c r="AS233" s="709">
        <v>0</v>
      </c>
    </row>
    <row r="234" spans="1:45">
      <c r="A234" s="708" t="s">
        <v>1271</v>
      </c>
      <c r="B234" s="709">
        <v>13290</v>
      </c>
      <c r="C234" s="709">
        <v>13290</v>
      </c>
      <c r="D234" s="709">
        <v>16</v>
      </c>
      <c r="E234" s="709">
        <v>13274</v>
      </c>
      <c r="F234" s="709">
        <v>16</v>
      </c>
      <c r="G234" s="709">
        <v>931</v>
      </c>
      <c r="H234" s="709">
        <v>931</v>
      </c>
      <c r="I234" s="709">
        <v>16</v>
      </c>
      <c r="J234" s="709">
        <v>16</v>
      </c>
      <c r="K234" s="709">
        <v>16</v>
      </c>
      <c r="L234" s="709">
        <v>0</v>
      </c>
      <c r="M234" s="709">
        <v>0</v>
      </c>
      <c r="N234" s="709">
        <v>2299</v>
      </c>
      <c r="O234" s="709">
        <v>0</v>
      </c>
      <c r="P234" s="709">
        <v>0</v>
      </c>
      <c r="Q234" s="709">
        <v>0</v>
      </c>
      <c r="R234" s="709">
        <v>0</v>
      </c>
      <c r="S234" s="709">
        <v>0</v>
      </c>
      <c r="T234" s="709">
        <v>0</v>
      </c>
      <c r="U234" s="709">
        <v>0</v>
      </c>
      <c r="V234" s="709">
        <v>16</v>
      </c>
      <c r="W234" s="709">
        <v>0</v>
      </c>
      <c r="X234" s="709">
        <v>0</v>
      </c>
      <c r="Y234" s="709">
        <v>0</v>
      </c>
      <c r="Z234" s="709">
        <v>0</v>
      </c>
      <c r="AA234" s="709">
        <v>0</v>
      </c>
      <c r="AB234" s="709">
        <v>0</v>
      </c>
      <c r="AC234" s="709">
        <v>0</v>
      </c>
      <c r="AD234" s="709">
        <v>0</v>
      </c>
      <c r="AE234" s="709">
        <v>10060</v>
      </c>
      <c r="AF234" s="709">
        <v>0</v>
      </c>
      <c r="AG234" s="709">
        <v>0</v>
      </c>
      <c r="AH234" s="709">
        <v>0</v>
      </c>
      <c r="AI234" s="709">
        <v>915</v>
      </c>
      <c r="AJ234" s="709">
        <v>0</v>
      </c>
      <c r="AK234" s="709">
        <v>0</v>
      </c>
      <c r="AL234" s="709">
        <v>0</v>
      </c>
      <c r="AM234" s="709">
        <v>16</v>
      </c>
      <c r="AN234" s="709">
        <v>0</v>
      </c>
      <c r="AO234" s="709">
        <v>0</v>
      </c>
      <c r="AP234" s="709">
        <v>0</v>
      </c>
      <c r="AQ234" s="709">
        <v>0</v>
      </c>
      <c r="AR234" s="709">
        <v>0</v>
      </c>
      <c r="AS234" s="709">
        <v>0</v>
      </c>
    </row>
    <row r="235" spans="1:45">
      <c r="A235" s="708" t="s">
        <v>1272</v>
      </c>
      <c r="B235" s="709">
        <v>4290</v>
      </c>
      <c r="C235" s="709">
        <v>736</v>
      </c>
      <c r="D235" s="709">
        <v>0</v>
      </c>
      <c r="E235" s="709">
        <v>736</v>
      </c>
      <c r="F235" s="709">
        <v>0</v>
      </c>
      <c r="G235" s="709">
        <v>0</v>
      </c>
      <c r="H235" s="709">
        <v>0</v>
      </c>
      <c r="I235" s="709">
        <v>0</v>
      </c>
      <c r="J235" s="709">
        <v>0</v>
      </c>
      <c r="K235" s="709">
        <v>0</v>
      </c>
      <c r="L235" s="709">
        <v>0</v>
      </c>
      <c r="M235" s="709">
        <v>3554</v>
      </c>
      <c r="N235" s="709">
        <v>734</v>
      </c>
      <c r="O235" s="709">
        <v>0</v>
      </c>
      <c r="P235" s="709">
        <v>0</v>
      </c>
      <c r="Q235" s="709">
        <v>0</v>
      </c>
      <c r="R235" s="709">
        <v>0</v>
      </c>
      <c r="S235" s="709">
        <v>0</v>
      </c>
      <c r="T235" s="709">
        <v>0</v>
      </c>
      <c r="U235" s="709">
        <v>0</v>
      </c>
      <c r="V235" s="709">
        <v>0</v>
      </c>
      <c r="W235" s="709">
        <v>0</v>
      </c>
      <c r="X235" s="709">
        <v>0</v>
      </c>
      <c r="Y235" s="709">
        <v>2</v>
      </c>
      <c r="Z235" s="709">
        <v>0</v>
      </c>
      <c r="AA235" s="709">
        <v>0</v>
      </c>
      <c r="AB235" s="709">
        <v>0</v>
      </c>
      <c r="AC235" s="709">
        <v>0</v>
      </c>
      <c r="AD235" s="709">
        <v>0</v>
      </c>
      <c r="AE235" s="709">
        <v>0</v>
      </c>
      <c r="AF235" s="709">
        <v>0</v>
      </c>
      <c r="AG235" s="709">
        <v>0</v>
      </c>
      <c r="AH235" s="709">
        <v>0</v>
      </c>
      <c r="AI235" s="709">
        <v>0</v>
      </c>
      <c r="AJ235" s="709">
        <v>0</v>
      </c>
      <c r="AK235" s="709">
        <v>0</v>
      </c>
      <c r="AL235" s="709">
        <v>0</v>
      </c>
      <c r="AM235" s="709">
        <v>0</v>
      </c>
      <c r="AN235" s="709">
        <v>0</v>
      </c>
      <c r="AO235" s="709">
        <v>0</v>
      </c>
      <c r="AP235" s="709">
        <v>0</v>
      </c>
      <c r="AQ235" s="709">
        <v>0</v>
      </c>
      <c r="AR235" s="709">
        <v>0</v>
      </c>
      <c r="AS235" s="709">
        <v>0</v>
      </c>
    </row>
    <row r="236" spans="1:45">
      <c r="A236" s="708" t="s">
        <v>1273</v>
      </c>
      <c r="B236" s="709">
        <v>2873</v>
      </c>
      <c r="C236" s="709">
        <v>2873</v>
      </c>
      <c r="D236" s="709">
        <v>31</v>
      </c>
      <c r="E236" s="709">
        <v>2842</v>
      </c>
      <c r="F236" s="709">
        <v>31</v>
      </c>
      <c r="G236" s="709">
        <v>31</v>
      </c>
      <c r="H236" s="709">
        <v>31</v>
      </c>
      <c r="I236" s="709">
        <v>31</v>
      </c>
      <c r="J236" s="709">
        <v>31</v>
      </c>
      <c r="K236" s="709">
        <v>31</v>
      </c>
      <c r="L236" s="709">
        <v>0</v>
      </c>
      <c r="M236" s="709">
        <v>0</v>
      </c>
      <c r="N236" s="709">
        <v>2833</v>
      </c>
      <c r="O236" s="709">
        <v>0</v>
      </c>
      <c r="P236" s="709">
        <v>0</v>
      </c>
      <c r="Q236" s="709">
        <v>0</v>
      </c>
      <c r="R236" s="709">
        <v>0</v>
      </c>
      <c r="S236" s="709">
        <v>0</v>
      </c>
      <c r="T236" s="709">
        <v>0</v>
      </c>
      <c r="U236" s="709">
        <v>0</v>
      </c>
      <c r="V236" s="709">
        <v>31</v>
      </c>
      <c r="W236" s="709">
        <v>0</v>
      </c>
      <c r="X236" s="709">
        <v>0</v>
      </c>
      <c r="Y236" s="709">
        <v>0</v>
      </c>
      <c r="Z236" s="709">
        <v>0</v>
      </c>
      <c r="AA236" s="709">
        <v>0</v>
      </c>
      <c r="AB236" s="709">
        <v>0</v>
      </c>
      <c r="AC236" s="709">
        <v>0</v>
      </c>
      <c r="AD236" s="709">
        <v>0</v>
      </c>
      <c r="AE236" s="709">
        <v>9</v>
      </c>
      <c r="AF236" s="709">
        <v>0</v>
      </c>
      <c r="AG236" s="709">
        <v>0</v>
      </c>
      <c r="AH236" s="709">
        <v>0</v>
      </c>
      <c r="AI236" s="709">
        <v>0</v>
      </c>
      <c r="AJ236" s="709">
        <v>0</v>
      </c>
      <c r="AK236" s="709">
        <v>0</v>
      </c>
      <c r="AL236" s="709">
        <v>0</v>
      </c>
      <c r="AM236" s="709">
        <v>31</v>
      </c>
      <c r="AN236" s="709">
        <v>0</v>
      </c>
      <c r="AO236" s="709">
        <v>0</v>
      </c>
      <c r="AP236" s="709">
        <v>0</v>
      </c>
      <c r="AQ236" s="709">
        <v>0</v>
      </c>
      <c r="AR236" s="709">
        <v>0</v>
      </c>
      <c r="AS236" s="709">
        <v>0</v>
      </c>
    </row>
    <row r="237" spans="1:45">
      <c r="A237" s="708" t="s">
        <v>1274</v>
      </c>
      <c r="B237" s="709">
        <v>0</v>
      </c>
      <c r="C237" s="709">
        <v>0</v>
      </c>
      <c r="D237" s="709">
        <v>0</v>
      </c>
      <c r="E237" s="709">
        <v>0</v>
      </c>
      <c r="F237" s="709">
        <v>0</v>
      </c>
      <c r="G237" s="709">
        <v>0</v>
      </c>
      <c r="H237" s="709">
        <v>0</v>
      </c>
      <c r="I237" s="709">
        <v>0</v>
      </c>
      <c r="J237" s="709">
        <v>0</v>
      </c>
      <c r="K237" s="709">
        <v>0</v>
      </c>
      <c r="L237" s="709">
        <v>0</v>
      </c>
      <c r="M237" s="709">
        <v>0</v>
      </c>
      <c r="N237" s="709">
        <v>0</v>
      </c>
      <c r="O237" s="709">
        <v>0</v>
      </c>
      <c r="P237" s="709">
        <v>0</v>
      </c>
      <c r="Q237" s="709">
        <v>0</v>
      </c>
      <c r="R237" s="709">
        <v>0</v>
      </c>
      <c r="S237" s="709">
        <v>0</v>
      </c>
      <c r="T237" s="709">
        <v>0</v>
      </c>
      <c r="U237" s="709">
        <v>0</v>
      </c>
      <c r="V237" s="709">
        <v>0</v>
      </c>
      <c r="W237" s="709">
        <v>0</v>
      </c>
      <c r="X237" s="709">
        <v>0</v>
      </c>
      <c r="Y237" s="709">
        <v>0</v>
      </c>
      <c r="Z237" s="709">
        <v>0</v>
      </c>
      <c r="AA237" s="709">
        <v>0</v>
      </c>
      <c r="AB237" s="709">
        <v>0</v>
      </c>
      <c r="AC237" s="709">
        <v>0</v>
      </c>
      <c r="AD237" s="709">
        <v>0</v>
      </c>
      <c r="AE237" s="709">
        <v>0</v>
      </c>
      <c r="AF237" s="709">
        <v>0</v>
      </c>
      <c r="AG237" s="709">
        <v>0</v>
      </c>
      <c r="AH237" s="709">
        <v>0</v>
      </c>
      <c r="AI237" s="709">
        <v>0</v>
      </c>
      <c r="AJ237" s="709">
        <v>0</v>
      </c>
      <c r="AK237" s="709">
        <v>0</v>
      </c>
      <c r="AL237" s="709">
        <v>0</v>
      </c>
      <c r="AM237" s="709">
        <v>0</v>
      </c>
      <c r="AN237" s="709">
        <v>0</v>
      </c>
      <c r="AO237" s="709">
        <v>0</v>
      </c>
      <c r="AP237" s="709">
        <v>0</v>
      </c>
      <c r="AQ237" s="709">
        <v>0</v>
      </c>
      <c r="AR237" s="709">
        <v>0</v>
      </c>
      <c r="AS237" s="709">
        <v>0</v>
      </c>
    </row>
    <row r="238" spans="1:45">
      <c r="A238" s="708" t="s">
        <v>1275</v>
      </c>
      <c r="B238" s="709">
        <v>319</v>
      </c>
      <c r="C238" s="709">
        <v>319</v>
      </c>
      <c r="D238" s="709">
        <v>0</v>
      </c>
      <c r="E238" s="709">
        <v>319</v>
      </c>
      <c r="F238" s="709">
        <v>0</v>
      </c>
      <c r="G238" s="709">
        <v>319</v>
      </c>
      <c r="H238" s="709">
        <v>0</v>
      </c>
      <c r="I238" s="709">
        <v>0</v>
      </c>
      <c r="J238" s="709">
        <v>0</v>
      </c>
      <c r="K238" s="709">
        <v>0</v>
      </c>
      <c r="L238" s="709">
        <v>0</v>
      </c>
      <c r="M238" s="709">
        <v>0</v>
      </c>
      <c r="N238" s="709">
        <v>0</v>
      </c>
      <c r="O238" s="709">
        <v>0</v>
      </c>
      <c r="P238" s="709">
        <v>0</v>
      </c>
      <c r="Q238" s="709">
        <v>319</v>
      </c>
      <c r="R238" s="709">
        <v>0</v>
      </c>
      <c r="S238" s="709">
        <v>0</v>
      </c>
      <c r="T238" s="709">
        <v>0</v>
      </c>
      <c r="U238" s="709">
        <v>0</v>
      </c>
      <c r="V238" s="709">
        <v>0</v>
      </c>
      <c r="W238" s="709">
        <v>0</v>
      </c>
      <c r="X238" s="709">
        <v>0</v>
      </c>
      <c r="Y238" s="709">
        <v>0</v>
      </c>
      <c r="Z238" s="709">
        <v>0</v>
      </c>
      <c r="AA238" s="709">
        <v>0</v>
      </c>
      <c r="AB238" s="709">
        <v>0</v>
      </c>
      <c r="AC238" s="709">
        <v>0</v>
      </c>
      <c r="AD238" s="709">
        <v>0</v>
      </c>
      <c r="AE238" s="709">
        <v>0</v>
      </c>
      <c r="AF238" s="709">
        <v>0</v>
      </c>
      <c r="AG238" s="709">
        <v>0</v>
      </c>
      <c r="AH238" s="709">
        <v>0</v>
      </c>
      <c r="AI238" s="709">
        <v>0</v>
      </c>
      <c r="AJ238" s="709">
        <v>0</v>
      </c>
      <c r="AK238" s="709">
        <v>0</v>
      </c>
      <c r="AL238" s="709">
        <v>0</v>
      </c>
      <c r="AM238" s="709">
        <v>0</v>
      </c>
      <c r="AN238" s="709">
        <v>0</v>
      </c>
      <c r="AO238" s="709">
        <v>0</v>
      </c>
      <c r="AP238" s="709">
        <v>0</v>
      </c>
      <c r="AQ238" s="709">
        <v>0</v>
      </c>
      <c r="AR238" s="709">
        <v>0</v>
      </c>
      <c r="AS238" s="709">
        <v>0</v>
      </c>
    </row>
    <row r="239" spans="1:45">
      <c r="A239" s="708" t="s">
        <v>1276</v>
      </c>
      <c r="B239" s="709">
        <v>0</v>
      </c>
      <c r="C239" s="709">
        <v>0</v>
      </c>
      <c r="D239" s="709">
        <v>0</v>
      </c>
      <c r="E239" s="709">
        <v>0</v>
      </c>
      <c r="F239" s="709">
        <v>0</v>
      </c>
      <c r="G239" s="709">
        <v>0</v>
      </c>
      <c r="H239" s="709">
        <v>0</v>
      </c>
      <c r="I239" s="709">
        <v>0</v>
      </c>
      <c r="J239" s="709">
        <v>0</v>
      </c>
      <c r="K239" s="709">
        <v>0</v>
      </c>
      <c r="L239" s="709">
        <v>0</v>
      </c>
      <c r="M239" s="709">
        <v>0</v>
      </c>
      <c r="N239" s="709">
        <v>0</v>
      </c>
      <c r="O239" s="709">
        <v>0</v>
      </c>
      <c r="P239" s="709">
        <v>0</v>
      </c>
      <c r="Q239" s="709">
        <v>0</v>
      </c>
      <c r="R239" s="709">
        <v>0</v>
      </c>
      <c r="S239" s="709">
        <v>0</v>
      </c>
      <c r="T239" s="709">
        <v>0</v>
      </c>
      <c r="U239" s="709">
        <v>0</v>
      </c>
      <c r="V239" s="709">
        <v>0</v>
      </c>
      <c r="W239" s="709">
        <v>0</v>
      </c>
      <c r="X239" s="709">
        <v>0</v>
      </c>
      <c r="Y239" s="709">
        <v>0</v>
      </c>
      <c r="Z239" s="709">
        <v>0</v>
      </c>
      <c r="AA239" s="709">
        <v>0</v>
      </c>
      <c r="AB239" s="709">
        <v>0</v>
      </c>
      <c r="AC239" s="709">
        <v>0</v>
      </c>
      <c r="AD239" s="709">
        <v>0</v>
      </c>
      <c r="AE239" s="709">
        <v>0</v>
      </c>
      <c r="AF239" s="709">
        <v>0</v>
      </c>
      <c r="AG239" s="709">
        <v>0</v>
      </c>
      <c r="AH239" s="709">
        <v>0</v>
      </c>
      <c r="AI239" s="709">
        <v>0</v>
      </c>
      <c r="AJ239" s="709">
        <v>0</v>
      </c>
      <c r="AK239" s="709">
        <v>0</v>
      </c>
      <c r="AL239" s="709">
        <v>0</v>
      </c>
      <c r="AM239" s="709">
        <v>0</v>
      </c>
      <c r="AN239" s="709">
        <v>0</v>
      </c>
      <c r="AO239" s="709">
        <v>0</v>
      </c>
      <c r="AP239" s="709">
        <v>0</v>
      </c>
      <c r="AQ239" s="709">
        <v>0</v>
      </c>
      <c r="AR239" s="709">
        <v>0</v>
      </c>
      <c r="AS239" s="709">
        <v>0</v>
      </c>
    </row>
    <row r="240" spans="1:45">
      <c r="A240" s="708" t="s">
        <v>1277</v>
      </c>
      <c r="B240" s="709">
        <v>0</v>
      </c>
      <c r="C240" s="709">
        <v>0</v>
      </c>
      <c r="D240" s="709">
        <v>0</v>
      </c>
      <c r="E240" s="709">
        <v>0</v>
      </c>
      <c r="F240" s="709">
        <v>0</v>
      </c>
      <c r="G240" s="709">
        <v>0</v>
      </c>
      <c r="H240" s="709">
        <v>0</v>
      </c>
      <c r="I240" s="709">
        <v>0</v>
      </c>
      <c r="J240" s="709">
        <v>0</v>
      </c>
      <c r="K240" s="709">
        <v>0</v>
      </c>
      <c r="L240" s="709">
        <v>0</v>
      </c>
      <c r="M240" s="709">
        <v>0</v>
      </c>
      <c r="N240" s="709">
        <v>0</v>
      </c>
      <c r="O240" s="709">
        <v>0</v>
      </c>
      <c r="P240" s="709">
        <v>0</v>
      </c>
      <c r="Q240" s="709">
        <v>0</v>
      </c>
      <c r="R240" s="709">
        <v>0</v>
      </c>
      <c r="S240" s="709">
        <v>0</v>
      </c>
      <c r="T240" s="709">
        <v>0</v>
      </c>
      <c r="U240" s="709">
        <v>0</v>
      </c>
      <c r="V240" s="709">
        <v>0</v>
      </c>
      <c r="W240" s="709">
        <v>0</v>
      </c>
      <c r="X240" s="709">
        <v>0</v>
      </c>
      <c r="Y240" s="709">
        <v>0</v>
      </c>
      <c r="Z240" s="709">
        <v>0</v>
      </c>
      <c r="AA240" s="709">
        <v>0</v>
      </c>
      <c r="AB240" s="709">
        <v>0</v>
      </c>
      <c r="AC240" s="709">
        <v>0</v>
      </c>
      <c r="AD240" s="709">
        <v>0</v>
      </c>
      <c r="AE240" s="709">
        <v>0</v>
      </c>
      <c r="AF240" s="709">
        <v>0</v>
      </c>
      <c r="AG240" s="709">
        <v>0</v>
      </c>
      <c r="AH240" s="709">
        <v>0</v>
      </c>
      <c r="AI240" s="709">
        <v>0</v>
      </c>
      <c r="AJ240" s="709">
        <v>0</v>
      </c>
      <c r="AK240" s="709">
        <v>0</v>
      </c>
      <c r="AL240" s="709">
        <v>0</v>
      </c>
      <c r="AM240" s="709">
        <v>0</v>
      </c>
      <c r="AN240" s="709">
        <v>0</v>
      </c>
      <c r="AO240" s="709">
        <v>0</v>
      </c>
      <c r="AP240" s="709">
        <v>0</v>
      </c>
      <c r="AQ240" s="709">
        <v>0</v>
      </c>
      <c r="AR240" s="709">
        <v>0</v>
      </c>
      <c r="AS240" s="709">
        <v>0</v>
      </c>
    </row>
    <row r="241" spans="1:45">
      <c r="A241" s="708" t="s">
        <v>1278</v>
      </c>
      <c r="B241" s="709">
        <v>0</v>
      </c>
      <c r="C241" s="709">
        <v>0</v>
      </c>
      <c r="D241" s="709">
        <v>0</v>
      </c>
      <c r="E241" s="709">
        <v>0</v>
      </c>
      <c r="F241" s="709">
        <v>0</v>
      </c>
      <c r="G241" s="709">
        <v>0</v>
      </c>
      <c r="H241" s="709">
        <v>0</v>
      </c>
      <c r="I241" s="709">
        <v>0</v>
      </c>
      <c r="J241" s="709">
        <v>0</v>
      </c>
      <c r="K241" s="709">
        <v>0</v>
      </c>
      <c r="L241" s="709">
        <v>0</v>
      </c>
      <c r="M241" s="709">
        <v>0</v>
      </c>
      <c r="N241" s="709">
        <v>0</v>
      </c>
      <c r="O241" s="709">
        <v>0</v>
      </c>
      <c r="P241" s="709">
        <v>0</v>
      </c>
      <c r="Q241" s="709">
        <v>0</v>
      </c>
      <c r="R241" s="709">
        <v>0</v>
      </c>
      <c r="S241" s="709">
        <v>0</v>
      </c>
      <c r="T241" s="709">
        <v>0</v>
      </c>
      <c r="U241" s="709">
        <v>0</v>
      </c>
      <c r="V241" s="709">
        <v>0</v>
      </c>
      <c r="W241" s="709">
        <v>0</v>
      </c>
      <c r="X241" s="709">
        <v>0</v>
      </c>
      <c r="Y241" s="709">
        <v>0</v>
      </c>
      <c r="Z241" s="709">
        <v>0</v>
      </c>
      <c r="AA241" s="709">
        <v>0</v>
      </c>
      <c r="AB241" s="709">
        <v>0</v>
      </c>
      <c r="AC241" s="709">
        <v>0</v>
      </c>
      <c r="AD241" s="709">
        <v>0</v>
      </c>
      <c r="AE241" s="709">
        <v>0</v>
      </c>
      <c r="AF241" s="709">
        <v>0</v>
      </c>
      <c r="AG241" s="709">
        <v>0</v>
      </c>
      <c r="AH241" s="709">
        <v>0</v>
      </c>
      <c r="AI241" s="709">
        <v>0</v>
      </c>
      <c r="AJ241" s="709">
        <v>0</v>
      </c>
      <c r="AK241" s="709">
        <v>0</v>
      </c>
      <c r="AL241" s="709">
        <v>0</v>
      </c>
      <c r="AM241" s="709">
        <v>0</v>
      </c>
      <c r="AN241" s="709">
        <v>0</v>
      </c>
      <c r="AO241" s="709">
        <v>0</v>
      </c>
      <c r="AP241" s="709">
        <v>0</v>
      </c>
      <c r="AQ241" s="709">
        <v>0</v>
      </c>
      <c r="AR241" s="709">
        <v>0</v>
      </c>
      <c r="AS241" s="709">
        <v>0</v>
      </c>
    </row>
    <row r="242" spans="1:45">
      <c r="A242" s="708" t="s">
        <v>1279</v>
      </c>
      <c r="B242" s="709">
        <v>66474</v>
      </c>
      <c r="C242" s="709">
        <v>63940</v>
      </c>
      <c r="D242" s="709">
        <v>42730</v>
      </c>
      <c r="E242" s="709">
        <v>21210</v>
      </c>
      <c r="F242" s="709">
        <v>41626</v>
      </c>
      <c r="G242" s="709">
        <v>42147</v>
      </c>
      <c r="H242" s="709">
        <v>42147</v>
      </c>
      <c r="I242" s="709">
        <v>41626</v>
      </c>
      <c r="J242" s="709">
        <v>41626</v>
      </c>
      <c r="K242" s="709">
        <v>41626</v>
      </c>
      <c r="L242" s="709">
        <v>0</v>
      </c>
      <c r="M242" s="709">
        <v>15</v>
      </c>
      <c r="N242" s="709">
        <v>2</v>
      </c>
      <c r="O242" s="709">
        <v>0</v>
      </c>
      <c r="P242" s="709">
        <v>0</v>
      </c>
      <c r="Q242" s="709">
        <v>0</v>
      </c>
      <c r="R242" s="709">
        <v>0</v>
      </c>
      <c r="S242" s="709">
        <v>0</v>
      </c>
      <c r="T242" s="709">
        <v>0</v>
      </c>
      <c r="U242" s="709">
        <v>0</v>
      </c>
      <c r="V242" s="709">
        <v>36172</v>
      </c>
      <c r="W242" s="709">
        <v>0</v>
      </c>
      <c r="X242" s="709">
        <v>0</v>
      </c>
      <c r="Y242" s="709">
        <v>57</v>
      </c>
      <c r="Z242" s="709">
        <v>0</v>
      </c>
      <c r="AA242" s="709">
        <v>0</v>
      </c>
      <c r="AB242" s="709">
        <v>0</v>
      </c>
      <c r="AC242" s="709">
        <v>5454</v>
      </c>
      <c r="AD242" s="709">
        <v>0</v>
      </c>
      <c r="AE242" s="709">
        <v>20630</v>
      </c>
      <c r="AF242" s="709">
        <v>0</v>
      </c>
      <c r="AG242" s="709">
        <v>2519</v>
      </c>
      <c r="AH242" s="709">
        <v>0</v>
      </c>
      <c r="AI242" s="709">
        <v>521</v>
      </c>
      <c r="AJ242" s="709">
        <v>0</v>
      </c>
      <c r="AK242" s="709">
        <v>0</v>
      </c>
      <c r="AL242" s="709">
        <v>1104</v>
      </c>
      <c r="AM242" s="709">
        <v>42743</v>
      </c>
      <c r="AN242" s="709">
        <v>0</v>
      </c>
      <c r="AO242" s="709">
        <v>13</v>
      </c>
      <c r="AP242" s="709">
        <v>0</v>
      </c>
      <c r="AQ242" s="709">
        <v>0</v>
      </c>
      <c r="AR242" s="709">
        <v>23</v>
      </c>
      <c r="AS242" s="709">
        <v>0</v>
      </c>
    </row>
    <row r="243" spans="1:45">
      <c r="A243" s="708" t="s">
        <v>1280</v>
      </c>
      <c r="B243" s="709">
        <v>0</v>
      </c>
      <c r="C243" s="709">
        <v>0</v>
      </c>
      <c r="D243" s="709">
        <v>0</v>
      </c>
      <c r="E243" s="709">
        <v>0</v>
      </c>
      <c r="F243" s="709">
        <v>0</v>
      </c>
      <c r="G243" s="709">
        <v>0</v>
      </c>
      <c r="H243" s="709">
        <v>0</v>
      </c>
      <c r="I243" s="709">
        <v>0</v>
      </c>
      <c r="J243" s="709">
        <v>0</v>
      </c>
      <c r="K243" s="709">
        <v>0</v>
      </c>
      <c r="L243" s="709">
        <v>0</v>
      </c>
      <c r="M243" s="709">
        <v>0</v>
      </c>
      <c r="N243" s="709">
        <v>0</v>
      </c>
      <c r="O243" s="709">
        <v>0</v>
      </c>
      <c r="P243" s="709">
        <v>0</v>
      </c>
      <c r="Q243" s="709">
        <v>0</v>
      </c>
      <c r="R243" s="709">
        <v>0</v>
      </c>
      <c r="S243" s="709">
        <v>0</v>
      </c>
      <c r="T243" s="709">
        <v>0</v>
      </c>
      <c r="U243" s="709">
        <v>0</v>
      </c>
      <c r="V243" s="709">
        <v>0</v>
      </c>
      <c r="W243" s="709">
        <v>0</v>
      </c>
      <c r="X243" s="709">
        <v>0</v>
      </c>
      <c r="Y243" s="709">
        <v>0</v>
      </c>
      <c r="Z243" s="709">
        <v>0</v>
      </c>
      <c r="AA243" s="709">
        <v>0</v>
      </c>
      <c r="AB243" s="709">
        <v>0</v>
      </c>
      <c r="AC243" s="709">
        <v>0</v>
      </c>
      <c r="AD243" s="709">
        <v>0</v>
      </c>
      <c r="AE243" s="709">
        <v>0</v>
      </c>
      <c r="AF243" s="709">
        <v>0</v>
      </c>
      <c r="AG243" s="709">
        <v>0</v>
      </c>
      <c r="AH243" s="709">
        <v>0</v>
      </c>
      <c r="AI243" s="709">
        <v>0</v>
      </c>
      <c r="AJ243" s="709">
        <v>0</v>
      </c>
      <c r="AK243" s="709">
        <v>0</v>
      </c>
      <c r="AL243" s="709">
        <v>0</v>
      </c>
      <c r="AM243" s="709">
        <v>0</v>
      </c>
      <c r="AN243" s="709">
        <v>0</v>
      </c>
      <c r="AO243" s="709">
        <v>0</v>
      </c>
      <c r="AP243" s="709">
        <v>0</v>
      </c>
      <c r="AQ243" s="709">
        <v>0</v>
      </c>
      <c r="AR243" s="709">
        <v>0</v>
      </c>
      <c r="AS243" s="709">
        <v>0</v>
      </c>
    </row>
    <row r="244" spans="1:45">
      <c r="A244" s="708" t="s">
        <v>1281</v>
      </c>
      <c r="B244" s="709">
        <v>217640</v>
      </c>
      <c r="C244" s="709">
        <v>187875</v>
      </c>
      <c r="D244" s="709">
        <v>138244</v>
      </c>
      <c r="E244" s="709">
        <v>49631</v>
      </c>
      <c r="F244" s="709">
        <v>106471</v>
      </c>
      <c r="G244" s="709">
        <v>117567</v>
      </c>
      <c r="H244" s="709">
        <v>114059</v>
      </c>
      <c r="I244" s="709">
        <v>108134</v>
      </c>
      <c r="J244" s="709">
        <v>108134</v>
      </c>
      <c r="K244" s="709">
        <v>106471</v>
      </c>
      <c r="L244" s="709">
        <v>1524</v>
      </c>
      <c r="M244" s="709">
        <v>4599</v>
      </c>
      <c r="N244" s="709">
        <v>20991</v>
      </c>
      <c r="O244" s="709">
        <v>25462</v>
      </c>
      <c r="P244" s="709">
        <v>63539</v>
      </c>
      <c r="Q244" s="709">
        <v>3508</v>
      </c>
      <c r="R244" s="709">
        <v>0</v>
      </c>
      <c r="S244" s="709">
        <v>0</v>
      </c>
      <c r="T244" s="709">
        <v>0</v>
      </c>
      <c r="U244" s="709">
        <v>0</v>
      </c>
      <c r="V244" s="709">
        <v>0</v>
      </c>
      <c r="W244" s="709">
        <v>0</v>
      </c>
      <c r="X244" s="709">
        <v>5033</v>
      </c>
      <c r="Y244" s="709">
        <v>7458</v>
      </c>
      <c r="Z244" s="709">
        <v>0</v>
      </c>
      <c r="AA244" s="709">
        <v>5053</v>
      </c>
      <c r="AB244" s="709">
        <v>0</v>
      </c>
      <c r="AC244" s="709">
        <v>25629</v>
      </c>
      <c r="AD244" s="709">
        <v>4926</v>
      </c>
      <c r="AE244" s="709">
        <v>0</v>
      </c>
      <c r="AF244" s="709">
        <v>0</v>
      </c>
      <c r="AG244" s="709">
        <v>25166</v>
      </c>
      <c r="AH244" s="709">
        <v>1663</v>
      </c>
      <c r="AI244" s="709">
        <v>5925</v>
      </c>
      <c r="AJ244" s="709">
        <v>10853</v>
      </c>
      <c r="AK244" s="709">
        <v>6311</v>
      </c>
      <c r="AL244" s="709">
        <v>0</v>
      </c>
      <c r="AM244" s="709">
        <v>139779</v>
      </c>
      <c r="AN244" s="709">
        <v>975</v>
      </c>
      <c r="AO244" s="709">
        <v>1535</v>
      </c>
      <c r="AP244" s="709">
        <v>657</v>
      </c>
      <c r="AQ244" s="709">
        <v>1673</v>
      </c>
      <c r="AR244" s="709">
        <v>338</v>
      </c>
      <c r="AS244" s="709">
        <v>0</v>
      </c>
    </row>
    <row r="245" spans="1:45">
      <c r="A245" s="708" t="s">
        <v>1282</v>
      </c>
      <c r="B245" s="709">
        <v>2475115</v>
      </c>
      <c r="C245" s="709">
        <v>2346383</v>
      </c>
      <c r="D245" s="709">
        <v>1766358</v>
      </c>
      <c r="E245" s="709">
        <v>580025</v>
      </c>
      <c r="F245" s="709">
        <v>1436757</v>
      </c>
      <c r="G245" s="709">
        <v>1507696</v>
      </c>
      <c r="H245" s="709">
        <v>1484777</v>
      </c>
      <c r="I245" s="709">
        <v>1444951</v>
      </c>
      <c r="J245" s="709">
        <v>1444951</v>
      </c>
      <c r="K245" s="709">
        <v>1436757</v>
      </c>
      <c r="L245" s="709">
        <v>17940</v>
      </c>
      <c r="M245" s="709">
        <v>39324</v>
      </c>
      <c r="N245" s="709">
        <v>103742</v>
      </c>
      <c r="O245" s="709">
        <v>101758</v>
      </c>
      <c r="P245" s="709">
        <v>751063</v>
      </c>
      <c r="Q245" s="709">
        <v>22919</v>
      </c>
      <c r="R245" s="709">
        <v>0</v>
      </c>
      <c r="S245" s="709">
        <v>2049</v>
      </c>
      <c r="T245" s="709">
        <v>0</v>
      </c>
      <c r="U245" s="709">
        <v>174304</v>
      </c>
      <c r="V245" s="709">
        <v>129050</v>
      </c>
      <c r="W245" s="709">
        <v>0</v>
      </c>
      <c r="X245" s="709">
        <v>25258</v>
      </c>
      <c r="Y245" s="709">
        <v>37900</v>
      </c>
      <c r="Z245" s="709">
        <v>926</v>
      </c>
      <c r="AA245" s="709">
        <v>54771</v>
      </c>
      <c r="AB245" s="709">
        <v>0</v>
      </c>
      <c r="AC245" s="709">
        <v>124805</v>
      </c>
      <c r="AD245" s="709">
        <v>56644</v>
      </c>
      <c r="AE245" s="709">
        <v>287415</v>
      </c>
      <c r="AF245" s="709">
        <v>13712</v>
      </c>
      <c r="AG245" s="709">
        <v>89408</v>
      </c>
      <c r="AH245" s="709">
        <v>8194</v>
      </c>
      <c r="AI245" s="709">
        <v>39826</v>
      </c>
      <c r="AJ245" s="709">
        <v>166264</v>
      </c>
      <c r="AK245" s="709">
        <v>174755</v>
      </c>
      <c r="AL245" s="709">
        <v>53088</v>
      </c>
      <c r="AM245" s="709">
        <v>1775088</v>
      </c>
      <c r="AN245" s="709">
        <v>8318</v>
      </c>
      <c r="AO245" s="709">
        <v>8730</v>
      </c>
      <c r="AP245" s="709">
        <v>16010</v>
      </c>
      <c r="AQ245" s="709">
        <v>10781</v>
      </c>
      <c r="AR245" s="709">
        <v>5336</v>
      </c>
      <c r="AS245" s="709">
        <v>35597</v>
      </c>
    </row>
    <row r="246" spans="1:45">
      <c r="A246" s="708" t="s">
        <v>1283</v>
      </c>
      <c r="B246" s="709">
        <v>2482854</v>
      </c>
      <c r="C246" s="709">
        <v>2354122</v>
      </c>
      <c r="D246" s="709">
        <v>1766097</v>
      </c>
      <c r="E246" s="709">
        <v>588025</v>
      </c>
      <c r="F246" s="709">
        <v>1436760</v>
      </c>
      <c r="G246" s="709">
        <v>1507699</v>
      </c>
      <c r="H246" s="709">
        <v>1484780</v>
      </c>
      <c r="I246" s="709">
        <v>1444954</v>
      </c>
      <c r="J246" s="709">
        <v>1444954</v>
      </c>
      <c r="K246" s="709">
        <v>1436760</v>
      </c>
      <c r="L246" s="709">
        <v>17940</v>
      </c>
      <c r="M246" s="709">
        <v>39324</v>
      </c>
      <c r="N246" s="709">
        <v>103742</v>
      </c>
      <c r="O246" s="709">
        <v>101494</v>
      </c>
      <c r="P246" s="709">
        <v>751063</v>
      </c>
      <c r="Q246" s="709">
        <v>22919</v>
      </c>
      <c r="R246" s="709">
        <v>0</v>
      </c>
      <c r="S246" s="709">
        <v>2049</v>
      </c>
      <c r="T246" s="709">
        <v>0</v>
      </c>
      <c r="U246" s="709">
        <v>174304</v>
      </c>
      <c r="V246" s="709">
        <v>129051</v>
      </c>
      <c r="W246" s="709">
        <v>0</v>
      </c>
      <c r="X246" s="709">
        <v>25258</v>
      </c>
      <c r="Y246" s="709">
        <v>37900</v>
      </c>
      <c r="Z246" s="709">
        <v>927</v>
      </c>
      <c r="AA246" s="709">
        <v>54771</v>
      </c>
      <c r="AB246" s="709">
        <v>0</v>
      </c>
      <c r="AC246" s="709">
        <v>124805</v>
      </c>
      <c r="AD246" s="709">
        <v>56645</v>
      </c>
      <c r="AE246" s="709">
        <v>295415</v>
      </c>
      <c r="AF246" s="709">
        <v>13712</v>
      </c>
      <c r="AG246" s="709">
        <v>89408</v>
      </c>
      <c r="AH246" s="709">
        <v>8194</v>
      </c>
      <c r="AI246" s="709">
        <v>39826</v>
      </c>
      <c r="AJ246" s="709">
        <v>166264</v>
      </c>
      <c r="AK246" s="709">
        <v>174755</v>
      </c>
      <c r="AL246" s="709">
        <v>53088</v>
      </c>
      <c r="AM246" s="709">
        <v>1774827</v>
      </c>
      <c r="AN246" s="709">
        <v>8318</v>
      </c>
      <c r="AO246" s="709">
        <v>8730</v>
      </c>
      <c r="AP246" s="709">
        <v>16010</v>
      </c>
      <c r="AQ246" s="709">
        <v>10781</v>
      </c>
      <c r="AR246" s="709">
        <v>5336</v>
      </c>
      <c r="AS246" s="709">
        <v>35597</v>
      </c>
    </row>
    <row r="247" spans="1:45">
      <c r="A247" s="708" t="s">
        <v>1284</v>
      </c>
      <c r="B247" s="709">
        <v>860007</v>
      </c>
      <c r="C247" s="709">
        <v>831110</v>
      </c>
      <c r="D247" s="709">
        <v>692856</v>
      </c>
      <c r="E247" s="709">
        <v>138254</v>
      </c>
      <c r="F247" s="709">
        <v>635559</v>
      </c>
      <c r="G247" s="709">
        <v>644082</v>
      </c>
      <c r="H247" s="709">
        <v>641584</v>
      </c>
      <c r="I247" s="709">
        <v>638151</v>
      </c>
      <c r="J247" s="709">
        <v>638151</v>
      </c>
      <c r="K247" s="709">
        <v>635559</v>
      </c>
      <c r="L247" s="709">
        <v>15580</v>
      </c>
      <c r="M247" s="709">
        <v>14030</v>
      </c>
      <c r="N247" s="709">
        <v>28952</v>
      </c>
      <c r="O247" s="709">
        <v>6631</v>
      </c>
      <c r="P247" s="709">
        <v>324655</v>
      </c>
      <c r="Q247" s="709">
        <v>2498</v>
      </c>
      <c r="R247" s="709">
        <v>0</v>
      </c>
      <c r="S247" s="709">
        <v>0</v>
      </c>
      <c r="T247" s="709">
        <v>0</v>
      </c>
      <c r="U247" s="709">
        <v>0</v>
      </c>
      <c r="V247" s="709">
        <v>119418</v>
      </c>
      <c r="W247" s="709">
        <v>0</v>
      </c>
      <c r="X247" s="709">
        <v>684</v>
      </c>
      <c r="Y247" s="709">
        <v>7221</v>
      </c>
      <c r="Z247" s="709">
        <v>149</v>
      </c>
      <c r="AA247" s="709">
        <v>15760</v>
      </c>
      <c r="AB247" s="709">
        <v>0</v>
      </c>
      <c r="AC247" s="709">
        <v>84993</v>
      </c>
      <c r="AD247" s="709">
        <v>7840</v>
      </c>
      <c r="AE247" s="709">
        <v>77114</v>
      </c>
      <c r="AF247" s="709">
        <v>13176</v>
      </c>
      <c r="AG247" s="709">
        <v>14867</v>
      </c>
      <c r="AH247" s="709">
        <v>2592</v>
      </c>
      <c r="AI247" s="709">
        <v>3433</v>
      </c>
      <c r="AJ247" s="709">
        <v>69748</v>
      </c>
      <c r="AK247" s="709">
        <v>15894</v>
      </c>
      <c r="AL247" s="709">
        <v>34772</v>
      </c>
      <c r="AM247" s="709">
        <v>693934</v>
      </c>
      <c r="AN247" s="709">
        <v>0</v>
      </c>
      <c r="AO247" s="709">
        <v>1078</v>
      </c>
      <c r="AP247" s="709">
        <v>6350</v>
      </c>
      <c r="AQ247" s="709">
        <v>2244</v>
      </c>
      <c r="AR247" s="709">
        <v>2641</v>
      </c>
      <c r="AS247" s="709">
        <v>35597</v>
      </c>
    </row>
    <row r="248" spans="1:45">
      <c r="A248" s="708" t="s">
        <v>242</v>
      </c>
      <c r="B248" s="709">
        <v>14635</v>
      </c>
      <c r="C248" s="709">
        <v>14498</v>
      </c>
      <c r="D248" s="709">
        <v>3234</v>
      </c>
      <c r="E248" s="709">
        <v>11264</v>
      </c>
      <c r="F248" s="709">
        <v>2980</v>
      </c>
      <c r="G248" s="709">
        <v>3180</v>
      </c>
      <c r="H248" s="709">
        <v>3178</v>
      </c>
      <c r="I248" s="709">
        <v>3178</v>
      </c>
      <c r="J248" s="709">
        <v>3178</v>
      </c>
      <c r="K248" s="709">
        <v>2980</v>
      </c>
      <c r="L248" s="709">
        <v>618</v>
      </c>
      <c r="M248" s="709">
        <v>0</v>
      </c>
      <c r="N248" s="709">
        <v>3070</v>
      </c>
      <c r="O248" s="709">
        <v>254</v>
      </c>
      <c r="P248" s="709">
        <v>0</v>
      </c>
      <c r="Q248" s="709">
        <v>2</v>
      </c>
      <c r="R248" s="709">
        <v>0</v>
      </c>
      <c r="S248" s="709">
        <v>0</v>
      </c>
      <c r="T248" s="709">
        <v>0</v>
      </c>
      <c r="U248" s="709">
        <v>0</v>
      </c>
      <c r="V248" s="709">
        <v>2119</v>
      </c>
      <c r="W248" s="709">
        <v>0</v>
      </c>
      <c r="X248" s="709">
        <v>4</v>
      </c>
      <c r="Y248" s="709">
        <v>0</v>
      </c>
      <c r="Z248" s="709">
        <v>0</v>
      </c>
      <c r="AA248" s="709">
        <v>1236</v>
      </c>
      <c r="AB248" s="709">
        <v>0</v>
      </c>
      <c r="AC248" s="709">
        <v>1</v>
      </c>
      <c r="AD248" s="709">
        <v>242</v>
      </c>
      <c r="AE248" s="709">
        <v>6754</v>
      </c>
      <c r="AF248" s="709">
        <v>0</v>
      </c>
      <c r="AG248" s="709">
        <v>137</v>
      </c>
      <c r="AH248" s="709">
        <v>198</v>
      </c>
      <c r="AI248" s="709">
        <v>0</v>
      </c>
      <c r="AJ248" s="709">
        <v>0</v>
      </c>
      <c r="AK248" s="709">
        <v>0</v>
      </c>
      <c r="AL248" s="709">
        <v>0</v>
      </c>
      <c r="AM248" s="709">
        <v>3273</v>
      </c>
      <c r="AN248" s="709">
        <v>0</v>
      </c>
      <c r="AO248" s="709">
        <v>39</v>
      </c>
      <c r="AP248" s="709">
        <v>0</v>
      </c>
      <c r="AQ248" s="709">
        <v>28</v>
      </c>
      <c r="AR248" s="709">
        <v>388</v>
      </c>
      <c r="AS248" s="709">
        <v>0</v>
      </c>
    </row>
    <row r="249" spans="1:45">
      <c r="A249" s="708" t="s">
        <v>1285</v>
      </c>
      <c r="B249" s="709">
        <v>7446</v>
      </c>
      <c r="C249" s="709">
        <v>7446</v>
      </c>
      <c r="D249" s="709">
        <v>1875</v>
      </c>
      <c r="E249" s="709">
        <v>5571</v>
      </c>
      <c r="F249" s="709">
        <v>1819</v>
      </c>
      <c r="G249" s="709">
        <v>1819</v>
      </c>
      <c r="H249" s="709">
        <v>1819</v>
      </c>
      <c r="I249" s="709">
        <v>1819</v>
      </c>
      <c r="J249" s="709">
        <v>1819</v>
      </c>
      <c r="K249" s="709">
        <v>1819</v>
      </c>
      <c r="L249" s="709">
        <v>0</v>
      </c>
      <c r="M249" s="709">
        <v>0</v>
      </c>
      <c r="N249" s="709">
        <v>114</v>
      </c>
      <c r="O249" s="709">
        <v>56</v>
      </c>
      <c r="P249" s="709">
        <v>0</v>
      </c>
      <c r="Q249" s="709">
        <v>0</v>
      </c>
      <c r="R249" s="709">
        <v>0</v>
      </c>
      <c r="S249" s="709">
        <v>0</v>
      </c>
      <c r="T249" s="709">
        <v>0</v>
      </c>
      <c r="U249" s="709">
        <v>0</v>
      </c>
      <c r="V249" s="709">
        <v>17</v>
      </c>
      <c r="W249" s="709">
        <v>0</v>
      </c>
      <c r="X249" s="709">
        <v>0</v>
      </c>
      <c r="Y249" s="709">
        <v>0</v>
      </c>
      <c r="Z249" s="709">
        <v>0</v>
      </c>
      <c r="AA249" s="709">
        <v>2461</v>
      </c>
      <c r="AB249" s="709">
        <v>0</v>
      </c>
      <c r="AC249" s="709">
        <v>1692</v>
      </c>
      <c r="AD249" s="709">
        <v>110</v>
      </c>
      <c r="AE249" s="709">
        <v>2996</v>
      </c>
      <c r="AF249" s="709">
        <v>0</v>
      </c>
      <c r="AG249" s="709">
        <v>0</v>
      </c>
      <c r="AH249" s="709">
        <v>0</v>
      </c>
      <c r="AI249" s="709">
        <v>0</v>
      </c>
      <c r="AJ249" s="709">
        <v>0</v>
      </c>
      <c r="AK249" s="709">
        <v>0</v>
      </c>
      <c r="AL249" s="709">
        <v>0</v>
      </c>
      <c r="AM249" s="709">
        <v>1882</v>
      </c>
      <c r="AN249" s="709">
        <v>0</v>
      </c>
      <c r="AO249" s="709">
        <v>7</v>
      </c>
      <c r="AP249" s="709">
        <v>0</v>
      </c>
      <c r="AQ249" s="709">
        <v>0</v>
      </c>
      <c r="AR249" s="709">
        <v>0</v>
      </c>
      <c r="AS249" s="709">
        <v>0</v>
      </c>
    </row>
    <row r="250" spans="1:45">
      <c r="A250" s="708" t="s">
        <v>1286</v>
      </c>
      <c r="B250" s="709">
        <v>220843</v>
      </c>
      <c r="C250" s="709">
        <v>202483</v>
      </c>
      <c r="D250" s="709">
        <v>133275</v>
      </c>
      <c r="E250" s="709">
        <v>69208</v>
      </c>
      <c r="F250" s="709">
        <v>115972</v>
      </c>
      <c r="G250" s="709">
        <v>119227</v>
      </c>
      <c r="H250" s="709">
        <v>118472</v>
      </c>
      <c r="I250" s="709">
        <v>116747</v>
      </c>
      <c r="J250" s="709">
        <v>116747</v>
      </c>
      <c r="K250" s="709">
        <v>115972</v>
      </c>
      <c r="L250" s="709">
        <v>4945</v>
      </c>
      <c r="M250" s="709">
        <v>11840</v>
      </c>
      <c r="N250" s="709">
        <v>8755</v>
      </c>
      <c r="O250" s="709">
        <v>896</v>
      </c>
      <c r="P250" s="709">
        <v>0</v>
      </c>
      <c r="Q250" s="709">
        <v>755</v>
      </c>
      <c r="R250" s="709">
        <v>0</v>
      </c>
      <c r="S250" s="709">
        <v>0</v>
      </c>
      <c r="T250" s="709">
        <v>0</v>
      </c>
      <c r="U250" s="709">
        <v>0</v>
      </c>
      <c r="V250" s="709">
        <v>46297</v>
      </c>
      <c r="W250" s="709">
        <v>0</v>
      </c>
      <c r="X250" s="709">
        <v>7</v>
      </c>
      <c r="Y250" s="709">
        <v>5081</v>
      </c>
      <c r="Z250" s="709">
        <v>65</v>
      </c>
      <c r="AA250" s="709">
        <v>7597</v>
      </c>
      <c r="AB250" s="709">
        <v>0</v>
      </c>
      <c r="AC250" s="709">
        <v>58552</v>
      </c>
      <c r="AD250" s="709">
        <v>1445</v>
      </c>
      <c r="AE250" s="709">
        <v>44513</v>
      </c>
      <c r="AF250" s="709">
        <v>4668</v>
      </c>
      <c r="AG250" s="709">
        <v>6520</v>
      </c>
      <c r="AH250" s="709">
        <v>775</v>
      </c>
      <c r="AI250" s="709">
        <v>1725</v>
      </c>
      <c r="AJ250" s="709">
        <v>0</v>
      </c>
      <c r="AK250" s="709">
        <v>0</v>
      </c>
      <c r="AL250" s="709">
        <v>16407</v>
      </c>
      <c r="AM250" s="709">
        <v>133626</v>
      </c>
      <c r="AN250" s="709">
        <v>0</v>
      </c>
      <c r="AO250" s="709">
        <v>351</v>
      </c>
      <c r="AP250" s="709">
        <v>405</v>
      </c>
      <c r="AQ250" s="709">
        <v>637</v>
      </c>
      <c r="AR250" s="709">
        <v>222</v>
      </c>
      <c r="AS250" s="709">
        <v>0</v>
      </c>
    </row>
    <row r="251" spans="1:45">
      <c r="A251" s="708" t="s">
        <v>1287</v>
      </c>
      <c r="B251" s="709">
        <v>9379</v>
      </c>
      <c r="C251" s="709">
        <v>8313</v>
      </c>
      <c r="D251" s="709">
        <v>5184</v>
      </c>
      <c r="E251" s="709">
        <v>3129</v>
      </c>
      <c r="F251" s="709">
        <v>4557</v>
      </c>
      <c r="G251" s="709">
        <v>4827</v>
      </c>
      <c r="H251" s="709">
        <v>4687</v>
      </c>
      <c r="I251" s="709">
        <v>4557</v>
      </c>
      <c r="J251" s="709">
        <v>4557</v>
      </c>
      <c r="K251" s="709">
        <v>4557</v>
      </c>
      <c r="L251" s="709">
        <v>0</v>
      </c>
      <c r="M251" s="709">
        <v>14</v>
      </c>
      <c r="N251" s="709">
        <v>1081</v>
      </c>
      <c r="O251" s="709">
        <v>627</v>
      </c>
      <c r="P251" s="709">
        <v>0</v>
      </c>
      <c r="Q251" s="709">
        <v>140</v>
      </c>
      <c r="R251" s="709">
        <v>0</v>
      </c>
      <c r="S251" s="709">
        <v>0</v>
      </c>
      <c r="T251" s="709">
        <v>0</v>
      </c>
      <c r="U251" s="709">
        <v>0</v>
      </c>
      <c r="V251" s="709">
        <v>4192</v>
      </c>
      <c r="W251" s="709">
        <v>0</v>
      </c>
      <c r="X251" s="709">
        <v>22</v>
      </c>
      <c r="Y251" s="709">
        <v>30</v>
      </c>
      <c r="Z251" s="709">
        <v>0</v>
      </c>
      <c r="AA251" s="709">
        <v>244</v>
      </c>
      <c r="AB251" s="709">
        <v>0</v>
      </c>
      <c r="AC251" s="709">
        <v>116</v>
      </c>
      <c r="AD251" s="709">
        <v>25</v>
      </c>
      <c r="AE251" s="709">
        <v>1482</v>
      </c>
      <c r="AF251" s="709">
        <v>224</v>
      </c>
      <c r="AG251" s="709">
        <v>1052</v>
      </c>
      <c r="AH251" s="709">
        <v>0</v>
      </c>
      <c r="AI251" s="709">
        <v>130</v>
      </c>
      <c r="AJ251" s="709">
        <v>0</v>
      </c>
      <c r="AK251" s="709">
        <v>0</v>
      </c>
      <c r="AL251" s="709">
        <v>0</v>
      </c>
      <c r="AM251" s="709">
        <v>5198</v>
      </c>
      <c r="AN251" s="709">
        <v>0</v>
      </c>
      <c r="AO251" s="709">
        <v>14</v>
      </c>
      <c r="AP251" s="709">
        <v>10</v>
      </c>
      <c r="AQ251" s="709">
        <v>1</v>
      </c>
      <c r="AR251" s="709">
        <v>214</v>
      </c>
      <c r="AS251" s="709">
        <v>0</v>
      </c>
    </row>
    <row r="252" spans="1:45">
      <c r="A252" s="708" t="s">
        <v>1288</v>
      </c>
      <c r="B252" s="709">
        <v>12153</v>
      </c>
      <c r="C252" s="709">
        <v>12087</v>
      </c>
      <c r="D252" s="709">
        <v>8768</v>
      </c>
      <c r="E252" s="709">
        <v>3319</v>
      </c>
      <c r="F252" s="709">
        <v>8714</v>
      </c>
      <c r="G252" s="709">
        <v>8715</v>
      </c>
      <c r="H252" s="709">
        <v>8715</v>
      </c>
      <c r="I252" s="709">
        <v>8714</v>
      </c>
      <c r="J252" s="709">
        <v>8714</v>
      </c>
      <c r="K252" s="709">
        <v>8714</v>
      </c>
      <c r="L252" s="709">
        <v>0</v>
      </c>
      <c r="M252" s="709">
        <v>59</v>
      </c>
      <c r="N252" s="709">
        <v>33</v>
      </c>
      <c r="O252" s="709">
        <v>54</v>
      </c>
      <c r="P252" s="709">
        <v>0</v>
      </c>
      <c r="Q252" s="709">
        <v>0</v>
      </c>
      <c r="R252" s="709">
        <v>0</v>
      </c>
      <c r="S252" s="709">
        <v>0</v>
      </c>
      <c r="T252" s="709">
        <v>0</v>
      </c>
      <c r="U252" s="709">
        <v>0</v>
      </c>
      <c r="V252" s="709">
        <v>470</v>
      </c>
      <c r="W252" s="709">
        <v>0</v>
      </c>
      <c r="X252" s="709">
        <v>0</v>
      </c>
      <c r="Y252" s="709">
        <v>3</v>
      </c>
      <c r="Z252" s="709">
        <v>0</v>
      </c>
      <c r="AA252" s="709">
        <v>0</v>
      </c>
      <c r="AB252" s="709">
        <v>0</v>
      </c>
      <c r="AC252" s="709">
        <v>7215</v>
      </c>
      <c r="AD252" s="709">
        <v>13</v>
      </c>
      <c r="AE252" s="709">
        <v>3282</v>
      </c>
      <c r="AF252" s="709">
        <v>1016</v>
      </c>
      <c r="AG252" s="709">
        <v>7</v>
      </c>
      <c r="AH252" s="709">
        <v>0</v>
      </c>
      <c r="AI252" s="709">
        <v>1</v>
      </c>
      <c r="AJ252" s="709">
        <v>0</v>
      </c>
      <c r="AK252" s="709">
        <v>0</v>
      </c>
      <c r="AL252" s="709">
        <v>0</v>
      </c>
      <c r="AM252" s="709">
        <v>8768</v>
      </c>
      <c r="AN252" s="709">
        <v>0</v>
      </c>
      <c r="AO252" s="709">
        <v>0</v>
      </c>
      <c r="AP252" s="709">
        <v>0</v>
      </c>
      <c r="AQ252" s="709">
        <v>0</v>
      </c>
      <c r="AR252" s="709">
        <v>1</v>
      </c>
      <c r="AS252" s="709">
        <v>0</v>
      </c>
    </row>
    <row r="253" spans="1:45">
      <c r="A253" s="708" t="s">
        <v>1289</v>
      </c>
      <c r="B253" s="709">
        <v>31362</v>
      </c>
      <c r="C253" s="709">
        <v>28418</v>
      </c>
      <c r="D253" s="709">
        <v>19629</v>
      </c>
      <c r="E253" s="709">
        <v>8789</v>
      </c>
      <c r="F253" s="709">
        <v>17945</v>
      </c>
      <c r="G253" s="709">
        <v>18441</v>
      </c>
      <c r="H253" s="709">
        <v>18180</v>
      </c>
      <c r="I253" s="709">
        <v>18108</v>
      </c>
      <c r="J253" s="709">
        <v>18108</v>
      </c>
      <c r="K253" s="709">
        <v>17945</v>
      </c>
      <c r="L253" s="709">
        <v>0</v>
      </c>
      <c r="M253" s="709">
        <v>846</v>
      </c>
      <c r="N253" s="709">
        <v>4155</v>
      </c>
      <c r="O253" s="709">
        <v>1654</v>
      </c>
      <c r="P253" s="709">
        <v>0</v>
      </c>
      <c r="Q253" s="709">
        <v>261</v>
      </c>
      <c r="R253" s="709">
        <v>0</v>
      </c>
      <c r="S253" s="709">
        <v>0</v>
      </c>
      <c r="T253" s="709">
        <v>0</v>
      </c>
      <c r="U253" s="709">
        <v>0</v>
      </c>
      <c r="V253" s="709">
        <v>8299</v>
      </c>
      <c r="W253" s="709">
        <v>0</v>
      </c>
      <c r="X253" s="709">
        <v>50</v>
      </c>
      <c r="Y253" s="709">
        <v>568</v>
      </c>
      <c r="Z253" s="709">
        <v>0</v>
      </c>
      <c r="AA253" s="709">
        <v>938</v>
      </c>
      <c r="AB253" s="709">
        <v>0</v>
      </c>
      <c r="AC253" s="709">
        <v>7387</v>
      </c>
      <c r="AD253" s="709">
        <v>634</v>
      </c>
      <c r="AE253" s="709">
        <v>2582</v>
      </c>
      <c r="AF253" s="709">
        <v>1625</v>
      </c>
      <c r="AG253" s="709">
        <v>2098</v>
      </c>
      <c r="AH253" s="709">
        <v>163</v>
      </c>
      <c r="AI253" s="709">
        <v>72</v>
      </c>
      <c r="AJ253" s="709">
        <v>0</v>
      </c>
      <c r="AK253" s="709">
        <v>0</v>
      </c>
      <c r="AL253" s="709">
        <v>30</v>
      </c>
      <c r="AM253" s="709">
        <v>20002</v>
      </c>
      <c r="AN253" s="709">
        <v>0</v>
      </c>
      <c r="AO253" s="709">
        <v>373</v>
      </c>
      <c r="AP253" s="709">
        <v>167</v>
      </c>
      <c r="AQ253" s="709">
        <v>477</v>
      </c>
      <c r="AR253" s="709">
        <v>1085</v>
      </c>
      <c r="AS253" s="709">
        <v>0</v>
      </c>
    </row>
    <row r="254" spans="1:45">
      <c r="A254" s="708" t="s">
        <v>1290</v>
      </c>
      <c r="B254" s="709">
        <v>12333</v>
      </c>
      <c r="C254" s="709">
        <v>10793</v>
      </c>
      <c r="D254" s="709">
        <v>5889</v>
      </c>
      <c r="E254" s="709">
        <v>4904</v>
      </c>
      <c r="F254" s="709">
        <v>5771</v>
      </c>
      <c r="G254" s="709">
        <v>6854</v>
      </c>
      <c r="H254" s="709">
        <v>6295</v>
      </c>
      <c r="I254" s="709">
        <v>6026</v>
      </c>
      <c r="J254" s="709">
        <v>6026</v>
      </c>
      <c r="K254" s="709">
        <v>5771</v>
      </c>
      <c r="L254" s="709">
        <v>0</v>
      </c>
      <c r="M254" s="709">
        <v>464</v>
      </c>
      <c r="N254" s="709">
        <v>1388</v>
      </c>
      <c r="O254" s="709">
        <v>118</v>
      </c>
      <c r="P254" s="709">
        <v>0</v>
      </c>
      <c r="Q254" s="709">
        <v>559</v>
      </c>
      <c r="R254" s="709">
        <v>0</v>
      </c>
      <c r="S254" s="709">
        <v>0</v>
      </c>
      <c r="T254" s="709">
        <v>0</v>
      </c>
      <c r="U254" s="709">
        <v>0</v>
      </c>
      <c r="V254" s="709">
        <v>3599</v>
      </c>
      <c r="W254" s="709">
        <v>0</v>
      </c>
      <c r="X254" s="709">
        <v>162</v>
      </c>
      <c r="Y254" s="709">
        <v>376</v>
      </c>
      <c r="Z254" s="709">
        <v>83</v>
      </c>
      <c r="AA254" s="709">
        <v>158</v>
      </c>
      <c r="AB254" s="709">
        <v>0</v>
      </c>
      <c r="AC254" s="709">
        <v>131</v>
      </c>
      <c r="AD254" s="709">
        <v>79</v>
      </c>
      <c r="AE254" s="709">
        <v>1737</v>
      </c>
      <c r="AF254" s="709">
        <v>1879</v>
      </c>
      <c r="AG254" s="709">
        <v>1076</v>
      </c>
      <c r="AH254" s="709">
        <v>255</v>
      </c>
      <c r="AI254" s="709">
        <v>269</v>
      </c>
      <c r="AJ254" s="709">
        <v>0</v>
      </c>
      <c r="AK254" s="709">
        <v>0</v>
      </c>
      <c r="AL254" s="709">
        <v>0</v>
      </c>
      <c r="AM254" s="709">
        <v>5889</v>
      </c>
      <c r="AN254" s="709">
        <v>0</v>
      </c>
      <c r="AO254" s="709">
        <v>0</v>
      </c>
      <c r="AP254" s="709">
        <v>13</v>
      </c>
      <c r="AQ254" s="709">
        <v>91</v>
      </c>
      <c r="AR254" s="709">
        <v>448</v>
      </c>
      <c r="AS254" s="709">
        <v>0</v>
      </c>
    </row>
    <row r="255" spans="1:45">
      <c r="A255" s="708" t="s">
        <v>1291</v>
      </c>
      <c r="B255" s="709">
        <v>52722</v>
      </c>
      <c r="C255" s="709">
        <v>51926</v>
      </c>
      <c r="D255" s="709">
        <v>43913</v>
      </c>
      <c r="E255" s="709">
        <v>8013</v>
      </c>
      <c r="F255" s="709">
        <v>42141</v>
      </c>
      <c r="G255" s="709">
        <v>43272</v>
      </c>
      <c r="H255" s="709">
        <v>43196</v>
      </c>
      <c r="I255" s="709">
        <v>42186</v>
      </c>
      <c r="J255" s="709">
        <v>42186</v>
      </c>
      <c r="K255" s="709">
        <v>42141</v>
      </c>
      <c r="L255" s="709">
        <v>0</v>
      </c>
      <c r="M255" s="709">
        <v>592</v>
      </c>
      <c r="N255" s="709">
        <v>1715</v>
      </c>
      <c r="O255" s="709">
        <v>495</v>
      </c>
      <c r="P255" s="709">
        <v>0</v>
      </c>
      <c r="Q255" s="709">
        <v>76</v>
      </c>
      <c r="R255" s="709">
        <v>0</v>
      </c>
      <c r="S255" s="709">
        <v>0</v>
      </c>
      <c r="T255" s="709">
        <v>0</v>
      </c>
      <c r="U255" s="709">
        <v>0</v>
      </c>
      <c r="V255" s="709">
        <v>30011</v>
      </c>
      <c r="W255" s="709">
        <v>0</v>
      </c>
      <c r="X255" s="709">
        <v>47</v>
      </c>
      <c r="Y255" s="709">
        <v>608</v>
      </c>
      <c r="Z255" s="709">
        <v>0</v>
      </c>
      <c r="AA255" s="709">
        <v>1936</v>
      </c>
      <c r="AB255" s="709">
        <v>0</v>
      </c>
      <c r="AC255" s="709">
        <v>7858</v>
      </c>
      <c r="AD255" s="709">
        <v>897</v>
      </c>
      <c r="AE255" s="709">
        <v>2576</v>
      </c>
      <c r="AF255" s="709">
        <v>3375</v>
      </c>
      <c r="AG255" s="709">
        <v>204</v>
      </c>
      <c r="AH255" s="709">
        <v>45</v>
      </c>
      <c r="AI255" s="709">
        <v>1010</v>
      </c>
      <c r="AJ255" s="709">
        <v>0</v>
      </c>
      <c r="AK255" s="709">
        <v>0</v>
      </c>
      <c r="AL255" s="709">
        <v>1277</v>
      </c>
      <c r="AM255" s="709">
        <v>43927</v>
      </c>
      <c r="AN255" s="709">
        <v>0</v>
      </c>
      <c r="AO255" s="709">
        <v>14</v>
      </c>
      <c r="AP255" s="709">
        <v>2534</v>
      </c>
      <c r="AQ255" s="709">
        <v>532</v>
      </c>
      <c r="AR255" s="709">
        <v>111</v>
      </c>
      <c r="AS255" s="709">
        <v>0</v>
      </c>
    </row>
    <row r="256" spans="1:45">
      <c r="A256" s="708" t="s">
        <v>1292</v>
      </c>
      <c r="B256" s="709">
        <v>13755</v>
      </c>
      <c r="C256" s="709">
        <v>13274</v>
      </c>
      <c r="D256" s="709">
        <v>5979</v>
      </c>
      <c r="E256" s="709">
        <v>7295</v>
      </c>
      <c r="F256" s="709">
        <v>5834</v>
      </c>
      <c r="G256" s="709">
        <v>6013</v>
      </c>
      <c r="H256" s="709">
        <v>5992</v>
      </c>
      <c r="I256" s="709">
        <v>5870</v>
      </c>
      <c r="J256" s="709">
        <v>5870</v>
      </c>
      <c r="K256" s="709">
        <v>5834</v>
      </c>
      <c r="L256" s="709">
        <v>0</v>
      </c>
      <c r="M256" s="709">
        <v>13</v>
      </c>
      <c r="N256" s="709">
        <v>2532</v>
      </c>
      <c r="O256" s="709">
        <v>145</v>
      </c>
      <c r="P256" s="709">
        <v>0</v>
      </c>
      <c r="Q256" s="709">
        <v>21</v>
      </c>
      <c r="R256" s="709">
        <v>0</v>
      </c>
      <c r="S256" s="709">
        <v>0</v>
      </c>
      <c r="T256" s="709">
        <v>0</v>
      </c>
      <c r="U256" s="709">
        <v>0</v>
      </c>
      <c r="V256" s="709">
        <v>4783</v>
      </c>
      <c r="W256" s="709">
        <v>0</v>
      </c>
      <c r="X256" s="709">
        <v>22</v>
      </c>
      <c r="Y256" s="709">
        <v>14</v>
      </c>
      <c r="Z256" s="709">
        <v>0</v>
      </c>
      <c r="AA256" s="709">
        <v>532</v>
      </c>
      <c r="AB256" s="709">
        <v>0</v>
      </c>
      <c r="AC256" s="709">
        <v>102</v>
      </c>
      <c r="AD256" s="709">
        <v>949</v>
      </c>
      <c r="AE256" s="709">
        <v>4016</v>
      </c>
      <c r="AF256" s="709">
        <v>0</v>
      </c>
      <c r="AG256" s="709">
        <v>468</v>
      </c>
      <c r="AH256" s="709">
        <v>36</v>
      </c>
      <c r="AI256" s="709">
        <v>122</v>
      </c>
      <c r="AJ256" s="709">
        <v>0</v>
      </c>
      <c r="AK256" s="709">
        <v>0</v>
      </c>
      <c r="AL256" s="709">
        <v>0</v>
      </c>
      <c r="AM256" s="709">
        <v>6071</v>
      </c>
      <c r="AN256" s="709">
        <v>0</v>
      </c>
      <c r="AO256" s="709">
        <v>92</v>
      </c>
      <c r="AP256" s="709">
        <v>0</v>
      </c>
      <c r="AQ256" s="709">
        <v>21</v>
      </c>
      <c r="AR256" s="709">
        <v>34</v>
      </c>
      <c r="AS256" s="709">
        <v>0</v>
      </c>
    </row>
    <row r="257" spans="1:45">
      <c r="A257" s="708" t="s">
        <v>1293</v>
      </c>
      <c r="B257" s="709">
        <v>15328</v>
      </c>
      <c r="C257" s="709">
        <v>14214</v>
      </c>
      <c r="D257" s="709">
        <v>3813</v>
      </c>
      <c r="E257" s="709">
        <v>10401</v>
      </c>
      <c r="F257" s="709">
        <v>2597</v>
      </c>
      <c r="G257" s="709">
        <v>3227</v>
      </c>
      <c r="H257" s="709">
        <v>2979</v>
      </c>
      <c r="I257" s="709">
        <v>2979</v>
      </c>
      <c r="J257" s="709">
        <v>2979</v>
      </c>
      <c r="K257" s="709">
        <v>2597</v>
      </c>
      <c r="L257" s="709">
        <v>0</v>
      </c>
      <c r="M257" s="709">
        <v>97</v>
      </c>
      <c r="N257" s="709">
        <v>4462</v>
      </c>
      <c r="O257" s="709">
        <v>1103</v>
      </c>
      <c r="P257" s="709">
        <v>0</v>
      </c>
      <c r="Q257" s="709">
        <v>248</v>
      </c>
      <c r="R257" s="709">
        <v>0</v>
      </c>
      <c r="S257" s="709">
        <v>0</v>
      </c>
      <c r="T257" s="709">
        <v>0</v>
      </c>
      <c r="U257" s="709">
        <v>0</v>
      </c>
      <c r="V257" s="709">
        <v>973</v>
      </c>
      <c r="W257" s="709">
        <v>0</v>
      </c>
      <c r="X257" s="709">
        <v>194</v>
      </c>
      <c r="Y257" s="709">
        <v>298</v>
      </c>
      <c r="Z257" s="709">
        <v>1</v>
      </c>
      <c r="AA257" s="709">
        <v>226</v>
      </c>
      <c r="AB257" s="709">
        <v>0</v>
      </c>
      <c r="AC257" s="709">
        <v>746</v>
      </c>
      <c r="AD257" s="709">
        <v>868</v>
      </c>
      <c r="AE257" s="709">
        <v>4591</v>
      </c>
      <c r="AF257" s="709">
        <v>9</v>
      </c>
      <c r="AG257" s="709">
        <v>1017</v>
      </c>
      <c r="AH257" s="709">
        <v>382</v>
      </c>
      <c r="AI257" s="709">
        <v>0</v>
      </c>
      <c r="AJ257" s="709">
        <v>0</v>
      </c>
      <c r="AK257" s="709">
        <v>0</v>
      </c>
      <c r="AL257" s="709">
        <v>113</v>
      </c>
      <c r="AM257" s="709">
        <v>3883</v>
      </c>
      <c r="AN257" s="709">
        <v>0</v>
      </c>
      <c r="AO257" s="709">
        <v>70</v>
      </c>
      <c r="AP257" s="709">
        <v>454</v>
      </c>
      <c r="AQ257" s="709">
        <v>166</v>
      </c>
      <c r="AR257" s="709">
        <v>61</v>
      </c>
      <c r="AS257" s="709">
        <v>0</v>
      </c>
    </row>
    <row r="258" spans="1:45">
      <c r="A258" s="708" t="s">
        <v>1294</v>
      </c>
      <c r="B258" s="709">
        <v>5616</v>
      </c>
      <c r="C258" s="709">
        <v>4846</v>
      </c>
      <c r="D258" s="709">
        <v>3752</v>
      </c>
      <c r="E258" s="709">
        <v>1094</v>
      </c>
      <c r="F258" s="709">
        <v>3540</v>
      </c>
      <c r="G258" s="709">
        <v>3804</v>
      </c>
      <c r="H258" s="709">
        <v>3729</v>
      </c>
      <c r="I258" s="709">
        <v>3729</v>
      </c>
      <c r="J258" s="709">
        <v>3729</v>
      </c>
      <c r="K258" s="709">
        <v>3540</v>
      </c>
      <c r="L258" s="709">
        <v>0</v>
      </c>
      <c r="M258" s="709">
        <v>3</v>
      </c>
      <c r="N258" s="709">
        <v>422</v>
      </c>
      <c r="O258" s="709">
        <v>212</v>
      </c>
      <c r="P258" s="709">
        <v>0</v>
      </c>
      <c r="Q258" s="709">
        <v>75</v>
      </c>
      <c r="R258" s="709">
        <v>0</v>
      </c>
      <c r="S258" s="709">
        <v>0</v>
      </c>
      <c r="T258" s="709">
        <v>0</v>
      </c>
      <c r="U258" s="709">
        <v>0</v>
      </c>
      <c r="V258" s="709">
        <v>634</v>
      </c>
      <c r="W258" s="709">
        <v>0</v>
      </c>
      <c r="X258" s="709">
        <v>101</v>
      </c>
      <c r="Y258" s="709">
        <v>81</v>
      </c>
      <c r="Z258" s="709">
        <v>0</v>
      </c>
      <c r="AA258" s="709">
        <v>40</v>
      </c>
      <c r="AB258" s="709">
        <v>0</v>
      </c>
      <c r="AC258" s="709">
        <v>682</v>
      </c>
      <c r="AD258" s="709">
        <v>1844</v>
      </c>
      <c r="AE258" s="709">
        <v>186</v>
      </c>
      <c r="AF258" s="709">
        <v>380</v>
      </c>
      <c r="AG258" s="709">
        <v>767</v>
      </c>
      <c r="AH258" s="709">
        <v>189</v>
      </c>
      <c r="AI258" s="709">
        <v>0</v>
      </c>
      <c r="AJ258" s="709">
        <v>0</v>
      </c>
      <c r="AK258" s="709">
        <v>0</v>
      </c>
      <c r="AL258" s="709">
        <v>0</v>
      </c>
      <c r="AM258" s="709">
        <v>3856</v>
      </c>
      <c r="AN258" s="709">
        <v>0</v>
      </c>
      <c r="AO258" s="709">
        <v>104</v>
      </c>
      <c r="AP258" s="709">
        <v>0</v>
      </c>
      <c r="AQ258" s="709">
        <v>0</v>
      </c>
      <c r="AR258" s="709">
        <v>27</v>
      </c>
      <c r="AS258" s="709">
        <v>0</v>
      </c>
    </row>
    <row r="259" spans="1:45">
      <c r="A259" s="708" t="s">
        <v>1295</v>
      </c>
      <c r="B259" s="709">
        <v>3352</v>
      </c>
      <c r="C259" s="709">
        <v>2683</v>
      </c>
      <c r="D259" s="709">
        <v>394</v>
      </c>
      <c r="E259" s="709">
        <v>2289</v>
      </c>
      <c r="F259" s="709">
        <v>394</v>
      </c>
      <c r="G259" s="709">
        <v>673</v>
      </c>
      <c r="H259" s="709">
        <v>593</v>
      </c>
      <c r="I259" s="709">
        <v>489</v>
      </c>
      <c r="J259" s="709">
        <v>489</v>
      </c>
      <c r="K259" s="709">
        <v>394</v>
      </c>
      <c r="L259" s="709">
        <v>0</v>
      </c>
      <c r="M259" s="709">
        <v>37</v>
      </c>
      <c r="N259" s="709">
        <v>1120</v>
      </c>
      <c r="O259" s="709">
        <v>0</v>
      </c>
      <c r="P259" s="709">
        <v>0</v>
      </c>
      <c r="Q259" s="709">
        <v>80</v>
      </c>
      <c r="R259" s="709">
        <v>0</v>
      </c>
      <c r="S259" s="709">
        <v>0</v>
      </c>
      <c r="T259" s="709">
        <v>0</v>
      </c>
      <c r="U259" s="709">
        <v>0</v>
      </c>
      <c r="V259" s="709">
        <v>4</v>
      </c>
      <c r="W259" s="709">
        <v>0</v>
      </c>
      <c r="X259" s="709">
        <v>50</v>
      </c>
      <c r="Y259" s="709">
        <v>82</v>
      </c>
      <c r="Z259" s="709">
        <v>0</v>
      </c>
      <c r="AA259" s="709">
        <v>116</v>
      </c>
      <c r="AB259" s="709">
        <v>0</v>
      </c>
      <c r="AC259" s="709">
        <v>0</v>
      </c>
      <c r="AD259" s="709">
        <v>390</v>
      </c>
      <c r="AE259" s="709">
        <v>642</v>
      </c>
      <c r="AF259" s="709">
        <v>0</v>
      </c>
      <c r="AG259" s="709">
        <v>632</v>
      </c>
      <c r="AH259" s="709">
        <v>95</v>
      </c>
      <c r="AI259" s="709">
        <v>104</v>
      </c>
      <c r="AJ259" s="709">
        <v>0</v>
      </c>
      <c r="AK259" s="709">
        <v>0</v>
      </c>
      <c r="AL259" s="709">
        <v>0</v>
      </c>
      <c r="AM259" s="709">
        <v>394</v>
      </c>
      <c r="AN259" s="709">
        <v>0</v>
      </c>
      <c r="AO259" s="709">
        <v>0</v>
      </c>
      <c r="AP259" s="709">
        <v>0</v>
      </c>
      <c r="AQ259" s="709">
        <v>0</v>
      </c>
      <c r="AR259" s="709">
        <v>8</v>
      </c>
      <c r="AS259" s="709">
        <v>0</v>
      </c>
    </row>
    <row r="260" spans="1:45">
      <c r="A260" s="708" t="s">
        <v>1296</v>
      </c>
      <c r="B260" s="709">
        <v>461083</v>
      </c>
      <c r="C260" s="709">
        <v>460129</v>
      </c>
      <c r="D260" s="709">
        <v>457151</v>
      </c>
      <c r="E260" s="709">
        <v>2978</v>
      </c>
      <c r="F260" s="709">
        <v>423295</v>
      </c>
      <c r="G260" s="709">
        <v>424030</v>
      </c>
      <c r="H260" s="709">
        <v>423749</v>
      </c>
      <c r="I260" s="709">
        <v>423749</v>
      </c>
      <c r="J260" s="709">
        <v>423749</v>
      </c>
      <c r="K260" s="709">
        <v>423295</v>
      </c>
      <c r="L260" s="709">
        <v>10017</v>
      </c>
      <c r="M260" s="709">
        <v>65</v>
      </c>
      <c r="N260" s="709">
        <v>105</v>
      </c>
      <c r="O260" s="709">
        <v>1017</v>
      </c>
      <c r="P260" s="709">
        <v>324655</v>
      </c>
      <c r="Q260" s="709">
        <v>281</v>
      </c>
      <c r="R260" s="709">
        <v>0</v>
      </c>
      <c r="S260" s="709">
        <v>0</v>
      </c>
      <c r="T260" s="709">
        <v>0</v>
      </c>
      <c r="U260" s="709">
        <v>0</v>
      </c>
      <c r="V260" s="709">
        <v>18020</v>
      </c>
      <c r="W260" s="709">
        <v>0</v>
      </c>
      <c r="X260" s="709">
        <v>25</v>
      </c>
      <c r="Y260" s="709">
        <v>80</v>
      </c>
      <c r="Z260" s="709">
        <v>0</v>
      </c>
      <c r="AA260" s="709">
        <v>276</v>
      </c>
      <c r="AB260" s="709">
        <v>0</v>
      </c>
      <c r="AC260" s="709">
        <v>511</v>
      </c>
      <c r="AD260" s="709">
        <v>344</v>
      </c>
      <c r="AE260" s="709">
        <v>1757</v>
      </c>
      <c r="AF260" s="709">
        <v>0</v>
      </c>
      <c r="AG260" s="709">
        <v>889</v>
      </c>
      <c r="AH260" s="709">
        <v>454</v>
      </c>
      <c r="AI260" s="709">
        <v>0</v>
      </c>
      <c r="AJ260" s="709">
        <v>69748</v>
      </c>
      <c r="AK260" s="709">
        <v>15894</v>
      </c>
      <c r="AL260" s="709">
        <v>16945</v>
      </c>
      <c r="AM260" s="709">
        <v>457165</v>
      </c>
      <c r="AN260" s="709">
        <v>0</v>
      </c>
      <c r="AO260" s="709">
        <v>14</v>
      </c>
      <c r="AP260" s="709">
        <v>2767</v>
      </c>
      <c r="AQ260" s="709">
        <v>291</v>
      </c>
      <c r="AR260" s="709">
        <v>42</v>
      </c>
      <c r="AS260" s="709">
        <v>35597</v>
      </c>
    </row>
    <row r="261" spans="1:45">
      <c r="A261" s="708" t="s">
        <v>1297</v>
      </c>
      <c r="B261" s="709">
        <v>1622847</v>
      </c>
      <c r="C261" s="709">
        <v>1523012</v>
      </c>
      <c r="D261" s="709">
        <v>1073241</v>
      </c>
      <c r="E261" s="709">
        <v>449771</v>
      </c>
      <c r="F261" s="709">
        <v>801201</v>
      </c>
      <c r="G261" s="709">
        <v>863617</v>
      </c>
      <c r="H261" s="709">
        <v>843196</v>
      </c>
      <c r="I261" s="709">
        <v>806803</v>
      </c>
      <c r="J261" s="709">
        <v>806803</v>
      </c>
      <c r="K261" s="709">
        <v>801201</v>
      </c>
      <c r="L261" s="709">
        <v>2360</v>
      </c>
      <c r="M261" s="709">
        <v>25294</v>
      </c>
      <c r="N261" s="709">
        <v>74790</v>
      </c>
      <c r="O261" s="709">
        <v>94863</v>
      </c>
      <c r="P261" s="709">
        <v>426408</v>
      </c>
      <c r="Q261" s="709">
        <v>20421</v>
      </c>
      <c r="R261" s="709">
        <v>0</v>
      </c>
      <c r="S261" s="709">
        <v>2049</v>
      </c>
      <c r="T261" s="709">
        <v>0</v>
      </c>
      <c r="U261" s="709">
        <v>174304</v>
      </c>
      <c r="V261" s="709">
        <v>9633</v>
      </c>
      <c r="W261" s="709">
        <v>0</v>
      </c>
      <c r="X261" s="709">
        <v>24574</v>
      </c>
      <c r="Y261" s="709">
        <v>30679</v>
      </c>
      <c r="Z261" s="709">
        <v>778</v>
      </c>
      <c r="AA261" s="709">
        <v>39011</v>
      </c>
      <c r="AB261" s="709">
        <v>0</v>
      </c>
      <c r="AC261" s="709">
        <v>39812</v>
      </c>
      <c r="AD261" s="709">
        <v>48805</v>
      </c>
      <c r="AE261" s="709">
        <v>218301</v>
      </c>
      <c r="AF261" s="709">
        <v>536</v>
      </c>
      <c r="AG261" s="709">
        <v>74541</v>
      </c>
      <c r="AH261" s="709">
        <v>5602</v>
      </c>
      <c r="AI261" s="709">
        <v>36393</v>
      </c>
      <c r="AJ261" s="709">
        <v>96516</v>
      </c>
      <c r="AK261" s="709">
        <v>158861</v>
      </c>
      <c r="AL261" s="709">
        <v>18316</v>
      </c>
      <c r="AM261" s="709">
        <v>1080893</v>
      </c>
      <c r="AN261" s="709">
        <v>8318</v>
      </c>
      <c r="AO261" s="709">
        <v>7652</v>
      </c>
      <c r="AP261" s="709">
        <v>9660</v>
      </c>
      <c r="AQ261" s="709">
        <v>8537</v>
      </c>
      <c r="AR261" s="709">
        <v>2695</v>
      </c>
      <c r="AS261" s="709">
        <v>0</v>
      </c>
    </row>
    <row r="262" spans="1:45">
      <c r="A262" s="708" t="s">
        <v>1298</v>
      </c>
      <c r="B262" s="709">
        <v>709638</v>
      </c>
      <c r="C262" s="709">
        <v>629935</v>
      </c>
      <c r="D262" s="709">
        <v>274448</v>
      </c>
      <c r="E262" s="709">
        <v>355487</v>
      </c>
      <c r="F262" s="709">
        <v>103549</v>
      </c>
      <c r="G262" s="709">
        <v>150090</v>
      </c>
      <c r="H262" s="709">
        <v>134289</v>
      </c>
      <c r="I262" s="709">
        <v>108102</v>
      </c>
      <c r="J262" s="709">
        <v>108102</v>
      </c>
      <c r="K262" s="709">
        <v>103549</v>
      </c>
      <c r="L262" s="709">
        <v>587</v>
      </c>
      <c r="M262" s="709">
        <v>18328</v>
      </c>
      <c r="N262" s="709">
        <v>48891</v>
      </c>
      <c r="O262" s="709">
        <v>63516</v>
      </c>
      <c r="P262" s="709">
        <v>0</v>
      </c>
      <c r="Q262" s="709">
        <v>15801</v>
      </c>
      <c r="R262" s="709">
        <v>0</v>
      </c>
      <c r="S262" s="709">
        <v>2049</v>
      </c>
      <c r="T262" s="709">
        <v>0</v>
      </c>
      <c r="U262" s="709">
        <v>0</v>
      </c>
      <c r="V262" s="709">
        <v>6651</v>
      </c>
      <c r="W262" s="709">
        <v>0</v>
      </c>
      <c r="X262" s="709">
        <v>18360</v>
      </c>
      <c r="Y262" s="709">
        <v>22255</v>
      </c>
      <c r="Z262" s="709">
        <v>0</v>
      </c>
      <c r="AA262" s="709">
        <v>29440</v>
      </c>
      <c r="AB262" s="709">
        <v>0</v>
      </c>
      <c r="AC262" s="709">
        <v>7155</v>
      </c>
      <c r="AD262" s="709">
        <v>26952</v>
      </c>
      <c r="AE262" s="709">
        <v>190000</v>
      </c>
      <c r="AF262" s="709">
        <v>251</v>
      </c>
      <c r="AG262" s="709">
        <v>61375</v>
      </c>
      <c r="AH262" s="709">
        <v>4553</v>
      </c>
      <c r="AI262" s="709">
        <v>26187</v>
      </c>
      <c r="AJ262" s="709">
        <v>59904</v>
      </c>
      <c r="AK262" s="709">
        <v>105209</v>
      </c>
      <c r="AL262" s="709">
        <v>2174</v>
      </c>
      <c r="AM262" s="709">
        <v>275985</v>
      </c>
      <c r="AN262" s="709">
        <v>7131</v>
      </c>
      <c r="AO262" s="709">
        <v>1537</v>
      </c>
      <c r="AP262" s="709">
        <v>5850</v>
      </c>
      <c r="AQ262" s="709">
        <v>6876</v>
      </c>
      <c r="AR262" s="709">
        <v>1806</v>
      </c>
      <c r="AS262" s="709">
        <v>0</v>
      </c>
    </row>
    <row r="263" spans="1:45">
      <c r="A263" s="708" t="s">
        <v>1299</v>
      </c>
      <c r="B263" s="709">
        <v>30</v>
      </c>
      <c r="C263" s="709">
        <v>30</v>
      </c>
      <c r="D263" s="709">
        <v>0</v>
      </c>
      <c r="E263" s="709">
        <v>30</v>
      </c>
      <c r="F263" s="709">
        <v>0</v>
      </c>
      <c r="G263" s="709">
        <v>1</v>
      </c>
      <c r="H263" s="709">
        <v>0</v>
      </c>
      <c r="I263" s="709">
        <v>0</v>
      </c>
      <c r="J263" s="709">
        <v>0</v>
      </c>
      <c r="K263" s="709">
        <v>0</v>
      </c>
      <c r="L263" s="709">
        <v>0</v>
      </c>
      <c r="M263" s="709">
        <v>0</v>
      </c>
      <c r="N263" s="709">
        <v>1</v>
      </c>
      <c r="O263" s="709">
        <v>0</v>
      </c>
      <c r="P263" s="709">
        <v>0</v>
      </c>
      <c r="Q263" s="709">
        <v>1</v>
      </c>
      <c r="R263" s="709">
        <v>0</v>
      </c>
      <c r="S263" s="709">
        <v>0</v>
      </c>
      <c r="T263" s="709">
        <v>0</v>
      </c>
      <c r="U263" s="709">
        <v>0</v>
      </c>
      <c r="V263" s="709">
        <v>0</v>
      </c>
      <c r="W263" s="709">
        <v>0</v>
      </c>
      <c r="X263" s="709">
        <v>1</v>
      </c>
      <c r="Y263" s="709">
        <v>0</v>
      </c>
      <c r="Z263" s="709">
        <v>0</v>
      </c>
      <c r="AA263" s="709">
        <v>0</v>
      </c>
      <c r="AB263" s="709">
        <v>0</v>
      </c>
      <c r="AC263" s="709">
        <v>0</v>
      </c>
      <c r="AD263" s="709">
        <v>0</v>
      </c>
      <c r="AE263" s="709">
        <v>27</v>
      </c>
      <c r="AF263" s="709">
        <v>0</v>
      </c>
      <c r="AG263" s="709">
        <v>0</v>
      </c>
      <c r="AH263" s="709">
        <v>0</v>
      </c>
      <c r="AI263" s="709">
        <v>0</v>
      </c>
      <c r="AJ263" s="709">
        <v>0</v>
      </c>
      <c r="AK263" s="709">
        <v>0</v>
      </c>
      <c r="AL263" s="709">
        <v>0</v>
      </c>
      <c r="AM263" s="709">
        <v>0</v>
      </c>
      <c r="AN263" s="709">
        <v>0</v>
      </c>
      <c r="AO263" s="709">
        <v>0</v>
      </c>
      <c r="AP263" s="709">
        <v>0</v>
      </c>
      <c r="AQ263" s="709">
        <v>0</v>
      </c>
      <c r="AR263" s="709">
        <v>0</v>
      </c>
      <c r="AS263" s="709">
        <v>0</v>
      </c>
    </row>
    <row r="264" spans="1:45">
      <c r="A264" s="708" t="s">
        <v>1300</v>
      </c>
      <c r="B264" s="709">
        <v>15303</v>
      </c>
      <c r="C264" s="709">
        <v>14178</v>
      </c>
      <c r="D264" s="709">
        <v>11922</v>
      </c>
      <c r="E264" s="709">
        <v>2256</v>
      </c>
      <c r="F264" s="709">
        <v>9637</v>
      </c>
      <c r="G264" s="709">
        <v>9912</v>
      </c>
      <c r="H264" s="709">
        <v>9816</v>
      </c>
      <c r="I264" s="709">
        <v>9637</v>
      </c>
      <c r="J264" s="709">
        <v>9637</v>
      </c>
      <c r="K264" s="709">
        <v>9637</v>
      </c>
      <c r="L264" s="709">
        <v>0</v>
      </c>
      <c r="M264" s="709">
        <v>13</v>
      </c>
      <c r="N264" s="709">
        <v>561</v>
      </c>
      <c r="O264" s="709">
        <v>1985</v>
      </c>
      <c r="P264" s="709">
        <v>0</v>
      </c>
      <c r="Q264" s="709">
        <v>96</v>
      </c>
      <c r="R264" s="709">
        <v>0</v>
      </c>
      <c r="S264" s="709">
        <v>0</v>
      </c>
      <c r="T264" s="709">
        <v>0</v>
      </c>
      <c r="U264" s="709">
        <v>0</v>
      </c>
      <c r="V264" s="709">
        <v>51</v>
      </c>
      <c r="W264" s="709">
        <v>0</v>
      </c>
      <c r="X264" s="709">
        <v>154</v>
      </c>
      <c r="Y264" s="709">
        <v>433</v>
      </c>
      <c r="Z264" s="709">
        <v>0</v>
      </c>
      <c r="AA264" s="709">
        <v>10</v>
      </c>
      <c r="AB264" s="709">
        <v>0</v>
      </c>
      <c r="AC264" s="709">
        <v>9266</v>
      </c>
      <c r="AD264" s="709">
        <v>302</v>
      </c>
      <c r="AE264" s="709">
        <v>823</v>
      </c>
      <c r="AF264" s="709">
        <v>18</v>
      </c>
      <c r="AG264" s="709">
        <v>1112</v>
      </c>
      <c r="AH264" s="709">
        <v>0</v>
      </c>
      <c r="AI264" s="709">
        <v>179</v>
      </c>
      <c r="AJ264" s="709">
        <v>0</v>
      </c>
      <c r="AK264" s="709">
        <v>300</v>
      </c>
      <c r="AL264" s="709">
        <v>0</v>
      </c>
      <c r="AM264" s="709">
        <v>11926</v>
      </c>
      <c r="AN264" s="709">
        <v>0</v>
      </c>
      <c r="AO264" s="709">
        <v>4</v>
      </c>
      <c r="AP264" s="709">
        <v>0</v>
      </c>
      <c r="AQ264" s="709">
        <v>0</v>
      </c>
      <c r="AR264" s="709">
        <v>0</v>
      </c>
      <c r="AS264" s="709">
        <v>0</v>
      </c>
    </row>
    <row r="265" spans="1:45">
      <c r="A265" s="708" t="s">
        <v>1301</v>
      </c>
      <c r="B265" s="709">
        <v>259280</v>
      </c>
      <c r="C265" s="709">
        <v>240273</v>
      </c>
      <c r="D265" s="709">
        <v>148323</v>
      </c>
      <c r="E265" s="709">
        <v>91950</v>
      </c>
      <c r="F265" s="709">
        <v>49467</v>
      </c>
      <c r="G265" s="709">
        <v>65066</v>
      </c>
      <c r="H265" s="709">
        <v>60543</v>
      </c>
      <c r="I265" s="709">
        <v>50516</v>
      </c>
      <c r="J265" s="709">
        <v>50516</v>
      </c>
      <c r="K265" s="709">
        <v>49467</v>
      </c>
      <c r="L265" s="709">
        <v>549</v>
      </c>
      <c r="M265" s="709">
        <v>6953</v>
      </c>
      <c r="N265" s="709">
        <v>25335</v>
      </c>
      <c r="O265" s="709">
        <v>29362</v>
      </c>
      <c r="P265" s="709">
        <v>0</v>
      </c>
      <c r="Q265" s="709">
        <v>4523</v>
      </c>
      <c r="R265" s="709">
        <v>0</v>
      </c>
      <c r="S265" s="709">
        <v>0</v>
      </c>
      <c r="T265" s="709">
        <v>0</v>
      </c>
      <c r="U265" s="709">
        <v>0</v>
      </c>
      <c r="V265" s="709">
        <v>2931</v>
      </c>
      <c r="W265" s="709">
        <v>0</v>
      </c>
      <c r="X265" s="709">
        <v>6013</v>
      </c>
      <c r="Y265" s="709">
        <v>7991</v>
      </c>
      <c r="Z265" s="709">
        <v>778</v>
      </c>
      <c r="AA265" s="709">
        <v>9561</v>
      </c>
      <c r="AB265" s="709">
        <v>0</v>
      </c>
      <c r="AC265" s="709">
        <v>23391</v>
      </c>
      <c r="AD265" s="709">
        <v>21551</v>
      </c>
      <c r="AE265" s="709">
        <v>27451</v>
      </c>
      <c r="AF265" s="709">
        <v>267</v>
      </c>
      <c r="AG265" s="709">
        <v>12054</v>
      </c>
      <c r="AH265" s="709">
        <v>1049</v>
      </c>
      <c r="AI265" s="709">
        <v>10027</v>
      </c>
      <c r="AJ265" s="709">
        <v>0</v>
      </c>
      <c r="AK265" s="709">
        <v>53352</v>
      </c>
      <c r="AL265" s="709">
        <v>16142</v>
      </c>
      <c r="AM265" s="709">
        <v>154434</v>
      </c>
      <c r="AN265" s="709">
        <v>537</v>
      </c>
      <c r="AO265" s="709">
        <v>6111</v>
      </c>
      <c r="AP265" s="709">
        <v>3810</v>
      </c>
      <c r="AQ265" s="709">
        <v>1661</v>
      </c>
      <c r="AR265" s="709">
        <v>889</v>
      </c>
      <c r="AS265" s="709">
        <v>0</v>
      </c>
    </row>
    <row r="266" spans="1:45">
      <c r="A266" s="708" t="s">
        <v>1302</v>
      </c>
      <c r="B266" s="709">
        <v>638596</v>
      </c>
      <c r="C266" s="709">
        <v>638596</v>
      </c>
      <c r="D266" s="709">
        <v>638548</v>
      </c>
      <c r="E266" s="709">
        <v>48</v>
      </c>
      <c r="F266" s="709">
        <v>638548</v>
      </c>
      <c r="G266" s="709">
        <v>638548</v>
      </c>
      <c r="H266" s="709">
        <v>638548</v>
      </c>
      <c r="I266" s="709">
        <v>638548</v>
      </c>
      <c r="J266" s="709">
        <v>638548</v>
      </c>
      <c r="K266" s="709">
        <v>638548</v>
      </c>
      <c r="L266" s="709">
        <v>1224</v>
      </c>
      <c r="M266" s="709">
        <v>0</v>
      </c>
      <c r="N266" s="709">
        <v>2</v>
      </c>
      <c r="O266" s="709">
        <v>0</v>
      </c>
      <c r="P266" s="709">
        <v>426408</v>
      </c>
      <c r="Q266" s="709">
        <v>0</v>
      </c>
      <c r="R266" s="709">
        <v>0</v>
      </c>
      <c r="S266" s="709">
        <v>0</v>
      </c>
      <c r="T266" s="709">
        <v>0</v>
      </c>
      <c r="U266" s="709">
        <v>174304</v>
      </c>
      <c r="V266" s="709">
        <v>0</v>
      </c>
      <c r="W266" s="709">
        <v>0</v>
      </c>
      <c r="X266" s="709">
        <v>46</v>
      </c>
      <c r="Y266" s="709">
        <v>0</v>
      </c>
      <c r="Z266" s="709">
        <v>0</v>
      </c>
      <c r="AA266" s="709">
        <v>0</v>
      </c>
      <c r="AB266" s="709">
        <v>0</v>
      </c>
      <c r="AC266" s="709">
        <v>0</v>
      </c>
      <c r="AD266" s="709">
        <v>0</v>
      </c>
      <c r="AE266" s="709">
        <v>0</v>
      </c>
      <c r="AF266" s="709">
        <v>0</v>
      </c>
      <c r="AG266" s="709">
        <v>0</v>
      </c>
      <c r="AH266" s="709">
        <v>0</v>
      </c>
      <c r="AI266" s="709">
        <v>0</v>
      </c>
      <c r="AJ266" s="709">
        <v>36612</v>
      </c>
      <c r="AK266" s="709">
        <v>0</v>
      </c>
      <c r="AL266" s="709">
        <v>0</v>
      </c>
      <c r="AM266" s="709">
        <v>638548</v>
      </c>
      <c r="AN266" s="709">
        <v>650</v>
      </c>
      <c r="AO266" s="709">
        <v>0</v>
      </c>
      <c r="AP266" s="709">
        <v>0</v>
      </c>
      <c r="AQ266" s="709">
        <v>0</v>
      </c>
      <c r="AR266" s="709">
        <v>0</v>
      </c>
      <c r="AS266" s="709">
        <v>0</v>
      </c>
    </row>
    <row r="267" spans="1:45">
      <c r="A267" s="708" t="s">
        <v>1303</v>
      </c>
      <c r="B267" s="709">
        <v>-7739</v>
      </c>
      <c r="C267" s="709">
        <v>-7739</v>
      </c>
      <c r="D267" s="709">
        <v>261</v>
      </c>
      <c r="E267" s="709">
        <v>-8000</v>
      </c>
      <c r="F267" s="709">
        <v>-3</v>
      </c>
      <c r="G267" s="709">
        <v>-3</v>
      </c>
      <c r="H267" s="709">
        <v>-3</v>
      </c>
      <c r="I267" s="709">
        <v>-3</v>
      </c>
      <c r="J267" s="709">
        <v>-3</v>
      </c>
      <c r="K267" s="709">
        <v>-3</v>
      </c>
      <c r="L267" s="709">
        <v>0</v>
      </c>
      <c r="M267" s="709">
        <v>0</v>
      </c>
      <c r="N267" s="709">
        <v>0</v>
      </c>
      <c r="O267" s="709">
        <v>264</v>
      </c>
      <c r="P267" s="709">
        <v>0</v>
      </c>
      <c r="Q267" s="709">
        <v>0</v>
      </c>
      <c r="R267" s="709">
        <v>0</v>
      </c>
      <c r="S267" s="709">
        <v>0</v>
      </c>
      <c r="T267" s="709">
        <v>0</v>
      </c>
      <c r="U267" s="709">
        <v>0</v>
      </c>
      <c r="V267" s="709">
        <v>-1</v>
      </c>
      <c r="W267" s="709">
        <v>0</v>
      </c>
      <c r="X267" s="709">
        <v>0</v>
      </c>
      <c r="Y267" s="709">
        <v>0</v>
      </c>
      <c r="Z267" s="709">
        <v>-1</v>
      </c>
      <c r="AA267" s="709">
        <v>0</v>
      </c>
      <c r="AB267" s="709">
        <v>0</v>
      </c>
      <c r="AC267" s="709">
        <v>0</v>
      </c>
      <c r="AD267" s="709">
        <v>-1</v>
      </c>
      <c r="AE267" s="709">
        <v>-8000</v>
      </c>
      <c r="AF267" s="709">
        <v>0</v>
      </c>
      <c r="AG267" s="709">
        <v>0</v>
      </c>
      <c r="AH267" s="709">
        <v>0</v>
      </c>
      <c r="AI267" s="709">
        <v>0</v>
      </c>
      <c r="AJ267" s="709">
        <v>0</v>
      </c>
      <c r="AK267" s="709">
        <v>0</v>
      </c>
      <c r="AL267" s="709">
        <v>0</v>
      </c>
      <c r="AM267" s="709">
        <v>261</v>
      </c>
      <c r="AN267" s="709">
        <v>0</v>
      </c>
      <c r="AO267" s="709">
        <v>0</v>
      </c>
      <c r="AP267" s="709">
        <v>0</v>
      </c>
      <c r="AQ267" s="709">
        <v>0</v>
      </c>
      <c r="AR267" s="709">
        <v>0</v>
      </c>
      <c r="AS267" s="709">
        <v>0</v>
      </c>
    </row>
    <row r="269" spans="1:45">
      <c r="A269" s="706" t="s">
        <v>589</v>
      </c>
    </row>
    <row r="270" spans="1:45">
      <c r="A270" s="706" t="s">
        <v>36</v>
      </c>
      <c r="B270" s="706" t="s">
        <v>590</v>
      </c>
    </row>
  </sheetData>
  <pageMargins left="0.75" right="0.75" top="1" bottom="1" header="0.5" footer="0.5"/>
  <pageSetup paperSize="9" scale="0" firstPageNumber="0" fitToWidth="0" fitToHeight="0"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AG1385"/>
  <sheetViews>
    <sheetView zoomScaleNormal="100" workbookViewId="0">
      <selection activeCell="A3" sqref="A3"/>
    </sheetView>
  </sheetViews>
  <sheetFormatPr defaultRowHeight="12.75"/>
  <cols>
    <col min="2" max="2" width="25.140625" customWidth="1"/>
    <col min="8" max="8" width="14.42578125" customWidth="1"/>
    <col min="13" max="13" width="14.42578125" customWidth="1"/>
    <col min="15" max="15" width="9.28515625" bestFit="1" customWidth="1"/>
    <col min="16" max="16" width="9.5703125" bestFit="1" customWidth="1"/>
    <col min="17" max="17" width="24" customWidth="1"/>
    <col min="18" max="18" width="24.28515625" customWidth="1"/>
  </cols>
  <sheetData>
    <row r="1" spans="1:33">
      <c r="A1" s="88" t="s">
        <v>373</v>
      </c>
      <c r="C1" s="184"/>
      <c r="D1" s="682"/>
      <c r="E1" s="682"/>
      <c r="F1" s="682"/>
      <c r="G1" s="682"/>
      <c r="H1" s="682"/>
      <c r="I1" s="682"/>
      <c r="J1" s="682"/>
      <c r="K1" s="682"/>
      <c r="L1" s="682"/>
      <c r="M1" s="682"/>
      <c r="N1" s="682"/>
      <c r="O1" s="682"/>
      <c r="P1" s="682"/>
      <c r="Q1" s="682"/>
      <c r="R1" s="682"/>
      <c r="S1" s="682"/>
      <c r="T1" s="682"/>
      <c r="U1" s="682"/>
      <c r="V1" s="682"/>
      <c r="W1" s="682"/>
      <c r="X1" s="682"/>
      <c r="Y1" s="682"/>
      <c r="Z1" s="682"/>
      <c r="AA1" s="682"/>
      <c r="AB1" s="682"/>
      <c r="AC1" s="682"/>
      <c r="AD1" s="682"/>
      <c r="AE1" s="682"/>
      <c r="AF1" s="682"/>
      <c r="AG1" s="682"/>
    </row>
    <row r="3" spans="1:33">
      <c r="D3" s="136"/>
      <c r="E3" s="136"/>
      <c r="S3" s="136" t="s">
        <v>1345</v>
      </c>
    </row>
    <row r="4" spans="1:33" s="137" customFormat="1" ht="28.5" customHeight="1">
      <c r="B4" s="138" t="s">
        <v>356</v>
      </c>
      <c r="C4" s="138" t="s">
        <v>358</v>
      </c>
      <c r="D4" s="138" t="s">
        <v>359</v>
      </c>
      <c r="E4" s="138" t="s">
        <v>371</v>
      </c>
      <c r="F4" s="138" t="s">
        <v>259</v>
      </c>
      <c r="G4" s="139" t="s">
        <v>148</v>
      </c>
      <c r="H4" s="139" t="s">
        <v>374</v>
      </c>
      <c r="I4" s="139" t="s">
        <v>202</v>
      </c>
      <c r="J4" s="138" t="s">
        <v>375</v>
      </c>
      <c r="K4" s="139" t="s">
        <v>376</v>
      </c>
      <c r="L4" s="121" t="s">
        <v>361</v>
      </c>
      <c r="M4" s="122" t="s">
        <v>362</v>
      </c>
      <c r="N4"/>
      <c r="O4"/>
      <c r="S4" s="145" t="s">
        <v>383</v>
      </c>
      <c r="T4" s="146" t="s">
        <v>356</v>
      </c>
      <c r="U4" s="146" t="s">
        <v>357</v>
      </c>
      <c r="V4" s="146" t="s">
        <v>384</v>
      </c>
      <c r="W4" s="146" t="s">
        <v>385</v>
      </c>
      <c r="X4" s="146" t="s">
        <v>386</v>
      </c>
      <c r="Y4" s="146" t="s">
        <v>387</v>
      </c>
      <c r="Z4" s="147" t="s">
        <v>388</v>
      </c>
      <c r="AA4"/>
      <c r="AB4"/>
      <c r="AC4"/>
      <c r="AD4"/>
      <c r="AE4"/>
      <c r="AF4"/>
    </row>
    <row r="5" spans="1:33" s="137" customFormat="1" ht="13.5" thickBot="1">
      <c r="B5" s="140" t="s">
        <v>363</v>
      </c>
      <c r="C5" s="141"/>
      <c r="D5" s="141"/>
      <c r="E5" s="142"/>
      <c r="F5" s="141" t="s">
        <v>201</v>
      </c>
      <c r="G5" s="142"/>
      <c r="H5" s="142"/>
      <c r="I5" s="142"/>
      <c r="J5" s="141" t="s">
        <v>377</v>
      </c>
      <c r="K5" s="143"/>
      <c r="L5" s="143"/>
      <c r="M5" s="143"/>
      <c r="N5"/>
      <c r="O5" s="677" t="s">
        <v>390</v>
      </c>
      <c r="P5" s="677" t="s">
        <v>406</v>
      </c>
      <c r="Q5" s="677" t="s">
        <v>1304</v>
      </c>
      <c r="S5" s="144" t="s">
        <v>0</v>
      </c>
      <c r="T5" s="144" t="str">
        <f>B6</f>
        <v>CHPAUTOGENSOLID00</v>
      </c>
      <c r="U5" s="144" t="s">
        <v>391</v>
      </c>
      <c r="V5" s="144" t="s">
        <v>14</v>
      </c>
      <c r="W5" s="144" t="s">
        <v>11</v>
      </c>
      <c r="X5" s="144" t="s">
        <v>389</v>
      </c>
      <c r="Y5" s="144"/>
      <c r="Z5" s="144"/>
      <c r="AA5"/>
      <c r="AB5"/>
      <c r="AC5"/>
      <c r="AD5"/>
      <c r="AE5"/>
      <c r="AF5"/>
    </row>
    <row r="6" spans="1:33">
      <c r="A6" s="64" t="s">
        <v>56</v>
      </c>
      <c r="B6" s="144" t="str">
        <f>'Autoproducers Calculations'!$C$205</f>
        <v>CHPAUTOGENSOLID00</v>
      </c>
      <c r="C6" s="151" t="s">
        <v>107</v>
      </c>
      <c r="D6" s="151"/>
      <c r="E6" s="151"/>
      <c r="F6" s="152">
        <v>31.536000000000001</v>
      </c>
      <c r="G6" s="152">
        <f>'Autoproducers Calculations'!E$209</f>
        <v>0.14908495726683887</v>
      </c>
      <c r="H6" s="152">
        <f>'Autoproducers Calculations'!E$207</f>
        <v>3.1885402014117492</v>
      </c>
      <c r="I6" s="152">
        <f>'Autoproducers Calculations'!E$206</f>
        <v>0.54587429930234022</v>
      </c>
      <c r="J6" s="151">
        <v>20</v>
      </c>
      <c r="K6" s="151">
        <v>1</v>
      </c>
      <c r="L6" s="152">
        <f>'Autoproducers Calculations'!E$208</f>
        <v>4.5020450850185467E-2</v>
      </c>
      <c r="M6" s="151">
        <v>0</v>
      </c>
      <c r="O6" s="69">
        <f>L6*F6*I6</f>
        <v>0.77501319071103025</v>
      </c>
      <c r="P6" s="69">
        <f t="shared" ref="P6" si="0">O6*H6</f>
        <v>2.4711607152065107</v>
      </c>
      <c r="Q6" s="69">
        <f>O6/G6</f>
        <v>5.1984667327896616</v>
      </c>
      <c r="S6" s="144"/>
      <c r="T6" s="144" t="str">
        <f>B15</f>
        <v>CHPAUTOGENRFG00</v>
      </c>
      <c r="U6" s="144" t="s">
        <v>392</v>
      </c>
      <c r="V6" s="144" t="s">
        <v>14</v>
      </c>
      <c r="W6" s="144" t="s">
        <v>11</v>
      </c>
      <c r="X6" s="144" t="s">
        <v>389</v>
      </c>
      <c r="Y6" s="144"/>
      <c r="Z6" s="144"/>
    </row>
    <row r="7" spans="1:33">
      <c r="C7" s="151" t="s">
        <v>108</v>
      </c>
      <c r="D7" s="151"/>
      <c r="E7" s="683">
        <f>'Eurostat Resume'!F10/'Eurostat Resume'!F9</f>
        <v>0.83858267716535428</v>
      </c>
      <c r="F7" s="152"/>
      <c r="G7" s="152"/>
      <c r="H7" s="152"/>
      <c r="I7" s="152"/>
      <c r="J7" s="151"/>
      <c r="K7" s="151"/>
      <c r="L7" s="152"/>
      <c r="M7" s="151"/>
      <c r="O7" s="69"/>
      <c r="P7" s="69"/>
      <c r="Q7" s="69"/>
      <c r="S7" s="144"/>
      <c r="T7" s="144" t="str">
        <f>B21</f>
        <v>CHPAUTOGENOIL00</v>
      </c>
      <c r="U7" s="144" t="s">
        <v>393</v>
      </c>
      <c r="V7" s="144" t="s">
        <v>14</v>
      </c>
      <c r="W7" s="144" t="s">
        <v>11</v>
      </c>
      <c r="X7" s="144" t="s">
        <v>389</v>
      </c>
      <c r="Y7" s="144"/>
      <c r="Z7" s="144"/>
    </row>
    <row r="8" spans="1:33">
      <c r="C8" s="151"/>
      <c r="D8" s="151" t="s">
        <v>105</v>
      </c>
      <c r="E8" s="151"/>
      <c r="F8" s="152"/>
      <c r="G8" s="152"/>
      <c r="H8" s="152"/>
      <c r="I8" s="152"/>
      <c r="J8" s="151"/>
      <c r="K8" s="151"/>
      <c r="L8" s="152"/>
      <c r="M8" s="151"/>
      <c r="O8" s="69"/>
      <c r="P8" s="69"/>
      <c r="Q8" s="69"/>
      <c r="S8" s="144"/>
      <c r="T8" s="144" t="str">
        <f>B29</f>
        <v>CHPAUTOGENGAS00</v>
      </c>
      <c r="U8" s="144" t="s">
        <v>394</v>
      </c>
      <c r="V8" s="144" t="s">
        <v>14</v>
      </c>
      <c r="W8" s="144" t="s">
        <v>11</v>
      </c>
      <c r="X8" s="144" t="s">
        <v>389</v>
      </c>
      <c r="Y8" s="144"/>
      <c r="Z8" s="144"/>
    </row>
    <row r="9" spans="1:33">
      <c r="C9" s="151"/>
      <c r="D9" s="151" t="s">
        <v>106</v>
      </c>
      <c r="E9" s="151"/>
      <c r="F9" s="152"/>
      <c r="G9" s="152"/>
      <c r="H9" s="152"/>
      <c r="I9" s="152"/>
      <c r="J9" s="151"/>
      <c r="K9" s="151"/>
      <c r="L9" s="152"/>
      <c r="M9" s="151"/>
      <c r="O9" s="69"/>
      <c r="P9" s="69"/>
      <c r="Q9" s="69"/>
      <c r="S9" s="144"/>
      <c r="T9" s="144" t="str">
        <f>B39</f>
        <v>CHPAUTOGENBIO00</v>
      </c>
      <c r="U9" s="144" t="s">
        <v>395</v>
      </c>
      <c r="V9" s="144" t="s">
        <v>14</v>
      </c>
      <c r="W9" s="144" t="s">
        <v>11</v>
      </c>
      <c r="X9" s="144" t="s">
        <v>389</v>
      </c>
      <c r="Y9" s="144"/>
      <c r="Z9" s="144"/>
    </row>
    <row r="10" spans="1:33">
      <c r="C10" s="151"/>
      <c r="D10" s="151" t="s">
        <v>378</v>
      </c>
      <c r="E10" s="151"/>
      <c r="F10" s="152"/>
      <c r="G10" s="152"/>
      <c r="H10" s="152"/>
      <c r="I10" s="152"/>
      <c r="J10" s="151"/>
      <c r="K10" s="151"/>
      <c r="L10" s="152"/>
      <c r="M10" s="151"/>
      <c r="O10" s="69"/>
      <c r="P10" s="69"/>
      <c r="Q10" s="69"/>
      <c r="S10" s="144"/>
      <c r="T10" s="144" t="str">
        <f>B46</f>
        <v>CHPAUTOGENWASTE00</v>
      </c>
      <c r="U10" s="144" t="s">
        <v>396</v>
      </c>
      <c r="V10" s="144" t="s">
        <v>14</v>
      </c>
      <c r="W10" s="144" t="s">
        <v>11</v>
      </c>
      <c r="X10" s="144" t="s">
        <v>389</v>
      </c>
      <c r="Y10" s="144"/>
      <c r="Z10" s="144"/>
    </row>
    <row r="11" spans="1:33">
      <c r="C11" s="151"/>
      <c r="D11" s="151" t="s">
        <v>380</v>
      </c>
      <c r="E11" s="151"/>
      <c r="F11" s="152"/>
      <c r="G11" s="152"/>
      <c r="H11" s="152"/>
      <c r="I11" s="152"/>
      <c r="J11" s="151"/>
      <c r="K11" s="151"/>
      <c r="L11" s="152"/>
      <c r="M11" s="151"/>
      <c r="O11" s="69"/>
      <c r="P11" s="69"/>
      <c r="Q11" s="69"/>
    </row>
    <row r="12" spans="1:33">
      <c r="C12" s="151"/>
      <c r="D12" s="151" t="s">
        <v>379</v>
      </c>
      <c r="E12" s="151"/>
      <c r="F12" s="152"/>
      <c r="G12" s="152"/>
      <c r="H12" s="152"/>
      <c r="I12" s="152"/>
      <c r="J12" s="151"/>
      <c r="K12" s="151"/>
      <c r="L12" s="152"/>
      <c r="M12" s="151"/>
      <c r="O12" s="69"/>
      <c r="P12" s="69"/>
      <c r="Q12" s="69"/>
    </row>
    <row r="13" spans="1:33">
      <c r="C13" s="151"/>
      <c r="D13" s="151" t="s">
        <v>381</v>
      </c>
      <c r="E13" s="151"/>
      <c r="F13" s="152"/>
      <c r="G13" s="152"/>
      <c r="H13" s="152"/>
      <c r="I13" s="152"/>
      <c r="J13" s="151"/>
      <c r="K13" s="151"/>
      <c r="L13" s="152"/>
      <c r="M13" s="151"/>
      <c r="O13" s="69"/>
      <c r="P13" s="69"/>
      <c r="Q13" s="69"/>
    </row>
    <row r="14" spans="1:33">
      <c r="C14" s="151"/>
      <c r="D14" s="151" t="s">
        <v>382</v>
      </c>
      <c r="E14" s="151"/>
      <c r="F14" s="152"/>
      <c r="G14" s="152"/>
      <c r="H14" s="152"/>
      <c r="I14" s="152"/>
      <c r="J14" s="151"/>
      <c r="K14" s="151"/>
      <c r="L14" s="152"/>
      <c r="M14" s="151"/>
      <c r="O14" s="69"/>
      <c r="P14" s="69"/>
      <c r="Q14" s="69"/>
    </row>
    <row r="15" spans="1:33">
      <c r="B15" s="144" t="str">
        <f>'Autoproducers Calculations'!$C$214</f>
        <v>CHPAUTOGENRFG00</v>
      </c>
      <c r="C15" s="151" t="s">
        <v>110</v>
      </c>
      <c r="D15" s="151"/>
      <c r="E15" s="151"/>
      <c r="F15" s="152">
        <v>31.536000000000001</v>
      </c>
      <c r="G15" s="152">
        <f>'Autoproducers Calculations'!E$209</f>
        <v>0.14908495726683887</v>
      </c>
      <c r="H15" s="152">
        <f>'Autoproducers Calculations'!E$207</f>
        <v>3.1885402014117492</v>
      </c>
      <c r="I15" s="152">
        <f>'Autoproducers Calculations'!E$206</f>
        <v>0.54587429930234022</v>
      </c>
      <c r="J15" s="151">
        <v>20</v>
      </c>
      <c r="K15" s="151">
        <v>1</v>
      </c>
      <c r="L15" s="152">
        <f>'Autoproducers Calculations'!E$217</f>
        <v>0</v>
      </c>
      <c r="M15" s="151">
        <v>0</v>
      </c>
      <c r="O15" s="69">
        <f t="shared" ref="O15" si="1">L15*F15*I15</f>
        <v>0</v>
      </c>
      <c r="P15" s="69">
        <f t="shared" ref="P15" si="2">O15*H15</f>
        <v>0</v>
      </c>
      <c r="Q15" s="69">
        <f>O15/G15</f>
        <v>0</v>
      </c>
    </row>
    <row r="16" spans="1:33">
      <c r="C16" s="151"/>
      <c r="D16" s="151" t="s">
        <v>105</v>
      </c>
      <c r="E16" s="151"/>
      <c r="F16" s="152"/>
      <c r="G16" s="152"/>
      <c r="H16" s="152"/>
      <c r="I16" s="152"/>
      <c r="J16" s="151"/>
      <c r="K16" s="151"/>
      <c r="L16" s="152"/>
      <c r="M16" s="151"/>
      <c r="O16" s="69"/>
      <c r="P16" s="69"/>
      <c r="Q16" s="69"/>
    </row>
    <row r="17" spans="2:17">
      <c r="C17" s="151"/>
      <c r="D17" s="151" t="s">
        <v>106</v>
      </c>
      <c r="E17" s="151"/>
      <c r="F17" s="152"/>
      <c r="G17" s="152"/>
      <c r="H17" s="152"/>
      <c r="I17" s="152"/>
      <c r="J17" s="151"/>
      <c r="K17" s="151"/>
      <c r="L17" s="152"/>
      <c r="M17" s="151"/>
      <c r="O17" s="69"/>
      <c r="P17" s="69"/>
      <c r="Q17" s="69"/>
    </row>
    <row r="18" spans="2:17">
      <c r="C18" s="151"/>
      <c r="D18" s="745" t="s">
        <v>1342</v>
      </c>
      <c r="E18" s="151"/>
      <c r="F18" s="152"/>
      <c r="G18" s="152"/>
      <c r="H18" s="152"/>
      <c r="I18" s="152"/>
      <c r="J18" s="151"/>
      <c r="K18" s="151"/>
      <c r="L18" s="152"/>
      <c r="M18" s="151"/>
      <c r="O18" s="69"/>
      <c r="P18" s="69"/>
      <c r="Q18" s="69"/>
    </row>
    <row r="19" spans="2:17">
      <c r="C19" s="151"/>
      <c r="D19" s="151" t="s">
        <v>380</v>
      </c>
      <c r="E19" s="151"/>
      <c r="F19" s="152"/>
      <c r="G19" s="152"/>
      <c r="H19" s="152"/>
      <c r="I19" s="152"/>
      <c r="J19" s="151"/>
      <c r="K19" s="151"/>
      <c r="L19" s="152"/>
      <c r="M19" s="151"/>
      <c r="O19" s="69"/>
      <c r="P19" s="69"/>
      <c r="Q19" s="69"/>
    </row>
    <row r="20" spans="2:17">
      <c r="C20" s="151"/>
      <c r="D20" s="151" t="s">
        <v>379</v>
      </c>
      <c r="E20" s="151"/>
      <c r="F20" s="152"/>
      <c r="G20" s="152"/>
      <c r="H20" s="152"/>
      <c r="I20" s="152"/>
      <c r="J20" s="151"/>
      <c r="K20" s="151"/>
      <c r="L20" s="152"/>
      <c r="M20" s="151"/>
      <c r="O20" s="69"/>
      <c r="P20" s="69"/>
      <c r="Q20" s="69"/>
    </row>
    <row r="21" spans="2:17">
      <c r="B21" s="144" t="str">
        <f>'Autoproducers Calculations'!$C$223</f>
        <v>CHPAUTOGENOIL00</v>
      </c>
      <c r="C21" s="151" t="s">
        <v>111</v>
      </c>
      <c r="D21" s="151"/>
      <c r="E21" s="684">
        <f>1</f>
        <v>1</v>
      </c>
      <c r="F21" s="152">
        <v>31.536000000000001</v>
      </c>
      <c r="G21" s="152">
        <f>'Autoproducers Calculations'!E$209</f>
        <v>0.14908495726683887</v>
      </c>
      <c r="H21" s="152">
        <f>'Autoproducers Calculations'!E$207</f>
        <v>3.1885402014117492</v>
      </c>
      <c r="I21" s="152">
        <f>'Autoproducers Calculations'!E$206</f>
        <v>0.54587429930234022</v>
      </c>
      <c r="J21" s="151">
        <v>20</v>
      </c>
      <c r="K21" s="151">
        <v>1</v>
      </c>
      <c r="L21" s="152">
        <f>'Autoproducers Calculations'!E$226</f>
        <v>1.2761702603202179E-2</v>
      </c>
      <c r="M21" s="151">
        <v>0</v>
      </c>
      <c r="O21" s="69">
        <f t="shared" ref="O21" si="3">L21*F21*I21</f>
        <v>0.21968877846926838</v>
      </c>
      <c r="P21" s="69">
        <f t="shared" ref="P21" si="4">O21*H21</f>
        <v>0.70048650194830209</v>
      </c>
      <c r="Q21" s="69">
        <f>O21/G21</f>
        <v>1.4735811211057306</v>
      </c>
    </row>
    <row r="22" spans="2:17">
      <c r="C22" s="151" t="s">
        <v>112</v>
      </c>
      <c r="D22" s="151"/>
      <c r="E22" s="151"/>
      <c r="F22" s="152"/>
      <c r="G22" s="152"/>
      <c r="H22" s="152"/>
      <c r="I22" s="152"/>
      <c r="J22" s="151"/>
      <c r="K22" s="151"/>
      <c r="L22" s="152"/>
      <c r="M22" s="151"/>
      <c r="O22" s="69"/>
      <c r="P22" s="69"/>
      <c r="Q22" s="69"/>
    </row>
    <row r="23" spans="2:17">
      <c r="C23" s="151"/>
      <c r="D23" s="151" t="s">
        <v>105</v>
      </c>
      <c r="E23" s="151"/>
      <c r="F23" s="152"/>
      <c r="G23" s="152"/>
      <c r="H23" s="152"/>
      <c r="I23" s="152"/>
      <c r="J23" s="151"/>
      <c r="K23" s="151"/>
      <c r="L23" s="152"/>
      <c r="M23" s="151"/>
      <c r="O23" s="69"/>
      <c r="P23" s="69"/>
      <c r="Q23" s="69"/>
    </row>
    <row r="24" spans="2:17">
      <c r="C24" s="151"/>
      <c r="D24" s="151" t="s">
        <v>106</v>
      </c>
      <c r="E24" s="151"/>
      <c r="F24" s="152"/>
      <c r="G24" s="152"/>
      <c r="H24" s="152"/>
      <c r="I24" s="152"/>
      <c r="J24" s="151"/>
      <c r="K24" s="151"/>
      <c r="L24" s="152"/>
      <c r="M24" s="151"/>
      <c r="O24" s="69"/>
      <c r="P24" s="69"/>
      <c r="Q24" s="69"/>
    </row>
    <row r="25" spans="2:17">
      <c r="C25" s="151"/>
      <c r="D25" s="151" t="s">
        <v>380</v>
      </c>
      <c r="E25" s="151"/>
      <c r="F25" s="152"/>
      <c r="G25" s="152"/>
      <c r="H25" s="152"/>
      <c r="I25" s="152"/>
      <c r="J25" s="151"/>
      <c r="K25" s="151"/>
      <c r="L25" s="152"/>
      <c r="M25" s="151"/>
      <c r="O25" s="69"/>
      <c r="P25" s="69"/>
      <c r="Q25" s="69"/>
    </row>
    <row r="26" spans="2:17">
      <c r="C26" s="151"/>
      <c r="D26" s="151" t="s">
        <v>379</v>
      </c>
      <c r="E26" s="151"/>
      <c r="F26" s="152"/>
      <c r="G26" s="152"/>
      <c r="H26" s="152"/>
      <c r="I26" s="152"/>
      <c r="J26" s="151"/>
      <c r="K26" s="151"/>
      <c r="L26" s="152"/>
      <c r="M26" s="151"/>
      <c r="O26" s="69"/>
      <c r="P26" s="69"/>
      <c r="Q26" s="69"/>
    </row>
    <row r="27" spans="2:17">
      <c r="C27" s="151"/>
      <c r="D27" s="745" t="s">
        <v>1342</v>
      </c>
      <c r="E27" s="151"/>
      <c r="F27" s="152"/>
      <c r="G27" s="152"/>
      <c r="H27" s="152"/>
      <c r="I27" s="152"/>
      <c r="J27" s="151"/>
      <c r="K27" s="151"/>
      <c r="L27" s="152"/>
      <c r="M27" s="151"/>
      <c r="O27" s="69"/>
      <c r="P27" s="69"/>
      <c r="Q27" s="69"/>
    </row>
    <row r="28" spans="2:17">
      <c r="C28" s="151"/>
      <c r="D28" s="151" t="s">
        <v>382</v>
      </c>
      <c r="E28" s="151"/>
      <c r="F28" s="152"/>
      <c r="G28" s="152"/>
      <c r="H28" s="152"/>
      <c r="I28" s="152"/>
      <c r="J28" s="151"/>
      <c r="K28" s="151"/>
      <c r="L28" s="152"/>
      <c r="M28" s="151"/>
      <c r="O28" s="69"/>
      <c r="P28" s="69"/>
      <c r="Q28" s="69"/>
    </row>
    <row r="29" spans="2:17">
      <c r="B29" s="144" t="str">
        <f>'Autoproducers Calculations'!$C$232</f>
        <v>CHPAUTOGENGAS00</v>
      </c>
      <c r="C29" s="151" t="s">
        <v>113</v>
      </c>
      <c r="D29" s="151"/>
      <c r="E29" s="151"/>
      <c r="F29" s="152">
        <v>31.536000000000001</v>
      </c>
      <c r="G29" s="152">
        <f>'Autoproducers Calculations'!E$209</f>
        <v>0.14908495726683887</v>
      </c>
      <c r="H29" s="152">
        <f>'Autoproducers Calculations'!E$207</f>
        <v>3.1885402014117492</v>
      </c>
      <c r="I29" s="152">
        <f>'Autoproducers Calculations'!E$206</f>
        <v>0.54587429930234022</v>
      </c>
      <c r="J29" s="151">
        <v>20</v>
      </c>
      <c r="K29" s="151">
        <v>1</v>
      </c>
      <c r="L29" s="152">
        <f>'Autoproducers Calculations'!E$235</f>
        <v>0.40904801760652759</v>
      </c>
      <c r="M29" s="151">
        <v>0</v>
      </c>
      <c r="O29" s="69">
        <f t="shared" ref="O29" si="5">L29*F29*I29</f>
        <v>7.04163559654691</v>
      </c>
      <c r="P29" s="69">
        <f t="shared" ref="P29" si="6">O29*H29</f>
        <v>22.452538183281828</v>
      </c>
      <c r="Q29" s="69">
        <f>O29/G29</f>
        <v>47.232368212330627</v>
      </c>
    </row>
    <row r="30" spans="2:17">
      <c r="C30" s="151"/>
      <c r="D30" s="151" t="s">
        <v>105</v>
      </c>
      <c r="E30" s="151"/>
      <c r="F30" s="152"/>
      <c r="G30" s="152"/>
      <c r="H30" s="152"/>
      <c r="I30" s="152"/>
      <c r="J30" s="151"/>
      <c r="K30" s="151"/>
      <c r="L30" s="152"/>
      <c r="M30" s="151"/>
      <c r="O30" s="69"/>
      <c r="P30" s="69"/>
      <c r="Q30" s="69"/>
    </row>
    <row r="31" spans="2:17">
      <c r="C31" s="151"/>
      <c r="D31" s="151" t="s">
        <v>106</v>
      </c>
      <c r="E31" s="151"/>
      <c r="F31" s="152"/>
      <c r="G31" s="152"/>
      <c r="H31" s="152"/>
      <c r="I31" s="152"/>
      <c r="J31" s="151"/>
      <c r="K31" s="151"/>
      <c r="L31" s="152"/>
      <c r="M31" s="151"/>
      <c r="O31" s="69"/>
      <c r="P31" s="69"/>
      <c r="Q31" s="69"/>
    </row>
    <row r="32" spans="2:17">
      <c r="C32" s="151"/>
      <c r="D32" s="151" t="s">
        <v>1342</v>
      </c>
      <c r="E32" s="151"/>
      <c r="F32" s="152"/>
      <c r="G32" s="152"/>
      <c r="H32" s="152"/>
      <c r="I32" s="152"/>
      <c r="J32" s="151"/>
      <c r="K32" s="151"/>
      <c r="L32" s="152"/>
      <c r="M32" s="151"/>
      <c r="O32" s="69"/>
      <c r="P32" s="69"/>
      <c r="Q32" s="69"/>
    </row>
    <row r="33" spans="2:17">
      <c r="C33" s="151"/>
      <c r="D33" s="151" t="s">
        <v>378</v>
      </c>
      <c r="E33" s="151"/>
      <c r="F33" s="152"/>
      <c r="G33" s="152"/>
      <c r="H33" s="152"/>
      <c r="I33" s="152"/>
      <c r="J33" s="151"/>
      <c r="K33" s="151"/>
      <c r="L33" s="152"/>
      <c r="M33" s="151"/>
      <c r="O33" s="69"/>
      <c r="P33" s="69"/>
      <c r="Q33" s="69"/>
    </row>
    <row r="34" spans="2:17">
      <c r="C34" s="151"/>
      <c r="D34" s="151" t="s">
        <v>421</v>
      </c>
      <c r="E34" s="151"/>
      <c r="F34" s="152"/>
      <c r="G34" s="152"/>
      <c r="H34" s="152"/>
      <c r="I34" s="152"/>
      <c r="J34" s="151"/>
      <c r="K34" s="151"/>
      <c r="L34" s="152"/>
      <c r="M34" s="151"/>
      <c r="O34" s="69"/>
      <c r="P34" s="69"/>
      <c r="Q34" s="69"/>
    </row>
    <row r="35" spans="2:17">
      <c r="C35" s="151"/>
      <c r="D35" s="151" t="s">
        <v>380</v>
      </c>
      <c r="E35" s="151"/>
      <c r="F35" s="152"/>
      <c r="G35" s="152"/>
      <c r="H35" s="152"/>
      <c r="I35" s="152"/>
      <c r="J35" s="151"/>
      <c r="K35" s="151"/>
      <c r="L35" s="152"/>
      <c r="M35" s="151"/>
      <c r="O35" s="69"/>
      <c r="P35" s="69"/>
      <c r="Q35" s="69"/>
    </row>
    <row r="36" spans="2:17">
      <c r="C36" s="151"/>
      <c r="D36" s="151" t="s">
        <v>379</v>
      </c>
      <c r="E36" s="151"/>
      <c r="F36" s="152"/>
      <c r="G36" s="152"/>
      <c r="H36" s="152"/>
      <c r="I36" s="152"/>
      <c r="J36" s="151"/>
      <c r="K36" s="151"/>
      <c r="L36" s="152"/>
      <c r="M36" s="151"/>
      <c r="O36" s="69"/>
      <c r="P36" s="69"/>
      <c r="Q36" s="69"/>
    </row>
    <row r="37" spans="2:17">
      <c r="C37" s="151"/>
      <c r="D37" s="151" t="s">
        <v>381</v>
      </c>
      <c r="E37" s="151"/>
      <c r="F37" s="152"/>
      <c r="G37" s="152"/>
      <c r="H37" s="152"/>
      <c r="I37" s="152"/>
      <c r="J37" s="151"/>
      <c r="K37" s="151"/>
      <c r="L37" s="152"/>
      <c r="M37" s="151"/>
      <c r="O37" s="69"/>
      <c r="P37" s="69"/>
      <c r="Q37" s="69"/>
    </row>
    <row r="38" spans="2:17">
      <c r="C38" s="151"/>
      <c r="D38" s="151" t="s">
        <v>382</v>
      </c>
      <c r="E38" s="151"/>
      <c r="F38" s="152"/>
      <c r="G38" s="152"/>
      <c r="H38" s="152"/>
      <c r="I38" s="152"/>
      <c r="J38" s="151"/>
      <c r="K38" s="151"/>
      <c r="L38" s="152"/>
      <c r="M38" s="151"/>
      <c r="O38" s="69"/>
      <c r="P38" s="69"/>
      <c r="Q38" s="69"/>
    </row>
    <row r="39" spans="2:17">
      <c r="B39" s="144" t="str">
        <f>'Autoproducers Calculations'!$C$241</f>
        <v>CHPAUTOGENBIO00</v>
      </c>
      <c r="C39" s="151" t="s">
        <v>116</v>
      </c>
      <c r="D39" s="151"/>
      <c r="E39" s="151"/>
      <c r="F39" s="152">
        <v>31.536000000000001</v>
      </c>
      <c r="G39" s="152">
        <f>'Autoproducers Calculations'!E$209</f>
        <v>0.14908495726683887</v>
      </c>
      <c r="H39" s="152">
        <f>'Autoproducers Calculations'!E$207</f>
        <v>3.1885402014117492</v>
      </c>
      <c r="I39" s="152">
        <f>'Autoproducers Calculations'!E$206</f>
        <v>0.54587429930234022</v>
      </c>
      <c r="J39" s="151">
        <v>20</v>
      </c>
      <c r="K39" s="151">
        <v>1</v>
      </c>
      <c r="L39" s="152">
        <f>'Autoproducers Calculations'!E$244</f>
        <v>0.32120496468781928</v>
      </c>
      <c r="M39" s="151">
        <v>0</v>
      </c>
      <c r="O39" s="69">
        <f t="shared" ref="O39" si="7">L39*F39*I39</f>
        <v>5.5294445047501135</v>
      </c>
      <c r="P39" s="69">
        <f t="shared" ref="P39" si="8">O39*H39</f>
        <v>17.630856094871017</v>
      </c>
      <c r="Q39" s="69">
        <f>O39/G39</f>
        <v>37.089218162052852</v>
      </c>
    </row>
    <row r="40" spans="2:17">
      <c r="C40" s="151"/>
      <c r="D40" s="151" t="s">
        <v>105</v>
      </c>
      <c r="E40" s="151"/>
      <c r="F40" s="152"/>
      <c r="G40" s="152"/>
      <c r="H40" s="152"/>
      <c r="I40" s="152"/>
      <c r="J40" s="151"/>
      <c r="K40" s="151"/>
      <c r="L40" s="152"/>
      <c r="M40" s="151"/>
      <c r="O40" s="69"/>
      <c r="P40" s="69"/>
      <c r="Q40" s="69"/>
    </row>
    <row r="41" spans="2:17">
      <c r="C41" s="151"/>
      <c r="D41" s="151" t="s">
        <v>106</v>
      </c>
      <c r="E41" s="151"/>
      <c r="F41" s="152"/>
      <c r="G41" s="152"/>
      <c r="H41" s="152"/>
      <c r="I41" s="152"/>
      <c r="J41" s="151"/>
      <c r="K41" s="151"/>
      <c r="L41" s="152"/>
      <c r="M41" s="151"/>
      <c r="O41" s="69"/>
      <c r="P41" s="69"/>
      <c r="Q41" s="69"/>
    </row>
    <row r="42" spans="2:17">
      <c r="C42" s="151"/>
      <c r="D42" s="151" t="s">
        <v>380</v>
      </c>
      <c r="E42" s="151"/>
      <c r="F42" s="152"/>
      <c r="G42" s="152"/>
      <c r="H42" s="152"/>
      <c r="I42" s="152"/>
      <c r="J42" s="151"/>
      <c r="K42" s="151"/>
      <c r="L42" s="151"/>
      <c r="M42" s="151"/>
      <c r="O42" s="69"/>
      <c r="P42" s="69"/>
      <c r="Q42" s="69"/>
    </row>
    <row r="43" spans="2:17">
      <c r="C43" s="151"/>
      <c r="D43" s="151" t="s">
        <v>379</v>
      </c>
      <c r="E43" s="151"/>
      <c r="F43" s="152"/>
      <c r="G43" s="152"/>
      <c r="H43" s="152"/>
      <c r="I43" s="152"/>
      <c r="J43" s="151"/>
      <c r="K43" s="151"/>
      <c r="L43" s="151"/>
      <c r="M43" s="151"/>
      <c r="O43" s="69"/>
      <c r="P43" s="69"/>
      <c r="Q43" s="69"/>
    </row>
    <row r="44" spans="2:17">
      <c r="C44" s="151"/>
      <c r="D44" s="151" t="s">
        <v>381</v>
      </c>
      <c r="E44" s="151"/>
      <c r="F44" s="152"/>
      <c r="G44" s="152"/>
      <c r="H44" s="152"/>
      <c r="I44" s="152"/>
      <c r="J44" s="151"/>
      <c r="K44" s="151"/>
      <c r="L44" s="151"/>
      <c r="M44" s="151"/>
      <c r="O44" s="69"/>
      <c r="P44" s="69"/>
      <c r="Q44" s="69"/>
    </row>
    <row r="45" spans="2:17">
      <c r="C45" s="151"/>
      <c r="D45" s="151" t="s">
        <v>382</v>
      </c>
      <c r="E45" s="151"/>
      <c r="F45" s="152"/>
      <c r="G45" s="152"/>
      <c r="H45" s="152"/>
      <c r="I45" s="152"/>
      <c r="J45" s="151"/>
      <c r="K45" s="151"/>
      <c r="L45" s="151"/>
      <c r="M45" s="151"/>
      <c r="O45" s="69"/>
      <c r="P45" s="69"/>
      <c r="Q45" s="69"/>
    </row>
    <row r="46" spans="2:17">
      <c r="B46" s="144" t="str">
        <f>'Autoproducers Calculations'!$C$250</f>
        <v>CHPAUTOGENWASTE00</v>
      </c>
      <c r="C46" s="151" t="s">
        <v>117</v>
      </c>
      <c r="D46" s="151"/>
      <c r="E46" s="151"/>
      <c r="F46" s="152">
        <v>31.536000000000001</v>
      </c>
      <c r="G46" s="152">
        <f>'Autoproducers Calculations'!E$209</f>
        <v>0.14908495726683887</v>
      </c>
      <c r="H46" s="152">
        <f>'Autoproducers Calculations'!E$207</f>
        <v>3.1885402014117492</v>
      </c>
      <c r="I46" s="152">
        <f>'Autoproducers Calculations'!E$206</f>
        <v>0.54587429930234022</v>
      </c>
      <c r="J46" s="151">
        <v>20</v>
      </c>
      <c r="K46" s="151">
        <v>1</v>
      </c>
      <c r="L46" s="152">
        <f>'Autoproducers Calculations'!E$253</f>
        <v>1.3293440211668936E-2</v>
      </c>
      <c r="M46" s="151">
        <v>0</v>
      </c>
      <c r="O46" s="69">
        <f t="shared" ref="O46" si="9">L46*F46*I46</f>
        <v>0.22884247757215456</v>
      </c>
      <c r="P46" s="69">
        <f t="shared" ref="P46" si="10">O46*H46</f>
        <v>0.72967343952948138</v>
      </c>
      <c r="Q46" s="69">
        <f>O46/G46</f>
        <v>1.534980334485136</v>
      </c>
    </row>
    <row r="47" spans="2:17">
      <c r="C47" s="151" t="s">
        <v>118</v>
      </c>
      <c r="D47" s="151"/>
      <c r="E47" s="151"/>
      <c r="F47" s="152"/>
      <c r="G47" s="152"/>
      <c r="H47" s="152"/>
      <c r="I47" s="152"/>
      <c r="J47" s="151"/>
      <c r="K47" s="151"/>
      <c r="L47" s="151"/>
      <c r="M47" s="151"/>
      <c r="O47" s="69"/>
      <c r="P47" s="69"/>
      <c r="Q47" s="69"/>
    </row>
    <row r="48" spans="2:17">
      <c r="C48" s="151"/>
      <c r="D48" s="151" t="s">
        <v>105</v>
      </c>
      <c r="E48" s="151"/>
      <c r="F48" s="152"/>
      <c r="G48" s="152"/>
      <c r="H48" s="152"/>
      <c r="I48" s="152"/>
      <c r="J48" s="151"/>
      <c r="K48" s="151"/>
      <c r="L48" s="151"/>
      <c r="M48" s="151"/>
      <c r="O48" s="719">
        <f>SUM(O6:O46)</f>
        <v>13.794624548049477</v>
      </c>
      <c r="P48" s="719">
        <f>SUM(P6:P46)</f>
        <v>43.984714934837143</v>
      </c>
      <c r="Q48" s="719">
        <f>SUM(Q6:Q46)</f>
        <v>92.528614562764005</v>
      </c>
    </row>
    <row r="49" spans="1:17">
      <c r="C49" s="151"/>
      <c r="D49" s="151" t="s">
        <v>106</v>
      </c>
      <c r="E49" s="151"/>
      <c r="F49" s="152"/>
      <c r="G49" s="152"/>
      <c r="H49" s="152"/>
      <c r="I49" s="152"/>
      <c r="J49" s="151"/>
      <c r="K49" s="151"/>
      <c r="L49" s="151"/>
      <c r="M49" s="151"/>
      <c r="O49" s="719"/>
      <c r="P49" s="719"/>
      <c r="Q49" s="719"/>
    </row>
    <row r="50" spans="1:17">
      <c r="C50" s="151"/>
      <c r="D50" s="151" t="s">
        <v>381</v>
      </c>
      <c r="E50" s="151"/>
      <c r="F50" s="152"/>
      <c r="G50" s="152"/>
      <c r="H50" s="152"/>
      <c r="I50" s="152"/>
      <c r="J50" s="151"/>
      <c r="K50" s="151"/>
      <c r="L50" s="151"/>
      <c r="M50" s="151"/>
    </row>
    <row r="51" spans="1:17">
      <c r="C51" s="151"/>
      <c r="D51" s="151" t="s">
        <v>382</v>
      </c>
      <c r="E51" s="151"/>
      <c r="F51" s="151"/>
      <c r="G51" s="151"/>
      <c r="H51" s="151"/>
      <c r="I51" s="151"/>
      <c r="J51" s="151"/>
      <c r="K51" s="151"/>
      <c r="L51" s="151"/>
      <c r="M51" s="151"/>
      <c r="O51" s="677" t="s">
        <v>390</v>
      </c>
      <c r="P51" s="677" t="s">
        <v>406</v>
      </c>
      <c r="Q51" s="677" t="s">
        <v>1304</v>
      </c>
    </row>
    <row r="52" spans="1:17">
      <c r="A52" s="681" t="s">
        <v>39</v>
      </c>
      <c r="B52" s="144" t="str">
        <f>'Autoproducers Calculations'!$C$205</f>
        <v>CHPAUTOGENSOLID00</v>
      </c>
      <c r="C52" s="151" t="s">
        <v>107</v>
      </c>
      <c r="D52" s="151"/>
      <c r="E52" s="151"/>
      <c r="F52" s="152">
        <v>31.536000000000001</v>
      </c>
      <c r="G52" s="152">
        <f>'Autoproducers Calculations'!F$209</f>
        <v>0.18255182769194236</v>
      </c>
      <c r="H52" s="152">
        <f>'Autoproducers Calculations'!F$207</f>
        <v>3.2267384181057097</v>
      </c>
      <c r="I52" s="152">
        <f>'Autoproducers Calculations'!F$206</f>
        <v>0.32826302520463785</v>
      </c>
      <c r="J52" s="151">
        <v>20</v>
      </c>
      <c r="K52" s="151">
        <v>1</v>
      </c>
      <c r="L52" s="152">
        <f>'Autoproducers Calculations'!F$208</f>
        <v>6.589916600281559E-2</v>
      </c>
      <c r="M52" s="151">
        <v>0</v>
      </c>
      <c r="O52" s="69">
        <f>L52*F52*I52</f>
        <v>0.68219493844748602</v>
      </c>
      <c r="P52" s="69">
        <f t="shared" ref="P52" si="11">O52*H52</f>
        <v>2.201264616525763</v>
      </c>
      <c r="Q52" s="69">
        <f>O52/G52</f>
        <v>3.736993198439488</v>
      </c>
    </row>
    <row r="53" spans="1:17">
      <c r="C53" s="151" t="s">
        <v>108</v>
      </c>
      <c r="D53" s="151"/>
      <c r="E53" s="685">
        <f>'Eurostat Resume'!G9/'Eurostat Resume'!G10</f>
        <v>1</v>
      </c>
      <c r="F53" s="152"/>
      <c r="G53" s="152"/>
      <c r="H53" s="152"/>
      <c r="I53" s="152"/>
      <c r="J53" s="151"/>
      <c r="K53" s="151"/>
      <c r="L53" s="152"/>
      <c r="M53" s="151"/>
      <c r="O53" s="69"/>
      <c r="P53" s="69"/>
      <c r="Q53" s="69"/>
    </row>
    <row r="54" spans="1:17">
      <c r="C54" s="151"/>
      <c r="D54" s="151" t="s">
        <v>105</v>
      </c>
      <c r="E54" s="151"/>
      <c r="F54" s="152"/>
      <c r="G54" s="152"/>
      <c r="H54" s="152"/>
      <c r="I54" s="152"/>
      <c r="J54" s="151"/>
      <c r="K54" s="151"/>
      <c r="L54" s="152"/>
      <c r="M54" s="151"/>
      <c r="O54" s="69"/>
      <c r="P54" s="69"/>
      <c r="Q54" s="69"/>
    </row>
    <row r="55" spans="1:17">
      <c r="C55" s="151"/>
      <c r="D55" s="151" t="s">
        <v>106</v>
      </c>
      <c r="E55" s="151"/>
      <c r="F55" s="152"/>
      <c r="G55" s="152"/>
      <c r="H55" s="152"/>
      <c r="I55" s="152"/>
      <c r="J55" s="151"/>
      <c r="K55" s="151"/>
      <c r="L55" s="152"/>
      <c r="M55" s="151"/>
      <c r="O55" s="69"/>
      <c r="P55" s="69"/>
      <c r="Q55" s="69"/>
    </row>
    <row r="56" spans="1:17">
      <c r="C56" s="151"/>
      <c r="D56" s="151" t="s">
        <v>378</v>
      </c>
      <c r="E56" s="151"/>
      <c r="F56" s="152"/>
      <c r="G56" s="152"/>
      <c r="H56" s="152"/>
      <c r="I56" s="152"/>
      <c r="J56" s="151"/>
      <c r="K56" s="151"/>
      <c r="L56" s="152"/>
      <c r="M56" s="151"/>
      <c r="O56" s="69"/>
      <c r="P56" s="69"/>
      <c r="Q56" s="69"/>
    </row>
    <row r="57" spans="1:17">
      <c r="C57" s="151"/>
      <c r="D57" s="151" t="s">
        <v>380</v>
      </c>
      <c r="E57" s="151"/>
      <c r="F57" s="152"/>
      <c r="G57" s="152"/>
      <c r="H57" s="152"/>
      <c r="I57" s="152"/>
      <c r="J57" s="151"/>
      <c r="K57" s="151"/>
      <c r="L57" s="152"/>
      <c r="M57" s="151"/>
      <c r="O57" s="69"/>
      <c r="P57" s="69"/>
      <c r="Q57" s="69"/>
    </row>
    <row r="58" spans="1:17">
      <c r="C58" s="151"/>
      <c r="D58" s="151" t="s">
        <v>379</v>
      </c>
      <c r="E58" s="151"/>
      <c r="F58" s="152"/>
      <c r="G58" s="152"/>
      <c r="H58" s="152"/>
      <c r="I58" s="152"/>
      <c r="J58" s="151"/>
      <c r="K58" s="151"/>
      <c r="L58" s="152"/>
      <c r="M58" s="151"/>
      <c r="O58" s="69"/>
      <c r="P58" s="69"/>
      <c r="Q58" s="69"/>
    </row>
    <row r="59" spans="1:17">
      <c r="C59" s="151"/>
      <c r="D59" s="151" t="s">
        <v>381</v>
      </c>
      <c r="E59" s="151"/>
      <c r="F59" s="152"/>
      <c r="G59" s="152"/>
      <c r="H59" s="152"/>
      <c r="I59" s="152"/>
      <c r="J59" s="151"/>
      <c r="K59" s="151"/>
      <c r="L59" s="152"/>
      <c r="M59" s="151"/>
      <c r="O59" s="69"/>
      <c r="P59" s="69"/>
      <c r="Q59" s="69"/>
    </row>
    <row r="60" spans="1:17">
      <c r="C60" s="151"/>
      <c r="D60" s="151" t="s">
        <v>382</v>
      </c>
      <c r="E60" s="151"/>
      <c r="F60" s="152"/>
      <c r="G60" s="152"/>
      <c r="H60" s="152"/>
      <c r="I60" s="152"/>
      <c r="J60" s="151"/>
      <c r="K60" s="151"/>
      <c r="L60" s="152"/>
      <c r="M60" s="151"/>
      <c r="O60" s="69"/>
      <c r="P60" s="69"/>
      <c r="Q60" s="69"/>
    </row>
    <row r="61" spans="1:17">
      <c r="B61" s="144" t="str">
        <f>'Autoproducers Calculations'!$C$214</f>
        <v>CHPAUTOGENRFG00</v>
      </c>
      <c r="C61" s="151" t="s">
        <v>110</v>
      </c>
      <c r="D61" s="151"/>
      <c r="E61" s="151"/>
      <c r="F61" s="152">
        <v>31.536000000000001</v>
      </c>
      <c r="G61" s="152">
        <f>'Autoproducers Calculations'!F$209</f>
        <v>0.18255182769194236</v>
      </c>
      <c r="H61" s="152">
        <f>'Autoproducers Calculations'!F$207</f>
        <v>3.2267384181057097</v>
      </c>
      <c r="I61" s="152">
        <f>'Autoproducers Calculations'!F$206</f>
        <v>0.32826302520463785</v>
      </c>
      <c r="J61" s="151">
        <v>20</v>
      </c>
      <c r="K61" s="151">
        <v>1</v>
      </c>
      <c r="L61" s="152">
        <f>'Autoproducers Calculations'!F$217</f>
        <v>0</v>
      </c>
      <c r="M61" s="151">
        <v>0</v>
      </c>
      <c r="O61" s="69">
        <f t="shared" ref="O61" si="12">L61*F61*I61</f>
        <v>0</v>
      </c>
      <c r="P61" s="69">
        <f t="shared" ref="P61" si="13">O61*H61</f>
        <v>0</v>
      </c>
      <c r="Q61" s="69">
        <f>O61/G61</f>
        <v>0</v>
      </c>
    </row>
    <row r="62" spans="1:17">
      <c r="C62" s="151"/>
      <c r="D62" s="151" t="s">
        <v>105</v>
      </c>
      <c r="E62" s="151"/>
      <c r="F62" s="152"/>
      <c r="G62" s="152"/>
      <c r="H62" s="152"/>
      <c r="I62" s="152"/>
      <c r="J62" s="151"/>
      <c r="K62" s="151"/>
      <c r="L62" s="152"/>
      <c r="M62" s="151"/>
      <c r="O62" s="69"/>
      <c r="P62" s="69"/>
      <c r="Q62" s="69"/>
    </row>
    <row r="63" spans="1:17">
      <c r="C63" s="151"/>
      <c r="D63" s="151" t="s">
        <v>106</v>
      </c>
      <c r="E63" s="151"/>
      <c r="F63" s="152"/>
      <c r="G63" s="152"/>
      <c r="H63" s="152"/>
      <c r="I63" s="152"/>
      <c r="J63" s="151"/>
      <c r="K63" s="151"/>
      <c r="L63" s="152"/>
      <c r="M63" s="151"/>
      <c r="O63" s="69"/>
      <c r="P63" s="69"/>
      <c r="Q63" s="69"/>
    </row>
    <row r="64" spans="1:17">
      <c r="C64" s="151"/>
      <c r="D64" s="151" t="s">
        <v>1342</v>
      </c>
      <c r="E64" s="151"/>
      <c r="F64" s="152"/>
      <c r="G64" s="152"/>
      <c r="H64" s="152"/>
      <c r="I64" s="152"/>
      <c r="J64" s="151"/>
      <c r="K64" s="151"/>
      <c r="L64" s="152"/>
      <c r="M64" s="151"/>
      <c r="O64" s="69"/>
      <c r="P64" s="69"/>
      <c r="Q64" s="69"/>
    </row>
    <row r="65" spans="2:17">
      <c r="C65" s="151"/>
      <c r="D65" s="151" t="s">
        <v>380</v>
      </c>
      <c r="E65" s="151"/>
      <c r="F65" s="152"/>
      <c r="G65" s="152"/>
      <c r="H65" s="152"/>
      <c r="I65" s="152"/>
      <c r="J65" s="151"/>
      <c r="K65" s="151"/>
      <c r="L65" s="152"/>
      <c r="M65" s="151"/>
      <c r="O65" s="69"/>
      <c r="P65" s="69"/>
      <c r="Q65" s="69"/>
    </row>
    <row r="66" spans="2:17">
      <c r="C66" s="151"/>
      <c r="D66" s="151" t="s">
        <v>379</v>
      </c>
      <c r="E66" s="151"/>
      <c r="F66" s="152"/>
      <c r="G66" s="152"/>
      <c r="H66" s="152"/>
      <c r="I66" s="152"/>
      <c r="J66" s="151"/>
      <c r="K66" s="151"/>
      <c r="L66" s="152"/>
      <c r="M66" s="151"/>
      <c r="O66" s="69"/>
      <c r="P66" s="69"/>
      <c r="Q66" s="69"/>
    </row>
    <row r="67" spans="2:17">
      <c r="B67" s="144" t="str">
        <f>'Autoproducers Calculations'!$C$223</f>
        <v>CHPAUTOGENOIL00</v>
      </c>
      <c r="C67" s="151" t="s">
        <v>111</v>
      </c>
      <c r="D67" s="151"/>
      <c r="E67" s="683">
        <f>'Eurostat Resume'!G13/'Eurostat Resume'!G11</f>
        <v>0.32293986636971045</v>
      </c>
      <c r="F67" s="152">
        <v>31.536000000000001</v>
      </c>
      <c r="G67" s="152">
        <f>'Autoproducers Calculations'!F$209</f>
        <v>0.18255182769194236</v>
      </c>
      <c r="H67" s="152">
        <f>'Autoproducers Calculations'!F$207</f>
        <v>3.2267384181057097</v>
      </c>
      <c r="I67" s="152">
        <f>'Autoproducers Calculations'!F$206</f>
        <v>0.32826302520463785</v>
      </c>
      <c r="J67" s="151">
        <v>20</v>
      </c>
      <c r="K67" s="151">
        <v>1</v>
      </c>
      <c r="L67" s="152">
        <f>'Autoproducers Calculations'!F$226</f>
        <v>0.13027507115141093</v>
      </c>
      <c r="M67" s="151">
        <v>0</v>
      </c>
      <c r="O67" s="69">
        <f t="shared" ref="O67" si="14">L67*F67*I67</f>
        <v>1.3486209239974523</v>
      </c>
      <c r="P67" s="69">
        <f t="shared" ref="P67" si="15">O67*H67</f>
        <v>4.3516469469237995</v>
      </c>
      <c r="Q67" s="69">
        <f>O67/G67</f>
        <v>7.387605706546311</v>
      </c>
    </row>
    <row r="68" spans="2:17">
      <c r="C68" s="151" t="s">
        <v>112</v>
      </c>
      <c r="D68" s="151"/>
      <c r="E68" s="151"/>
      <c r="F68" s="152"/>
      <c r="G68" s="152"/>
      <c r="H68" s="152"/>
      <c r="I68" s="152"/>
      <c r="J68" s="151"/>
      <c r="K68" s="151"/>
      <c r="L68" s="152"/>
      <c r="M68" s="151"/>
      <c r="O68" s="69"/>
      <c r="P68" s="69"/>
      <c r="Q68" s="69"/>
    </row>
    <row r="69" spans="2:17">
      <c r="C69" s="151"/>
      <c r="D69" s="151" t="s">
        <v>105</v>
      </c>
      <c r="E69" s="151"/>
      <c r="F69" s="152"/>
      <c r="G69" s="152"/>
      <c r="H69" s="152"/>
      <c r="I69" s="152"/>
      <c r="J69" s="151"/>
      <c r="K69" s="151"/>
      <c r="L69" s="152"/>
      <c r="M69" s="151"/>
      <c r="O69" s="69"/>
      <c r="P69" s="69"/>
      <c r="Q69" s="69"/>
    </row>
    <row r="70" spans="2:17">
      <c r="C70" s="151"/>
      <c r="D70" s="151" t="s">
        <v>106</v>
      </c>
      <c r="E70" s="151"/>
      <c r="F70" s="152"/>
      <c r="G70" s="152"/>
      <c r="H70" s="152"/>
      <c r="I70" s="152"/>
      <c r="J70" s="151"/>
      <c r="K70" s="151"/>
      <c r="L70" s="152"/>
      <c r="M70" s="151"/>
      <c r="O70" s="69"/>
      <c r="P70" s="69"/>
      <c r="Q70" s="69"/>
    </row>
    <row r="71" spans="2:17">
      <c r="C71" s="151"/>
      <c r="D71" s="151" t="s">
        <v>380</v>
      </c>
      <c r="E71" s="151"/>
      <c r="F71" s="152"/>
      <c r="G71" s="152"/>
      <c r="H71" s="152"/>
      <c r="I71" s="152"/>
      <c r="J71" s="151"/>
      <c r="K71" s="151"/>
      <c r="L71" s="152"/>
      <c r="M71" s="151"/>
      <c r="O71" s="69"/>
      <c r="P71" s="69"/>
      <c r="Q71" s="69"/>
    </row>
    <row r="72" spans="2:17">
      <c r="C72" s="151"/>
      <c r="D72" s="151" t="s">
        <v>379</v>
      </c>
      <c r="E72" s="151"/>
      <c r="F72" s="152"/>
      <c r="G72" s="152"/>
      <c r="H72" s="152"/>
      <c r="I72" s="152"/>
      <c r="J72" s="151"/>
      <c r="K72" s="151"/>
      <c r="L72" s="152"/>
      <c r="M72" s="151"/>
      <c r="O72" s="69"/>
      <c r="P72" s="69"/>
      <c r="Q72" s="69"/>
    </row>
    <row r="73" spans="2:17">
      <c r="C73" s="151"/>
      <c r="D73" s="151" t="s">
        <v>1342</v>
      </c>
      <c r="E73" s="151"/>
      <c r="F73" s="152"/>
      <c r="G73" s="152"/>
      <c r="H73" s="152"/>
      <c r="I73" s="152"/>
      <c r="J73" s="151"/>
      <c r="K73" s="151"/>
      <c r="L73" s="152"/>
      <c r="M73" s="151"/>
      <c r="O73" s="69"/>
      <c r="P73" s="69"/>
      <c r="Q73" s="69"/>
    </row>
    <row r="74" spans="2:17">
      <c r="C74" s="151"/>
      <c r="D74" s="151" t="s">
        <v>382</v>
      </c>
      <c r="E74" s="151"/>
      <c r="F74" s="152"/>
      <c r="G74" s="152"/>
      <c r="H74" s="152"/>
      <c r="I74" s="152"/>
      <c r="J74" s="151"/>
      <c r="K74" s="151"/>
      <c r="L74" s="152"/>
      <c r="M74" s="151"/>
      <c r="O74" s="69"/>
      <c r="P74" s="69"/>
      <c r="Q74" s="69"/>
    </row>
    <row r="75" spans="2:17">
      <c r="B75" s="144" t="str">
        <f>'Autoproducers Calculations'!$C$232</f>
        <v>CHPAUTOGENGAS00</v>
      </c>
      <c r="C75" s="151" t="s">
        <v>113</v>
      </c>
      <c r="D75" s="151"/>
      <c r="E75" s="151"/>
      <c r="F75" s="152">
        <v>31.536000000000001</v>
      </c>
      <c r="G75" s="152">
        <f>'Autoproducers Calculations'!F$209</f>
        <v>0.18255182769194236</v>
      </c>
      <c r="H75" s="152">
        <f>'Autoproducers Calculations'!F$207</f>
        <v>3.2267384181057097</v>
      </c>
      <c r="I75" s="152">
        <f>'Autoproducers Calculations'!F$206</f>
        <v>0.32826302520463785</v>
      </c>
      <c r="J75" s="151">
        <v>20</v>
      </c>
      <c r="K75" s="151">
        <v>1</v>
      </c>
      <c r="L75" s="152">
        <f>'Autoproducers Calculations'!F$235</f>
        <v>0.21782630215350057</v>
      </c>
      <c r="M75" s="151">
        <v>0</v>
      </c>
      <c r="O75" s="69">
        <f t="shared" ref="O75" si="16">L75*F75*I75</f>
        <v>2.2549602643454061</v>
      </c>
      <c r="P75" s="69">
        <f t="shared" ref="P75" si="17">O75*H75</f>
        <v>7.2761669162651286</v>
      </c>
      <c r="Q75" s="69">
        <f>O75/G75</f>
        <v>12.352438717571589</v>
      </c>
    </row>
    <row r="76" spans="2:17">
      <c r="C76" s="151"/>
      <c r="D76" s="151" t="s">
        <v>105</v>
      </c>
      <c r="E76" s="151"/>
      <c r="F76" s="152"/>
      <c r="G76" s="152"/>
      <c r="H76" s="152"/>
      <c r="I76" s="152"/>
      <c r="J76" s="151"/>
      <c r="K76" s="151"/>
      <c r="L76" s="152"/>
      <c r="M76" s="151"/>
      <c r="O76" s="69"/>
      <c r="P76" s="69"/>
      <c r="Q76" s="69"/>
    </row>
    <row r="77" spans="2:17">
      <c r="C77" s="151"/>
      <c r="D77" s="151" t="s">
        <v>106</v>
      </c>
      <c r="E77" s="151"/>
      <c r="F77" s="152"/>
      <c r="G77" s="152"/>
      <c r="H77" s="152"/>
      <c r="I77" s="152"/>
      <c r="J77" s="151"/>
      <c r="K77" s="151"/>
      <c r="L77" s="152"/>
      <c r="M77" s="151"/>
      <c r="O77" s="69"/>
      <c r="P77" s="69"/>
      <c r="Q77" s="69"/>
    </row>
    <row r="78" spans="2:17">
      <c r="C78" s="151"/>
      <c r="D78" s="151" t="s">
        <v>1342</v>
      </c>
      <c r="E78" s="151"/>
      <c r="F78" s="152"/>
      <c r="G78" s="152"/>
      <c r="H78" s="152"/>
      <c r="I78" s="152"/>
      <c r="J78" s="151"/>
      <c r="K78" s="151"/>
      <c r="L78" s="152"/>
      <c r="M78" s="151"/>
      <c r="O78" s="69"/>
      <c r="P78" s="69"/>
      <c r="Q78" s="69"/>
    </row>
    <row r="79" spans="2:17">
      <c r="C79" s="151"/>
      <c r="D79" s="151" t="s">
        <v>378</v>
      </c>
      <c r="E79" s="151"/>
      <c r="F79" s="152"/>
      <c r="G79" s="152"/>
      <c r="H79" s="152"/>
      <c r="I79" s="152"/>
      <c r="J79" s="151"/>
      <c r="K79" s="151"/>
      <c r="L79" s="152"/>
      <c r="M79" s="151"/>
      <c r="O79" s="69"/>
      <c r="P79" s="69"/>
      <c r="Q79" s="69"/>
    </row>
    <row r="80" spans="2:17">
      <c r="C80" s="151"/>
      <c r="D80" s="151" t="s">
        <v>421</v>
      </c>
      <c r="E80" s="151"/>
      <c r="F80" s="152"/>
      <c r="G80" s="152"/>
      <c r="H80" s="152"/>
      <c r="I80" s="152"/>
      <c r="J80" s="151"/>
      <c r="K80" s="151"/>
      <c r="L80" s="152"/>
      <c r="M80" s="151"/>
      <c r="O80" s="69"/>
      <c r="P80" s="69"/>
      <c r="Q80" s="69"/>
    </row>
    <row r="81" spans="2:17">
      <c r="C81" s="151"/>
      <c r="D81" s="151" t="s">
        <v>380</v>
      </c>
      <c r="E81" s="151"/>
      <c r="F81" s="152"/>
      <c r="G81" s="152"/>
      <c r="H81" s="152"/>
      <c r="I81" s="152"/>
      <c r="J81" s="151"/>
      <c r="K81" s="151"/>
      <c r="L81" s="152"/>
      <c r="M81" s="151"/>
      <c r="O81" s="69"/>
      <c r="P81" s="69"/>
      <c r="Q81" s="69"/>
    </row>
    <row r="82" spans="2:17">
      <c r="C82" s="151"/>
      <c r="D82" s="151" t="s">
        <v>379</v>
      </c>
      <c r="E82" s="151"/>
      <c r="F82" s="152"/>
      <c r="G82" s="152"/>
      <c r="H82" s="152"/>
      <c r="I82" s="152"/>
      <c r="J82" s="151"/>
      <c r="K82" s="151"/>
      <c r="L82" s="152"/>
      <c r="M82" s="151"/>
      <c r="O82" s="69"/>
      <c r="P82" s="69"/>
      <c r="Q82" s="69"/>
    </row>
    <row r="83" spans="2:17">
      <c r="C83" s="151"/>
      <c r="D83" s="151" t="s">
        <v>381</v>
      </c>
      <c r="E83" s="151"/>
      <c r="F83" s="152"/>
      <c r="G83" s="152"/>
      <c r="H83" s="152"/>
      <c r="I83" s="152"/>
      <c r="J83" s="151"/>
      <c r="K83" s="151"/>
      <c r="L83" s="152"/>
      <c r="M83" s="151"/>
      <c r="O83" s="69"/>
      <c r="P83" s="69"/>
      <c r="Q83" s="69"/>
    </row>
    <row r="84" spans="2:17">
      <c r="C84" s="151"/>
      <c r="D84" s="151" t="s">
        <v>382</v>
      </c>
      <c r="E84" s="151"/>
      <c r="F84" s="152"/>
      <c r="G84" s="152"/>
      <c r="H84" s="152"/>
      <c r="I84" s="152"/>
      <c r="J84" s="151"/>
      <c r="K84" s="151"/>
      <c r="L84" s="152"/>
      <c r="M84" s="151"/>
      <c r="O84" s="69"/>
      <c r="P84" s="69"/>
      <c r="Q84" s="69"/>
    </row>
    <row r="85" spans="2:17">
      <c r="B85" s="144" t="str">
        <f>'Autoproducers Calculations'!$C$241</f>
        <v>CHPAUTOGENBIO00</v>
      </c>
      <c r="C85" s="151" t="s">
        <v>116</v>
      </c>
      <c r="D85" s="151"/>
      <c r="E85" s="151"/>
      <c r="F85" s="152">
        <v>31.536000000000001</v>
      </c>
      <c r="G85" s="152">
        <f>'Autoproducers Calculations'!F$209</f>
        <v>0.18255182769194236</v>
      </c>
      <c r="H85" s="152">
        <f>'Autoproducers Calculations'!F$207</f>
        <v>3.2267384181057097</v>
      </c>
      <c r="I85" s="152">
        <f>'Autoproducers Calculations'!F$206</f>
        <v>0.32826302520463785</v>
      </c>
      <c r="J85" s="151">
        <v>20</v>
      </c>
      <c r="K85" s="151">
        <v>1</v>
      </c>
      <c r="L85" s="152">
        <f>'Autoproducers Calculations'!F$244</f>
        <v>6.1800868942651507E-2</v>
      </c>
      <c r="M85" s="151">
        <v>0</v>
      </c>
      <c r="O85" s="69">
        <f t="shared" ref="O85" si="18">L85*F85*I85</f>
        <v>0.6397689461279672</v>
      </c>
      <c r="P85" s="69">
        <f t="shared" ref="P85" si="19">O85*H85</f>
        <v>2.0643670371821137</v>
      </c>
      <c r="Q85" s="69">
        <f>O85/G85</f>
        <v>3.5045880077825475</v>
      </c>
    </row>
    <row r="86" spans="2:17">
      <c r="C86" s="151"/>
      <c r="D86" s="151" t="s">
        <v>105</v>
      </c>
      <c r="E86" s="151"/>
      <c r="F86" s="152"/>
      <c r="G86" s="152"/>
      <c r="H86" s="152"/>
      <c r="I86" s="152"/>
      <c r="J86" s="151"/>
      <c r="K86" s="151"/>
      <c r="L86" s="152"/>
      <c r="M86" s="151"/>
      <c r="O86" s="69"/>
      <c r="P86" s="69"/>
      <c r="Q86" s="69"/>
    </row>
    <row r="87" spans="2:17">
      <c r="C87" s="151"/>
      <c r="D87" s="151" t="s">
        <v>106</v>
      </c>
      <c r="E87" s="151"/>
      <c r="F87" s="152"/>
      <c r="G87" s="152"/>
      <c r="H87" s="152"/>
      <c r="I87" s="152"/>
      <c r="J87" s="151"/>
      <c r="K87" s="151"/>
      <c r="L87" s="152"/>
      <c r="M87" s="151"/>
      <c r="O87" s="69"/>
      <c r="P87" s="69"/>
      <c r="Q87" s="69"/>
    </row>
    <row r="88" spans="2:17">
      <c r="C88" s="151"/>
      <c r="D88" s="151" t="s">
        <v>380</v>
      </c>
      <c r="E88" s="151"/>
      <c r="F88" s="152"/>
      <c r="G88" s="152"/>
      <c r="H88" s="152"/>
      <c r="I88" s="152"/>
      <c r="J88" s="151"/>
      <c r="K88" s="151"/>
      <c r="L88" s="151"/>
      <c r="M88" s="151"/>
      <c r="O88" s="69"/>
      <c r="P88" s="69"/>
      <c r="Q88" s="69"/>
    </row>
    <row r="89" spans="2:17">
      <c r="C89" s="151"/>
      <c r="D89" s="151" t="s">
        <v>379</v>
      </c>
      <c r="E89" s="151"/>
      <c r="F89" s="152"/>
      <c r="G89" s="152"/>
      <c r="H89" s="152"/>
      <c r="I89" s="152"/>
      <c r="J89" s="151"/>
      <c r="K89" s="151"/>
      <c r="L89" s="151"/>
      <c r="M89" s="151"/>
      <c r="O89" s="69"/>
      <c r="P89" s="69"/>
      <c r="Q89" s="69"/>
    </row>
    <row r="90" spans="2:17">
      <c r="C90" s="151"/>
      <c r="D90" s="151" t="s">
        <v>381</v>
      </c>
      <c r="E90" s="151"/>
      <c r="F90" s="152"/>
      <c r="G90" s="152"/>
      <c r="H90" s="152"/>
      <c r="I90" s="152"/>
      <c r="J90" s="151"/>
      <c r="K90" s="151"/>
      <c r="L90" s="151"/>
      <c r="M90" s="151"/>
      <c r="O90" s="69"/>
      <c r="P90" s="69"/>
      <c r="Q90" s="69"/>
    </row>
    <row r="91" spans="2:17">
      <c r="C91" s="151"/>
      <c r="D91" s="151" t="s">
        <v>382</v>
      </c>
      <c r="E91" s="151"/>
      <c r="F91" s="152"/>
      <c r="G91" s="152"/>
      <c r="H91" s="152"/>
      <c r="I91" s="152"/>
      <c r="J91" s="151"/>
      <c r="K91" s="151"/>
      <c r="L91" s="151"/>
      <c r="M91" s="151"/>
      <c r="O91" s="69"/>
      <c r="P91" s="69"/>
      <c r="Q91" s="69"/>
    </row>
    <row r="92" spans="2:17">
      <c r="B92" s="144" t="str">
        <f>'Autoproducers Calculations'!$C$250</f>
        <v>CHPAUTOGENWASTE00</v>
      </c>
      <c r="C92" s="151" t="s">
        <v>117</v>
      </c>
      <c r="D92" s="151"/>
      <c r="E92" s="151"/>
      <c r="F92" s="152">
        <v>31.536000000000001</v>
      </c>
      <c r="G92" s="152">
        <f>'Autoproducers Calculations'!F$209</f>
        <v>0.18255182769194236</v>
      </c>
      <c r="H92" s="152">
        <f>'Autoproducers Calculations'!F$207</f>
        <v>3.2267384181057097</v>
      </c>
      <c r="I92" s="152">
        <f>'Autoproducers Calculations'!F$206</f>
        <v>0.32826302520463785</v>
      </c>
      <c r="J92" s="151">
        <v>20</v>
      </c>
      <c r="K92" s="151">
        <v>1</v>
      </c>
      <c r="L92" s="152">
        <f>'Autoproducers Calculations'!F$253</f>
        <v>1.3564275225675859E-2</v>
      </c>
      <c r="M92" s="151">
        <v>0</v>
      </c>
      <c r="O92" s="69">
        <f t="shared" ref="O92" si="20">L92*F92*I92</f>
        <v>0.14041877103982378</v>
      </c>
      <c r="P92" s="69">
        <f t="shared" ref="P92" si="21">O92*H92</f>
        <v>0.45309464313738884</v>
      </c>
      <c r="Q92" s="69">
        <f>O92/G92</f>
        <v>0.76919948058138077</v>
      </c>
    </row>
    <row r="93" spans="2:17">
      <c r="C93" s="151" t="s">
        <v>118</v>
      </c>
      <c r="D93" s="151"/>
      <c r="E93" s="151"/>
      <c r="F93" s="152"/>
      <c r="G93" s="152"/>
      <c r="H93" s="152"/>
      <c r="I93" s="152"/>
      <c r="J93" s="151"/>
      <c r="K93" s="151"/>
      <c r="L93" s="151"/>
      <c r="M93" s="151"/>
      <c r="O93" s="69"/>
      <c r="P93" s="69"/>
      <c r="Q93" s="69"/>
    </row>
    <row r="94" spans="2:17">
      <c r="C94" s="151"/>
      <c r="D94" s="151" t="s">
        <v>105</v>
      </c>
      <c r="E94" s="151"/>
      <c r="F94" s="152"/>
      <c r="G94" s="152"/>
      <c r="H94" s="152"/>
      <c r="I94" s="152"/>
      <c r="J94" s="151"/>
      <c r="K94" s="151"/>
      <c r="L94" s="151"/>
      <c r="M94" s="151"/>
      <c r="O94" s="719">
        <f>SUM(O52:O92)</f>
        <v>5.0659638439581345</v>
      </c>
      <c r="P94" s="719">
        <f>SUM(P52:P92)</f>
        <v>16.346540160034195</v>
      </c>
      <c r="Q94" s="719">
        <f>SUM(Q52:Q92)</f>
        <v>27.750825110921319</v>
      </c>
    </row>
    <row r="95" spans="2:17">
      <c r="C95" s="151"/>
      <c r="D95" s="151" t="s">
        <v>106</v>
      </c>
      <c r="E95" s="151"/>
      <c r="F95" s="152"/>
      <c r="G95" s="152"/>
      <c r="H95" s="152"/>
      <c r="I95" s="152"/>
      <c r="J95" s="151"/>
      <c r="K95" s="151"/>
      <c r="L95" s="151"/>
      <c r="M95" s="151"/>
    </row>
    <row r="96" spans="2:17">
      <c r="C96" s="151"/>
      <c r="D96" s="151" t="s">
        <v>381</v>
      </c>
      <c r="E96" s="151"/>
      <c r="F96" s="152"/>
      <c r="G96" s="152"/>
      <c r="H96" s="152"/>
      <c r="I96" s="152"/>
      <c r="J96" s="151"/>
      <c r="K96" s="151"/>
      <c r="L96" s="151"/>
      <c r="M96" s="151"/>
    </row>
    <row r="97" spans="1:17">
      <c r="C97" s="151"/>
      <c r="D97" s="151" t="s">
        <v>382</v>
      </c>
      <c r="E97" s="151"/>
      <c r="F97" s="151"/>
      <c r="G97" s="151"/>
      <c r="H97" s="151"/>
      <c r="I97" s="151"/>
      <c r="J97" s="151"/>
      <c r="K97" s="151"/>
      <c r="L97" s="151"/>
      <c r="M97" s="151"/>
      <c r="O97" s="677" t="s">
        <v>390</v>
      </c>
      <c r="P97" s="677" t="s">
        <v>406</v>
      </c>
      <c r="Q97" s="677" t="s">
        <v>1304</v>
      </c>
    </row>
    <row r="98" spans="1:17">
      <c r="A98" s="681" t="s">
        <v>40</v>
      </c>
      <c r="B98" s="144" t="str">
        <f>'Autoproducers Calculations'!$C$205</f>
        <v>CHPAUTOGENSOLID00</v>
      </c>
      <c r="C98" s="151" t="s">
        <v>107</v>
      </c>
      <c r="D98" s="151"/>
      <c r="E98" s="151"/>
      <c r="F98" s="152">
        <v>31.536000000000001</v>
      </c>
      <c r="G98" s="152">
        <f>'Autoproducers Calculations'!G$209</f>
        <v>0.16074234553677902</v>
      </c>
      <c r="H98" s="152">
        <f>'Autoproducers Calculations'!G$207</f>
        <v>3.0419714175053745</v>
      </c>
      <c r="I98" s="152">
        <f>'Autoproducers Calculations'!G$206</f>
        <v>0.70115343743877068</v>
      </c>
      <c r="J98" s="151">
        <v>20</v>
      </c>
      <c r="K98" s="151">
        <v>1</v>
      </c>
      <c r="L98" s="152">
        <f>'Autoproducers Calculations'!G$208</f>
        <v>8.3150745881017993E-2</v>
      </c>
      <c r="M98" s="151">
        <v>0</v>
      </c>
      <c r="O98" s="69">
        <f>L98*F98*I98</f>
        <v>1.8385939374791169</v>
      </c>
      <c r="P98" s="69">
        <f t="shared" ref="P98" si="22">O98*H98</f>
        <v>5.5929502062101371</v>
      </c>
      <c r="Q98" s="69">
        <f>O98/G98</f>
        <v>11.438143019123938</v>
      </c>
    </row>
    <row r="99" spans="1:17">
      <c r="C99" s="151" t="s">
        <v>108</v>
      </c>
      <c r="D99" s="151"/>
      <c r="E99" s="683">
        <f>'Eurostat Resume'!H10/'Eurostat Resume'!H9</f>
        <v>0.93287128712871292</v>
      </c>
      <c r="F99" s="152"/>
      <c r="G99" s="152"/>
      <c r="H99" s="152"/>
      <c r="I99" s="152"/>
      <c r="J99" s="151"/>
      <c r="K99" s="151"/>
      <c r="L99" s="152"/>
      <c r="M99" s="151"/>
      <c r="O99" s="69"/>
      <c r="P99" s="69"/>
      <c r="Q99" s="69"/>
    </row>
    <row r="100" spans="1:17">
      <c r="C100" s="151"/>
      <c r="D100" s="151" t="s">
        <v>105</v>
      </c>
      <c r="E100" s="151"/>
      <c r="F100" s="152"/>
      <c r="G100" s="152"/>
      <c r="H100" s="152"/>
      <c r="I100" s="152"/>
      <c r="J100" s="151"/>
      <c r="K100" s="151"/>
      <c r="L100" s="152"/>
      <c r="M100" s="151"/>
      <c r="O100" s="69"/>
      <c r="P100" s="69"/>
      <c r="Q100" s="69"/>
    </row>
    <row r="101" spans="1:17">
      <c r="C101" s="151"/>
      <c r="D101" s="151" t="s">
        <v>106</v>
      </c>
      <c r="E101" s="151"/>
      <c r="F101" s="152"/>
      <c r="G101" s="152"/>
      <c r="H101" s="152"/>
      <c r="I101" s="152"/>
      <c r="J101" s="151"/>
      <c r="K101" s="151"/>
      <c r="L101" s="152"/>
      <c r="M101" s="151"/>
      <c r="O101" s="69"/>
      <c r="P101" s="69"/>
      <c r="Q101" s="69"/>
    </row>
    <row r="102" spans="1:17">
      <c r="C102" s="151"/>
      <c r="D102" s="151" t="s">
        <v>378</v>
      </c>
      <c r="E102" s="151"/>
      <c r="F102" s="152"/>
      <c r="G102" s="152"/>
      <c r="H102" s="152"/>
      <c r="I102" s="152"/>
      <c r="J102" s="151"/>
      <c r="K102" s="151"/>
      <c r="L102" s="152"/>
      <c r="M102" s="151"/>
      <c r="O102" s="69"/>
      <c r="P102" s="69"/>
      <c r="Q102" s="69"/>
    </row>
    <row r="103" spans="1:17">
      <c r="C103" s="151"/>
      <c r="D103" s="151" t="s">
        <v>380</v>
      </c>
      <c r="E103" s="151"/>
      <c r="F103" s="152"/>
      <c r="G103" s="152"/>
      <c r="H103" s="152"/>
      <c r="I103" s="152"/>
      <c r="J103" s="151"/>
      <c r="K103" s="151"/>
      <c r="L103" s="152"/>
      <c r="M103" s="151"/>
      <c r="O103" s="69"/>
      <c r="P103" s="69"/>
      <c r="Q103" s="69"/>
    </row>
    <row r="104" spans="1:17">
      <c r="C104" s="151"/>
      <c r="D104" s="151" t="s">
        <v>379</v>
      </c>
      <c r="E104" s="151"/>
      <c r="F104" s="152"/>
      <c r="G104" s="152"/>
      <c r="H104" s="152"/>
      <c r="I104" s="152"/>
      <c r="J104" s="151"/>
      <c r="K104" s="151"/>
      <c r="L104" s="152"/>
      <c r="M104" s="151"/>
      <c r="O104" s="69"/>
      <c r="P104" s="69"/>
      <c r="Q104" s="69"/>
    </row>
    <row r="105" spans="1:17">
      <c r="C105" s="151"/>
      <c r="D105" s="151" t="s">
        <v>381</v>
      </c>
      <c r="E105" s="151"/>
      <c r="F105" s="152"/>
      <c r="G105" s="152"/>
      <c r="H105" s="152"/>
      <c r="I105" s="152"/>
      <c r="J105" s="151"/>
      <c r="K105" s="151"/>
      <c r="L105" s="152"/>
      <c r="M105" s="151"/>
      <c r="O105" s="69"/>
      <c r="P105" s="69"/>
      <c r="Q105" s="69"/>
    </row>
    <row r="106" spans="1:17">
      <c r="C106" s="151"/>
      <c r="D106" s="151" t="s">
        <v>382</v>
      </c>
      <c r="E106" s="151"/>
      <c r="F106" s="152"/>
      <c r="G106" s="152"/>
      <c r="H106" s="152"/>
      <c r="I106" s="152"/>
      <c r="J106" s="151"/>
      <c r="K106" s="151"/>
      <c r="L106" s="152"/>
      <c r="M106" s="151"/>
      <c r="O106" s="69"/>
      <c r="P106" s="69"/>
      <c r="Q106" s="69"/>
    </row>
    <row r="107" spans="1:17">
      <c r="B107" s="144" t="str">
        <f>'Autoproducers Calculations'!$C$214</f>
        <v>CHPAUTOGENRFG00</v>
      </c>
      <c r="C107" s="151" t="s">
        <v>110</v>
      </c>
      <c r="D107" s="151"/>
      <c r="E107" s="151"/>
      <c r="F107" s="152">
        <v>31.536000000000001</v>
      </c>
      <c r="G107" s="152">
        <f>'Autoproducers Calculations'!G$209</f>
        <v>0.16074234553677902</v>
      </c>
      <c r="H107" s="152">
        <f>'Autoproducers Calculations'!G$207</f>
        <v>3.0419714175053745</v>
      </c>
      <c r="I107" s="152">
        <f>'Autoproducers Calculations'!G$206</f>
        <v>0.70115343743877068</v>
      </c>
      <c r="J107" s="151">
        <v>20</v>
      </c>
      <c r="K107" s="151">
        <v>1</v>
      </c>
      <c r="L107" s="152">
        <f>'Autoproducers Calculations'!G$217</f>
        <v>5.219561672135188E-3</v>
      </c>
      <c r="M107" s="151">
        <v>0</v>
      </c>
      <c r="O107" s="69">
        <f t="shared" ref="O107" si="23">L107*F107*I107</f>
        <v>0.11541272835264949</v>
      </c>
      <c r="P107" s="69">
        <f t="shared" ref="P107" si="24">O107*H107</f>
        <v>0.3510822208650719</v>
      </c>
      <c r="Q107" s="69">
        <f>O107/G107</f>
        <v>0.7179982845667896</v>
      </c>
    </row>
    <row r="108" spans="1:17">
      <c r="C108" s="151"/>
      <c r="D108" s="151" t="s">
        <v>105</v>
      </c>
      <c r="E108" s="151"/>
      <c r="F108" s="152"/>
      <c r="G108" s="152"/>
      <c r="H108" s="152"/>
      <c r="I108" s="152"/>
      <c r="J108" s="151"/>
      <c r="K108" s="151"/>
      <c r="L108" s="152"/>
      <c r="M108" s="151"/>
      <c r="O108" s="69"/>
      <c r="P108" s="69"/>
      <c r="Q108" s="69"/>
    </row>
    <row r="109" spans="1:17">
      <c r="C109" s="151"/>
      <c r="D109" s="151" t="s">
        <v>106</v>
      </c>
      <c r="E109" s="151"/>
      <c r="F109" s="152"/>
      <c r="G109" s="152"/>
      <c r="H109" s="152"/>
      <c r="I109" s="152"/>
      <c r="J109" s="151"/>
      <c r="K109" s="151"/>
      <c r="L109" s="152"/>
      <c r="M109" s="151"/>
      <c r="O109" s="69"/>
      <c r="P109" s="69"/>
      <c r="Q109" s="69"/>
    </row>
    <row r="110" spans="1:17">
      <c r="C110" s="151"/>
      <c r="D110" s="151" t="s">
        <v>1342</v>
      </c>
      <c r="E110" s="151"/>
      <c r="F110" s="152"/>
      <c r="G110" s="152"/>
      <c r="H110" s="152"/>
      <c r="I110" s="152"/>
      <c r="J110" s="151"/>
      <c r="K110" s="151"/>
      <c r="L110" s="152"/>
      <c r="M110" s="151"/>
      <c r="O110" s="69"/>
      <c r="P110" s="69"/>
      <c r="Q110" s="69"/>
    </row>
    <row r="111" spans="1:17">
      <c r="C111" s="151"/>
      <c r="D111" s="151" t="s">
        <v>380</v>
      </c>
      <c r="E111" s="151"/>
      <c r="F111" s="152"/>
      <c r="G111" s="152"/>
      <c r="H111" s="152"/>
      <c r="I111" s="152"/>
      <c r="J111" s="151"/>
      <c r="K111" s="151"/>
      <c r="L111" s="152"/>
      <c r="M111" s="151"/>
      <c r="O111" s="69"/>
      <c r="P111" s="69"/>
      <c r="Q111" s="69"/>
    </row>
    <row r="112" spans="1:17">
      <c r="C112" s="151"/>
      <c r="D112" s="151" t="s">
        <v>379</v>
      </c>
      <c r="E112" s="151"/>
      <c r="F112" s="152"/>
      <c r="G112" s="152"/>
      <c r="H112" s="152"/>
      <c r="I112" s="152"/>
      <c r="J112" s="151"/>
      <c r="K112" s="151"/>
      <c r="L112" s="152"/>
      <c r="M112" s="151"/>
      <c r="O112" s="69"/>
      <c r="P112" s="69"/>
      <c r="Q112" s="69"/>
    </row>
    <row r="113" spans="2:17">
      <c r="B113" s="144" t="str">
        <f>'Autoproducers Calculations'!$C$223</f>
        <v>CHPAUTOGENOIL00</v>
      </c>
      <c r="C113" s="151" t="s">
        <v>111</v>
      </c>
      <c r="D113" s="151"/>
      <c r="E113" s="151">
        <f>'Eurostat Resume'!H13/'Eurostat Resume'!H11</f>
        <v>0</v>
      </c>
      <c r="F113" s="152">
        <v>31.536000000000001</v>
      </c>
      <c r="G113" s="152">
        <f>'Autoproducers Calculations'!G$209</f>
        <v>0.16074234553677902</v>
      </c>
      <c r="H113" s="152">
        <f>'Autoproducers Calculations'!G$207</f>
        <v>3.0419714175053745</v>
      </c>
      <c r="I113" s="152">
        <f>'Autoproducers Calculations'!G$206</f>
        <v>0.70115343743877068</v>
      </c>
      <c r="J113" s="151">
        <v>20</v>
      </c>
      <c r="K113" s="151">
        <v>1</v>
      </c>
      <c r="L113" s="152">
        <f>'Autoproducers Calculations'!G$226</f>
        <v>5.3924493615907704E-2</v>
      </c>
      <c r="M113" s="151">
        <v>0</v>
      </c>
      <c r="O113" s="69">
        <f t="shared" ref="O113" si="25">L113*F113*I113</f>
        <v>1.1923554743057638</v>
      </c>
      <c r="P113" s="69">
        <f t="shared" ref="P113" si="26">O113*H113</f>
        <v>3.6271112723441976</v>
      </c>
      <c r="Q113" s="69">
        <f>O113/G113</f>
        <v>7.4178056213130485</v>
      </c>
    </row>
    <row r="114" spans="2:17">
      <c r="C114" s="151" t="s">
        <v>112</v>
      </c>
      <c r="D114" s="151"/>
      <c r="E114" s="151"/>
      <c r="F114" s="152"/>
      <c r="G114" s="152"/>
      <c r="H114" s="152"/>
      <c r="I114" s="152"/>
      <c r="J114" s="151"/>
      <c r="K114" s="151"/>
      <c r="L114" s="152"/>
      <c r="M114" s="151"/>
      <c r="O114" s="69"/>
      <c r="P114" s="69"/>
      <c r="Q114" s="69"/>
    </row>
    <row r="115" spans="2:17">
      <c r="C115" s="151"/>
      <c r="D115" s="151" t="s">
        <v>105</v>
      </c>
      <c r="E115" s="151"/>
      <c r="F115" s="152"/>
      <c r="G115" s="152"/>
      <c r="H115" s="152"/>
      <c r="I115" s="152"/>
      <c r="J115" s="151"/>
      <c r="K115" s="151"/>
      <c r="L115" s="152"/>
      <c r="M115" s="151"/>
      <c r="O115" s="69"/>
      <c r="P115" s="69"/>
      <c r="Q115" s="69"/>
    </row>
    <row r="116" spans="2:17">
      <c r="C116" s="151"/>
      <c r="D116" s="151" t="s">
        <v>106</v>
      </c>
      <c r="E116" s="151"/>
      <c r="F116" s="152"/>
      <c r="G116" s="152"/>
      <c r="H116" s="152"/>
      <c r="I116" s="152"/>
      <c r="J116" s="151"/>
      <c r="K116" s="151"/>
      <c r="L116" s="152"/>
      <c r="M116" s="151"/>
      <c r="O116" s="69"/>
      <c r="P116" s="69"/>
      <c r="Q116" s="69"/>
    </row>
    <row r="117" spans="2:17">
      <c r="C117" s="151"/>
      <c r="D117" s="151" t="s">
        <v>380</v>
      </c>
      <c r="E117" s="151"/>
      <c r="F117" s="152"/>
      <c r="G117" s="152"/>
      <c r="H117" s="152"/>
      <c r="I117" s="152"/>
      <c r="J117" s="151"/>
      <c r="K117" s="151"/>
      <c r="L117" s="152"/>
      <c r="M117" s="151"/>
      <c r="O117" s="69"/>
      <c r="P117" s="69"/>
      <c r="Q117" s="69"/>
    </row>
    <row r="118" spans="2:17">
      <c r="C118" s="151"/>
      <c r="D118" s="151" t="s">
        <v>379</v>
      </c>
      <c r="E118" s="151"/>
      <c r="F118" s="152"/>
      <c r="G118" s="152"/>
      <c r="H118" s="152"/>
      <c r="I118" s="152"/>
      <c r="J118" s="151"/>
      <c r="K118" s="151"/>
      <c r="L118" s="152"/>
      <c r="M118" s="151"/>
      <c r="O118" s="69"/>
      <c r="P118" s="69"/>
      <c r="Q118" s="69"/>
    </row>
    <row r="119" spans="2:17">
      <c r="C119" s="151"/>
      <c r="D119" s="151" t="s">
        <v>1342</v>
      </c>
      <c r="E119" s="151"/>
      <c r="F119" s="152"/>
      <c r="G119" s="152"/>
      <c r="H119" s="152"/>
      <c r="I119" s="152"/>
      <c r="J119" s="151"/>
      <c r="K119" s="151"/>
      <c r="L119" s="152"/>
      <c r="M119" s="151"/>
      <c r="O119" s="69"/>
      <c r="P119" s="69"/>
      <c r="Q119" s="69"/>
    </row>
    <row r="120" spans="2:17">
      <c r="C120" s="151"/>
      <c r="D120" s="151" t="s">
        <v>382</v>
      </c>
      <c r="E120" s="151"/>
      <c r="F120" s="152"/>
      <c r="G120" s="152"/>
      <c r="H120" s="152"/>
      <c r="I120" s="152"/>
      <c r="J120" s="151"/>
      <c r="K120" s="151"/>
      <c r="L120" s="152"/>
      <c r="M120" s="151"/>
      <c r="O120" s="69"/>
      <c r="P120" s="69"/>
      <c r="Q120" s="69"/>
    </row>
    <row r="121" spans="2:17">
      <c r="B121" s="144" t="str">
        <f>'Autoproducers Calculations'!$C$232</f>
        <v>CHPAUTOGENGAS00</v>
      </c>
      <c r="C121" s="151" t="s">
        <v>113</v>
      </c>
      <c r="D121" s="151"/>
      <c r="E121" s="151"/>
      <c r="F121" s="152">
        <v>31.536000000000001</v>
      </c>
      <c r="G121" s="152">
        <f>'Autoproducers Calculations'!G$209</f>
        <v>0.16074234553677902</v>
      </c>
      <c r="H121" s="152">
        <f>'Autoproducers Calculations'!G$207</f>
        <v>3.0419714175053745</v>
      </c>
      <c r="I121" s="152">
        <f>'Autoproducers Calculations'!G$206</f>
        <v>0.70115343743877068</v>
      </c>
      <c r="J121" s="151">
        <v>20</v>
      </c>
      <c r="K121" s="151">
        <v>1</v>
      </c>
      <c r="L121" s="152">
        <f>'Autoproducers Calculations'!G$235</f>
        <v>9.8891758368592889E-2</v>
      </c>
      <c r="M121" s="151">
        <v>0</v>
      </c>
      <c r="O121" s="69">
        <f t="shared" ref="O121" si="27">L121*F121*I121</f>
        <v>2.1866525125741738</v>
      </c>
      <c r="P121" s="69">
        <f t="shared" ref="P121" si="28">O121*H121</f>
        <v>6.6517344432669478</v>
      </c>
      <c r="Q121" s="69">
        <f>O121/G121</f>
        <v>13.60346276690265</v>
      </c>
    </row>
    <row r="122" spans="2:17">
      <c r="C122" s="151"/>
      <c r="D122" s="151" t="s">
        <v>105</v>
      </c>
      <c r="E122" s="151"/>
      <c r="F122" s="152"/>
      <c r="G122" s="152"/>
      <c r="H122" s="152"/>
      <c r="I122" s="152"/>
      <c r="J122" s="151"/>
      <c r="K122" s="151"/>
      <c r="L122" s="152"/>
      <c r="M122" s="151"/>
      <c r="O122" s="69"/>
      <c r="P122" s="69"/>
      <c r="Q122" s="69"/>
    </row>
    <row r="123" spans="2:17">
      <c r="C123" s="151"/>
      <c r="D123" s="151" t="s">
        <v>106</v>
      </c>
      <c r="E123" s="151"/>
      <c r="F123" s="152"/>
      <c r="G123" s="152"/>
      <c r="H123" s="152"/>
      <c r="I123" s="152"/>
      <c r="J123" s="151"/>
      <c r="K123" s="151"/>
      <c r="L123" s="152"/>
      <c r="M123" s="151"/>
      <c r="O123" s="69"/>
      <c r="P123" s="69"/>
      <c r="Q123" s="69"/>
    </row>
    <row r="124" spans="2:17">
      <c r="C124" s="151"/>
      <c r="D124" s="151" t="s">
        <v>1342</v>
      </c>
      <c r="E124" s="151"/>
      <c r="F124" s="152"/>
      <c r="G124" s="152"/>
      <c r="H124" s="152"/>
      <c r="I124" s="152"/>
      <c r="J124" s="151"/>
      <c r="K124" s="151"/>
      <c r="L124" s="152"/>
      <c r="M124" s="151"/>
      <c r="O124" s="69"/>
      <c r="P124" s="69"/>
      <c r="Q124" s="69"/>
    </row>
    <row r="125" spans="2:17">
      <c r="C125" s="151"/>
      <c r="D125" s="151" t="s">
        <v>378</v>
      </c>
      <c r="E125" s="151"/>
      <c r="F125" s="152"/>
      <c r="G125" s="152"/>
      <c r="H125" s="152"/>
      <c r="I125" s="152"/>
      <c r="J125" s="151"/>
      <c r="K125" s="151"/>
      <c r="L125" s="152"/>
      <c r="M125" s="151"/>
      <c r="O125" s="69"/>
      <c r="P125" s="69"/>
      <c r="Q125" s="69"/>
    </row>
    <row r="126" spans="2:17">
      <c r="C126" s="151"/>
      <c r="D126" s="151" t="s">
        <v>421</v>
      </c>
      <c r="E126" s="151"/>
      <c r="F126" s="152"/>
      <c r="G126" s="152"/>
      <c r="H126" s="152"/>
      <c r="I126" s="152"/>
      <c r="J126" s="151"/>
      <c r="K126" s="151"/>
      <c r="L126" s="152"/>
      <c r="M126" s="151"/>
      <c r="O126" s="69"/>
      <c r="P126" s="69"/>
      <c r="Q126" s="69"/>
    </row>
    <row r="127" spans="2:17">
      <c r="C127" s="151"/>
      <c r="D127" s="151" t="s">
        <v>380</v>
      </c>
      <c r="E127" s="151"/>
      <c r="F127" s="152"/>
      <c r="G127" s="152"/>
      <c r="H127" s="152"/>
      <c r="I127" s="152"/>
      <c r="J127" s="151"/>
      <c r="K127" s="151"/>
      <c r="L127" s="152"/>
      <c r="M127" s="151"/>
      <c r="O127" s="69"/>
      <c r="P127" s="69"/>
      <c r="Q127" s="69"/>
    </row>
    <row r="128" spans="2:17">
      <c r="C128" s="151"/>
      <c r="D128" s="151" t="s">
        <v>379</v>
      </c>
      <c r="E128" s="151"/>
      <c r="F128" s="152"/>
      <c r="G128" s="152"/>
      <c r="H128" s="152"/>
      <c r="I128" s="152"/>
      <c r="J128" s="151"/>
      <c r="K128" s="151"/>
      <c r="L128" s="152"/>
      <c r="M128" s="151"/>
      <c r="O128" s="69"/>
      <c r="P128" s="69"/>
      <c r="Q128" s="69"/>
    </row>
    <row r="129" spans="1:17">
      <c r="C129" s="151"/>
      <c r="D129" s="151" t="s">
        <v>381</v>
      </c>
      <c r="E129" s="151"/>
      <c r="F129" s="152"/>
      <c r="G129" s="152"/>
      <c r="H129" s="152"/>
      <c r="I129" s="152"/>
      <c r="J129" s="151"/>
      <c r="K129" s="151"/>
      <c r="L129" s="152"/>
      <c r="M129" s="151"/>
      <c r="O129" s="69"/>
      <c r="P129" s="69"/>
      <c r="Q129" s="69"/>
    </row>
    <row r="130" spans="1:17">
      <c r="C130" s="151"/>
      <c r="D130" s="151" t="s">
        <v>382</v>
      </c>
      <c r="E130" s="151"/>
      <c r="F130" s="152"/>
      <c r="G130" s="152"/>
      <c r="H130" s="152"/>
      <c r="I130" s="152"/>
      <c r="J130" s="151"/>
      <c r="K130" s="151"/>
      <c r="L130" s="152"/>
      <c r="M130" s="151"/>
      <c r="O130" s="69"/>
      <c r="P130" s="69"/>
      <c r="Q130" s="69"/>
    </row>
    <row r="131" spans="1:17">
      <c r="B131" s="144" t="str">
        <f>'Autoproducers Calculations'!$C$241</f>
        <v>CHPAUTOGENBIO00</v>
      </c>
      <c r="C131" s="151" t="s">
        <v>116</v>
      </c>
      <c r="D131" s="151"/>
      <c r="E131" s="151"/>
      <c r="F131" s="152">
        <v>31.536000000000001</v>
      </c>
      <c r="G131" s="152">
        <f>'Autoproducers Calculations'!G$209</f>
        <v>0.16074234553677902</v>
      </c>
      <c r="H131" s="152">
        <f>'Autoproducers Calculations'!G$207</f>
        <v>3.0419714175053745</v>
      </c>
      <c r="I131" s="152">
        <f>'Autoproducers Calculations'!G$206</f>
        <v>0.70115343743877068</v>
      </c>
      <c r="J131" s="151">
        <v>20</v>
      </c>
      <c r="K131" s="151">
        <v>1</v>
      </c>
      <c r="L131" s="152">
        <f>'Autoproducers Calculations'!G$244</f>
        <v>0</v>
      </c>
      <c r="M131" s="151">
        <v>0</v>
      </c>
      <c r="O131" s="69">
        <f t="shared" ref="O131" si="29">L131*F131*I131</f>
        <v>0</v>
      </c>
      <c r="P131" s="69">
        <f t="shared" ref="P131" si="30">O131*H131</f>
        <v>0</v>
      </c>
      <c r="Q131" s="69">
        <f>O131/G131</f>
        <v>0</v>
      </c>
    </row>
    <row r="132" spans="1:17">
      <c r="C132" s="151"/>
      <c r="D132" s="151" t="s">
        <v>105</v>
      </c>
      <c r="E132" s="151"/>
      <c r="F132" s="152"/>
      <c r="G132" s="152"/>
      <c r="H132" s="152"/>
      <c r="I132" s="152"/>
      <c r="J132" s="151"/>
      <c r="K132" s="151"/>
      <c r="L132" s="152"/>
      <c r="M132" s="151"/>
      <c r="O132" s="69"/>
      <c r="P132" s="69"/>
      <c r="Q132" s="69"/>
    </row>
    <row r="133" spans="1:17">
      <c r="C133" s="151"/>
      <c r="D133" s="151" t="s">
        <v>106</v>
      </c>
      <c r="E133" s="151"/>
      <c r="F133" s="152"/>
      <c r="G133" s="152"/>
      <c r="H133" s="152"/>
      <c r="I133" s="152"/>
      <c r="J133" s="151"/>
      <c r="K133" s="151"/>
      <c r="L133" s="152"/>
      <c r="M133" s="151"/>
      <c r="O133" s="69"/>
      <c r="P133" s="69"/>
      <c r="Q133" s="69"/>
    </row>
    <row r="134" spans="1:17">
      <c r="C134" s="151"/>
      <c r="D134" s="151" t="s">
        <v>380</v>
      </c>
      <c r="E134" s="151"/>
      <c r="F134" s="152"/>
      <c r="G134" s="152"/>
      <c r="H134" s="152"/>
      <c r="I134" s="152"/>
      <c r="J134" s="151"/>
      <c r="K134" s="151"/>
      <c r="L134" s="151"/>
      <c r="M134" s="151"/>
      <c r="O134" s="69"/>
      <c r="P134" s="69"/>
      <c r="Q134" s="69"/>
    </row>
    <row r="135" spans="1:17">
      <c r="C135" s="151"/>
      <c r="D135" s="151" t="s">
        <v>379</v>
      </c>
      <c r="E135" s="151"/>
      <c r="F135" s="152"/>
      <c r="G135" s="152"/>
      <c r="H135" s="152"/>
      <c r="I135" s="152"/>
      <c r="J135" s="151"/>
      <c r="K135" s="151"/>
      <c r="L135" s="151"/>
      <c r="M135" s="151"/>
      <c r="O135" s="69"/>
      <c r="P135" s="69"/>
      <c r="Q135" s="69"/>
    </row>
    <row r="136" spans="1:17">
      <c r="C136" s="151"/>
      <c r="D136" s="151" t="s">
        <v>381</v>
      </c>
      <c r="E136" s="151"/>
      <c r="F136" s="152"/>
      <c r="G136" s="152"/>
      <c r="H136" s="152"/>
      <c r="I136" s="152"/>
      <c r="J136" s="151"/>
      <c r="K136" s="151"/>
      <c r="L136" s="151"/>
      <c r="M136" s="151"/>
      <c r="O136" s="69"/>
      <c r="P136" s="69"/>
      <c r="Q136" s="69"/>
    </row>
    <row r="137" spans="1:17">
      <c r="C137" s="151"/>
      <c r="D137" s="151" t="s">
        <v>382</v>
      </c>
      <c r="E137" s="151"/>
      <c r="F137" s="152"/>
      <c r="G137" s="152"/>
      <c r="H137" s="152"/>
      <c r="I137" s="152"/>
      <c r="J137" s="151"/>
      <c r="K137" s="151"/>
      <c r="L137" s="151"/>
      <c r="M137" s="151"/>
      <c r="O137" s="69"/>
      <c r="P137" s="69"/>
      <c r="Q137" s="69"/>
    </row>
    <row r="138" spans="1:17">
      <c r="B138" s="144" t="str">
        <f>'Autoproducers Calculations'!$C$250</f>
        <v>CHPAUTOGENWASTE00</v>
      </c>
      <c r="C138" s="151" t="s">
        <v>117</v>
      </c>
      <c r="D138" s="151"/>
      <c r="E138" s="151"/>
      <c r="F138" s="152">
        <v>31.536000000000001</v>
      </c>
      <c r="G138" s="152">
        <f>'Autoproducers Calculations'!G$209</f>
        <v>0.16074234553677902</v>
      </c>
      <c r="H138" s="152">
        <f>'Autoproducers Calculations'!G$207</f>
        <v>3.0419714175053745</v>
      </c>
      <c r="I138" s="152">
        <f>'Autoproducers Calculations'!G$206</f>
        <v>0.70115343743877068</v>
      </c>
      <c r="J138" s="151">
        <v>20</v>
      </c>
      <c r="K138" s="151">
        <v>1</v>
      </c>
      <c r="L138" s="152">
        <f>'Autoproducers Calculations'!G$253</f>
        <v>0</v>
      </c>
      <c r="M138" s="151">
        <v>0</v>
      </c>
      <c r="O138" s="69">
        <f t="shared" ref="O138" si="31">L138*F138*I138</f>
        <v>0</v>
      </c>
      <c r="P138" s="69">
        <f t="shared" ref="P138" si="32">O138*H138</f>
        <v>0</v>
      </c>
      <c r="Q138" s="69">
        <f>O138/G138</f>
        <v>0</v>
      </c>
    </row>
    <row r="139" spans="1:17">
      <c r="C139" s="151" t="s">
        <v>118</v>
      </c>
      <c r="D139" s="151"/>
      <c r="E139" s="151"/>
      <c r="F139" s="152"/>
      <c r="G139" s="152"/>
      <c r="H139" s="152"/>
      <c r="I139" s="152"/>
      <c r="J139" s="151"/>
      <c r="K139" s="151"/>
      <c r="L139" s="151"/>
      <c r="M139" s="151"/>
      <c r="O139" s="69"/>
      <c r="P139" s="69"/>
      <c r="Q139" s="69"/>
    </row>
    <row r="140" spans="1:17">
      <c r="C140" s="151"/>
      <c r="D140" s="151" t="s">
        <v>105</v>
      </c>
      <c r="E140" s="151"/>
      <c r="F140" s="152"/>
      <c r="G140" s="152"/>
      <c r="H140" s="152"/>
      <c r="I140" s="152"/>
      <c r="J140" s="151"/>
      <c r="K140" s="151"/>
      <c r="L140" s="151"/>
      <c r="M140" s="151"/>
      <c r="O140" s="719">
        <f>SUM(O98:O138)</f>
        <v>5.3330146527117037</v>
      </c>
      <c r="P140" s="719">
        <f>SUM(P98:P138)</f>
        <v>16.222878142686355</v>
      </c>
      <c r="Q140" s="719">
        <f>SUM(Q98:Q138)</f>
        <v>33.177409691906426</v>
      </c>
    </row>
    <row r="141" spans="1:17">
      <c r="C141" s="151"/>
      <c r="D141" s="151" t="s">
        <v>106</v>
      </c>
      <c r="E141" s="151"/>
      <c r="F141" s="152"/>
      <c r="G141" s="152"/>
      <c r="H141" s="152"/>
      <c r="I141" s="152"/>
      <c r="J141" s="151"/>
      <c r="K141" s="151"/>
      <c r="L141" s="151"/>
      <c r="M141" s="151"/>
    </row>
    <row r="142" spans="1:17">
      <c r="C142" s="151"/>
      <c r="D142" s="151" t="s">
        <v>381</v>
      </c>
      <c r="E142" s="151"/>
      <c r="F142" s="152"/>
      <c r="G142" s="152"/>
      <c r="H142" s="152"/>
      <c r="I142" s="152"/>
      <c r="J142" s="151"/>
      <c r="K142" s="151"/>
      <c r="L142" s="151"/>
      <c r="M142" s="151"/>
    </row>
    <row r="143" spans="1:17">
      <c r="C143" s="151"/>
      <c r="D143" s="151" t="s">
        <v>382</v>
      </c>
      <c r="E143" s="151"/>
      <c r="F143" s="151"/>
      <c r="G143" s="151"/>
      <c r="H143" s="151"/>
      <c r="I143" s="151"/>
      <c r="J143" s="151"/>
      <c r="K143" s="151"/>
      <c r="L143" s="151"/>
      <c r="M143" s="151"/>
      <c r="O143" s="677" t="s">
        <v>390</v>
      </c>
      <c r="P143" s="677" t="s">
        <v>406</v>
      </c>
      <c r="Q143" s="677" t="s">
        <v>1304</v>
      </c>
    </row>
    <row r="144" spans="1:17">
      <c r="A144" s="681" t="s">
        <v>49</v>
      </c>
      <c r="B144" s="144" t="str">
        <f>'Autoproducers Calculations'!$C$205</f>
        <v>CHPAUTOGENSOLID00</v>
      </c>
      <c r="C144" s="151" t="s">
        <v>107</v>
      </c>
      <c r="D144" s="151"/>
      <c r="E144" s="151"/>
      <c r="F144" s="152">
        <v>31.536000000000001</v>
      </c>
      <c r="G144" s="152">
        <f>'Autoproducers Calculations'!H$209</f>
        <v>0</v>
      </c>
      <c r="H144" s="152">
        <f>'Autoproducers Calculations'!H$207</f>
        <v>0</v>
      </c>
      <c r="I144" s="152">
        <f>'Autoproducers Calculations'!H$206</f>
        <v>0</v>
      </c>
      <c r="J144" s="151">
        <v>20</v>
      </c>
      <c r="K144" s="151">
        <v>1</v>
      </c>
      <c r="L144" s="152">
        <f>'Autoproducers Calculations'!H$208</f>
        <v>0</v>
      </c>
      <c r="M144" s="151">
        <v>0</v>
      </c>
      <c r="O144" s="69">
        <f>L144*F144*I144</f>
        <v>0</v>
      </c>
      <c r="P144" s="69">
        <f t="shared" ref="P144" si="33">O144*H144</f>
        <v>0</v>
      </c>
      <c r="Q144" s="69" t="e">
        <f>O144/G144</f>
        <v>#DIV/0!</v>
      </c>
    </row>
    <row r="145" spans="2:17">
      <c r="C145" s="151" t="s">
        <v>108</v>
      </c>
      <c r="D145" s="151"/>
      <c r="E145" s="151">
        <f>IF('Autoproducers Calculations'!H$179&gt;0,'Autoproducers Calculations'!#REF!/'Autoproducers Calculations'!H$179,0)</f>
        <v>0</v>
      </c>
      <c r="F145" s="152"/>
      <c r="G145" s="152"/>
      <c r="H145" s="152"/>
      <c r="I145" s="152"/>
      <c r="J145" s="151"/>
      <c r="K145" s="151"/>
      <c r="L145" s="152"/>
      <c r="M145" s="151"/>
      <c r="O145" s="69"/>
      <c r="P145" s="69"/>
      <c r="Q145" s="69"/>
    </row>
    <row r="146" spans="2:17">
      <c r="C146" s="151"/>
      <c r="D146" s="151" t="s">
        <v>105</v>
      </c>
      <c r="E146" s="151"/>
      <c r="F146" s="152"/>
      <c r="G146" s="152"/>
      <c r="H146" s="152"/>
      <c r="I146" s="152"/>
      <c r="J146" s="151"/>
      <c r="K146" s="151"/>
      <c r="L146" s="152"/>
      <c r="M146" s="151"/>
      <c r="O146" s="69"/>
      <c r="P146" s="69"/>
      <c r="Q146" s="69"/>
    </row>
    <row r="147" spans="2:17">
      <c r="C147" s="151"/>
      <c r="D147" s="151" t="s">
        <v>106</v>
      </c>
      <c r="E147" s="151"/>
      <c r="F147" s="152"/>
      <c r="G147" s="152"/>
      <c r="H147" s="152"/>
      <c r="I147" s="152"/>
      <c r="J147" s="151"/>
      <c r="K147" s="151"/>
      <c r="L147" s="152"/>
      <c r="M147" s="151"/>
      <c r="O147" s="69"/>
      <c r="P147" s="69"/>
      <c r="Q147" s="69"/>
    </row>
    <row r="148" spans="2:17">
      <c r="C148" s="151"/>
      <c r="D148" s="151" t="s">
        <v>378</v>
      </c>
      <c r="E148" s="151"/>
      <c r="F148" s="152"/>
      <c r="G148" s="152"/>
      <c r="H148" s="152"/>
      <c r="I148" s="152"/>
      <c r="J148" s="151"/>
      <c r="K148" s="151"/>
      <c r="L148" s="152"/>
      <c r="M148" s="151"/>
      <c r="O148" s="69"/>
      <c r="P148" s="69"/>
      <c r="Q148" s="69"/>
    </row>
    <row r="149" spans="2:17">
      <c r="C149" s="151"/>
      <c r="D149" s="151" t="s">
        <v>380</v>
      </c>
      <c r="E149" s="151"/>
      <c r="F149" s="152"/>
      <c r="G149" s="152"/>
      <c r="H149" s="152"/>
      <c r="I149" s="152"/>
      <c r="J149" s="151"/>
      <c r="K149" s="151"/>
      <c r="L149" s="152"/>
      <c r="M149" s="151"/>
      <c r="O149" s="69"/>
      <c r="P149" s="69"/>
      <c r="Q149" s="69"/>
    </row>
    <row r="150" spans="2:17">
      <c r="C150" s="151"/>
      <c r="D150" s="151" t="s">
        <v>379</v>
      </c>
      <c r="E150" s="151"/>
      <c r="F150" s="152"/>
      <c r="G150" s="152"/>
      <c r="H150" s="152"/>
      <c r="I150" s="152"/>
      <c r="J150" s="151"/>
      <c r="K150" s="151"/>
      <c r="L150" s="152"/>
      <c r="M150" s="151"/>
      <c r="O150" s="69"/>
      <c r="P150" s="69"/>
      <c r="Q150" s="69"/>
    </row>
    <row r="151" spans="2:17">
      <c r="C151" s="151"/>
      <c r="D151" s="151" t="s">
        <v>381</v>
      </c>
      <c r="E151" s="151"/>
      <c r="F151" s="152"/>
      <c r="G151" s="152"/>
      <c r="H151" s="152"/>
      <c r="I151" s="152"/>
      <c r="J151" s="151"/>
      <c r="K151" s="151"/>
      <c r="L151" s="152"/>
      <c r="M151" s="151"/>
      <c r="O151" s="69"/>
      <c r="P151" s="69"/>
      <c r="Q151" s="69"/>
    </row>
    <row r="152" spans="2:17">
      <c r="C152" s="151"/>
      <c r="D152" s="151" t="s">
        <v>382</v>
      </c>
      <c r="E152" s="151"/>
      <c r="F152" s="152"/>
      <c r="G152" s="152"/>
      <c r="H152" s="152"/>
      <c r="I152" s="152"/>
      <c r="J152" s="151"/>
      <c r="K152" s="151"/>
      <c r="L152" s="152"/>
      <c r="M152" s="151"/>
      <c r="O152" s="69"/>
      <c r="P152" s="69"/>
      <c r="Q152" s="69"/>
    </row>
    <row r="153" spans="2:17">
      <c r="B153" s="144" t="str">
        <f>'Autoproducers Calculations'!$C$214</f>
        <v>CHPAUTOGENRFG00</v>
      </c>
      <c r="C153" s="151" t="s">
        <v>110</v>
      </c>
      <c r="D153" s="151"/>
      <c r="E153" s="151"/>
      <c r="F153" s="152">
        <v>31.536000000000001</v>
      </c>
      <c r="G153" s="152">
        <f>'Autoproducers Calculations'!H$209</f>
        <v>0</v>
      </c>
      <c r="H153" s="152">
        <f>'Autoproducers Calculations'!H$207</f>
        <v>0</v>
      </c>
      <c r="I153" s="152">
        <f>'Autoproducers Calculations'!H$206</f>
        <v>0</v>
      </c>
      <c r="J153" s="151">
        <v>20</v>
      </c>
      <c r="K153" s="151">
        <v>1</v>
      </c>
      <c r="L153" s="152">
        <f>'Autoproducers Calculations'!H$217</f>
        <v>0</v>
      </c>
      <c r="M153" s="151">
        <v>0</v>
      </c>
      <c r="O153" s="69">
        <f t="shared" ref="O153" si="34">L153*F153*I153</f>
        <v>0</v>
      </c>
      <c r="P153" s="69">
        <f t="shared" ref="P153" si="35">O153*H153</f>
        <v>0</v>
      </c>
      <c r="Q153" s="69" t="e">
        <f>O153/G153</f>
        <v>#DIV/0!</v>
      </c>
    </row>
    <row r="154" spans="2:17">
      <c r="C154" s="151"/>
      <c r="D154" s="151" t="s">
        <v>105</v>
      </c>
      <c r="E154" s="151"/>
      <c r="F154" s="152"/>
      <c r="G154" s="152"/>
      <c r="H154" s="152"/>
      <c r="I154" s="152"/>
      <c r="J154" s="151"/>
      <c r="K154" s="151"/>
      <c r="L154" s="152"/>
      <c r="M154" s="151"/>
      <c r="O154" s="69"/>
      <c r="P154" s="69"/>
      <c r="Q154" s="69"/>
    </row>
    <row r="155" spans="2:17">
      <c r="C155" s="151"/>
      <c r="D155" s="151" t="s">
        <v>106</v>
      </c>
      <c r="E155" s="151"/>
      <c r="F155" s="152"/>
      <c r="G155" s="152"/>
      <c r="H155" s="152"/>
      <c r="I155" s="152"/>
      <c r="J155" s="151"/>
      <c r="K155" s="151"/>
      <c r="L155" s="152"/>
      <c r="M155" s="151"/>
      <c r="O155" s="69"/>
      <c r="P155" s="69"/>
      <c r="Q155" s="69"/>
    </row>
    <row r="156" spans="2:17">
      <c r="C156" s="151"/>
      <c r="D156" s="151" t="s">
        <v>1342</v>
      </c>
      <c r="E156" s="151"/>
      <c r="F156" s="152"/>
      <c r="G156" s="152"/>
      <c r="H156" s="152"/>
      <c r="I156" s="152"/>
      <c r="J156" s="151"/>
      <c r="K156" s="151"/>
      <c r="L156" s="152"/>
      <c r="M156" s="151"/>
      <c r="O156" s="69"/>
      <c r="P156" s="69"/>
      <c r="Q156" s="69"/>
    </row>
    <row r="157" spans="2:17">
      <c r="C157" s="151"/>
      <c r="D157" s="151" t="s">
        <v>380</v>
      </c>
      <c r="E157" s="151"/>
      <c r="F157" s="152"/>
      <c r="G157" s="152"/>
      <c r="H157" s="152"/>
      <c r="I157" s="152"/>
      <c r="J157" s="151"/>
      <c r="K157" s="151"/>
      <c r="L157" s="152"/>
      <c r="M157" s="151"/>
      <c r="O157" s="69"/>
      <c r="P157" s="69"/>
      <c r="Q157" s="69"/>
    </row>
    <row r="158" spans="2:17">
      <c r="C158" s="151"/>
      <c r="D158" s="151" t="s">
        <v>379</v>
      </c>
      <c r="E158" s="151"/>
      <c r="F158" s="152"/>
      <c r="G158" s="152"/>
      <c r="H158" s="152"/>
      <c r="I158" s="152"/>
      <c r="J158" s="151"/>
      <c r="K158" s="151"/>
      <c r="L158" s="152"/>
      <c r="M158" s="151"/>
      <c r="O158" s="69"/>
      <c r="P158" s="69"/>
      <c r="Q158" s="69"/>
    </row>
    <row r="159" spans="2:17">
      <c r="B159" s="144" t="str">
        <f>'Autoproducers Calculations'!$C$223</f>
        <v>CHPAUTOGENOIL00</v>
      </c>
      <c r="C159" s="151" t="s">
        <v>111</v>
      </c>
      <c r="D159" s="151"/>
      <c r="E159" s="151" t="e">
        <f>'Eurostat Resume'!I13/'Eurostat Resume'!I11</f>
        <v>#DIV/0!</v>
      </c>
      <c r="F159" s="152">
        <v>31.536000000000001</v>
      </c>
      <c r="G159" s="152">
        <f>'Autoproducers Calculations'!H$209</f>
        <v>0</v>
      </c>
      <c r="H159" s="152">
        <f>'Autoproducers Calculations'!H$207</f>
        <v>0</v>
      </c>
      <c r="I159" s="152">
        <f>'Autoproducers Calculations'!H$206</f>
        <v>0</v>
      </c>
      <c r="J159" s="151">
        <v>20</v>
      </c>
      <c r="K159" s="151">
        <v>1</v>
      </c>
      <c r="L159" s="152">
        <f>'Autoproducers Calculations'!H$226</f>
        <v>0</v>
      </c>
      <c r="M159" s="151">
        <v>0</v>
      </c>
      <c r="O159" s="69">
        <f t="shared" ref="O159" si="36">L159*F159*I159</f>
        <v>0</v>
      </c>
      <c r="P159" s="69">
        <f t="shared" ref="P159" si="37">O159*H159</f>
        <v>0</v>
      </c>
      <c r="Q159" s="69" t="e">
        <f>O159/G159</f>
        <v>#DIV/0!</v>
      </c>
    </row>
    <row r="160" spans="2:17">
      <c r="C160" s="151" t="s">
        <v>112</v>
      </c>
      <c r="D160" s="151"/>
      <c r="E160" s="151"/>
      <c r="F160" s="152"/>
      <c r="G160" s="152"/>
      <c r="H160" s="152"/>
      <c r="I160" s="152"/>
      <c r="J160" s="151"/>
      <c r="K160" s="151"/>
      <c r="L160" s="152"/>
      <c r="M160" s="151"/>
      <c r="O160" s="69"/>
      <c r="P160" s="69"/>
      <c r="Q160" s="69"/>
    </row>
    <row r="161" spans="2:17">
      <c r="C161" s="151"/>
      <c r="D161" s="151" t="s">
        <v>105</v>
      </c>
      <c r="E161" s="151"/>
      <c r="F161" s="152"/>
      <c r="G161" s="152"/>
      <c r="H161" s="152"/>
      <c r="I161" s="152"/>
      <c r="J161" s="151"/>
      <c r="K161" s="151"/>
      <c r="L161" s="152"/>
      <c r="M161" s="151"/>
      <c r="O161" s="69"/>
      <c r="P161" s="69"/>
      <c r="Q161" s="69"/>
    </row>
    <row r="162" spans="2:17">
      <c r="C162" s="151"/>
      <c r="D162" s="151" t="s">
        <v>106</v>
      </c>
      <c r="E162" s="151"/>
      <c r="F162" s="152"/>
      <c r="G162" s="152"/>
      <c r="H162" s="152"/>
      <c r="I162" s="152"/>
      <c r="J162" s="151"/>
      <c r="K162" s="151"/>
      <c r="L162" s="152"/>
      <c r="M162" s="151"/>
      <c r="O162" s="69"/>
      <c r="P162" s="69"/>
      <c r="Q162" s="69"/>
    </row>
    <row r="163" spans="2:17">
      <c r="C163" s="151"/>
      <c r="D163" s="151" t="s">
        <v>380</v>
      </c>
      <c r="E163" s="151"/>
      <c r="F163" s="152"/>
      <c r="G163" s="152"/>
      <c r="H163" s="152"/>
      <c r="I163" s="152"/>
      <c r="J163" s="151"/>
      <c r="K163" s="151"/>
      <c r="L163" s="152"/>
      <c r="M163" s="151"/>
      <c r="O163" s="69"/>
      <c r="P163" s="69"/>
      <c r="Q163" s="69"/>
    </row>
    <row r="164" spans="2:17">
      <c r="C164" s="151"/>
      <c r="D164" s="151" t="s">
        <v>379</v>
      </c>
      <c r="E164" s="151"/>
      <c r="F164" s="152"/>
      <c r="G164" s="152"/>
      <c r="H164" s="152"/>
      <c r="I164" s="152"/>
      <c r="J164" s="151"/>
      <c r="K164" s="151"/>
      <c r="L164" s="152"/>
      <c r="M164" s="151"/>
      <c r="O164" s="69"/>
      <c r="P164" s="69"/>
      <c r="Q164" s="69"/>
    </row>
    <row r="165" spans="2:17">
      <c r="C165" s="151"/>
      <c r="D165" s="151" t="s">
        <v>1342</v>
      </c>
      <c r="E165" s="151"/>
      <c r="F165" s="152"/>
      <c r="G165" s="152"/>
      <c r="H165" s="152"/>
      <c r="I165" s="152"/>
      <c r="J165" s="151"/>
      <c r="K165" s="151"/>
      <c r="L165" s="152"/>
      <c r="M165" s="151"/>
      <c r="O165" s="69"/>
      <c r="P165" s="69"/>
      <c r="Q165" s="69"/>
    </row>
    <row r="166" spans="2:17">
      <c r="C166" s="151"/>
      <c r="D166" s="151" t="s">
        <v>382</v>
      </c>
      <c r="E166" s="151"/>
      <c r="F166" s="152"/>
      <c r="G166" s="152"/>
      <c r="H166" s="152"/>
      <c r="I166" s="152"/>
      <c r="J166" s="151"/>
      <c r="K166" s="151"/>
      <c r="L166" s="152"/>
      <c r="M166" s="151"/>
      <c r="O166" s="69"/>
      <c r="P166" s="69"/>
      <c r="Q166" s="69"/>
    </row>
    <row r="167" spans="2:17">
      <c r="B167" s="144" t="str">
        <f>'Autoproducers Calculations'!$C$232</f>
        <v>CHPAUTOGENGAS00</v>
      </c>
      <c r="C167" s="151" t="s">
        <v>113</v>
      </c>
      <c r="D167" s="151"/>
      <c r="E167" s="151"/>
      <c r="F167" s="152">
        <v>31.536000000000001</v>
      </c>
      <c r="G167" s="152">
        <f>'Autoproducers Calculations'!H$209</f>
        <v>0</v>
      </c>
      <c r="H167" s="152">
        <f>'Autoproducers Calculations'!H$207</f>
        <v>0</v>
      </c>
      <c r="I167" s="152">
        <f>'Autoproducers Calculations'!H$206</f>
        <v>0</v>
      </c>
      <c r="J167" s="151">
        <v>20</v>
      </c>
      <c r="K167" s="151">
        <v>1</v>
      </c>
      <c r="L167" s="152">
        <f>'Autoproducers Calculations'!H$235</f>
        <v>0</v>
      </c>
      <c r="M167" s="151">
        <v>0</v>
      </c>
      <c r="O167" s="69">
        <f t="shared" ref="O167" si="38">L167*F167*I167</f>
        <v>0</v>
      </c>
      <c r="P167" s="69">
        <f t="shared" ref="P167" si="39">O167*H167</f>
        <v>0</v>
      </c>
      <c r="Q167" s="69" t="e">
        <f>O167/G167</f>
        <v>#DIV/0!</v>
      </c>
    </row>
    <row r="168" spans="2:17">
      <c r="C168" s="151"/>
      <c r="D168" s="151" t="s">
        <v>105</v>
      </c>
      <c r="E168" s="151"/>
      <c r="F168" s="152"/>
      <c r="G168" s="152"/>
      <c r="H168" s="152"/>
      <c r="I168" s="152"/>
      <c r="J168" s="151"/>
      <c r="K168" s="151"/>
      <c r="L168" s="152"/>
      <c r="M168" s="151"/>
      <c r="O168" s="69"/>
      <c r="P168" s="69"/>
      <c r="Q168" s="69"/>
    </row>
    <row r="169" spans="2:17">
      <c r="C169" s="151"/>
      <c r="D169" s="151" t="s">
        <v>106</v>
      </c>
      <c r="E169" s="151"/>
      <c r="F169" s="152"/>
      <c r="G169" s="152"/>
      <c r="H169" s="152"/>
      <c r="I169" s="152"/>
      <c r="J169" s="151"/>
      <c r="K169" s="151"/>
      <c r="L169" s="152"/>
      <c r="M169" s="151"/>
      <c r="O169" s="69"/>
      <c r="P169" s="69"/>
      <c r="Q169" s="69"/>
    </row>
    <row r="170" spans="2:17">
      <c r="C170" s="151"/>
      <c r="D170" s="151" t="s">
        <v>1342</v>
      </c>
      <c r="E170" s="151"/>
      <c r="F170" s="152"/>
      <c r="G170" s="152"/>
      <c r="H170" s="152"/>
      <c r="I170" s="152"/>
      <c r="J170" s="151"/>
      <c r="K170" s="151"/>
      <c r="L170" s="152"/>
      <c r="M170" s="151"/>
      <c r="O170" s="69"/>
      <c r="P170" s="69"/>
      <c r="Q170" s="69"/>
    </row>
    <row r="171" spans="2:17">
      <c r="C171" s="151"/>
      <c r="D171" s="151" t="s">
        <v>378</v>
      </c>
      <c r="E171" s="151"/>
      <c r="F171" s="152"/>
      <c r="G171" s="152"/>
      <c r="H171" s="152"/>
      <c r="I171" s="152"/>
      <c r="J171" s="151"/>
      <c r="K171" s="151"/>
      <c r="L171" s="152"/>
      <c r="M171" s="151"/>
      <c r="O171" s="69"/>
      <c r="P171" s="69"/>
      <c r="Q171" s="69"/>
    </row>
    <row r="172" spans="2:17">
      <c r="C172" s="151"/>
      <c r="D172" s="151" t="s">
        <v>421</v>
      </c>
      <c r="E172" s="151"/>
      <c r="F172" s="152"/>
      <c r="G172" s="152"/>
      <c r="H172" s="152"/>
      <c r="I172" s="152"/>
      <c r="J172" s="151"/>
      <c r="K172" s="151"/>
      <c r="L172" s="152"/>
      <c r="M172" s="151"/>
      <c r="O172" s="69"/>
      <c r="P172" s="69"/>
      <c r="Q172" s="69"/>
    </row>
    <row r="173" spans="2:17">
      <c r="C173" s="151"/>
      <c r="D173" s="151" t="s">
        <v>380</v>
      </c>
      <c r="E173" s="151"/>
      <c r="F173" s="152"/>
      <c r="G173" s="152"/>
      <c r="H173" s="152"/>
      <c r="I173" s="152"/>
      <c r="J173" s="151"/>
      <c r="K173" s="151"/>
      <c r="L173" s="152"/>
      <c r="M173" s="151"/>
      <c r="O173" s="69"/>
      <c r="P173" s="69"/>
      <c r="Q173" s="69"/>
    </row>
    <row r="174" spans="2:17">
      <c r="C174" s="151"/>
      <c r="D174" s="151" t="s">
        <v>379</v>
      </c>
      <c r="E174" s="151"/>
      <c r="F174" s="152"/>
      <c r="G174" s="152"/>
      <c r="H174" s="152"/>
      <c r="I174" s="152"/>
      <c r="J174" s="151"/>
      <c r="K174" s="151"/>
      <c r="L174" s="152"/>
      <c r="M174" s="151"/>
      <c r="O174" s="69"/>
      <c r="P174" s="69"/>
      <c r="Q174" s="69"/>
    </row>
    <row r="175" spans="2:17">
      <c r="C175" s="151"/>
      <c r="D175" s="151" t="s">
        <v>381</v>
      </c>
      <c r="E175" s="151"/>
      <c r="F175" s="152"/>
      <c r="G175" s="152"/>
      <c r="H175" s="152"/>
      <c r="I175" s="152"/>
      <c r="J175" s="151"/>
      <c r="K175" s="151"/>
      <c r="L175" s="152"/>
      <c r="M175" s="151"/>
      <c r="O175" s="69"/>
      <c r="P175" s="69"/>
      <c r="Q175" s="69"/>
    </row>
    <row r="176" spans="2:17">
      <c r="C176" s="151"/>
      <c r="D176" s="151" t="s">
        <v>382</v>
      </c>
      <c r="E176" s="151"/>
      <c r="F176" s="152"/>
      <c r="G176" s="152"/>
      <c r="H176" s="152"/>
      <c r="I176" s="152"/>
      <c r="J176" s="151"/>
      <c r="K176" s="151"/>
      <c r="L176" s="152"/>
      <c r="M176" s="151"/>
      <c r="O176" s="69"/>
      <c r="P176" s="69"/>
      <c r="Q176" s="69"/>
    </row>
    <row r="177" spans="1:17">
      <c r="B177" s="144" t="str">
        <f>'Autoproducers Calculations'!$C$241</f>
        <v>CHPAUTOGENBIO00</v>
      </c>
      <c r="C177" s="151" t="s">
        <v>116</v>
      </c>
      <c r="D177" s="151"/>
      <c r="E177" s="151"/>
      <c r="F177" s="152">
        <v>31.536000000000001</v>
      </c>
      <c r="G177" s="152">
        <f>'Autoproducers Calculations'!H$209</f>
        <v>0</v>
      </c>
      <c r="H177" s="152">
        <f>'Autoproducers Calculations'!H$207</f>
        <v>0</v>
      </c>
      <c r="I177" s="152">
        <f>'Autoproducers Calculations'!H$206</f>
        <v>0</v>
      </c>
      <c r="J177" s="151">
        <v>20</v>
      </c>
      <c r="K177" s="151">
        <v>1</v>
      </c>
      <c r="L177" s="152">
        <f>'Autoproducers Calculations'!H$244</f>
        <v>0</v>
      </c>
      <c r="M177" s="151">
        <v>0</v>
      </c>
      <c r="O177" s="69">
        <f t="shared" ref="O177" si="40">L177*F177*I177</f>
        <v>0</v>
      </c>
      <c r="P177" s="69">
        <f t="shared" ref="P177" si="41">O177*H177</f>
        <v>0</v>
      </c>
      <c r="Q177" s="69" t="e">
        <f>O177/G177</f>
        <v>#DIV/0!</v>
      </c>
    </row>
    <row r="178" spans="1:17">
      <c r="C178" s="151"/>
      <c r="D178" s="151" t="s">
        <v>105</v>
      </c>
      <c r="E178" s="151"/>
      <c r="F178" s="152"/>
      <c r="G178" s="152"/>
      <c r="H178" s="152"/>
      <c r="I178" s="152"/>
      <c r="J178" s="151"/>
      <c r="K178" s="151"/>
      <c r="L178" s="152"/>
      <c r="M178" s="151"/>
      <c r="O178" s="69"/>
      <c r="P178" s="69"/>
      <c r="Q178" s="69"/>
    </row>
    <row r="179" spans="1:17">
      <c r="C179" s="151"/>
      <c r="D179" s="151" t="s">
        <v>106</v>
      </c>
      <c r="E179" s="151"/>
      <c r="F179" s="152"/>
      <c r="G179" s="152"/>
      <c r="H179" s="152"/>
      <c r="I179" s="152"/>
      <c r="J179" s="151"/>
      <c r="K179" s="151"/>
      <c r="L179" s="152"/>
      <c r="M179" s="151"/>
      <c r="O179" s="69"/>
      <c r="P179" s="69"/>
      <c r="Q179" s="69"/>
    </row>
    <row r="180" spans="1:17">
      <c r="C180" s="151"/>
      <c r="D180" s="151" t="s">
        <v>380</v>
      </c>
      <c r="E180" s="151"/>
      <c r="F180" s="152"/>
      <c r="G180" s="152"/>
      <c r="H180" s="152"/>
      <c r="I180" s="152"/>
      <c r="J180" s="151"/>
      <c r="K180" s="151"/>
      <c r="L180" s="151"/>
      <c r="M180" s="151"/>
      <c r="O180" s="69"/>
      <c r="P180" s="69"/>
      <c r="Q180" s="69"/>
    </row>
    <row r="181" spans="1:17">
      <c r="C181" s="151"/>
      <c r="D181" s="151" t="s">
        <v>379</v>
      </c>
      <c r="E181" s="151"/>
      <c r="F181" s="152"/>
      <c r="G181" s="152"/>
      <c r="H181" s="152"/>
      <c r="I181" s="152"/>
      <c r="J181" s="151"/>
      <c r="K181" s="151"/>
      <c r="L181" s="151"/>
      <c r="M181" s="151"/>
      <c r="O181" s="69"/>
      <c r="P181" s="69"/>
      <c r="Q181" s="69"/>
    </row>
    <row r="182" spans="1:17">
      <c r="C182" s="151"/>
      <c r="D182" s="151" t="s">
        <v>381</v>
      </c>
      <c r="E182" s="151"/>
      <c r="F182" s="152"/>
      <c r="G182" s="152"/>
      <c r="H182" s="152"/>
      <c r="I182" s="152"/>
      <c r="J182" s="151"/>
      <c r="K182" s="151"/>
      <c r="L182" s="151"/>
      <c r="M182" s="151"/>
      <c r="O182" s="69"/>
      <c r="P182" s="69"/>
      <c r="Q182" s="69"/>
    </row>
    <row r="183" spans="1:17">
      <c r="C183" s="151"/>
      <c r="D183" s="151" t="s">
        <v>382</v>
      </c>
      <c r="E183" s="151"/>
      <c r="F183" s="152"/>
      <c r="G183" s="152"/>
      <c r="H183" s="152"/>
      <c r="I183" s="152"/>
      <c r="J183" s="151"/>
      <c r="K183" s="151"/>
      <c r="L183" s="151"/>
      <c r="M183" s="151"/>
      <c r="O183" s="69"/>
      <c r="P183" s="69"/>
      <c r="Q183" s="69"/>
    </row>
    <row r="184" spans="1:17">
      <c r="B184" s="144" t="str">
        <f>'Autoproducers Calculations'!$C$250</f>
        <v>CHPAUTOGENWASTE00</v>
      </c>
      <c r="C184" s="151" t="s">
        <v>117</v>
      </c>
      <c r="D184" s="151"/>
      <c r="E184" s="151"/>
      <c r="F184" s="152">
        <v>31.536000000000001</v>
      </c>
      <c r="G184" s="152">
        <f>'Autoproducers Calculations'!H$209</f>
        <v>0</v>
      </c>
      <c r="H184" s="152">
        <f>'Autoproducers Calculations'!H$207</f>
        <v>0</v>
      </c>
      <c r="I184" s="152">
        <f>'Autoproducers Calculations'!H$206</f>
        <v>0</v>
      </c>
      <c r="J184" s="151">
        <v>20</v>
      </c>
      <c r="K184" s="151">
        <v>1</v>
      </c>
      <c r="L184" s="152">
        <f>'Autoproducers Calculations'!H$253</f>
        <v>0</v>
      </c>
      <c r="M184" s="151">
        <v>0</v>
      </c>
      <c r="O184" s="69">
        <f t="shared" ref="O184" si="42">L184*F184*I184</f>
        <v>0</v>
      </c>
      <c r="P184" s="69">
        <f t="shared" ref="P184" si="43">O184*H184</f>
        <v>0</v>
      </c>
      <c r="Q184" s="69" t="e">
        <f>O184/G184</f>
        <v>#DIV/0!</v>
      </c>
    </row>
    <row r="185" spans="1:17">
      <c r="C185" s="151" t="s">
        <v>118</v>
      </c>
      <c r="D185" s="151"/>
      <c r="E185" s="151"/>
      <c r="F185" s="152"/>
      <c r="G185" s="152"/>
      <c r="H185" s="152"/>
      <c r="I185" s="152"/>
      <c r="J185" s="151"/>
      <c r="K185" s="151"/>
      <c r="L185" s="151"/>
      <c r="M185" s="151"/>
      <c r="O185" s="69"/>
      <c r="P185" s="69"/>
      <c r="Q185" s="69"/>
    </row>
    <row r="186" spans="1:17">
      <c r="C186" s="151"/>
      <c r="D186" s="151" t="s">
        <v>105</v>
      </c>
      <c r="E186" s="151"/>
      <c r="F186" s="152"/>
      <c r="G186" s="152"/>
      <c r="H186" s="152"/>
      <c r="I186" s="152"/>
      <c r="J186" s="151"/>
      <c r="K186" s="151"/>
      <c r="L186" s="151"/>
      <c r="M186" s="151"/>
      <c r="O186" s="719">
        <f>SUM(O144:O184)</f>
        <v>0</v>
      </c>
      <c r="P186" s="719">
        <f>SUM(P144:P184)</f>
        <v>0</v>
      </c>
      <c r="Q186" s="719" t="e">
        <f>SUM(Q144:Q184)</f>
        <v>#DIV/0!</v>
      </c>
    </row>
    <row r="187" spans="1:17">
      <c r="C187" s="151"/>
      <c r="D187" s="151" t="s">
        <v>106</v>
      </c>
      <c r="E187" s="151"/>
      <c r="F187" s="152"/>
      <c r="G187" s="152"/>
      <c r="H187" s="152"/>
      <c r="I187" s="152"/>
      <c r="J187" s="151"/>
      <c r="K187" s="151"/>
      <c r="L187" s="151"/>
      <c r="M187" s="151"/>
    </row>
    <row r="188" spans="1:17">
      <c r="C188" s="151"/>
      <c r="D188" s="151" t="s">
        <v>381</v>
      </c>
      <c r="E188" s="151"/>
      <c r="F188" s="152"/>
      <c r="G188" s="152"/>
      <c r="H188" s="152"/>
      <c r="I188" s="152"/>
      <c r="J188" s="151"/>
      <c r="K188" s="151"/>
      <c r="L188" s="151"/>
      <c r="M188" s="151"/>
    </row>
    <row r="189" spans="1:17">
      <c r="C189" s="151"/>
      <c r="D189" s="151" t="s">
        <v>382</v>
      </c>
      <c r="E189" s="151"/>
      <c r="F189" s="151"/>
      <c r="G189" s="151"/>
      <c r="H189" s="151"/>
      <c r="I189" s="151"/>
      <c r="J189" s="151"/>
      <c r="K189" s="151"/>
      <c r="L189" s="151"/>
      <c r="M189" s="151"/>
      <c r="O189" s="677" t="s">
        <v>390</v>
      </c>
      <c r="P189" s="677" t="s">
        <v>406</v>
      </c>
      <c r="Q189" s="677" t="s">
        <v>1304</v>
      </c>
    </row>
    <row r="190" spans="1:17">
      <c r="A190" s="64" t="s">
        <v>41</v>
      </c>
      <c r="B190" s="144" t="str">
        <f>'Autoproducers Calculations'!$C$205</f>
        <v>CHPAUTOGENSOLID00</v>
      </c>
      <c r="C190" s="151" t="s">
        <v>107</v>
      </c>
      <c r="D190" s="151"/>
      <c r="E190" s="151"/>
      <c r="F190" s="152">
        <v>31.536000000000001</v>
      </c>
      <c r="G190" s="152">
        <f>'Autoproducers Calculations'!I$209</f>
        <v>0.23825719371493057</v>
      </c>
      <c r="H190" s="152">
        <f>'Autoproducers Calculations'!I$207</f>
        <v>1.7585867425071102</v>
      </c>
      <c r="I190" s="152">
        <f>'Autoproducers Calculations'!I$206</f>
        <v>0.77751401381713625</v>
      </c>
      <c r="J190" s="151">
        <v>20</v>
      </c>
      <c r="K190" s="151">
        <v>1</v>
      </c>
      <c r="L190" s="152">
        <f>'Autoproducers Calculations'!I$208</f>
        <v>0.74147947933956482</v>
      </c>
      <c r="M190" s="151">
        <v>0</v>
      </c>
      <c r="O190" s="69">
        <f>L190*F190*I190</f>
        <v>18.180840998248076</v>
      </c>
      <c r="P190" s="69">
        <f t="shared" ref="P190" si="44">O190*H190</f>
        <v>31.972585947148801</v>
      </c>
      <c r="Q190" s="69">
        <f>O190/G190</f>
        <v>76.307626706965451</v>
      </c>
    </row>
    <row r="191" spans="1:17">
      <c r="C191" s="151" t="s">
        <v>108</v>
      </c>
      <c r="D191" s="151"/>
      <c r="E191" s="151">
        <f>'Eurostat Resume'!J10/'Eurostat Resume'!J9</f>
        <v>0</v>
      </c>
      <c r="F191" s="152"/>
      <c r="G191" s="152"/>
      <c r="H191" s="152"/>
      <c r="I191" s="152"/>
      <c r="J191" s="151"/>
      <c r="K191" s="151"/>
      <c r="L191" s="152"/>
      <c r="M191" s="151"/>
      <c r="O191" s="69"/>
      <c r="P191" s="69"/>
      <c r="Q191" s="69"/>
    </row>
    <row r="192" spans="1:17">
      <c r="C192" s="151"/>
      <c r="D192" s="151" t="s">
        <v>105</v>
      </c>
      <c r="E192" s="151"/>
      <c r="F192" s="152"/>
      <c r="G192" s="152"/>
      <c r="H192" s="152"/>
      <c r="I192" s="152"/>
      <c r="J192" s="151"/>
      <c r="K192" s="151"/>
      <c r="L192" s="152"/>
      <c r="M192" s="151"/>
      <c r="O192" s="69"/>
      <c r="P192" s="69"/>
      <c r="Q192" s="69"/>
    </row>
    <row r="193" spans="2:17">
      <c r="C193" s="151"/>
      <c r="D193" s="151" t="s">
        <v>106</v>
      </c>
      <c r="E193" s="151"/>
      <c r="F193" s="152"/>
      <c r="G193" s="152"/>
      <c r="H193" s="152"/>
      <c r="I193" s="152"/>
      <c r="J193" s="151"/>
      <c r="K193" s="151"/>
      <c r="L193" s="152"/>
      <c r="M193" s="151"/>
      <c r="O193" s="69"/>
      <c r="P193" s="69"/>
      <c r="Q193" s="69"/>
    </row>
    <row r="194" spans="2:17">
      <c r="C194" s="151"/>
      <c r="D194" s="151" t="s">
        <v>378</v>
      </c>
      <c r="E194" s="151"/>
      <c r="F194" s="152"/>
      <c r="G194" s="152"/>
      <c r="H194" s="152"/>
      <c r="I194" s="152"/>
      <c r="J194" s="151"/>
      <c r="K194" s="151"/>
      <c r="L194" s="152"/>
      <c r="M194" s="151"/>
      <c r="O194" s="69"/>
      <c r="P194" s="69"/>
      <c r="Q194" s="69"/>
    </row>
    <row r="195" spans="2:17">
      <c r="C195" s="151"/>
      <c r="D195" s="151" t="s">
        <v>380</v>
      </c>
      <c r="E195" s="151"/>
      <c r="F195" s="152"/>
      <c r="G195" s="152"/>
      <c r="H195" s="152"/>
      <c r="I195" s="152"/>
      <c r="J195" s="151"/>
      <c r="K195" s="151"/>
      <c r="L195" s="152"/>
      <c r="M195" s="151"/>
      <c r="O195" s="69"/>
      <c r="P195" s="69"/>
      <c r="Q195" s="69"/>
    </row>
    <row r="196" spans="2:17">
      <c r="C196" s="151"/>
      <c r="D196" s="151" t="s">
        <v>379</v>
      </c>
      <c r="E196" s="151"/>
      <c r="F196" s="152"/>
      <c r="G196" s="152"/>
      <c r="H196" s="152"/>
      <c r="I196" s="152"/>
      <c r="J196" s="151"/>
      <c r="K196" s="151"/>
      <c r="L196" s="152"/>
      <c r="M196" s="151"/>
      <c r="O196" s="69"/>
      <c r="P196" s="69"/>
      <c r="Q196" s="69"/>
    </row>
    <row r="197" spans="2:17">
      <c r="C197" s="151"/>
      <c r="D197" s="151" t="s">
        <v>381</v>
      </c>
      <c r="E197" s="151"/>
      <c r="F197" s="152"/>
      <c r="G197" s="152"/>
      <c r="H197" s="152"/>
      <c r="I197" s="152"/>
      <c r="J197" s="151"/>
      <c r="K197" s="151"/>
      <c r="L197" s="152"/>
      <c r="M197" s="151"/>
      <c r="O197" s="69"/>
      <c r="P197" s="69"/>
      <c r="Q197" s="69"/>
    </row>
    <row r="198" spans="2:17">
      <c r="C198" s="151"/>
      <c r="D198" s="151" t="s">
        <v>382</v>
      </c>
      <c r="E198" s="151"/>
      <c r="F198" s="152"/>
      <c r="G198" s="152"/>
      <c r="H198" s="152"/>
      <c r="I198" s="152"/>
      <c r="J198" s="151"/>
      <c r="K198" s="151"/>
      <c r="L198" s="152"/>
      <c r="M198" s="151"/>
      <c r="O198" s="69"/>
      <c r="P198" s="69"/>
      <c r="Q198" s="69"/>
    </row>
    <row r="199" spans="2:17">
      <c r="B199" s="144" t="str">
        <f>'Autoproducers Calculations'!$C$214</f>
        <v>CHPAUTOGENRFG00</v>
      </c>
      <c r="C199" s="151" t="s">
        <v>110</v>
      </c>
      <c r="D199" s="151"/>
      <c r="E199" s="151"/>
      <c r="F199" s="152">
        <v>31.536000000000001</v>
      </c>
      <c r="G199" s="152">
        <f>'Autoproducers Calculations'!I$209</f>
        <v>0.23825719371493057</v>
      </c>
      <c r="H199" s="152">
        <f>'Autoproducers Calculations'!I$207</f>
        <v>1.7585867425071102</v>
      </c>
      <c r="I199" s="152">
        <f>'Autoproducers Calculations'!I$206</f>
        <v>0.77751401381713625</v>
      </c>
      <c r="J199" s="151">
        <v>20</v>
      </c>
      <c r="K199" s="151">
        <v>1</v>
      </c>
      <c r="L199" s="152">
        <f>'Autoproducers Calculations'!I$217</f>
        <v>0</v>
      </c>
      <c r="M199" s="151">
        <v>0</v>
      </c>
      <c r="O199" s="69">
        <f t="shared" ref="O199" si="45">L199*F199*I199</f>
        <v>0</v>
      </c>
      <c r="P199" s="69">
        <f t="shared" ref="P199" si="46">O199*H199</f>
        <v>0</v>
      </c>
      <c r="Q199" s="69">
        <f>O199/G199</f>
        <v>0</v>
      </c>
    </row>
    <row r="200" spans="2:17">
      <c r="C200" s="151"/>
      <c r="D200" s="151" t="s">
        <v>105</v>
      </c>
      <c r="E200" s="151"/>
      <c r="F200" s="152"/>
      <c r="G200" s="152"/>
      <c r="H200" s="152"/>
      <c r="I200" s="152"/>
      <c r="J200" s="151"/>
      <c r="K200" s="151"/>
      <c r="L200" s="152"/>
      <c r="M200" s="151"/>
      <c r="O200" s="69"/>
      <c r="P200" s="69"/>
      <c r="Q200" s="69"/>
    </row>
    <row r="201" spans="2:17">
      <c r="C201" s="151"/>
      <c r="D201" s="151" t="s">
        <v>106</v>
      </c>
      <c r="E201" s="151"/>
      <c r="F201" s="152"/>
      <c r="G201" s="152"/>
      <c r="H201" s="152"/>
      <c r="I201" s="152"/>
      <c r="J201" s="151"/>
      <c r="K201" s="151"/>
      <c r="L201" s="152"/>
      <c r="M201" s="151"/>
      <c r="O201" s="69"/>
      <c r="P201" s="69"/>
      <c r="Q201" s="69"/>
    </row>
    <row r="202" spans="2:17">
      <c r="C202" s="151"/>
      <c r="D202" s="151" t="s">
        <v>1342</v>
      </c>
      <c r="E202" s="151"/>
      <c r="F202" s="152"/>
      <c r="G202" s="152"/>
      <c r="H202" s="152"/>
      <c r="I202" s="152"/>
      <c r="J202" s="151"/>
      <c r="K202" s="151"/>
      <c r="L202" s="152"/>
      <c r="M202" s="151"/>
      <c r="O202" s="69"/>
      <c r="P202" s="69"/>
      <c r="Q202" s="69"/>
    </row>
    <row r="203" spans="2:17">
      <c r="C203" s="151"/>
      <c r="D203" s="151" t="s">
        <v>380</v>
      </c>
      <c r="E203" s="151"/>
      <c r="F203" s="152"/>
      <c r="G203" s="152"/>
      <c r="H203" s="152"/>
      <c r="I203" s="152"/>
      <c r="J203" s="151"/>
      <c r="K203" s="151"/>
      <c r="L203" s="152"/>
      <c r="M203" s="151"/>
      <c r="O203" s="69"/>
      <c r="P203" s="69"/>
      <c r="Q203" s="69"/>
    </row>
    <row r="204" spans="2:17">
      <c r="C204" s="151"/>
      <c r="D204" s="151" t="s">
        <v>379</v>
      </c>
      <c r="E204" s="151"/>
      <c r="F204" s="152"/>
      <c r="G204" s="152"/>
      <c r="H204" s="152"/>
      <c r="I204" s="152"/>
      <c r="J204" s="151"/>
      <c r="K204" s="151"/>
      <c r="L204" s="152"/>
      <c r="M204" s="151"/>
      <c r="O204" s="69"/>
      <c r="P204" s="69"/>
      <c r="Q204" s="69"/>
    </row>
    <row r="205" spans="2:17">
      <c r="B205" s="144" t="str">
        <f>'Autoproducers Calculations'!$C$223</f>
        <v>CHPAUTOGENOIL00</v>
      </c>
      <c r="C205" s="151" t="s">
        <v>111</v>
      </c>
      <c r="D205" s="151"/>
      <c r="E205" s="152">
        <f>'Eurostat Resume'!J13/'Eurostat Resume'!J11</f>
        <v>3.8499506416584409E-2</v>
      </c>
      <c r="F205" s="152">
        <v>31.536000000000001</v>
      </c>
      <c r="G205" s="152">
        <f>'Autoproducers Calculations'!I$209</f>
        <v>0.23825719371493057</v>
      </c>
      <c r="H205" s="152">
        <f>'Autoproducers Calculations'!I$207</f>
        <v>1.7585867425071102</v>
      </c>
      <c r="I205" s="152">
        <f>'Autoproducers Calculations'!I$206</f>
        <v>0.77751401381713625</v>
      </c>
      <c r="J205" s="151">
        <v>20</v>
      </c>
      <c r="K205" s="151">
        <v>1</v>
      </c>
      <c r="L205" s="152">
        <f>'Autoproducers Calculations'!I$226</f>
        <v>1.9250569290352636E-2</v>
      </c>
      <c r="M205" s="151">
        <v>0</v>
      </c>
      <c r="O205" s="69">
        <f t="shared" ref="O205" si="47">L205*F205*I205</f>
        <v>0.47201783615831933</v>
      </c>
      <c r="P205" s="69">
        <f t="shared" ref="P205" si="48">O205*H205</f>
        <v>0.83008430889491369</v>
      </c>
      <c r="Q205" s="69">
        <f>O205/G205</f>
        <v>1.9811273221117436</v>
      </c>
    </row>
    <row r="206" spans="2:17">
      <c r="C206" s="151" t="s">
        <v>112</v>
      </c>
      <c r="D206" s="151"/>
      <c r="E206" s="151"/>
      <c r="F206" s="152"/>
      <c r="G206" s="152"/>
      <c r="H206" s="152"/>
      <c r="I206" s="152"/>
      <c r="J206" s="151"/>
      <c r="K206" s="151"/>
      <c r="L206" s="152"/>
      <c r="M206" s="151"/>
      <c r="O206" s="69"/>
      <c r="P206" s="69"/>
      <c r="Q206" s="69"/>
    </row>
    <row r="207" spans="2:17">
      <c r="C207" s="151"/>
      <c r="D207" s="151" t="s">
        <v>105</v>
      </c>
      <c r="E207" s="151"/>
      <c r="F207" s="152"/>
      <c r="G207" s="152"/>
      <c r="H207" s="152"/>
      <c r="I207" s="152"/>
      <c r="J207" s="151"/>
      <c r="K207" s="151"/>
      <c r="L207" s="152"/>
      <c r="M207" s="151"/>
      <c r="O207" s="69"/>
      <c r="P207" s="69"/>
      <c r="Q207" s="69"/>
    </row>
    <row r="208" spans="2:17">
      <c r="C208" s="151"/>
      <c r="D208" s="151" t="s">
        <v>106</v>
      </c>
      <c r="E208" s="151"/>
      <c r="F208" s="152"/>
      <c r="G208" s="152"/>
      <c r="H208" s="152"/>
      <c r="I208" s="152"/>
      <c r="J208" s="151"/>
      <c r="K208" s="151"/>
      <c r="L208" s="152"/>
      <c r="M208" s="151"/>
      <c r="O208" s="69"/>
      <c r="P208" s="69"/>
      <c r="Q208" s="69"/>
    </row>
    <row r="209" spans="2:17">
      <c r="C209" s="151"/>
      <c r="D209" s="151" t="s">
        <v>380</v>
      </c>
      <c r="E209" s="151"/>
      <c r="F209" s="152"/>
      <c r="G209" s="152"/>
      <c r="H209" s="152"/>
      <c r="I209" s="152"/>
      <c r="J209" s="151"/>
      <c r="K209" s="151"/>
      <c r="L209" s="152"/>
      <c r="M209" s="151"/>
      <c r="O209" s="69"/>
      <c r="P209" s="69"/>
      <c r="Q209" s="69"/>
    </row>
    <row r="210" spans="2:17">
      <c r="C210" s="151"/>
      <c r="D210" s="151" t="s">
        <v>379</v>
      </c>
      <c r="E210" s="151"/>
      <c r="F210" s="152"/>
      <c r="G210" s="152"/>
      <c r="H210" s="152"/>
      <c r="I210" s="152"/>
      <c r="J210" s="151"/>
      <c r="K210" s="151"/>
      <c r="L210" s="152"/>
      <c r="M210" s="151"/>
      <c r="O210" s="69"/>
      <c r="P210" s="69"/>
      <c r="Q210" s="69"/>
    </row>
    <row r="211" spans="2:17">
      <c r="C211" s="151"/>
      <c r="D211" s="151" t="s">
        <v>1342</v>
      </c>
      <c r="E211" s="151"/>
      <c r="F211" s="152"/>
      <c r="G211" s="152"/>
      <c r="H211" s="152"/>
      <c r="I211" s="152"/>
      <c r="J211" s="151"/>
      <c r="K211" s="151"/>
      <c r="L211" s="152"/>
      <c r="M211" s="151"/>
      <c r="O211" s="69"/>
      <c r="P211" s="69"/>
      <c r="Q211" s="69"/>
    </row>
    <row r="212" spans="2:17">
      <c r="C212" s="151"/>
      <c r="D212" s="151" t="s">
        <v>382</v>
      </c>
      <c r="E212" s="151"/>
      <c r="F212" s="152"/>
      <c r="G212" s="152"/>
      <c r="H212" s="152"/>
      <c r="I212" s="152"/>
      <c r="J212" s="151"/>
      <c r="K212" s="151"/>
      <c r="L212" s="152"/>
      <c r="M212" s="151"/>
      <c r="O212" s="69"/>
      <c r="P212" s="69"/>
      <c r="Q212" s="69"/>
    </row>
    <row r="213" spans="2:17">
      <c r="B213" s="144" t="str">
        <f>'Autoproducers Calculations'!$C$232</f>
        <v>CHPAUTOGENGAS00</v>
      </c>
      <c r="C213" s="151" t="s">
        <v>113</v>
      </c>
      <c r="D213" s="151"/>
      <c r="E213" s="151"/>
      <c r="F213" s="152">
        <v>31.536000000000001</v>
      </c>
      <c r="G213" s="152">
        <f>'Autoproducers Calculations'!I$209</f>
        <v>0.23825719371493057</v>
      </c>
      <c r="H213" s="152">
        <f>'Autoproducers Calculations'!I$207</f>
        <v>1.7585867425071102</v>
      </c>
      <c r="I213" s="152">
        <f>'Autoproducers Calculations'!I$206</f>
        <v>0.77751401381713625</v>
      </c>
      <c r="J213" s="151">
        <v>20</v>
      </c>
      <c r="K213" s="151">
        <v>1</v>
      </c>
      <c r="L213" s="152">
        <f>'Autoproducers Calculations'!I$235</f>
        <v>0.47609527387088318</v>
      </c>
      <c r="M213" s="151">
        <v>0</v>
      </c>
      <c r="O213" s="69">
        <f t="shared" ref="O213" si="49">L213*F213*I213</f>
        <v>11.673704688326135</v>
      </c>
      <c r="P213" s="69">
        <f t="shared" ref="P213" si="50">O213*H213</f>
        <v>20.529222300833439</v>
      </c>
      <c r="Q213" s="69">
        <f>O213/G213</f>
        <v>48.996231787626371</v>
      </c>
    </row>
    <row r="214" spans="2:17">
      <c r="C214" s="151"/>
      <c r="D214" s="151" t="s">
        <v>105</v>
      </c>
      <c r="E214" s="151"/>
      <c r="F214" s="152"/>
      <c r="G214" s="152"/>
      <c r="H214" s="152"/>
      <c r="I214" s="152"/>
      <c r="J214" s="151"/>
      <c r="K214" s="151"/>
      <c r="L214" s="152"/>
      <c r="M214" s="151"/>
      <c r="O214" s="69"/>
      <c r="P214" s="69"/>
      <c r="Q214" s="69"/>
    </row>
    <row r="215" spans="2:17">
      <c r="C215" s="151"/>
      <c r="D215" s="151" t="s">
        <v>106</v>
      </c>
      <c r="E215" s="151"/>
      <c r="F215" s="152"/>
      <c r="G215" s="152"/>
      <c r="H215" s="152"/>
      <c r="I215" s="152"/>
      <c r="J215" s="151"/>
      <c r="K215" s="151"/>
      <c r="L215" s="152"/>
      <c r="M215" s="151"/>
      <c r="O215" s="69"/>
      <c r="P215" s="69"/>
      <c r="Q215" s="69"/>
    </row>
    <row r="216" spans="2:17">
      <c r="C216" s="151"/>
      <c r="D216" s="151" t="s">
        <v>1342</v>
      </c>
      <c r="E216" s="151"/>
      <c r="F216" s="152"/>
      <c r="G216" s="152"/>
      <c r="H216" s="152"/>
      <c r="I216" s="152"/>
      <c r="J216" s="151"/>
      <c r="K216" s="151"/>
      <c r="L216" s="152"/>
      <c r="M216" s="151"/>
      <c r="O216" s="69"/>
      <c r="P216" s="69"/>
      <c r="Q216" s="69"/>
    </row>
    <row r="217" spans="2:17">
      <c r="C217" s="151"/>
      <c r="D217" s="151" t="s">
        <v>378</v>
      </c>
      <c r="E217" s="151"/>
      <c r="F217" s="152"/>
      <c r="G217" s="152"/>
      <c r="H217" s="152"/>
      <c r="I217" s="152"/>
      <c r="J217" s="151"/>
      <c r="K217" s="151"/>
      <c r="L217" s="152"/>
      <c r="M217" s="151"/>
      <c r="O217" s="69"/>
      <c r="P217" s="69"/>
      <c r="Q217" s="69"/>
    </row>
    <row r="218" spans="2:17">
      <c r="C218" s="151"/>
      <c r="D218" s="151" t="s">
        <v>421</v>
      </c>
      <c r="E218" s="151"/>
      <c r="F218" s="152"/>
      <c r="G218" s="152"/>
      <c r="H218" s="152"/>
      <c r="I218" s="152"/>
      <c r="J218" s="151"/>
      <c r="K218" s="151"/>
      <c r="L218" s="152"/>
      <c r="M218" s="151"/>
      <c r="O218" s="69"/>
      <c r="P218" s="69"/>
      <c r="Q218" s="69"/>
    </row>
    <row r="219" spans="2:17">
      <c r="C219" s="151"/>
      <c r="D219" s="151" t="s">
        <v>380</v>
      </c>
      <c r="E219" s="151"/>
      <c r="F219" s="152"/>
      <c r="G219" s="152"/>
      <c r="H219" s="152"/>
      <c r="I219" s="152"/>
      <c r="J219" s="151"/>
      <c r="K219" s="151"/>
      <c r="L219" s="152"/>
      <c r="M219" s="151"/>
      <c r="O219" s="69"/>
      <c r="P219" s="69"/>
      <c r="Q219" s="69"/>
    </row>
    <row r="220" spans="2:17">
      <c r="C220" s="151"/>
      <c r="D220" s="151" t="s">
        <v>379</v>
      </c>
      <c r="E220" s="151"/>
      <c r="F220" s="152"/>
      <c r="G220" s="152"/>
      <c r="H220" s="152"/>
      <c r="I220" s="152"/>
      <c r="J220" s="151"/>
      <c r="K220" s="151"/>
      <c r="L220" s="152"/>
      <c r="M220" s="151"/>
      <c r="O220" s="69"/>
      <c r="P220" s="69"/>
      <c r="Q220" s="69"/>
    </row>
    <row r="221" spans="2:17">
      <c r="C221" s="151"/>
      <c r="D221" s="151" t="s">
        <v>381</v>
      </c>
      <c r="E221" s="151"/>
      <c r="F221" s="152"/>
      <c r="G221" s="152"/>
      <c r="H221" s="152"/>
      <c r="I221" s="152"/>
      <c r="J221" s="151"/>
      <c r="K221" s="151"/>
      <c r="L221" s="152"/>
      <c r="M221" s="151"/>
      <c r="O221" s="69"/>
      <c r="P221" s="69"/>
      <c r="Q221" s="69"/>
    </row>
    <row r="222" spans="2:17">
      <c r="C222" s="151"/>
      <c r="D222" s="151" t="s">
        <v>382</v>
      </c>
      <c r="E222" s="151"/>
      <c r="F222" s="152"/>
      <c r="G222" s="152"/>
      <c r="H222" s="152"/>
      <c r="I222" s="152"/>
      <c r="J222" s="151"/>
      <c r="K222" s="151"/>
      <c r="L222" s="152"/>
      <c r="M222" s="151"/>
      <c r="O222" s="69"/>
      <c r="P222" s="69"/>
      <c r="Q222" s="69"/>
    </row>
    <row r="223" spans="2:17">
      <c r="B223" s="144" t="str">
        <f>'Autoproducers Calculations'!$C$241</f>
        <v>CHPAUTOGENBIO00</v>
      </c>
      <c r="C223" s="151" t="s">
        <v>116</v>
      </c>
      <c r="D223" s="151"/>
      <c r="E223" s="151"/>
      <c r="F223" s="152">
        <v>31.536000000000001</v>
      </c>
      <c r="G223" s="152">
        <f>'Autoproducers Calculations'!I$209</f>
        <v>0.23825719371493057</v>
      </c>
      <c r="H223" s="152">
        <f>'Autoproducers Calculations'!I$207</f>
        <v>1.7585867425071102</v>
      </c>
      <c r="I223" s="152">
        <f>'Autoproducers Calculations'!I$206</f>
        <v>0.77751401381713625</v>
      </c>
      <c r="J223" s="151">
        <v>20</v>
      </c>
      <c r="K223" s="151">
        <v>1</v>
      </c>
      <c r="L223" s="152">
        <f>'Autoproducers Calculations'!I$244</f>
        <v>6.4821018607495409E-2</v>
      </c>
      <c r="M223" s="151">
        <v>0</v>
      </c>
      <c r="O223" s="69">
        <f t="shared" ref="O223" si="51">L223*F223*I223</f>
        <v>1.5893907592655747</v>
      </c>
      <c r="P223" s="69">
        <f t="shared" ref="P223" si="52">O223*H223</f>
        <v>2.7950815179077497</v>
      </c>
      <c r="Q223" s="69">
        <f>O223/G223</f>
        <v>6.6709035495786351</v>
      </c>
    </row>
    <row r="224" spans="2:17">
      <c r="C224" s="151"/>
      <c r="D224" s="151" t="s">
        <v>105</v>
      </c>
      <c r="E224" s="151"/>
      <c r="F224" s="152"/>
      <c r="G224" s="152"/>
      <c r="H224" s="152"/>
      <c r="I224" s="152"/>
      <c r="J224" s="151"/>
      <c r="K224" s="151"/>
      <c r="L224" s="152"/>
      <c r="M224" s="151"/>
      <c r="O224" s="69"/>
      <c r="P224" s="69"/>
      <c r="Q224" s="69"/>
    </row>
    <row r="225" spans="1:17">
      <c r="C225" s="151"/>
      <c r="D225" s="151" t="s">
        <v>106</v>
      </c>
      <c r="E225" s="151"/>
      <c r="F225" s="152"/>
      <c r="G225" s="152"/>
      <c r="H225" s="152"/>
      <c r="I225" s="152"/>
      <c r="J225" s="151"/>
      <c r="K225" s="151"/>
      <c r="L225" s="152"/>
      <c r="M225" s="151"/>
      <c r="O225" s="69"/>
      <c r="P225" s="69"/>
      <c r="Q225" s="69"/>
    </row>
    <row r="226" spans="1:17">
      <c r="C226" s="151"/>
      <c r="D226" s="151" t="s">
        <v>380</v>
      </c>
      <c r="E226" s="151"/>
      <c r="F226" s="152"/>
      <c r="G226" s="152"/>
      <c r="H226" s="152"/>
      <c r="I226" s="152"/>
      <c r="J226" s="151"/>
      <c r="K226" s="151"/>
      <c r="L226" s="151"/>
      <c r="M226" s="151"/>
      <c r="O226" s="69"/>
      <c r="P226" s="69"/>
      <c r="Q226" s="69"/>
    </row>
    <row r="227" spans="1:17">
      <c r="C227" s="151"/>
      <c r="D227" s="151" t="s">
        <v>379</v>
      </c>
      <c r="E227" s="151"/>
      <c r="F227" s="152"/>
      <c r="G227" s="152"/>
      <c r="H227" s="152"/>
      <c r="I227" s="152"/>
      <c r="J227" s="151"/>
      <c r="K227" s="151"/>
      <c r="L227" s="151"/>
      <c r="M227" s="151"/>
      <c r="O227" s="69"/>
      <c r="P227" s="69"/>
      <c r="Q227" s="69"/>
    </row>
    <row r="228" spans="1:17">
      <c r="C228" s="151"/>
      <c r="D228" s="151" t="s">
        <v>381</v>
      </c>
      <c r="E228" s="151"/>
      <c r="F228" s="152"/>
      <c r="G228" s="152"/>
      <c r="H228" s="152"/>
      <c r="I228" s="152"/>
      <c r="J228" s="151"/>
      <c r="K228" s="151"/>
      <c r="L228" s="151"/>
      <c r="M228" s="151"/>
      <c r="O228" s="69"/>
      <c r="P228" s="69"/>
      <c r="Q228" s="69"/>
    </row>
    <row r="229" spans="1:17">
      <c r="C229" s="151"/>
      <c r="D229" s="151" t="s">
        <v>382</v>
      </c>
      <c r="E229" s="151"/>
      <c r="F229" s="152"/>
      <c r="G229" s="152"/>
      <c r="H229" s="152"/>
      <c r="I229" s="152"/>
      <c r="J229" s="151"/>
      <c r="K229" s="151"/>
      <c r="L229" s="151"/>
      <c r="M229" s="151"/>
      <c r="O229" s="69"/>
      <c r="P229" s="69"/>
      <c r="Q229" s="69"/>
    </row>
    <row r="230" spans="1:17">
      <c r="B230" s="144" t="str">
        <f>'Autoproducers Calculations'!$C$250</f>
        <v>CHPAUTOGENWASTE00</v>
      </c>
      <c r="C230" s="151" t="s">
        <v>117</v>
      </c>
      <c r="D230" s="151"/>
      <c r="E230" s="151"/>
      <c r="F230" s="152">
        <v>31.536000000000001</v>
      </c>
      <c r="G230" s="152">
        <f>'Autoproducers Calculations'!I$209</f>
        <v>0.23825719371493057</v>
      </c>
      <c r="H230" s="152">
        <f>'Autoproducers Calculations'!I$207</f>
        <v>1.7585867425071102</v>
      </c>
      <c r="I230" s="152">
        <f>'Autoproducers Calculations'!I$206</f>
        <v>0.77751401381713625</v>
      </c>
      <c r="J230" s="151">
        <v>20</v>
      </c>
      <c r="K230" s="151">
        <v>1</v>
      </c>
      <c r="L230" s="152">
        <f>'Autoproducers Calculations'!I$253</f>
        <v>3.5536588917037953E-3</v>
      </c>
      <c r="M230" s="151">
        <v>0</v>
      </c>
      <c r="O230" s="69">
        <f t="shared" ref="O230" si="53">L230*F230*I230</f>
        <v>8.7134585746896101E-2</v>
      </c>
      <c r="P230" s="69">
        <f t="shared" ref="P230" si="54">O230*H230</f>
        <v>0.15323372730834048</v>
      </c>
      <c r="Q230" s="69">
        <f>O230/G230</f>
        <v>0.36571649480246415</v>
      </c>
    </row>
    <row r="231" spans="1:17">
      <c r="C231" s="151" t="s">
        <v>118</v>
      </c>
      <c r="D231" s="151"/>
      <c r="E231" s="151"/>
      <c r="F231" s="152"/>
      <c r="G231" s="152"/>
      <c r="H231" s="152"/>
      <c r="I231" s="152"/>
      <c r="J231" s="151"/>
      <c r="K231" s="151"/>
      <c r="L231" s="151"/>
      <c r="M231" s="151"/>
      <c r="O231" s="69"/>
      <c r="P231" s="69"/>
      <c r="Q231" s="69"/>
    </row>
    <row r="232" spans="1:17">
      <c r="C232" s="151"/>
      <c r="D232" s="151" t="s">
        <v>105</v>
      </c>
      <c r="E232" s="151"/>
      <c r="F232" s="152"/>
      <c r="G232" s="152"/>
      <c r="H232" s="152"/>
      <c r="I232" s="152"/>
      <c r="J232" s="151"/>
      <c r="K232" s="151"/>
      <c r="L232" s="151"/>
      <c r="M232" s="151"/>
      <c r="O232" s="719">
        <f>SUM(O190:O230)</f>
        <v>32.003088867744999</v>
      </c>
      <c r="P232" s="719">
        <f>SUM(P190:P230)</f>
        <v>56.280207802093237</v>
      </c>
      <c r="Q232" s="719">
        <f>SUM(Q190:Q230)</f>
        <v>134.32160586108466</v>
      </c>
    </row>
    <row r="233" spans="1:17">
      <c r="C233" s="151"/>
      <c r="D233" s="151" t="s">
        <v>106</v>
      </c>
      <c r="E233" s="151"/>
      <c r="F233" s="152"/>
      <c r="G233" s="152"/>
      <c r="H233" s="152"/>
      <c r="I233" s="152"/>
      <c r="J233" s="151"/>
      <c r="K233" s="151"/>
      <c r="L233" s="151"/>
      <c r="M233" s="151"/>
    </row>
    <row r="234" spans="1:17">
      <c r="C234" s="151"/>
      <c r="D234" s="151" t="s">
        <v>381</v>
      </c>
      <c r="E234" s="151"/>
      <c r="F234" s="152"/>
      <c r="G234" s="152"/>
      <c r="H234" s="152"/>
      <c r="I234" s="152"/>
      <c r="J234" s="151"/>
      <c r="K234" s="151"/>
      <c r="L234" s="151"/>
      <c r="M234" s="151"/>
    </row>
    <row r="235" spans="1:17">
      <c r="C235" s="151"/>
      <c r="D235" s="151" t="s">
        <v>382</v>
      </c>
      <c r="E235" s="151"/>
      <c r="F235" s="151"/>
      <c r="G235" s="151"/>
      <c r="H235" s="151"/>
      <c r="I235" s="151"/>
      <c r="J235" s="151"/>
      <c r="K235" s="151"/>
      <c r="L235" s="151"/>
      <c r="M235" s="151"/>
      <c r="O235" s="677" t="s">
        <v>390</v>
      </c>
      <c r="P235" s="677" t="s">
        <v>406</v>
      </c>
      <c r="Q235" s="677" t="s">
        <v>1304</v>
      </c>
    </row>
    <row r="236" spans="1:17">
      <c r="A236" s="64" t="s">
        <v>43</v>
      </c>
      <c r="B236" s="144" t="str">
        <f>'Autoproducers Calculations'!$C$205</f>
        <v>CHPAUTOGENSOLID00</v>
      </c>
      <c r="C236" s="151" t="s">
        <v>107</v>
      </c>
      <c r="D236" s="151"/>
      <c r="E236" s="151"/>
      <c r="F236" s="152">
        <v>31.536000000000001</v>
      </c>
      <c r="G236" s="152">
        <f>'Autoproducers Calculations'!J$209</f>
        <v>0.17931747403717105</v>
      </c>
      <c r="H236" s="152">
        <f>'Autoproducers Calculations'!J$207</f>
        <v>3.4811238034337091</v>
      </c>
      <c r="I236" s="152">
        <f>'Autoproducers Calculations'!J$206</f>
        <v>0.33965451757672693</v>
      </c>
      <c r="J236" s="151">
        <v>20</v>
      </c>
      <c r="K236" s="151">
        <v>1</v>
      </c>
      <c r="L236" s="152">
        <f>'Autoproducers Calculations'!J$208</f>
        <v>0.44006858905124197</v>
      </c>
      <c r="M236" s="151">
        <v>0</v>
      </c>
      <c r="O236" s="69">
        <f>L236*F236*I236</f>
        <v>4.7137264221537558</v>
      </c>
      <c r="P236" s="69">
        <f t="shared" ref="P236" si="55">O236*H236</f>
        <v>16.409065251033851</v>
      </c>
      <c r="Q236" s="69">
        <f>O236/G236</f>
        <v>26.287044514003352</v>
      </c>
    </row>
    <row r="237" spans="1:17">
      <c r="C237" s="151" t="s">
        <v>108</v>
      </c>
      <c r="D237" s="151"/>
      <c r="E237" s="152">
        <f>'Eurostat Resume'!K10/'Eurostat Resume'!K9</f>
        <v>0.89083596667624243</v>
      </c>
      <c r="F237" s="152"/>
      <c r="G237" s="152"/>
      <c r="H237" s="152"/>
      <c r="I237" s="152"/>
      <c r="J237" s="151"/>
      <c r="K237" s="151"/>
      <c r="L237" s="152"/>
      <c r="M237" s="151"/>
      <c r="O237" s="69"/>
      <c r="P237" s="69"/>
      <c r="Q237" s="69"/>
    </row>
    <row r="238" spans="1:17">
      <c r="C238" s="151"/>
      <c r="D238" s="151" t="s">
        <v>105</v>
      </c>
      <c r="E238" s="151"/>
      <c r="F238" s="152"/>
      <c r="G238" s="152"/>
      <c r="H238" s="152"/>
      <c r="I238" s="152"/>
      <c r="J238" s="151"/>
      <c r="K238" s="151"/>
      <c r="L238" s="152"/>
      <c r="M238" s="151"/>
      <c r="O238" s="69"/>
      <c r="P238" s="69"/>
      <c r="Q238" s="69"/>
    </row>
    <row r="239" spans="1:17">
      <c r="C239" s="151"/>
      <c r="D239" s="151" t="s">
        <v>106</v>
      </c>
      <c r="E239" s="151"/>
      <c r="F239" s="152"/>
      <c r="G239" s="152"/>
      <c r="H239" s="152"/>
      <c r="I239" s="152"/>
      <c r="J239" s="151"/>
      <c r="K239" s="151"/>
      <c r="L239" s="152"/>
      <c r="M239" s="151"/>
      <c r="O239" s="69"/>
      <c r="P239" s="69"/>
      <c r="Q239" s="69"/>
    </row>
    <row r="240" spans="1:17">
      <c r="C240" s="151"/>
      <c r="D240" s="151" t="s">
        <v>378</v>
      </c>
      <c r="E240" s="151"/>
      <c r="F240" s="152"/>
      <c r="G240" s="152"/>
      <c r="H240" s="152"/>
      <c r="I240" s="152"/>
      <c r="J240" s="151"/>
      <c r="K240" s="151"/>
      <c r="L240" s="152"/>
      <c r="M240" s="151"/>
      <c r="O240" s="69"/>
      <c r="P240" s="69"/>
      <c r="Q240" s="69"/>
    </row>
    <row r="241" spans="2:17">
      <c r="C241" s="151"/>
      <c r="D241" s="151" t="s">
        <v>380</v>
      </c>
      <c r="E241" s="151"/>
      <c r="F241" s="152"/>
      <c r="G241" s="152"/>
      <c r="H241" s="152"/>
      <c r="I241" s="152"/>
      <c r="J241" s="151"/>
      <c r="K241" s="151"/>
      <c r="L241" s="152"/>
      <c r="M241" s="151"/>
      <c r="O241" s="69"/>
      <c r="P241" s="69"/>
      <c r="Q241" s="69"/>
    </row>
    <row r="242" spans="2:17">
      <c r="C242" s="151"/>
      <c r="D242" s="151" t="s">
        <v>379</v>
      </c>
      <c r="E242" s="151"/>
      <c r="F242" s="152"/>
      <c r="G242" s="152"/>
      <c r="H242" s="152"/>
      <c r="I242" s="152"/>
      <c r="J242" s="151"/>
      <c r="K242" s="151"/>
      <c r="L242" s="152"/>
      <c r="M242" s="151"/>
      <c r="O242" s="69"/>
      <c r="P242" s="69"/>
      <c r="Q242" s="69"/>
    </row>
    <row r="243" spans="2:17">
      <c r="C243" s="151"/>
      <c r="D243" s="151" t="s">
        <v>381</v>
      </c>
      <c r="E243" s="151"/>
      <c r="F243" s="152"/>
      <c r="G243" s="152"/>
      <c r="H243" s="152"/>
      <c r="I243" s="152"/>
      <c r="J243" s="151"/>
      <c r="K243" s="151"/>
      <c r="L243" s="152"/>
      <c r="M243" s="151"/>
      <c r="O243" s="69"/>
      <c r="P243" s="69"/>
      <c r="Q243" s="69"/>
    </row>
    <row r="244" spans="2:17">
      <c r="C244" s="151"/>
      <c r="D244" s="151" t="s">
        <v>382</v>
      </c>
      <c r="E244" s="151"/>
      <c r="F244" s="152"/>
      <c r="G244" s="152"/>
      <c r="H244" s="152"/>
      <c r="I244" s="152"/>
      <c r="J244" s="151"/>
      <c r="K244" s="151"/>
      <c r="L244" s="152"/>
      <c r="M244" s="151"/>
      <c r="O244" s="69"/>
      <c r="P244" s="69"/>
      <c r="Q244" s="69"/>
    </row>
    <row r="245" spans="2:17">
      <c r="B245" s="144" t="str">
        <f>'Autoproducers Calculations'!$C$214</f>
        <v>CHPAUTOGENRFG00</v>
      </c>
      <c r="C245" s="151" t="s">
        <v>110</v>
      </c>
      <c r="D245" s="151"/>
      <c r="E245" s="151"/>
      <c r="F245" s="152">
        <v>31.536000000000001</v>
      </c>
      <c r="G245" s="152">
        <f>'Autoproducers Calculations'!J$209</f>
        <v>0.17931747403717105</v>
      </c>
      <c r="H245" s="152">
        <f>'Autoproducers Calculations'!J$207</f>
        <v>3.4811238034337091</v>
      </c>
      <c r="I245" s="152">
        <f>'Autoproducers Calculations'!J$206</f>
        <v>0.33965451757672693</v>
      </c>
      <c r="J245" s="151">
        <v>20</v>
      </c>
      <c r="K245" s="151">
        <v>1</v>
      </c>
      <c r="L245" s="152">
        <f>'Autoproducers Calculations'!J$217</f>
        <v>3.630787094958824E-2</v>
      </c>
      <c r="M245" s="151">
        <v>0</v>
      </c>
      <c r="O245" s="69">
        <f t="shared" ref="O245" si="56">L245*F245*I245</f>
        <v>0.38890612710214262</v>
      </c>
      <c r="P245" s="69">
        <f t="shared" ref="P245" si="57">O245*H245</f>
        <v>1.3538303763564843</v>
      </c>
      <c r="Q245" s="69">
        <f>O245/G245</f>
        <v>2.1688133250277972</v>
      </c>
    </row>
    <row r="246" spans="2:17">
      <c r="C246" s="151"/>
      <c r="D246" s="151" t="s">
        <v>105</v>
      </c>
      <c r="E246" s="151"/>
      <c r="F246" s="152"/>
      <c r="G246" s="152"/>
      <c r="H246" s="152"/>
      <c r="I246" s="152"/>
      <c r="J246" s="151"/>
      <c r="K246" s="151"/>
      <c r="L246" s="152"/>
      <c r="M246" s="151"/>
      <c r="O246" s="69"/>
      <c r="P246" s="69"/>
      <c r="Q246" s="69"/>
    </row>
    <row r="247" spans="2:17">
      <c r="C247" s="151"/>
      <c r="D247" s="151" t="s">
        <v>106</v>
      </c>
      <c r="E247" s="151"/>
      <c r="F247" s="152"/>
      <c r="G247" s="152"/>
      <c r="H247" s="152"/>
      <c r="I247" s="152"/>
      <c r="J247" s="151"/>
      <c r="K247" s="151"/>
      <c r="L247" s="152"/>
      <c r="M247" s="151"/>
      <c r="O247" s="69"/>
      <c r="P247" s="69"/>
      <c r="Q247" s="69"/>
    </row>
    <row r="248" spans="2:17">
      <c r="C248" s="151"/>
      <c r="D248" s="151" t="s">
        <v>1342</v>
      </c>
      <c r="E248" s="151"/>
      <c r="F248" s="152"/>
      <c r="G248" s="152"/>
      <c r="H248" s="152"/>
      <c r="I248" s="152"/>
      <c r="J248" s="151"/>
      <c r="K248" s="151"/>
      <c r="L248" s="152"/>
      <c r="M248" s="151"/>
      <c r="O248" s="69"/>
      <c r="P248" s="69"/>
      <c r="Q248" s="69"/>
    </row>
    <row r="249" spans="2:17">
      <c r="C249" s="151"/>
      <c r="D249" s="151" t="s">
        <v>380</v>
      </c>
      <c r="E249" s="151"/>
      <c r="F249" s="152"/>
      <c r="G249" s="152"/>
      <c r="H249" s="152"/>
      <c r="I249" s="152"/>
      <c r="J249" s="151"/>
      <c r="K249" s="151"/>
      <c r="L249" s="152"/>
      <c r="M249" s="151"/>
      <c r="O249" s="69"/>
      <c r="P249" s="69"/>
      <c r="Q249" s="69"/>
    </row>
    <row r="250" spans="2:17">
      <c r="C250" s="151"/>
      <c r="D250" s="151" t="s">
        <v>379</v>
      </c>
      <c r="E250" s="151"/>
      <c r="F250" s="152"/>
      <c r="G250" s="152"/>
      <c r="H250" s="152"/>
      <c r="I250" s="152"/>
      <c r="J250" s="151"/>
      <c r="K250" s="151"/>
      <c r="L250" s="152"/>
      <c r="M250" s="151"/>
      <c r="O250" s="69"/>
      <c r="P250" s="69"/>
      <c r="Q250" s="69"/>
    </row>
    <row r="251" spans="2:17">
      <c r="B251" s="144" t="str">
        <f>'Autoproducers Calculations'!$C$223</f>
        <v>CHPAUTOGENOIL00</v>
      </c>
      <c r="C251" s="151" t="s">
        <v>111</v>
      </c>
      <c r="D251" s="151"/>
      <c r="E251" s="151">
        <f>'Eurostat Resume'!K13/'Eurostat Resume'!K11</f>
        <v>0</v>
      </c>
      <c r="F251" s="152">
        <v>31.536000000000001</v>
      </c>
      <c r="G251" s="152">
        <f>'Autoproducers Calculations'!J$209</f>
        <v>0.17931747403717105</v>
      </c>
      <c r="H251" s="152">
        <f>'Autoproducers Calculations'!J$207</f>
        <v>3.4811238034337091</v>
      </c>
      <c r="I251" s="152">
        <f>'Autoproducers Calculations'!J$206</f>
        <v>0.33965451757672693</v>
      </c>
      <c r="J251" s="151">
        <v>20</v>
      </c>
      <c r="K251" s="151">
        <v>1</v>
      </c>
      <c r="L251" s="152">
        <f>'Autoproducers Calculations'!J$226</f>
        <v>0.63510961725815263</v>
      </c>
      <c r="M251" s="151">
        <v>0</v>
      </c>
      <c r="O251" s="69">
        <f t="shared" ref="O251" si="58">L251*F251*I251</f>
        <v>6.8028781383556556</v>
      </c>
      <c r="P251" s="69">
        <f t="shared" ref="P251" si="59">O251*H251</f>
        <v>23.681661019288669</v>
      </c>
      <c r="Q251" s="69">
        <f>O251/G251</f>
        <v>37.937619715440974</v>
      </c>
    </row>
    <row r="252" spans="2:17">
      <c r="C252" s="151" t="s">
        <v>112</v>
      </c>
      <c r="D252" s="151"/>
      <c r="E252" s="151"/>
      <c r="F252" s="152"/>
      <c r="G252" s="152"/>
      <c r="H252" s="152"/>
      <c r="I252" s="152"/>
      <c r="J252" s="151"/>
      <c r="K252" s="151"/>
      <c r="L252" s="152"/>
      <c r="M252" s="151"/>
      <c r="O252" s="69"/>
      <c r="P252" s="69"/>
      <c r="Q252" s="69"/>
    </row>
    <row r="253" spans="2:17">
      <c r="C253" s="151"/>
      <c r="D253" s="151" t="s">
        <v>105</v>
      </c>
      <c r="E253" s="151"/>
      <c r="F253" s="152"/>
      <c r="G253" s="152"/>
      <c r="H253" s="152"/>
      <c r="I253" s="152"/>
      <c r="J253" s="151"/>
      <c r="K253" s="151"/>
      <c r="L253" s="152"/>
      <c r="M253" s="151"/>
      <c r="O253" s="69"/>
      <c r="P253" s="69"/>
      <c r="Q253" s="69"/>
    </row>
    <row r="254" spans="2:17">
      <c r="C254" s="151"/>
      <c r="D254" s="151" t="s">
        <v>106</v>
      </c>
      <c r="E254" s="151"/>
      <c r="F254" s="152"/>
      <c r="G254" s="152"/>
      <c r="H254" s="152"/>
      <c r="I254" s="152"/>
      <c r="J254" s="151"/>
      <c r="K254" s="151"/>
      <c r="L254" s="152"/>
      <c r="M254" s="151"/>
      <c r="O254" s="69"/>
      <c r="P254" s="69"/>
      <c r="Q254" s="69"/>
    </row>
    <row r="255" spans="2:17">
      <c r="C255" s="151"/>
      <c r="D255" s="151" t="s">
        <v>380</v>
      </c>
      <c r="E255" s="151"/>
      <c r="F255" s="152"/>
      <c r="G255" s="152"/>
      <c r="H255" s="152"/>
      <c r="I255" s="152"/>
      <c r="J255" s="151"/>
      <c r="K255" s="151"/>
      <c r="L255" s="152"/>
      <c r="M255" s="151"/>
      <c r="O255" s="69"/>
      <c r="P255" s="69"/>
      <c r="Q255" s="69"/>
    </row>
    <row r="256" spans="2:17">
      <c r="C256" s="151"/>
      <c r="D256" s="151" t="s">
        <v>379</v>
      </c>
      <c r="E256" s="151"/>
      <c r="F256" s="152"/>
      <c r="G256" s="152"/>
      <c r="H256" s="152"/>
      <c r="I256" s="152"/>
      <c r="J256" s="151"/>
      <c r="K256" s="151"/>
      <c r="L256" s="152"/>
      <c r="M256" s="151"/>
      <c r="O256" s="69"/>
      <c r="P256" s="69"/>
      <c r="Q256" s="69"/>
    </row>
    <row r="257" spans="2:17">
      <c r="C257" s="151"/>
      <c r="D257" s="151" t="s">
        <v>1342</v>
      </c>
      <c r="E257" s="151"/>
      <c r="F257" s="152"/>
      <c r="G257" s="152"/>
      <c r="H257" s="152"/>
      <c r="I257" s="152"/>
      <c r="J257" s="151"/>
      <c r="K257" s="151"/>
      <c r="L257" s="152"/>
      <c r="M257" s="151"/>
      <c r="O257" s="69"/>
      <c r="P257" s="69"/>
      <c r="Q257" s="69"/>
    </row>
    <row r="258" spans="2:17">
      <c r="C258" s="151"/>
      <c r="D258" s="151" t="s">
        <v>382</v>
      </c>
      <c r="E258" s="151"/>
      <c r="F258" s="152"/>
      <c r="G258" s="152"/>
      <c r="H258" s="152"/>
      <c r="I258" s="152"/>
      <c r="J258" s="151"/>
      <c r="K258" s="151"/>
      <c r="L258" s="152"/>
      <c r="M258" s="151"/>
      <c r="O258" s="69"/>
      <c r="P258" s="69"/>
      <c r="Q258" s="69"/>
    </row>
    <row r="259" spans="2:17">
      <c r="B259" s="144" t="str">
        <f>'Autoproducers Calculations'!$C$232</f>
        <v>CHPAUTOGENGAS00</v>
      </c>
      <c r="C259" s="151" t="s">
        <v>113</v>
      </c>
      <c r="D259" s="151"/>
      <c r="E259" s="151"/>
      <c r="F259" s="152">
        <v>31.536000000000001</v>
      </c>
      <c r="G259" s="152">
        <f>'Autoproducers Calculations'!J$209</f>
        <v>0.17931747403717105</v>
      </c>
      <c r="H259" s="152">
        <f>'Autoproducers Calculations'!J$207</f>
        <v>3.4811238034337091</v>
      </c>
      <c r="I259" s="152">
        <f>'Autoproducers Calculations'!J$206</f>
        <v>0.33965451757672693</v>
      </c>
      <c r="J259" s="151">
        <v>20</v>
      </c>
      <c r="K259" s="151">
        <v>1</v>
      </c>
      <c r="L259" s="152">
        <f>'Autoproducers Calculations'!J$235</f>
        <v>5.9394468362791262</v>
      </c>
      <c r="M259" s="151">
        <v>0</v>
      </c>
      <c r="O259" s="69">
        <f t="shared" ref="O259" si="60">L259*F259*I259</f>
        <v>63.619463378438176</v>
      </c>
      <c r="P259" s="69">
        <f t="shared" ref="P259" si="61">O259*H259</f>
        <v>221.46722832836028</v>
      </c>
      <c r="Q259" s="69">
        <f>O259/G259</f>
        <v>354.78674747141696</v>
      </c>
    </row>
    <row r="260" spans="2:17">
      <c r="C260" s="151"/>
      <c r="D260" s="151" t="s">
        <v>105</v>
      </c>
      <c r="E260" s="151"/>
      <c r="F260" s="152"/>
      <c r="G260" s="152"/>
      <c r="H260" s="152"/>
      <c r="I260" s="152"/>
      <c r="J260" s="151"/>
      <c r="K260" s="151"/>
      <c r="L260" s="152"/>
      <c r="M260" s="151"/>
      <c r="O260" s="69"/>
      <c r="P260" s="69"/>
      <c r="Q260" s="69"/>
    </row>
    <row r="261" spans="2:17">
      <c r="C261" s="151"/>
      <c r="D261" s="151" t="s">
        <v>106</v>
      </c>
      <c r="E261" s="151"/>
      <c r="F261" s="152"/>
      <c r="G261" s="152"/>
      <c r="H261" s="152"/>
      <c r="I261" s="152"/>
      <c r="J261" s="151"/>
      <c r="K261" s="151"/>
      <c r="L261" s="152"/>
      <c r="M261" s="151"/>
      <c r="O261" s="69"/>
      <c r="P261" s="69"/>
      <c r="Q261" s="69"/>
    </row>
    <row r="262" spans="2:17">
      <c r="C262" s="151"/>
      <c r="D262" s="151" t="s">
        <v>1342</v>
      </c>
      <c r="E262" s="151"/>
      <c r="F262" s="152"/>
      <c r="G262" s="152"/>
      <c r="H262" s="152"/>
      <c r="I262" s="152"/>
      <c r="J262" s="151"/>
      <c r="K262" s="151"/>
      <c r="L262" s="152"/>
      <c r="M262" s="151"/>
      <c r="O262" s="69"/>
      <c r="P262" s="69"/>
      <c r="Q262" s="69"/>
    </row>
    <row r="263" spans="2:17">
      <c r="C263" s="151"/>
      <c r="D263" s="151" t="s">
        <v>378</v>
      </c>
      <c r="E263" s="151"/>
      <c r="F263" s="152"/>
      <c r="G263" s="152"/>
      <c r="H263" s="152"/>
      <c r="I263" s="152"/>
      <c r="J263" s="151"/>
      <c r="K263" s="151"/>
      <c r="L263" s="152"/>
      <c r="M263" s="151"/>
      <c r="O263" s="69"/>
      <c r="P263" s="69"/>
      <c r="Q263" s="69"/>
    </row>
    <row r="264" spans="2:17">
      <c r="C264" s="151"/>
      <c r="D264" s="151" t="s">
        <v>421</v>
      </c>
      <c r="E264" s="151"/>
      <c r="F264" s="152"/>
      <c r="G264" s="152"/>
      <c r="H264" s="152"/>
      <c r="I264" s="152"/>
      <c r="J264" s="151"/>
      <c r="K264" s="151"/>
      <c r="L264" s="152"/>
      <c r="M264" s="151"/>
      <c r="O264" s="69"/>
      <c r="P264" s="69"/>
      <c r="Q264" s="69"/>
    </row>
    <row r="265" spans="2:17">
      <c r="C265" s="151"/>
      <c r="D265" s="151" t="s">
        <v>380</v>
      </c>
      <c r="E265" s="151"/>
      <c r="F265" s="152"/>
      <c r="G265" s="152"/>
      <c r="H265" s="152"/>
      <c r="I265" s="152"/>
      <c r="J265" s="151"/>
      <c r="K265" s="151"/>
      <c r="L265" s="152"/>
      <c r="M265" s="151"/>
      <c r="O265" s="69"/>
      <c r="P265" s="69"/>
      <c r="Q265" s="69"/>
    </row>
    <row r="266" spans="2:17">
      <c r="C266" s="151"/>
      <c r="D266" s="151" t="s">
        <v>379</v>
      </c>
      <c r="E266" s="151"/>
      <c r="F266" s="152"/>
      <c r="G266" s="152"/>
      <c r="H266" s="152"/>
      <c r="I266" s="152"/>
      <c r="J266" s="151"/>
      <c r="K266" s="151"/>
      <c r="L266" s="152"/>
      <c r="M266" s="151"/>
      <c r="O266" s="69"/>
      <c r="P266" s="69"/>
      <c r="Q266" s="69"/>
    </row>
    <row r="267" spans="2:17">
      <c r="C267" s="151"/>
      <c r="D267" s="151" t="s">
        <v>381</v>
      </c>
      <c r="E267" s="151"/>
      <c r="F267" s="152"/>
      <c r="G267" s="152"/>
      <c r="H267" s="152"/>
      <c r="I267" s="152"/>
      <c r="J267" s="151"/>
      <c r="K267" s="151"/>
      <c r="L267" s="152"/>
      <c r="M267" s="151"/>
      <c r="O267" s="69"/>
      <c r="P267" s="69"/>
      <c r="Q267" s="69"/>
    </row>
    <row r="268" spans="2:17">
      <c r="C268" s="151"/>
      <c r="D268" s="151" t="s">
        <v>382</v>
      </c>
      <c r="E268" s="151"/>
      <c r="F268" s="152"/>
      <c r="G268" s="152"/>
      <c r="H268" s="152"/>
      <c r="I268" s="152"/>
      <c r="J268" s="151"/>
      <c r="K268" s="151"/>
      <c r="L268" s="152"/>
      <c r="M268" s="151"/>
      <c r="O268" s="69"/>
      <c r="P268" s="69"/>
      <c r="Q268" s="69"/>
    </row>
    <row r="269" spans="2:17">
      <c r="B269" s="144" t="str">
        <f>'Autoproducers Calculations'!$C$241</f>
        <v>CHPAUTOGENBIO00</v>
      </c>
      <c r="C269" s="151" t="s">
        <v>116</v>
      </c>
      <c r="D269" s="151"/>
      <c r="E269" s="151"/>
      <c r="F269" s="152">
        <v>31.536000000000001</v>
      </c>
      <c r="G269" s="152">
        <f>'Autoproducers Calculations'!J$209</f>
        <v>0.17931747403717105</v>
      </c>
      <c r="H269" s="152">
        <f>'Autoproducers Calculations'!J$207</f>
        <v>3.4811238034337091</v>
      </c>
      <c r="I269" s="152">
        <f>'Autoproducers Calculations'!J$206</f>
        <v>0.33965451757672693</v>
      </c>
      <c r="J269" s="151">
        <v>20</v>
      </c>
      <c r="K269" s="151">
        <v>1</v>
      </c>
      <c r="L269" s="152">
        <f>'Autoproducers Calculations'!J$244</f>
        <v>0.91298113657289826</v>
      </c>
      <c r="M269" s="151">
        <v>0</v>
      </c>
      <c r="O269" s="69">
        <f t="shared" ref="O269" si="62">L269*F269*I269</f>
        <v>9.7792558102585421</v>
      </c>
      <c r="P269" s="69">
        <f t="shared" ref="P269" si="63">O269*H269</f>
        <v>34.042800180958416</v>
      </c>
      <c r="Q269" s="69">
        <f>O269/G269</f>
        <v>54.535989104058999</v>
      </c>
    </row>
    <row r="270" spans="2:17">
      <c r="C270" s="151"/>
      <c r="D270" s="151" t="s">
        <v>105</v>
      </c>
      <c r="E270" s="151"/>
      <c r="F270" s="152"/>
      <c r="G270" s="152"/>
      <c r="H270" s="152"/>
      <c r="I270" s="152"/>
      <c r="J270" s="151"/>
      <c r="K270" s="151"/>
      <c r="L270" s="152"/>
      <c r="M270" s="151"/>
      <c r="O270" s="69"/>
      <c r="P270" s="69"/>
      <c r="Q270" s="69"/>
    </row>
    <row r="271" spans="2:17">
      <c r="C271" s="151"/>
      <c r="D271" s="151" t="s">
        <v>106</v>
      </c>
      <c r="E271" s="151"/>
      <c r="F271" s="152"/>
      <c r="G271" s="152"/>
      <c r="H271" s="152"/>
      <c r="I271" s="152"/>
      <c r="J271" s="151"/>
      <c r="K271" s="151"/>
      <c r="L271" s="152"/>
      <c r="M271" s="151"/>
      <c r="O271" s="69"/>
      <c r="P271" s="69"/>
      <c r="Q271" s="69"/>
    </row>
    <row r="272" spans="2:17">
      <c r="C272" s="151"/>
      <c r="D272" s="151" t="s">
        <v>380</v>
      </c>
      <c r="E272" s="151"/>
      <c r="F272" s="152"/>
      <c r="G272" s="152"/>
      <c r="H272" s="152"/>
      <c r="I272" s="152"/>
      <c r="J272" s="151"/>
      <c r="K272" s="151"/>
      <c r="L272" s="151"/>
      <c r="M272" s="151"/>
      <c r="O272" s="69"/>
      <c r="P272" s="69"/>
      <c r="Q272" s="69"/>
    </row>
    <row r="273" spans="1:17">
      <c r="C273" s="151"/>
      <c r="D273" s="151" t="s">
        <v>379</v>
      </c>
      <c r="E273" s="151"/>
      <c r="F273" s="152"/>
      <c r="G273" s="152"/>
      <c r="H273" s="152"/>
      <c r="I273" s="152"/>
      <c r="J273" s="151"/>
      <c r="K273" s="151"/>
      <c r="L273" s="151"/>
      <c r="M273" s="151"/>
      <c r="O273" s="69"/>
      <c r="P273" s="69"/>
      <c r="Q273" s="69"/>
    </row>
    <row r="274" spans="1:17">
      <c r="C274" s="151"/>
      <c r="D274" s="151" t="s">
        <v>381</v>
      </c>
      <c r="E274" s="151"/>
      <c r="F274" s="152"/>
      <c r="G274" s="152"/>
      <c r="H274" s="152"/>
      <c r="I274" s="152"/>
      <c r="J274" s="151"/>
      <c r="K274" s="151"/>
      <c r="L274" s="151"/>
      <c r="M274" s="151"/>
      <c r="O274" s="69"/>
      <c r="P274" s="69"/>
      <c r="Q274" s="69"/>
    </row>
    <row r="275" spans="1:17">
      <c r="C275" s="151"/>
      <c r="D275" s="151" t="s">
        <v>382</v>
      </c>
      <c r="E275" s="151"/>
      <c r="F275" s="152"/>
      <c r="G275" s="152"/>
      <c r="H275" s="152"/>
      <c r="I275" s="152"/>
      <c r="J275" s="151"/>
      <c r="K275" s="151"/>
      <c r="L275" s="151"/>
      <c r="M275" s="151"/>
      <c r="O275" s="69"/>
      <c r="P275" s="69"/>
      <c r="Q275" s="69"/>
    </row>
    <row r="276" spans="1:17">
      <c r="B276" s="144" t="str">
        <f>'Autoproducers Calculations'!$C$250</f>
        <v>CHPAUTOGENWASTE00</v>
      </c>
      <c r="C276" s="151" t="s">
        <v>117</v>
      </c>
      <c r="D276" s="151"/>
      <c r="E276" s="151"/>
      <c r="F276" s="152">
        <v>31.536000000000001</v>
      </c>
      <c r="G276" s="152">
        <f>'Autoproducers Calculations'!J$209</f>
        <v>0.17931747403717105</v>
      </c>
      <c r="H276" s="152">
        <f>'Autoproducers Calculations'!J$207</f>
        <v>3.4811238034337091</v>
      </c>
      <c r="I276" s="152">
        <f>'Autoproducers Calculations'!J$206</f>
        <v>0.33965451757672693</v>
      </c>
      <c r="J276" s="151">
        <v>20</v>
      </c>
      <c r="K276" s="151">
        <v>1</v>
      </c>
      <c r="L276" s="152">
        <f>'Autoproducers Calculations'!J$253</f>
        <v>0</v>
      </c>
      <c r="M276" s="151">
        <v>0</v>
      </c>
      <c r="O276" s="69">
        <f t="shared" ref="O276" si="64">L276*F276*I276</f>
        <v>0</v>
      </c>
      <c r="P276" s="69">
        <f t="shared" ref="P276" si="65">O276*H276</f>
        <v>0</v>
      </c>
      <c r="Q276" s="69">
        <f>O276/G276</f>
        <v>0</v>
      </c>
    </row>
    <row r="277" spans="1:17">
      <c r="C277" s="151" t="s">
        <v>118</v>
      </c>
      <c r="D277" s="151"/>
      <c r="E277" s="151"/>
      <c r="F277" s="152"/>
      <c r="G277" s="152"/>
      <c r="H277" s="152"/>
      <c r="I277" s="152"/>
      <c r="J277" s="151"/>
      <c r="K277" s="151"/>
      <c r="L277" s="151"/>
      <c r="M277" s="151"/>
      <c r="O277" s="69"/>
      <c r="P277" s="69"/>
      <c r="Q277" s="69"/>
    </row>
    <row r="278" spans="1:17">
      <c r="C278" s="151"/>
      <c r="D278" s="151" t="s">
        <v>105</v>
      </c>
      <c r="E278" s="151"/>
      <c r="F278" s="152"/>
      <c r="G278" s="152"/>
      <c r="H278" s="152"/>
      <c r="I278" s="152"/>
      <c r="J278" s="151"/>
      <c r="K278" s="151"/>
      <c r="L278" s="151"/>
      <c r="M278" s="151"/>
      <c r="O278" s="719">
        <f>SUM(O236:O276)</f>
        <v>85.304229876308284</v>
      </c>
      <c r="P278" s="719">
        <f>SUM(P236:P276)</f>
        <v>296.95458515599768</v>
      </c>
      <c r="Q278" s="719">
        <f>SUM(Q236:Q276)</f>
        <v>475.71621412994807</v>
      </c>
    </row>
    <row r="279" spans="1:17">
      <c r="C279" s="151"/>
      <c r="D279" s="151" t="s">
        <v>106</v>
      </c>
      <c r="E279" s="151"/>
      <c r="F279" s="152"/>
      <c r="G279" s="152"/>
      <c r="H279" s="152"/>
      <c r="I279" s="152"/>
      <c r="J279" s="151"/>
      <c r="K279" s="151"/>
      <c r="L279" s="151"/>
      <c r="M279" s="151"/>
      <c r="O279" s="719"/>
      <c r="P279" s="719">
        <f>P278-SUM('CHP Fuel_IN Heat_OUT'!J26:J29)</f>
        <v>184.55013530269622</v>
      </c>
      <c r="Q279" s="719"/>
    </row>
    <row r="280" spans="1:17">
      <c r="C280" s="151"/>
      <c r="D280" s="151" t="s">
        <v>381</v>
      </c>
      <c r="E280" s="151"/>
      <c r="F280" s="152"/>
      <c r="G280" s="152"/>
      <c r="H280" s="152"/>
      <c r="I280" s="152"/>
      <c r="J280" s="151"/>
      <c r="K280" s="151"/>
      <c r="L280" s="151"/>
      <c r="M280" s="151"/>
    </row>
    <row r="281" spans="1:17">
      <c r="C281" s="151"/>
      <c r="D281" s="151" t="s">
        <v>382</v>
      </c>
      <c r="E281" s="151"/>
      <c r="F281" s="151"/>
      <c r="G281" s="151"/>
      <c r="H281" s="151"/>
      <c r="I281" s="151"/>
      <c r="J281" s="151"/>
      <c r="K281" s="151"/>
      <c r="L281" s="151"/>
      <c r="M281" s="151"/>
      <c r="O281" s="677" t="s">
        <v>390</v>
      </c>
      <c r="P281" s="677" t="s">
        <v>406</v>
      </c>
      <c r="Q281" s="677" t="s">
        <v>1304</v>
      </c>
    </row>
    <row r="282" spans="1:17">
      <c r="A282" s="64" t="s">
        <v>42</v>
      </c>
      <c r="B282" s="144" t="str">
        <f>'Autoproducers Calculations'!$C$205</f>
        <v>CHPAUTOGENSOLID00</v>
      </c>
      <c r="C282" s="151" t="s">
        <v>107</v>
      </c>
      <c r="D282" s="151"/>
      <c r="E282" s="151"/>
      <c r="F282" s="152">
        <v>31.536000000000001</v>
      </c>
      <c r="G282" s="152">
        <f>'Autoproducers Calculations'!K$209</f>
        <v>0.22147653718044794</v>
      </c>
      <c r="H282" s="152">
        <f>'Autoproducers Calculations'!K$207</f>
        <v>2.790050054043812</v>
      </c>
      <c r="I282" s="152">
        <f>'Autoproducers Calculations'!K$206</f>
        <v>0.56672393337976723</v>
      </c>
      <c r="J282" s="151">
        <v>20</v>
      </c>
      <c r="K282" s="151">
        <v>1</v>
      </c>
      <c r="L282" s="152">
        <f>'Autoproducers Calculations'!K$208</f>
        <v>1.990351868286379E-3</v>
      </c>
      <c r="M282" s="151">
        <v>0</v>
      </c>
      <c r="O282" s="69">
        <f>L282*F282*I282</f>
        <v>3.5571978528984076E-2</v>
      </c>
      <c r="P282" s="69">
        <f t="shared" ref="P282" si="66">O282*H282</f>
        <v>9.9247600617237336E-2</v>
      </c>
      <c r="Q282" s="69">
        <f>O282/G282</f>
        <v>0.16061285308972398</v>
      </c>
    </row>
    <row r="283" spans="1:17">
      <c r="C283" s="151" t="s">
        <v>108</v>
      </c>
      <c r="D283" s="151"/>
      <c r="E283" s="151">
        <f>'Eurostat Resume'!L10/'Eurostat Resume'!L9</f>
        <v>1</v>
      </c>
      <c r="F283" s="152"/>
      <c r="G283" s="152"/>
      <c r="H283" s="152"/>
      <c r="I283" s="152"/>
      <c r="J283" s="151"/>
      <c r="K283" s="151"/>
      <c r="L283" s="152"/>
      <c r="M283" s="151"/>
      <c r="O283" s="69"/>
      <c r="P283" s="69"/>
      <c r="Q283" s="69"/>
    </row>
    <row r="284" spans="1:17">
      <c r="C284" s="151"/>
      <c r="D284" s="151" t="s">
        <v>105</v>
      </c>
      <c r="E284" s="151"/>
      <c r="F284" s="152"/>
      <c r="G284" s="152"/>
      <c r="H284" s="152"/>
      <c r="I284" s="152"/>
      <c r="J284" s="151"/>
      <c r="K284" s="151"/>
      <c r="L284" s="152"/>
      <c r="M284" s="151"/>
      <c r="O284" s="69"/>
      <c r="P284" s="69"/>
      <c r="Q284" s="69"/>
    </row>
    <row r="285" spans="1:17">
      <c r="C285" s="151"/>
      <c r="D285" s="151" t="s">
        <v>106</v>
      </c>
      <c r="E285" s="151"/>
      <c r="F285" s="152"/>
      <c r="G285" s="152"/>
      <c r="H285" s="152"/>
      <c r="I285" s="152"/>
      <c r="J285" s="151"/>
      <c r="K285" s="151"/>
      <c r="L285" s="152"/>
      <c r="M285" s="151"/>
      <c r="O285" s="69"/>
      <c r="P285" s="69"/>
      <c r="Q285" s="69"/>
    </row>
    <row r="286" spans="1:17">
      <c r="C286" s="151"/>
      <c r="D286" s="151" t="s">
        <v>378</v>
      </c>
      <c r="E286" s="151"/>
      <c r="F286" s="152"/>
      <c r="G286" s="152"/>
      <c r="H286" s="152"/>
      <c r="I286" s="152"/>
      <c r="J286" s="151"/>
      <c r="K286" s="151"/>
      <c r="L286" s="152"/>
      <c r="M286" s="151"/>
      <c r="O286" s="69"/>
      <c r="P286" s="69"/>
      <c r="Q286" s="69"/>
    </row>
    <row r="287" spans="1:17">
      <c r="C287" s="151"/>
      <c r="D287" s="151" t="s">
        <v>380</v>
      </c>
      <c r="E287" s="151"/>
      <c r="F287" s="152"/>
      <c r="G287" s="152"/>
      <c r="H287" s="152"/>
      <c r="I287" s="152"/>
      <c r="J287" s="151"/>
      <c r="K287" s="151"/>
      <c r="L287" s="152"/>
      <c r="M287" s="151"/>
      <c r="O287" s="69"/>
      <c r="P287" s="69"/>
      <c r="Q287" s="69"/>
    </row>
    <row r="288" spans="1:17">
      <c r="C288" s="151"/>
      <c r="D288" s="151" t="s">
        <v>379</v>
      </c>
      <c r="E288" s="151"/>
      <c r="F288" s="152"/>
      <c r="G288" s="152"/>
      <c r="H288" s="152"/>
      <c r="I288" s="152"/>
      <c r="J288" s="151"/>
      <c r="K288" s="151"/>
      <c r="L288" s="152"/>
      <c r="M288" s="151"/>
      <c r="O288" s="69"/>
      <c r="P288" s="69"/>
      <c r="Q288" s="69"/>
    </row>
    <row r="289" spans="2:17">
      <c r="C289" s="151"/>
      <c r="D289" s="151" t="s">
        <v>381</v>
      </c>
      <c r="E289" s="151"/>
      <c r="F289" s="152"/>
      <c r="G289" s="152"/>
      <c r="H289" s="152"/>
      <c r="I289" s="152"/>
      <c r="J289" s="151"/>
      <c r="K289" s="151"/>
      <c r="L289" s="152"/>
      <c r="M289" s="151"/>
      <c r="O289" s="69"/>
      <c r="P289" s="69"/>
      <c r="Q289" s="69"/>
    </row>
    <row r="290" spans="2:17">
      <c r="C290" s="151"/>
      <c r="D290" s="151" t="s">
        <v>382</v>
      </c>
      <c r="E290" s="151"/>
      <c r="F290" s="152"/>
      <c r="G290" s="152"/>
      <c r="H290" s="152"/>
      <c r="I290" s="152"/>
      <c r="J290" s="151"/>
      <c r="K290" s="151"/>
      <c r="L290" s="152"/>
      <c r="M290" s="151"/>
      <c r="O290" s="69"/>
      <c r="P290" s="69"/>
      <c r="Q290" s="69"/>
    </row>
    <row r="291" spans="2:17">
      <c r="B291" s="144" t="str">
        <f>'Autoproducers Calculations'!$C$214</f>
        <v>CHPAUTOGENRFG00</v>
      </c>
      <c r="C291" s="151" t="s">
        <v>110</v>
      </c>
      <c r="D291" s="151"/>
      <c r="E291" s="151"/>
      <c r="F291" s="152">
        <v>31.536000000000001</v>
      </c>
      <c r="G291" s="152">
        <f>'Autoproducers Calculations'!K$209</f>
        <v>0.22147653718044794</v>
      </c>
      <c r="H291" s="152">
        <f>'Autoproducers Calculations'!K$207</f>
        <v>2.790050054043812</v>
      </c>
      <c r="I291" s="152">
        <f>'Autoproducers Calculations'!K$206</f>
        <v>0.56672393337976723</v>
      </c>
      <c r="J291" s="151">
        <v>20</v>
      </c>
      <c r="K291" s="151">
        <v>1</v>
      </c>
      <c r="L291" s="152">
        <f>'Autoproducers Calculations'!K$217</f>
        <v>2.3345480560351514E-2</v>
      </c>
      <c r="M291" s="151">
        <v>0</v>
      </c>
      <c r="O291" s="69">
        <f t="shared" ref="O291" si="67">L291*F291*I291</f>
        <v>0.41723523688131697</v>
      </c>
      <c r="P291" s="69">
        <f t="shared" ref="P291" si="68">O291*H291</f>
        <v>1.1641071952097011</v>
      </c>
      <c r="Q291" s="69">
        <f>O291/G291</f>
        <v>1.8838800813531535</v>
      </c>
    </row>
    <row r="292" spans="2:17">
      <c r="C292" s="151"/>
      <c r="D292" s="151" t="s">
        <v>105</v>
      </c>
      <c r="E292" s="151"/>
      <c r="F292" s="152"/>
      <c r="G292" s="152"/>
      <c r="H292" s="152"/>
      <c r="I292" s="152"/>
      <c r="J292" s="151"/>
      <c r="K292" s="151"/>
      <c r="L292" s="152"/>
      <c r="M292" s="151"/>
      <c r="O292" s="69"/>
      <c r="P292" s="69"/>
      <c r="Q292" s="69"/>
    </row>
    <row r="293" spans="2:17">
      <c r="C293" s="151"/>
      <c r="D293" s="151" t="s">
        <v>106</v>
      </c>
      <c r="E293" s="151"/>
      <c r="F293" s="152"/>
      <c r="G293" s="152"/>
      <c r="H293" s="152"/>
      <c r="I293" s="152"/>
      <c r="J293" s="151"/>
      <c r="K293" s="151"/>
      <c r="L293" s="152"/>
      <c r="M293" s="151"/>
      <c r="O293" s="69"/>
      <c r="P293" s="69"/>
      <c r="Q293" s="69"/>
    </row>
    <row r="294" spans="2:17">
      <c r="C294" s="151"/>
      <c r="D294" s="151" t="s">
        <v>1342</v>
      </c>
      <c r="E294" s="151"/>
      <c r="F294" s="152"/>
      <c r="G294" s="152"/>
      <c r="H294" s="152"/>
      <c r="I294" s="152"/>
      <c r="J294" s="151"/>
      <c r="K294" s="151"/>
      <c r="L294" s="152"/>
      <c r="M294" s="151"/>
      <c r="O294" s="69"/>
      <c r="P294" s="69"/>
      <c r="Q294" s="69"/>
    </row>
    <row r="295" spans="2:17">
      <c r="C295" s="151"/>
      <c r="D295" s="151" t="s">
        <v>380</v>
      </c>
      <c r="E295" s="151"/>
      <c r="F295" s="152"/>
      <c r="G295" s="152"/>
      <c r="H295" s="152"/>
      <c r="I295" s="152"/>
      <c r="J295" s="151"/>
      <c r="K295" s="151"/>
      <c r="L295" s="152"/>
      <c r="M295" s="151"/>
      <c r="O295" s="69"/>
      <c r="P295" s="69"/>
      <c r="Q295" s="69"/>
    </row>
    <row r="296" spans="2:17">
      <c r="C296" s="151"/>
      <c r="D296" s="151" t="s">
        <v>379</v>
      </c>
      <c r="E296" s="151"/>
      <c r="F296" s="152"/>
      <c r="G296" s="152"/>
      <c r="H296" s="152"/>
      <c r="I296" s="152"/>
      <c r="J296" s="151"/>
      <c r="K296" s="151"/>
      <c r="L296" s="152"/>
      <c r="M296" s="151"/>
      <c r="O296" s="69"/>
      <c r="P296" s="69"/>
      <c r="Q296" s="69"/>
    </row>
    <row r="297" spans="2:17">
      <c r="B297" s="144" t="str">
        <f>'Autoproducers Calculations'!$C$223</f>
        <v>CHPAUTOGENOIL00</v>
      </c>
      <c r="C297" s="151" t="s">
        <v>111</v>
      </c>
      <c r="D297" s="151"/>
      <c r="E297" s="152">
        <f>'Eurostat Resume'!L13/'Eurostat Resume'!L11</f>
        <v>2.4477499529278857E-2</v>
      </c>
      <c r="F297" s="152">
        <v>31.536000000000001</v>
      </c>
      <c r="G297" s="152">
        <f>'Autoproducers Calculations'!K$209</f>
        <v>0.22147653718044794</v>
      </c>
      <c r="H297" s="152">
        <f>'Autoproducers Calculations'!K$207</f>
        <v>2.790050054043812</v>
      </c>
      <c r="I297" s="152">
        <f>'Autoproducers Calculations'!K$206</f>
        <v>0.56672393337976723</v>
      </c>
      <c r="J297" s="151">
        <v>20</v>
      </c>
      <c r="K297" s="151">
        <v>1</v>
      </c>
      <c r="L297" s="152">
        <f>'Autoproducers Calculations'!K$226</f>
        <v>0.37405146577306803</v>
      </c>
      <c r="M297" s="151">
        <v>0</v>
      </c>
      <c r="O297" s="69">
        <f t="shared" ref="O297" si="69">L297*F297*I297</f>
        <v>6.6851248370823839</v>
      </c>
      <c r="P297" s="69">
        <f t="shared" ref="P297" si="70">O297*H297</f>
        <v>18.651832912991335</v>
      </c>
      <c r="Q297" s="69">
        <f>O297/G297</f>
        <v>30.184347841937228</v>
      </c>
    </row>
    <row r="298" spans="2:17">
      <c r="C298" s="151" t="s">
        <v>112</v>
      </c>
      <c r="D298" s="151"/>
      <c r="E298" s="151"/>
      <c r="F298" s="152"/>
      <c r="G298" s="152"/>
      <c r="H298" s="152"/>
      <c r="I298" s="152"/>
      <c r="J298" s="151"/>
      <c r="K298" s="151"/>
      <c r="L298" s="152"/>
      <c r="M298" s="151"/>
      <c r="O298" s="69"/>
      <c r="P298" s="69"/>
      <c r="Q298" s="69"/>
    </row>
    <row r="299" spans="2:17">
      <c r="C299" s="151"/>
      <c r="D299" s="151" t="s">
        <v>105</v>
      </c>
      <c r="E299" s="151"/>
      <c r="F299" s="152"/>
      <c r="G299" s="152"/>
      <c r="H299" s="152"/>
      <c r="I299" s="152"/>
      <c r="J299" s="151"/>
      <c r="K299" s="151"/>
      <c r="L299" s="152"/>
      <c r="M299" s="151"/>
      <c r="O299" s="69"/>
      <c r="P299" s="69"/>
      <c r="Q299" s="69"/>
    </row>
    <row r="300" spans="2:17">
      <c r="C300" s="151"/>
      <c r="D300" s="151" t="s">
        <v>106</v>
      </c>
      <c r="E300" s="151"/>
      <c r="F300" s="152"/>
      <c r="G300" s="152"/>
      <c r="H300" s="152"/>
      <c r="I300" s="152"/>
      <c r="J300" s="151"/>
      <c r="K300" s="151"/>
      <c r="L300" s="152"/>
      <c r="M300" s="151"/>
      <c r="O300" s="69"/>
      <c r="P300" s="69"/>
      <c r="Q300" s="69"/>
    </row>
    <row r="301" spans="2:17">
      <c r="C301" s="151"/>
      <c r="D301" s="151" t="s">
        <v>380</v>
      </c>
      <c r="E301" s="151"/>
      <c r="F301" s="152"/>
      <c r="G301" s="152"/>
      <c r="H301" s="152"/>
      <c r="I301" s="152"/>
      <c r="J301" s="151"/>
      <c r="K301" s="151"/>
      <c r="L301" s="152"/>
      <c r="M301" s="151"/>
      <c r="O301" s="69"/>
      <c r="P301" s="69"/>
      <c r="Q301" s="69"/>
    </row>
    <row r="302" spans="2:17">
      <c r="C302" s="151"/>
      <c r="D302" s="151" t="s">
        <v>379</v>
      </c>
      <c r="E302" s="151"/>
      <c r="F302" s="152"/>
      <c r="G302" s="152"/>
      <c r="H302" s="152"/>
      <c r="I302" s="152"/>
      <c r="J302" s="151"/>
      <c r="K302" s="151"/>
      <c r="L302" s="152"/>
      <c r="M302" s="151"/>
      <c r="O302" s="69"/>
      <c r="P302" s="69"/>
      <c r="Q302" s="69"/>
    </row>
    <row r="303" spans="2:17">
      <c r="C303" s="151"/>
      <c r="D303" s="151" t="s">
        <v>1342</v>
      </c>
      <c r="E303" s="151"/>
      <c r="F303" s="152"/>
      <c r="G303" s="152"/>
      <c r="H303" s="152"/>
      <c r="I303" s="152"/>
      <c r="J303" s="151"/>
      <c r="K303" s="151"/>
      <c r="L303" s="152"/>
      <c r="M303" s="151"/>
      <c r="O303" s="69"/>
      <c r="P303" s="69"/>
      <c r="Q303" s="69"/>
    </row>
    <row r="304" spans="2:17">
      <c r="C304" s="151"/>
      <c r="D304" s="151" t="s">
        <v>382</v>
      </c>
      <c r="E304" s="151"/>
      <c r="F304" s="152"/>
      <c r="G304" s="152"/>
      <c r="H304" s="152"/>
      <c r="I304" s="152"/>
      <c r="J304" s="151"/>
      <c r="K304" s="151"/>
      <c r="L304" s="152"/>
      <c r="M304" s="151"/>
      <c r="O304" s="69"/>
      <c r="P304" s="69"/>
      <c r="Q304" s="69"/>
    </row>
    <row r="305" spans="2:17">
      <c r="B305" s="144" t="str">
        <f>'Autoproducers Calculations'!$C$232</f>
        <v>CHPAUTOGENGAS00</v>
      </c>
      <c r="C305" s="151" t="s">
        <v>113</v>
      </c>
      <c r="D305" s="151"/>
      <c r="E305" s="151"/>
      <c r="F305" s="152">
        <v>31.536000000000001</v>
      </c>
      <c r="G305" s="152">
        <f>'Autoproducers Calculations'!K$209</f>
        <v>0.22147653718044794</v>
      </c>
      <c r="H305" s="152">
        <f>'Autoproducers Calculations'!K$207</f>
        <v>2.790050054043812</v>
      </c>
      <c r="I305" s="152">
        <f>'Autoproducers Calculations'!K$206</f>
        <v>0.56672393337976723</v>
      </c>
      <c r="J305" s="151">
        <v>20</v>
      </c>
      <c r="K305" s="151">
        <v>1</v>
      </c>
      <c r="L305" s="152">
        <f>'Autoproducers Calculations'!K$235</f>
        <v>0.17360956409015252</v>
      </c>
      <c r="M305" s="151">
        <v>0</v>
      </c>
      <c r="O305" s="69">
        <f t="shared" ref="O305" si="71">L305*F305*I305</f>
        <v>3.1027858865770246</v>
      </c>
      <c r="P305" s="69">
        <f t="shared" ref="P305" si="72">O305*H305</f>
        <v>8.6569279305306051</v>
      </c>
      <c r="Q305" s="69">
        <f>O305/G305</f>
        <v>14.009546681908931</v>
      </c>
    </row>
    <row r="306" spans="2:17">
      <c r="C306" s="151"/>
      <c r="D306" s="151" t="s">
        <v>105</v>
      </c>
      <c r="E306" s="151"/>
      <c r="F306" s="152"/>
      <c r="G306" s="152"/>
      <c r="H306" s="152"/>
      <c r="I306" s="152"/>
      <c r="J306" s="151"/>
      <c r="K306" s="151"/>
      <c r="L306" s="152"/>
      <c r="M306" s="151"/>
      <c r="O306" s="69"/>
      <c r="P306" s="69"/>
      <c r="Q306" s="69"/>
    </row>
    <row r="307" spans="2:17">
      <c r="C307" s="151"/>
      <c r="D307" s="151" t="s">
        <v>106</v>
      </c>
      <c r="E307" s="151"/>
      <c r="F307" s="152"/>
      <c r="G307" s="152"/>
      <c r="H307" s="152"/>
      <c r="I307" s="152"/>
      <c r="J307" s="151"/>
      <c r="K307" s="151"/>
      <c r="L307" s="152"/>
      <c r="M307" s="151"/>
      <c r="O307" s="69"/>
      <c r="P307" s="69"/>
      <c r="Q307" s="69"/>
    </row>
    <row r="308" spans="2:17">
      <c r="C308" s="151"/>
      <c r="D308" s="151" t="s">
        <v>1342</v>
      </c>
      <c r="E308" s="151"/>
      <c r="F308" s="152"/>
      <c r="G308" s="152"/>
      <c r="H308" s="152"/>
      <c r="I308" s="152"/>
      <c r="J308" s="151"/>
      <c r="K308" s="151"/>
      <c r="L308" s="152"/>
      <c r="M308" s="151"/>
      <c r="O308" s="69"/>
      <c r="P308" s="69"/>
      <c r="Q308" s="69"/>
    </row>
    <row r="309" spans="2:17">
      <c r="C309" s="151"/>
      <c r="D309" s="151" t="s">
        <v>378</v>
      </c>
      <c r="E309" s="151"/>
      <c r="F309" s="152"/>
      <c r="G309" s="152"/>
      <c r="H309" s="152"/>
      <c r="I309" s="152"/>
      <c r="J309" s="151"/>
      <c r="K309" s="151"/>
      <c r="L309" s="152"/>
      <c r="M309" s="151"/>
      <c r="O309" s="69"/>
      <c r="P309" s="69"/>
      <c r="Q309" s="69"/>
    </row>
    <row r="310" spans="2:17">
      <c r="C310" s="151"/>
      <c r="D310" s="151" t="s">
        <v>421</v>
      </c>
      <c r="E310" s="151"/>
      <c r="F310" s="152"/>
      <c r="G310" s="152"/>
      <c r="H310" s="152"/>
      <c r="I310" s="152"/>
      <c r="J310" s="151"/>
      <c r="K310" s="151"/>
      <c r="L310" s="152"/>
      <c r="M310" s="151"/>
      <c r="O310" s="69"/>
      <c r="P310" s="69"/>
      <c r="Q310" s="69"/>
    </row>
    <row r="311" spans="2:17">
      <c r="C311" s="151"/>
      <c r="D311" s="151" t="s">
        <v>380</v>
      </c>
      <c r="E311" s="151"/>
      <c r="F311" s="152"/>
      <c r="G311" s="152"/>
      <c r="H311" s="152"/>
      <c r="I311" s="152"/>
      <c r="J311" s="151"/>
      <c r="K311" s="151"/>
      <c r="L311" s="152"/>
      <c r="M311" s="151"/>
      <c r="O311" s="69"/>
      <c r="P311" s="69"/>
      <c r="Q311" s="69"/>
    </row>
    <row r="312" spans="2:17">
      <c r="C312" s="151"/>
      <c r="D312" s="151" t="s">
        <v>379</v>
      </c>
      <c r="E312" s="151"/>
      <c r="F312" s="152"/>
      <c r="G312" s="152"/>
      <c r="H312" s="152"/>
      <c r="I312" s="152"/>
      <c r="J312" s="151"/>
      <c r="K312" s="151"/>
      <c r="L312" s="152"/>
      <c r="M312" s="151"/>
      <c r="O312" s="69"/>
      <c r="P312" s="69"/>
      <c r="Q312" s="69"/>
    </row>
    <row r="313" spans="2:17">
      <c r="C313" s="151"/>
      <c r="D313" s="151" t="s">
        <v>381</v>
      </c>
      <c r="E313" s="151"/>
      <c r="F313" s="152"/>
      <c r="G313" s="152"/>
      <c r="H313" s="152"/>
      <c r="I313" s="152"/>
      <c r="J313" s="151"/>
      <c r="K313" s="151"/>
      <c r="L313" s="152"/>
      <c r="M313" s="151"/>
      <c r="O313" s="69"/>
      <c r="P313" s="69"/>
      <c r="Q313" s="69"/>
    </row>
    <row r="314" spans="2:17">
      <c r="C314" s="151"/>
      <c r="D314" s="151" t="s">
        <v>382</v>
      </c>
      <c r="E314" s="151"/>
      <c r="F314" s="152"/>
      <c r="G314" s="152"/>
      <c r="H314" s="152"/>
      <c r="I314" s="152"/>
      <c r="J314" s="151"/>
      <c r="K314" s="151"/>
      <c r="L314" s="152"/>
      <c r="M314" s="151"/>
      <c r="O314" s="69"/>
      <c r="P314" s="69"/>
      <c r="Q314" s="69"/>
    </row>
    <row r="315" spans="2:17">
      <c r="B315" s="144" t="str">
        <f>'Autoproducers Calculations'!$C$241</f>
        <v>CHPAUTOGENBIO00</v>
      </c>
      <c r="C315" s="151" t="s">
        <v>116</v>
      </c>
      <c r="D315" s="151"/>
      <c r="E315" s="151"/>
      <c r="F315" s="152">
        <v>31.536000000000001</v>
      </c>
      <c r="G315" s="152">
        <f>'Autoproducers Calculations'!K$209</f>
        <v>0.22147653718044794</v>
      </c>
      <c r="H315" s="152">
        <f>'Autoproducers Calculations'!K$207</f>
        <v>2.790050054043812</v>
      </c>
      <c r="I315" s="152">
        <f>'Autoproducers Calculations'!K$206</f>
        <v>0.56672393337976723</v>
      </c>
      <c r="J315" s="151">
        <v>20</v>
      </c>
      <c r="K315" s="151">
        <v>1</v>
      </c>
      <c r="L315" s="152">
        <f>'Autoproducers Calculations'!K$244</f>
        <v>2.4243383658826573E-3</v>
      </c>
      <c r="M315" s="151">
        <v>0</v>
      </c>
      <c r="O315" s="69">
        <f t="shared" ref="O315" si="73">L315*F315*I315</f>
        <v>4.3328274599213693E-2</v>
      </c>
      <c r="P315" s="69">
        <f t="shared" ref="P315" si="74">O315*H315</f>
        <v>0.12088805488716128</v>
      </c>
      <c r="Q315" s="69">
        <f>O315/G315</f>
        <v>0.19563370075590442</v>
      </c>
    </row>
    <row r="316" spans="2:17">
      <c r="C316" s="151"/>
      <c r="D316" s="151" t="s">
        <v>105</v>
      </c>
      <c r="E316" s="151"/>
      <c r="F316" s="152"/>
      <c r="G316" s="152"/>
      <c r="H316" s="152"/>
      <c r="I316" s="152"/>
      <c r="J316" s="151"/>
      <c r="K316" s="151"/>
      <c r="L316" s="152"/>
      <c r="M316" s="151"/>
      <c r="O316" s="69"/>
      <c r="P316" s="69"/>
      <c r="Q316" s="69"/>
    </row>
    <row r="317" spans="2:17">
      <c r="C317" s="151"/>
      <c r="D317" s="151" t="s">
        <v>106</v>
      </c>
      <c r="E317" s="151"/>
      <c r="F317" s="152"/>
      <c r="G317" s="152"/>
      <c r="H317" s="152"/>
      <c r="I317" s="152"/>
      <c r="J317" s="151"/>
      <c r="K317" s="151"/>
      <c r="L317" s="152"/>
      <c r="M317" s="151"/>
      <c r="O317" s="69"/>
      <c r="P317" s="69"/>
      <c r="Q317" s="69"/>
    </row>
    <row r="318" spans="2:17">
      <c r="C318" s="151"/>
      <c r="D318" s="151" t="s">
        <v>380</v>
      </c>
      <c r="E318" s="151"/>
      <c r="F318" s="152"/>
      <c r="G318" s="152"/>
      <c r="H318" s="152"/>
      <c r="I318" s="152"/>
      <c r="J318" s="151"/>
      <c r="K318" s="151"/>
      <c r="L318" s="151"/>
      <c r="M318" s="151"/>
      <c r="O318" s="69"/>
      <c r="P318" s="69"/>
      <c r="Q318" s="69"/>
    </row>
    <row r="319" spans="2:17">
      <c r="C319" s="151"/>
      <c r="D319" s="151" t="s">
        <v>379</v>
      </c>
      <c r="E319" s="151"/>
      <c r="F319" s="152"/>
      <c r="G319" s="152"/>
      <c r="H319" s="152"/>
      <c r="I319" s="152"/>
      <c r="J319" s="151"/>
      <c r="K319" s="151"/>
      <c r="L319" s="151"/>
      <c r="M319" s="151"/>
      <c r="O319" s="69"/>
      <c r="P319" s="69"/>
      <c r="Q319" s="69"/>
    </row>
    <row r="320" spans="2:17">
      <c r="C320" s="151"/>
      <c r="D320" s="151" t="s">
        <v>381</v>
      </c>
      <c r="E320" s="151"/>
      <c r="F320" s="152"/>
      <c r="G320" s="152"/>
      <c r="H320" s="152"/>
      <c r="I320" s="152"/>
      <c r="J320" s="151"/>
      <c r="K320" s="151"/>
      <c r="L320" s="151"/>
      <c r="M320" s="151"/>
      <c r="O320" s="69"/>
      <c r="P320" s="69"/>
      <c r="Q320" s="69"/>
    </row>
    <row r="321" spans="1:17">
      <c r="C321" s="151"/>
      <c r="D321" s="151" t="s">
        <v>382</v>
      </c>
      <c r="E321" s="151"/>
      <c r="F321" s="152"/>
      <c r="G321" s="152"/>
      <c r="H321" s="152"/>
      <c r="I321" s="152"/>
      <c r="J321" s="151"/>
      <c r="K321" s="151"/>
      <c r="L321" s="151"/>
      <c r="M321" s="151"/>
      <c r="O321" s="69"/>
      <c r="P321" s="69"/>
      <c r="Q321" s="69"/>
    </row>
    <row r="322" spans="1:17">
      <c r="B322" s="144" t="str">
        <f>'Autoproducers Calculations'!$C$250</f>
        <v>CHPAUTOGENWASTE00</v>
      </c>
      <c r="C322" s="151" t="s">
        <v>117</v>
      </c>
      <c r="D322" s="151"/>
      <c r="E322" s="151"/>
      <c r="F322" s="152">
        <v>31.536000000000001</v>
      </c>
      <c r="G322" s="152">
        <f>'Autoproducers Calculations'!K$209</f>
        <v>0.22147653718044794</v>
      </c>
      <c r="H322" s="152">
        <f>'Autoproducers Calculations'!K$207</f>
        <v>2.790050054043812</v>
      </c>
      <c r="I322" s="152">
        <f>'Autoproducers Calculations'!K$206</f>
        <v>0.56672393337976723</v>
      </c>
      <c r="J322" s="151">
        <v>20</v>
      </c>
      <c r="K322" s="151">
        <v>1</v>
      </c>
      <c r="L322" s="152">
        <f>'Autoproducers Calculations'!K$253</f>
        <v>3.5766473422589929E-3</v>
      </c>
      <c r="M322" s="151">
        <v>0</v>
      </c>
      <c r="O322" s="69">
        <f t="shared" ref="O322" si="75">L322*F322*I322</f>
        <v>6.39225779580994E-2</v>
      </c>
      <c r="P322" s="69">
        <f t="shared" ref="P322" si="76">O322*H322</f>
        <v>0.17834719208661501</v>
      </c>
      <c r="Q322" s="69">
        <f>O322/G322</f>
        <v>0.28862008938679812</v>
      </c>
    </row>
    <row r="323" spans="1:17">
      <c r="C323" s="151" t="s">
        <v>118</v>
      </c>
      <c r="D323" s="151"/>
      <c r="E323" s="151"/>
      <c r="F323" s="152"/>
      <c r="G323" s="152"/>
      <c r="H323" s="152"/>
      <c r="I323" s="152"/>
      <c r="J323" s="151"/>
      <c r="K323" s="151"/>
      <c r="L323" s="151"/>
      <c r="M323" s="151"/>
      <c r="O323" s="69"/>
      <c r="P323" s="69"/>
      <c r="Q323" s="69"/>
    </row>
    <row r="324" spans="1:17">
      <c r="C324" s="151"/>
      <c r="D324" s="151" t="s">
        <v>105</v>
      </c>
      <c r="E324" s="151"/>
      <c r="F324" s="152"/>
      <c r="G324" s="152"/>
      <c r="H324" s="152"/>
      <c r="I324" s="152"/>
      <c r="J324" s="151"/>
      <c r="K324" s="151"/>
      <c r="L324" s="151"/>
      <c r="M324" s="151"/>
      <c r="O324" s="719">
        <f>SUM(O282:O322)</f>
        <v>10.347968791627022</v>
      </c>
      <c r="P324" s="719">
        <f>SUM(P282:P322)</f>
        <v>28.871350886322656</v>
      </c>
      <c r="Q324" s="719">
        <f>SUM(Q282:Q322)</f>
        <v>46.722641248431735</v>
      </c>
    </row>
    <row r="325" spans="1:17">
      <c r="C325" s="151"/>
      <c r="D325" s="151" t="s">
        <v>106</v>
      </c>
      <c r="E325" s="151"/>
      <c r="F325" s="152"/>
      <c r="G325" s="152"/>
      <c r="H325" s="152"/>
      <c r="I325" s="152"/>
      <c r="J325" s="151"/>
      <c r="K325" s="151"/>
      <c r="L325" s="151"/>
      <c r="M325" s="151"/>
    </row>
    <row r="326" spans="1:17">
      <c r="C326" s="151"/>
      <c r="D326" s="151" t="s">
        <v>381</v>
      </c>
      <c r="E326" s="151"/>
      <c r="F326" s="152"/>
      <c r="G326" s="152"/>
      <c r="H326" s="152"/>
      <c r="I326" s="152"/>
      <c r="J326" s="151"/>
      <c r="K326" s="151"/>
      <c r="L326" s="151"/>
      <c r="M326" s="151"/>
    </row>
    <row r="327" spans="1:17">
      <c r="C327" s="151"/>
      <c r="D327" s="151" t="s">
        <v>382</v>
      </c>
      <c r="E327" s="151"/>
      <c r="F327" s="151"/>
      <c r="G327" s="151"/>
      <c r="H327" s="151"/>
      <c r="I327" s="151"/>
      <c r="J327" s="151"/>
      <c r="K327" s="151"/>
      <c r="L327" s="151"/>
      <c r="M327" s="151"/>
      <c r="O327" s="677" t="s">
        <v>390</v>
      </c>
      <c r="P327" s="677" t="s">
        <v>406</v>
      </c>
      <c r="Q327" s="677" t="s">
        <v>1304</v>
      </c>
    </row>
    <row r="328" spans="1:17">
      <c r="A328" s="64" t="s">
        <v>44</v>
      </c>
      <c r="B328" s="144" t="str">
        <f>'Autoproducers Calculations'!$C$205</f>
        <v>CHPAUTOGENSOLID00</v>
      </c>
      <c r="C328" s="151" t="s">
        <v>107</v>
      </c>
      <c r="D328" s="151"/>
      <c r="E328" s="151"/>
      <c r="F328" s="152">
        <v>31.536000000000001</v>
      </c>
      <c r="G328" s="152">
        <f>'Autoproducers Calculations'!L$209</f>
        <v>0.1368989860486392</v>
      </c>
      <c r="H328" s="152">
        <f>'Autoproducers Calculations'!L$207</f>
        <v>4.1005273326413114</v>
      </c>
      <c r="I328" s="152">
        <f>'Autoproducers Calculations'!L$206</f>
        <v>0.48982038604577172</v>
      </c>
      <c r="J328" s="151">
        <v>20</v>
      </c>
      <c r="K328" s="151">
        <v>1</v>
      </c>
      <c r="L328" s="152">
        <f>'Autoproducers Calculations'!L$208</f>
        <v>6.9571509088597596E-3</v>
      </c>
      <c r="M328" s="151">
        <v>0</v>
      </c>
      <c r="O328" s="69">
        <f>L328*F328*I328</f>
        <v>0.10746694099100838</v>
      </c>
      <c r="P328" s="69">
        <f t="shared" ref="P328" si="77">O328*H328</f>
        <v>0.4406711288889808</v>
      </c>
      <c r="Q328" s="69">
        <f>O328/G328</f>
        <v>0.78500903544184153</v>
      </c>
    </row>
    <row r="329" spans="1:17">
      <c r="C329" s="151" t="s">
        <v>108</v>
      </c>
      <c r="D329" s="151"/>
      <c r="E329" s="151">
        <f>'Eurostat Resume'!M10/'Eurostat Resume'!M9</f>
        <v>0</v>
      </c>
      <c r="F329" s="152"/>
      <c r="G329" s="152"/>
      <c r="H329" s="152"/>
      <c r="I329" s="152"/>
      <c r="J329" s="151"/>
      <c r="K329" s="151"/>
      <c r="L329" s="152"/>
      <c r="M329" s="151"/>
      <c r="O329" s="69"/>
      <c r="P329" s="69"/>
      <c r="Q329" s="69"/>
    </row>
    <row r="330" spans="1:17">
      <c r="C330" s="151"/>
      <c r="D330" s="151" t="s">
        <v>105</v>
      </c>
      <c r="E330" s="151"/>
      <c r="F330" s="152"/>
      <c r="G330" s="152"/>
      <c r="H330" s="152"/>
      <c r="I330" s="152"/>
      <c r="J330" s="151"/>
      <c r="K330" s="151"/>
      <c r="L330" s="152"/>
      <c r="M330" s="151"/>
      <c r="O330" s="69"/>
      <c r="P330" s="69"/>
      <c r="Q330" s="69"/>
    </row>
    <row r="331" spans="1:17">
      <c r="C331" s="151"/>
      <c r="D331" s="151" t="s">
        <v>106</v>
      </c>
      <c r="E331" s="151"/>
      <c r="F331" s="152"/>
      <c r="G331" s="152"/>
      <c r="H331" s="152"/>
      <c r="I331" s="152"/>
      <c r="J331" s="151"/>
      <c r="K331" s="151"/>
      <c r="L331" s="152"/>
      <c r="M331" s="151"/>
      <c r="O331" s="69"/>
      <c r="P331" s="69"/>
      <c r="Q331" s="69"/>
    </row>
    <row r="332" spans="1:17">
      <c r="C332" s="151"/>
      <c r="D332" s="151" t="s">
        <v>1342</v>
      </c>
      <c r="E332" s="151"/>
      <c r="F332" s="152"/>
      <c r="G332" s="152"/>
      <c r="H332" s="152"/>
      <c r="I332" s="152"/>
      <c r="J332" s="151"/>
      <c r="K332" s="151"/>
      <c r="L332" s="152"/>
      <c r="M332" s="151"/>
      <c r="O332" s="69"/>
      <c r="P332" s="69"/>
      <c r="Q332" s="69"/>
    </row>
    <row r="333" spans="1:17">
      <c r="C333" s="151"/>
      <c r="D333" s="151" t="s">
        <v>378</v>
      </c>
      <c r="E333" s="151"/>
      <c r="F333" s="152"/>
      <c r="G333" s="152"/>
      <c r="H333" s="152"/>
      <c r="I333" s="152"/>
      <c r="J333" s="151"/>
      <c r="K333" s="151"/>
      <c r="L333" s="152"/>
      <c r="M333" s="151"/>
      <c r="O333" s="69"/>
      <c r="P333" s="69"/>
      <c r="Q333" s="69"/>
    </row>
    <row r="334" spans="1:17">
      <c r="C334" s="151"/>
      <c r="D334" s="151" t="s">
        <v>380</v>
      </c>
      <c r="E334" s="151"/>
      <c r="F334" s="152"/>
      <c r="G334" s="152"/>
      <c r="H334" s="152"/>
      <c r="I334" s="152"/>
      <c r="J334" s="151"/>
      <c r="K334" s="151"/>
      <c r="L334" s="152"/>
      <c r="M334" s="151"/>
      <c r="O334" s="69"/>
      <c r="P334" s="69"/>
      <c r="Q334" s="69"/>
    </row>
    <row r="335" spans="1:17">
      <c r="C335" s="151"/>
      <c r="D335" s="151" t="s">
        <v>379</v>
      </c>
      <c r="E335" s="151"/>
      <c r="F335" s="152"/>
      <c r="G335" s="152"/>
      <c r="H335" s="152"/>
      <c r="I335" s="152"/>
      <c r="J335" s="151"/>
      <c r="K335" s="151"/>
      <c r="L335" s="152"/>
      <c r="M335" s="151"/>
      <c r="O335" s="69"/>
      <c r="P335" s="69"/>
      <c r="Q335" s="69"/>
    </row>
    <row r="336" spans="1:17">
      <c r="C336" s="151"/>
      <c r="D336" s="151" t="s">
        <v>381</v>
      </c>
      <c r="E336" s="151"/>
      <c r="F336" s="152"/>
      <c r="G336" s="152"/>
      <c r="H336" s="152"/>
      <c r="I336" s="152"/>
      <c r="J336" s="151"/>
      <c r="K336" s="151"/>
      <c r="L336" s="152"/>
      <c r="M336" s="151"/>
      <c r="O336" s="69"/>
      <c r="P336" s="69"/>
      <c r="Q336" s="69"/>
    </row>
    <row r="337" spans="2:17">
      <c r="C337" s="151"/>
      <c r="D337" s="151" t="s">
        <v>382</v>
      </c>
      <c r="E337" s="151"/>
      <c r="F337" s="152"/>
      <c r="G337" s="152"/>
      <c r="H337" s="152"/>
      <c r="I337" s="152"/>
      <c r="J337" s="151"/>
      <c r="K337" s="151"/>
      <c r="L337" s="152"/>
      <c r="M337" s="151"/>
      <c r="O337" s="69"/>
      <c r="P337" s="69"/>
      <c r="Q337" s="69"/>
    </row>
    <row r="338" spans="2:17">
      <c r="B338" s="144" t="str">
        <f>'Autoproducers Calculations'!$C$214</f>
        <v>CHPAUTOGENRFG00</v>
      </c>
      <c r="C338" s="151" t="s">
        <v>110</v>
      </c>
      <c r="D338" s="151"/>
      <c r="E338" s="151"/>
      <c r="F338" s="152">
        <v>31.536000000000001</v>
      </c>
      <c r="G338" s="152">
        <f>'Autoproducers Calculations'!L$209</f>
        <v>0.1368989860486392</v>
      </c>
      <c r="H338" s="152">
        <f>'Autoproducers Calculations'!L$207</f>
        <v>4.1005273326413114</v>
      </c>
      <c r="I338" s="152">
        <f>'Autoproducers Calculations'!L$206</f>
        <v>0.48982038604577172</v>
      </c>
      <c r="J338" s="151">
        <v>20</v>
      </c>
      <c r="K338" s="151">
        <v>1</v>
      </c>
      <c r="L338" s="152">
        <f>'Autoproducers Calculations'!L$217</f>
        <v>0</v>
      </c>
      <c r="M338" s="151">
        <v>0</v>
      </c>
      <c r="O338" s="69">
        <f t="shared" ref="O338" si="78">L338*F338*I338</f>
        <v>0</v>
      </c>
      <c r="P338" s="69">
        <f t="shared" ref="P338" si="79">O338*H338</f>
        <v>0</v>
      </c>
      <c r="Q338" s="69">
        <f>O338/G338</f>
        <v>0</v>
      </c>
    </row>
    <row r="339" spans="2:17">
      <c r="C339" s="151"/>
      <c r="D339" s="151" t="s">
        <v>105</v>
      </c>
      <c r="E339" s="151"/>
      <c r="F339" s="152"/>
      <c r="G339" s="152"/>
      <c r="H339" s="152"/>
      <c r="I339" s="152"/>
      <c r="J339" s="151"/>
      <c r="K339" s="151"/>
      <c r="L339" s="152"/>
      <c r="M339" s="151"/>
      <c r="O339" s="69"/>
      <c r="P339" s="69"/>
      <c r="Q339" s="69"/>
    </row>
    <row r="340" spans="2:17">
      <c r="C340" s="151"/>
      <c r="D340" s="151" t="s">
        <v>106</v>
      </c>
      <c r="E340" s="151"/>
      <c r="F340" s="152"/>
      <c r="G340" s="152"/>
      <c r="H340" s="152"/>
      <c r="I340" s="152"/>
      <c r="J340" s="151"/>
      <c r="K340" s="151"/>
      <c r="L340" s="152"/>
      <c r="M340" s="151"/>
      <c r="O340" s="69"/>
      <c r="P340" s="69"/>
      <c r="Q340" s="69"/>
    </row>
    <row r="341" spans="2:17">
      <c r="C341" s="151"/>
      <c r="D341" s="151" t="s">
        <v>1342</v>
      </c>
      <c r="E341" s="151"/>
      <c r="F341" s="152"/>
      <c r="G341" s="152"/>
      <c r="H341" s="152"/>
      <c r="I341" s="152"/>
      <c r="J341" s="151"/>
      <c r="K341" s="151"/>
      <c r="L341" s="152"/>
      <c r="M341" s="151"/>
      <c r="O341" s="69"/>
      <c r="P341" s="69"/>
      <c r="Q341" s="69"/>
    </row>
    <row r="342" spans="2:17">
      <c r="C342" s="151"/>
      <c r="D342" s="151" t="s">
        <v>380</v>
      </c>
      <c r="E342" s="151"/>
      <c r="F342" s="152"/>
      <c r="G342" s="152"/>
      <c r="H342" s="152"/>
      <c r="I342" s="152"/>
      <c r="J342" s="151"/>
      <c r="K342" s="151"/>
      <c r="L342" s="152"/>
      <c r="M342" s="151"/>
      <c r="O342" s="69"/>
      <c r="P342" s="69"/>
      <c r="Q342" s="69"/>
    </row>
    <row r="343" spans="2:17">
      <c r="C343" s="151"/>
      <c r="D343" s="151" t="s">
        <v>379</v>
      </c>
      <c r="E343" s="151"/>
      <c r="F343" s="152"/>
      <c r="G343" s="152"/>
      <c r="H343" s="152"/>
      <c r="I343" s="152"/>
      <c r="J343" s="151"/>
      <c r="K343" s="151"/>
      <c r="L343" s="152"/>
      <c r="M343" s="151"/>
      <c r="O343" s="69"/>
      <c r="P343" s="69"/>
      <c r="Q343" s="69"/>
    </row>
    <row r="344" spans="2:17">
      <c r="B344" s="144" t="str">
        <f>'Autoproducers Calculations'!$C$223</f>
        <v>CHPAUTOGENOIL00</v>
      </c>
      <c r="C344" s="151" t="s">
        <v>111</v>
      </c>
      <c r="D344" s="151"/>
      <c r="E344" s="151">
        <f>0</f>
        <v>0</v>
      </c>
      <c r="F344" s="152">
        <v>31.536000000000001</v>
      </c>
      <c r="G344" s="152">
        <f>'Autoproducers Calculations'!L$209</f>
        <v>0.1368989860486392</v>
      </c>
      <c r="H344" s="152">
        <f>'Autoproducers Calculations'!L$207</f>
        <v>4.1005273326413114</v>
      </c>
      <c r="I344" s="152">
        <f>'Autoproducers Calculations'!L$206</f>
        <v>0.48982038604577172</v>
      </c>
      <c r="J344" s="151">
        <v>20</v>
      </c>
      <c r="K344" s="151">
        <v>1</v>
      </c>
      <c r="L344" s="152">
        <f>'Autoproducers Calculations'!L$226</f>
        <v>0</v>
      </c>
      <c r="M344" s="151">
        <v>0</v>
      </c>
      <c r="O344" s="69">
        <f t="shared" ref="O344" si="80">L344*F344*I344</f>
        <v>0</v>
      </c>
      <c r="P344" s="69">
        <f t="shared" ref="P344" si="81">O344*H344</f>
        <v>0</v>
      </c>
      <c r="Q344" s="69">
        <f>O344/G344</f>
        <v>0</v>
      </c>
    </row>
    <row r="345" spans="2:17">
      <c r="C345" s="151" t="s">
        <v>112</v>
      </c>
      <c r="D345" s="151"/>
      <c r="E345" s="151"/>
      <c r="F345" s="152"/>
      <c r="G345" s="152"/>
      <c r="H345" s="152"/>
      <c r="I345" s="152"/>
      <c r="J345" s="151"/>
      <c r="K345" s="151"/>
      <c r="L345" s="152"/>
      <c r="M345" s="151"/>
      <c r="O345" s="69"/>
      <c r="P345" s="69"/>
      <c r="Q345" s="69"/>
    </row>
    <row r="346" spans="2:17">
      <c r="C346" s="151"/>
      <c r="D346" s="151" t="s">
        <v>105</v>
      </c>
      <c r="E346" s="151"/>
      <c r="F346" s="152"/>
      <c r="G346" s="152"/>
      <c r="H346" s="152"/>
      <c r="I346" s="152"/>
      <c r="J346" s="151"/>
      <c r="K346" s="151"/>
      <c r="L346" s="152"/>
      <c r="M346" s="151"/>
      <c r="O346" s="69"/>
      <c r="P346" s="69"/>
      <c r="Q346" s="69"/>
    </row>
    <row r="347" spans="2:17">
      <c r="C347" s="151"/>
      <c r="D347" s="151" t="s">
        <v>106</v>
      </c>
      <c r="E347" s="151"/>
      <c r="F347" s="152"/>
      <c r="G347" s="152"/>
      <c r="H347" s="152"/>
      <c r="I347" s="152"/>
      <c r="J347" s="151"/>
      <c r="K347" s="151"/>
      <c r="L347" s="152"/>
      <c r="M347" s="151"/>
      <c r="O347" s="69"/>
      <c r="P347" s="69"/>
      <c r="Q347" s="69"/>
    </row>
    <row r="348" spans="2:17">
      <c r="C348" s="151"/>
      <c r="D348" s="151" t="s">
        <v>380</v>
      </c>
      <c r="E348" s="151"/>
      <c r="F348" s="152"/>
      <c r="G348" s="152"/>
      <c r="H348" s="152"/>
      <c r="I348" s="152"/>
      <c r="J348" s="151"/>
      <c r="K348" s="151"/>
      <c r="L348" s="152"/>
      <c r="M348" s="151"/>
      <c r="O348" s="69"/>
      <c r="P348" s="69"/>
      <c r="Q348" s="69"/>
    </row>
    <row r="349" spans="2:17">
      <c r="C349" s="151"/>
      <c r="D349" s="151" t="s">
        <v>379</v>
      </c>
      <c r="E349" s="151"/>
      <c r="F349" s="152"/>
      <c r="G349" s="152"/>
      <c r="H349" s="152"/>
      <c r="I349" s="152"/>
      <c r="J349" s="151"/>
      <c r="K349" s="151"/>
      <c r="L349" s="152"/>
      <c r="M349" s="151"/>
      <c r="O349" s="69"/>
      <c r="P349" s="69"/>
      <c r="Q349" s="69"/>
    </row>
    <row r="350" spans="2:17">
      <c r="C350" s="151"/>
      <c r="D350" s="151" t="s">
        <v>1342</v>
      </c>
      <c r="E350" s="151"/>
      <c r="F350" s="152"/>
      <c r="G350" s="152"/>
      <c r="H350" s="152"/>
      <c r="I350" s="152"/>
      <c r="J350" s="151"/>
      <c r="K350" s="151"/>
      <c r="L350" s="152"/>
      <c r="M350" s="151"/>
      <c r="O350" s="69"/>
      <c r="P350" s="69"/>
      <c r="Q350" s="69"/>
    </row>
    <row r="351" spans="2:17">
      <c r="C351" s="151"/>
      <c r="D351" s="151" t="s">
        <v>382</v>
      </c>
      <c r="E351" s="151"/>
      <c r="F351" s="152"/>
      <c r="G351" s="152"/>
      <c r="H351" s="152"/>
      <c r="I351" s="152"/>
      <c r="J351" s="151"/>
      <c r="K351" s="151"/>
      <c r="L351" s="152"/>
      <c r="M351" s="151"/>
      <c r="O351" s="69"/>
      <c r="P351" s="69"/>
      <c r="Q351" s="69"/>
    </row>
    <row r="352" spans="2:17">
      <c r="B352" s="144" t="str">
        <f>'Autoproducers Calculations'!$C$232</f>
        <v>CHPAUTOGENGAS00</v>
      </c>
      <c r="C352" s="151" t="s">
        <v>113</v>
      </c>
      <c r="D352" s="151"/>
      <c r="E352" s="151"/>
      <c r="F352" s="152">
        <v>31.536000000000001</v>
      </c>
      <c r="G352" s="152">
        <f>'Autoproducers Calculations'!L$209</f>
        <v>0.1368989860486392</v>
      </c>
      <c r="H352" s="152">
        <f>'Autoproducers Calculations'!L$207</f>
        <v>4.1005273326413114</v>
      </c>
      <c r="I352" s="152">
        <f>'Autoproducers Calculations'!L$206</f>
        <v>0.48982038604577172</v>
      </c>
      <c r="J352" s="151">
        <v>20</v>
      </c>
      <c r="K352" s="151">
        <v>1</v>
      </c>
      <c r="L352" s="152">
        <f>'Autoproducers Calculations'!L$235</f>
        <v>1.648613959445441E-2</v>
      </c>
      <c r="M352" s="151">
        <v>0</v>
      </c>
      <c r="O352" s="69">
        <f t="shared" ref="O352" si="82">L352*F352*I352</f>
        <v>0.25466099760902461</v>
      </c>
      <c r="P352" s="69">
        <f t="shared" ref="P352" si="83">O352*H352</f>
        <v>1.0442443812535092</v>
      </c>
      <c r="Q352" s="69">
        <f>O352/G352</f>
        <v>1.8602109844593402</v>
      </c>
    </row>
    <row r="353" spans="2:17">
      <c r="C353" s="151"/>
      <c r="D353" s="151" t="s">
        <v>105</v>
      </c>
      <c r="E353" s="151"/>
      <c r="F353" s="152"/>
      <c r="G353" s="152"/>
      <c r="H353" s="152"/>
      <c r="I353" s="152"/>
      <c r="J353" s="151"/>
      <c r="K353" s="151"/>
      <c r="L353" s="152"/>
      <c r="M353" s="151"/>
      <c r="O353" s="69"/>
      <c r="P353" s="69"/>
      <c r="Q353" s="69"/>
    </row>
    <row r="354" spans="2:17">
      <c r="C354" s="151"/>
      <c r="D354" s="151" t="s">
        <v>106</v>
      </c>
      <c r="E354" s="151"/>
      <c r="F354" s="152"/>
      <c r="G354" s="152"/>
      <c r="H354" s="152"/>
      <c r="I354" s="152"/>
      <c r="J354" s="151"/>
      <c r="K354" s="151"/>
      <c r="L354" s="152"/>
      <c r="M354" s="151"/>
      <c r="O354" s="69"/>
      <c r="P354" s="69"/>
      <c r="Q354" s="69"/>
    </row>
    <row r="355" spans="2:17">
      <c r="C355" s="151"/>
      <c r="D355" s="151" t="s">
        <v>378</v>
      </c>
      <c r="E355" s="151"/>
      <c r="F355" s="152"/>
      <c r="G355" s="152"/>
      <c r="H355" s="152"/>
      <c r="I355" s="152"/>
      <c r="J355" s="151"/>
      <c r="K355" s="151"/>
      <c r="L355" s="152"/>
      <c r="M355" s="151"/>
      <c r="O355" s="69"/>
      <c r="P355" s="69"/>
      <c r="Q355" s="69"/>
    </row>
    <row r="356" spans="2:17">
      <c r="C356" s="151"/>
      <c r="D356" s="151" t="s">
        <v>421</v>
      </c>
      <c r="E356" s="151"/>
      <c r="F356" s="152"/>
      <c r="G356" s="152"/>
      <c r="H356" s="152"/>
      <c r="I356" s="152"/>
      <c r="J356" s="151"/>
      <c r="K356" s="151"/>
      <c r="L356" s="152"/>
      <c r="M356" s="151"/>
      <c r="O356" s="69"/>
      <c r="P356" s="69"/>
      <c r="Q356" s="69"/>
    </row>
    <row r="357" spans="2:17">
      <c r="C357" s="151"/>
      <c r="D357" s="151" t="s">
        <v>380</v>
      </c>
      <c r="E357" s="151"/>
      <c r="F357" s="152"/>
      <c r="G357" s="152"/>
      <c r="H357" s="152"/>
      <c r="I357" s="152"/>
      <c r="J357" s="151"/>
      <c r="K357" s="151"/>
      <c r="L357" s="152"/>
      <c r="M357" s="151"/>
      <c r="O357" s="69"/>
      <c r="P357" s="69"/>
      <c r="Q357" s="69"/>
    </row>
    <row r="358" spans="2:17">
      <c r="C358" s="151"/>
      <c r="D358" s="151" t="s">
        <v>379</v>
      </c>
      <c r="E358" s="151"/>
      <c r="F358" s="152"/>
      <c r="G358" s="152"/>
      <c r="H358" s="152"/>
      <c r="I358" s="152"/>
      <c r="J358" s="151"/>
      <c r="K358" s="151"/>
      <c r="L358" s="152"/>
      <c r="M358" s="151"/>
      <c r="O358" s="69"/>
      <c r="P358" s="69"/>
      <c r="Q358" s="69"/>
    </row>
    <row r="359" spans="2:17">
      <c r="C359" s="151"/>
      <c r="D359" s="151" t="s">
        <v>381</v>
      </c>
      <c r="E359" s="151"/>
      <c r="F359" s="152"/>
      <c r="G359" s="152"/>
      <c r="H359" s="152"/>
      <c r="I359" s="152"/>
      <c r="J359" s="151"/>
      <c r="K359" s="151"/>
      <c r="L359" s="152"/>
      <c r="M359" s="151"/>
      <c r="O359" s="69"/>
      <c r="P359" s="69"/>
      <c r="Q359" s="69"/>
    </row>
    <row r="360" spans="2:17">
      <c r="C360" s="151"/>
      <c r="D360" s="151" t="s">
        <v>382</v>
      </c>
      <c r="E360" s="151"/>
      <c r="F360" s="152"/>
      <c r="G360" s="152"/>
      <c r="H360" s="152"/>
      <c r="I360" s="152"/>
      <c r="J360" s="151"/>
      <c r="K360" s="151"/>
      <c r="L360" s="152"/>
      <c r="M360" s="151"/>
      <c r="O360" s="69"/>
      <c r="P360" s="69"/>
      <c r="Q360" s="69"/>
    </row>
    <row r="361" spans="2:17">
      <c r="B361" s="144" t="str">
        <f>'Autoproducers Calculations'!$C$241</f>
        <v>CHPAUTOGENBIO00</v>
      </c>
      <c r="C361" s="151" t="s">
        <v>116</v>
      </c>
      <c r="D361" s="151"/>
      <c r="E361" s="151"/>
      <c r="F361" s="152">
        <v>31.536000000000001</v>
      </c>
      <c r="G361" s="152">
        <f>'Autoproducers Calculations'!L$209</f>
        <v>0.1368989860486392</v>
      </c>
      <c r="H361" s="152">
        <f>'Autoproducers Calculations'!L$207</f>
        <v>4.1005273326413114</v>
      </c>
      <c r="I361" s="152">
        <f>'Autoproducers Calculations'!L$206</f>
        <v>0.48982038604577172</v>
      </c>
      <c r="J361" s="151">
        <v>20</v>
      </c>
      <c r="K361" s="151">
        <v>1</v>
      </c>
      <c r="L361" s="152">
        <f>'Autoproducers Calculations'!L$244</f>
        <v>3.3631724772686992E-3</v>
      </c>
      <c r="M361" s="151">
        <v>0</v>
      </c>
      <c r="O361" s="69">
        <f t="shared" ref="O361" si="84">L361*F361*I361</f>
        <v>5.1950843512241017E-2</v>
      </c>
      <c r="P361" s="69">
        <f t="shared" ref="P361" si="85">O361*H361</f>
        <v>0.21302585377571584</v>
      </c>
      <c r="Q361" s="69">
        <f>O361/G361</f>
        <v>0.37948304082970535</v>
      </c>
    </row>
    <row r="362" spans="2:17">
      <c r="C362" s="151"/>
      <c r="D362" s="151" t="s">
        <v>105</v>
      </c>
      <c r="E362" s="151"/>
      <c r="F362" s="152"/>
      <c r="G362" s="152"/>
      <c r="H362" s="152"/>
      <c r="I362" s="152"/>
      <c r="J362" s="151"/>
      <c r="K362" s="151"/>
      <c r="L362" s="152"/>
      <c r="M362" s="151"/>
      <c r="O362" s="69"/>
      <c r="P362" s="69"/>
      <c r="Q362" s="69"/>
    </row>
    <row r="363" spans="2:17">
      <c r="C363" s="151"/>
      <c r="D363" s="151" t="s">
        <v>106</v>
      </c>
      <c r="E363" s="151"/>
      <c r="F363" s="152"/>
      <c r="G363" s="152"/>
      <c r="H363" s="152"/>
      <c r="I363" s="152"/>
      <c r="J363" s="151"/>
      <c r="K363" s="151"/>
      <c r="L363" s="152"/>
      <c r="M363" s="151"/>
      <c r="O363" s="69"/>
      <c r="P363" s="69"/>
      <c r="Q363" s="69"/>
    </row>
    <row r="364" spans="2:17">
      <c r="C364" s="151"/>
      <c r="D364" s="151" t="s">
        <v>380</v>
      </c>
      <c r="E364" s="151"/>
      <c r="F364" s="152"/>
      <c r="G364" s="152"/>
      <c r="H364" s="152"/>
      <c r="I364" s="152"/>
      <c r="J364" s="151"/>
      <c r="K364" s="151"/>
      <c r="L364" s="151"/>
      <c r="M364" s="151"/>
      <c r="O364" s="69"/>
      <c r="P364" s="69"/>
      <c r="Q364" s="69"/>
    </row>
    <row r="365" spans="2:17">
      <c r="C365" s="151"/>
      <c r="D365" s="151" t="s">
        <v>379</v>
      </c>
      <c r="E365" s="151"/>
      <c r="F365" s="152"/>
      <c r="G365" s="152"/>
      <c r="H365" s="152"/>
      <c r="I365" s="152"/>
      <c r="J365" s="151"/>
      <c r="K365" s="151"/>
      <c r="L365" s="151"/>
      <c r="M365" s="151"/>
      <c r="O365" s="69"/>
      <c r="P365" s="69"/>
      <c r="Q365" s="69"/>
    </row>
    <row r="366" spans="2:17">
      <c r="C366" s="151"/>
      <c r="D366" s="151" t="s">
        <v>381</v>
      </c>
      <c r="E366" s="151"/>
      <c r="F366" s="152"/>
      <c r="G366" s="152"/>
      <c r="H366" s="152"/>
      <c r="I366" s="152"/>
      <c r="J366" s="151"/>
      <c r="K366" s="151"/>
      <c r="L366" s="151"/>
      <c r="M366" s="151"/>
      <c r="O366" s="69"/>
      <c r="P366" s="69"/>
      <c r="Q366" s="69"/>
    </row>
    <row r="367" spans="2:17">
      <c r="C367" s="151"/>
      <c r="D367" s="151" t="s">
        <v>382</v>
      </c>
      <c r="E367" s="151"/>
      <c r="F367" s="152"/>
      <c r="G367" s="152"/>
      <c r="H367" s="152"/>
      <c r="I367" s="152"/>
      <c r="J367" s="151"/>
      <c r="K367" s="151"/>
      <c r="L367" s="151"/>
      <c r="M367" s="151"/>
      <c r="O367" s="69"/>
      <c r="P367" s="69"/>
      <c r="Q367" s="69"/>
    </row>
    <row r="368" spans="2:17">
      <c r="B368" s="144" t="str">
        <f>'Autoproducers Calculations'!$C$250</f>
        <v>CHPAUTOGENWASTE00</v>
      </c>
      <c r="C368" s="151" t="s">
        <v>117</v>
      </c>
      <c r="D368" s="151"/>
      <c r="E368" s="151"/>
      <c r="F368" s="152">
        <v>31.536000000000001</v>
      </c>
      <c r="G368" s="152">
        <f>'Autoproducers Calculations'!L$209</f>
        <v>0.1368989860486392</v>
      </c>
      <c r="H368" s="152">
        <f>'Autoproducers Calculations'!L$207</f>
        <v>4.1005273326413114</v>
      </c>
      <c r="I368" s="152">
        <f>'Autoproducers Calculations'!L$206</f>
        <v>0.48982038604577172</v>
      </c>
      <c r="J368" s="151">
        <v>20</v>
      </c>
      <c r="K368" s="151">
        <v>1</v>
      </c>
      <c r="L368" s="152">
        <f>'Autoproducers Calculations'!L$253</f>
        <v>0</v>
      </c>
      <c r="M368" s="151">
        <v>0</v>
      </c>
      <c r="O368" s="69">
        <f t="shared" ref="O368" si="86">L368*F368*I368</f>
        <v>0</v>
      </c>
      <c r="P368" s="69">
        <f t="shared" ref="P368" si="87">O368*H368</f>
        <v>0</v>
      </c>
      <c r="Q368" s="69">
        <f>O368/G368</f>
        <v>0</v>
      </c>
    </row>
    <row r="369" spans="1:17">
      <c r="C369" s="151" t="s">
        <v>118</v>
      </c>
      <c r="D369" s="151"/>
      <c r="E369" s="151"/>
      <c r="F369" s="152"/>
      <c r="G369" s="152"/>
      <c r="H369" s="152"/>
      <c r="I369" s="152"/>
      <c r="J369" s="151"/>
      <c r="K369" s="151"/>
      <c r="L369" s="151"/>
      <c r="M369" s="151"/>
      <c r="O369" s="69"/>
      <c r="P369" s="69"/>
      <c r="Q369" s="69"/>
    </row>
    <row r="370" spans="1:17">
      <c r="C370" s="151"/>
      <c r="D370" s="151" t="s">
        <v>105</v>
      </c>
      <c r="E370" s="151"/>
      <c r="F370" s="152"/>
      <c r="G370" s="152"/>
      <c r="H370" s="152"/>
      <c r="I370" s="152"/>
      <c r="J370" s="151"/>
      <c r="K370" s="151"/>
      <c r="L370" s="151"/>
      <c r="M370" s="151"/>
      <c r="O370" s="719">
        <f>SUM(O328:O368)</f>
        <v>0.414078782112274</v>
      </c>
      <c r="P370" s="719">
        <f>SUM(P328:P368)</f>
        <v>1.6979413639182059</v>
      </c>
      <c r="Q370" s="719">
        <f>SUM(Q328:Q368)</f>
        <v>3.0247030607308871</v>
      </c>
    </row>
    <row r="371" spans="1:17">
      <c r="C371" s="151"/>
      <c r="D371" s="151" t="s">
        <v>106</v>
      </c>
      <c r="E371" s="151"/>
      <c r="F371" s="152"/>
      <c r="G371" s="152"/>
      <c r="H371" s="152"/>
      <c r="I371" s="152"/>
      <c r="J371" s="151"/>
      <c r="K371" s="151"/>
      <c r="L371" s="151"/>
      <c r="M371" s="151"/>
    </row>
    <row r="372" spans="1:17">
      <c r="C372" s="151"/>
      <c r="D372" s="151" t="s">
        <v>381</v>
      </c>
      <c r="E372" s="151"/>
      <c r="F372" s="152"/>
      <c r="G372" s="152"/>
      <c r="H372" s="152"/>
      <c r="I372" s="152"/>
      <c r="J372" s="151"/>
      <c r="K372" s="151"/>
      <c r="L372" s="151"/>
      <c r="M372" s="151"/>
    </row>
    <row r="373" spans="1:17">
      <c r="C373" s="151"/>
      <c r="D373" s="151" t="s">
        <v>382</v>
      </c>
      <c r="E373" s="151"/>
      <c r="F373" s="151"/>
      <c r="G373" s="151"/>
      <c r="H373" s="151"/>
      <c r="I373" s="151"/>
      <c r="J373" s="151"/>
      <c r="K373" s="151"/>
      <c r="L373" s="151"/>
      <c r="M373" s="151"/>
      <c r="O373" s="677" t="s">
        <v>390</v>
      </c>
      <c r="P373" s="677" t="s">
        <v>406</v>
      </c>
      <c r="Q373" s="677" t="s">
        <v>1304</v>
      </c>
    </row>
    <row r="374" spans="1:17">
      <c r="A374" s="64" t="s">
        <v>45</v>
      </c>
      <c r="B374" s="144" t="str">
        <f>'Autoproducers Calculations'!$C$205</f>
        <v>CHPAUTOGENSOLID00</v>
      </c>
      <c r="C374" s="151" t="s">
        <v>107</v>
      </c>
      <c r="D374" s="151"/>
      <c r="E374" s="151"/>
      <c r="F374" s="152">
        <v>31.536000000000001</v>
      </c>
      <c r="G374" s="152">
        <f>'Autoproducers Calculations'!M$209</f>
        <v>0.34468414699279876</v>
      </c>
      <c r="H374" s="152">
        <f>'Autoproducers Calculations'!M$207</f>
        <v>1.3202539430516294</v>
      </c>
      <c r="I374" s="152">
        <f>'Autoproducers Calculations'!M$206</f>
        <v>0.89999999999999991</v>
      </c>
      <c r="J374" s="151">
        <v>20</v>
      </c>
      <c r="K374" s="151">
        <v>1</v>
      </c>
      <c r="L374" s="152">
        <f>'Autoproducers Calculations'!M$208</f>
        <v>4.8309759109010419E-2</v>
      </c>
      <c r="M374" s="151">
        <v>0</v>
      </c>
      <c r="O374" s="69">
        <f>L374*F374*I374</f>
        <v>1.3711469069355773</v>
      </c>
      <c r="P374" s="69">
        <f t="shared" ref="P374" si="88">O374*H374</f>
        <v>1.8102621103847414</v>
      </c>
      <c r="Q374" s="69">
        <f>O374/G374</f>
        <v>3.9779807655738333</v>
      </c>
    </row>
    <row r="375" spans="1:17">
      <c r="C375" s="151" t="s">
        <v>108</v>
      </c>
      <c r="D375" s="151"/>
      <c r="E375" s="151">
        <f>'Eurostat Resume'!N10/'Eurostat Resume'!N9</f>
        <v>1</v>
      </c>
      <c r="F375" s="152"/>
      <c r="G375" s="152"/>
      <c r="H375" s="152"/>
      <c r="I375" s="152"/>
      <c r="J375" s="151"/>
      <c r="K375" s="151"/>
      <c r="L375" s="152"/>
      <c r="M375" s="151"/>
      <c r="O375" s="69"/>
      <c r="P375" s="69"/>
      <c r="Q375" s="69"/>
    </row>
    <row r="376" spans="1:17">
      <c r="C376" s="151"/>
      <c r="D376" s="151" t="s">
        <v>105</v>
      </c>
      <c r="E376" s="151"/>
      <c r="F376" s="152"/>
      <c r="G376" s="152"/>
      <c r="H376" s="152"/>
      <c r="I376" s="152"/>
      <c r="J376" s="151"/>
      <c r="K376" s="151"/>
      <c r="L376" s="152"/>
      <c r="M376" s="151"/>
      <c r="O376" s="69"/>
      <c r="P376" s="69"/>
      <c r="Q376" s="69"/>
    </row>
    <row r="377" spans="1:17">
      <c r="C377" s="151"/>
      <c r="D377" s="151" t="s">
        <v>106</v>
      </c>
      <c r="E377" s="151"/>
      <c r="F377" s="152"/>
      <c r="G377" s="152"/>
      <c r="H377" s="152"/>
      <c r="I377" s="152"/>
      <c r="J377" s="151"/>
      <c r="K377" s="151"/>
      <c r="L377" s="152"/>
      <c r="M377" s="151"/>
      <c r="O377" s="69"/>
      <c r="P377" s="69"/>
      <c r="Q377" s="69"/>
    </row>
    <row r="378" spans="1:17">
      <c r="C378" s="151"/>
      <c r="D378" s="151" t="s">
        <v>378</v>
      </c>
      <c r="E378" s="151"/>
      <c r="F378" s="152"/>
      <c r="G378" s="152"/>
      <c r="H378" s="152"/>
      <c r="I378" s="152"/>
      <c r="J378" s="151"/>
      <c r="K378" s="151"/>
      <c r="L378" s="152"/>
      <c r="M378" s="151"/>
      <c r="O378" s="69"/>
      <c r="P378" s="69"/>
      <c r="Q378" s="69"/>
    </row>
    <row r="379" spans="1:17">
      <c r="C379" s="151"/>
      <c r="D379" s="151" t="s">
        <v>380</v>
      </c>
      <c r="E379" s="151"/>
      <c r="F379" s="152"/>
      <c r="G379" s="152"/>
      <c r="H379" s="152"/>
      <c r="I379" s="152"/>
      <c r="J379" s="151"/>
      <c r="K379" s="151"/>
      <c r="L379" s="152"/>
      <c r="M379" s="151"/>
      <c r="O379" s="69"/>
      <c r="P379" s="69"/>
      <c r="Q379" s="69"/>
    </row>
    <row r="380" spans="1:17">
      <c r="C380" s="151"/>
      <c r="D380" s="151" t="s">
        <v>379</v>
      </c>
      <c r="E380" s="151"/>
      <c r="F380" s="152"/>
      <c r="G380" s="152"/>
      <c r="H380" s="152"/>
      <c r="I380" s="152"/>
      <c r="J380" s="151"/>
      <c r="K380" s="151"/>
      <c r="L380" s="152"/>
      <c r="M380" s="151"/>
      <c r="O380" s="69"/>
      <c r="P380" s="69"/>
      <c r="Q380" s="69"/>
    </row>
    <row r="381" spans="1:17">
      <c r="C381" s="151"/>
      <c r="D381" s="151" t="s">
        <v>381</v>
      </c>
      <c r="E381" s="151"/>
      <c r="F381" s="152"/>
      <c r="G381" s="152"/>
      <c r="H381" s="152"/>
      <c r="I381" s="152"/>
      <c r="J381" s="151"/>
      <c r="K381" s="151"/>
      <c r="L381" s="152"/>
      <c r="M381" s="151"/>
      <c r="O381" s="69"/>
      <c r="P381" s="69"/>
      <c r="Q381" s="69"/>
    </row>
    <row r="382" spans="1:17">
      <c r="C382" s="151"/>
      <c r="D382" s="151" t="s">
        <v>382</v>
      </c>
      <c r="E382" s="151"/>
      <c r="F382" s="152"/>
      <c r="G382" s="152"/>
      <c r="H382" s="152"/>
      <c r="I382" s="152"/>
      <c r="J382" s="151"/>
      <c r="K382" s="151"/>
      <c r="L382" s="152"/>
      <c r="M382" s="151"/>
      <c r="O382" s="69"/>
      <c r="P382" s="69"/>
      <c r="Q382" s="69"/>
    </row>
    <row r="383" spans="1:17">
      <c r="B383" s="144" t="str">
        <f>'Autoproducers Calculations'!$C$214</f>
        <v>CHPAUTOGENRFG00</v>
      </c>
      <c r="C383" s="151" t="s">
        <v>110</v>
      </c>
      <c r="D383" s="151"/>
      <c r="E383" s="151"/>
      <c r="F383" s="152">
        <v>31.536000000000001</v>
      </c>
      <c r="G383" s="152">
        <f>'Autoproducers Calculations'!M$209</f>
        <v>0.34468414699279876</v>
      </c>
      <c r="H383" s="152">
        <f>'Autoproducers Calculations'!M$207</f>
        <v>1.3202539430516294</v>
      </c>
      <c r="I383" s="152">
        <f>'Autoproducers Calculations'!M$206</f>
        <v>0.89999999999999991</v>
      </c>
      <c r="J383" s="151">
        <v>20</v>
      </c>
      <c r="K383" s="151">
        <v>1</v>
      </c>
      <c r="L383" s="152">
        <f>'Autoproducers Calculations'!M$217</f>
        <v>0</v>
      </c>
      <c r="M383" s="151">
        <v>0</v>
      </c>
      <c r="O383" s="69">
        <f t="shared" ref="O383" si="89">L383*F383*I383</f>
        <v>0</v>
      </c>
      <c r="P383" s="69">
        <f t="shared" ref="P383" si="90">O383*H383</f>
        <v>0</v>
      </c>
      <c r="Q383" s="69">
        <f>O383/G383</f>
        <v>0</v>
      </c>
    </row>
    <row r="384" spans="1:17">
      <c r="C384" s="151"/>
      <c r="D384" s="151" t="s">
        <v>105</v>
      </c>
      <c r="E384" s="151"/>
      <c r="F384" s="152"/>
      <c r="G384" s="152"/>
      <c r="H384" s="152"/>
      <c r="I384" s="152"/>
      <c r="J384" s="151"/>
      <c r="K384" s="151"/>
      <c r="L384" s="152"/>
      <c r="M384" s="151"/>
      <c r="O384" s="69"/>
      <c r="P384" s="69"/>
      <c r="Q384" s="69"/>
    </row>
    <row r="385" spans="2:17">
      <c r="C385" s="151"/>
      <c r="D385" s="151" t="s">
        <v>106</v>
      </c>
      <c r="E385" s="151"/>
      <c r="F385" s="152"/>
      <c r="G385" s="152"/>
      <c r="H385" s="152"/>
      <c r="I385" s="152"/>
      <c r="J385" s="151"/>
      <c r="K385" s="151"/>
      <c r="L385" s="152"/>
      <c r="M385" s="151"/>
      <c r="O385" s="69"/>
      <c r="P385" s="69"/>
      <c r="Q385" s="69"/>
    </row>
    <row r="386" spans="2:17">
      <c r="C386" s="151"/>
      <c r="D386" s="151" t="s">
        <v>1342</v>
      </c>
      <c r="E386" s="151"/>
      <c r="F386" s="152"/>
      <c r="G386" s="152"/>
      <c r="H386" s="152"/>
      <c r="I386" s="152"/>
      <c r="J386" s="151"/>
      <c r="K386" s="151"/>
      <c r="L386" s="152"/>
      <c r="M386" s="151"/>
      <c r="O386" s="69"/>
      <c r="P386" s="69"/>
      <c r="Q386" s="69"/>
    </row>
    <row r="387" spans="2:17">
      <c r="C387" s="151"/>
      <c r="D387" s="151" t="s">
        <v>380</v>
      </c>
      <c r="E387" s="151"/>
      <c r="F387" s="152"/>
      <c r="G387" s="152"/>
      <c r="H387" s="152"/>
      <c r="I387" s="152"/>
      <c r="J387" s="151"/>
      <c r="K387" s="151"/>
      <c r="L387" s="152"/>
      <c r="M387" s="151"/>
      <c r="O387" s="69"/>
      <c r="P387" s="69"/>
      <c r="Q387" s="69"/>
    </row>
    <row r="388" spans="2:17">
      <c r="C388" s="151"/>
      <c r="D388" s="151" t="s">
        <v>379</v>
      </c>
      <c r="E388" s="151"/>
      <c r="F388" s="152"/>
      <c r="G388" s="152"/>
      <c r="H388" s="152"/>
      <c r="I388" s="152"/>
      <c r="J388" s="151"/>
      <c r="K388" s="151"/>
      <c r="L388" s="152"/>
      <c r="M388" s="151"/>
      <c r="O388" s="69"/>
      <c r="P388" s="69"/>
      <c r="Q388" s="69"/>
    </row>
    <row r="389" spans="2:17">
      <c r="B389" s="144" t="str">
        <f>'Autoproducers Calculations'!$C$223</f>
        <v>CHPAUTOGENOIL00</v>
      </c>
      <c r="C389" s="151" t="s">
        <v>111</v>
      </c>
      <c r="D389" s="151"/>
      <c r="E389" s="152">
        <f>'Eurostat Resume'!N13/'Eurostat Resume'!N11</f>
        <v>0.57511210762331832</v>
      </c>
      <c r="F389" s="152">
        <v>31.536000000000001</v>
      </c>
      <c r="G389" s="152">
        <f>'Autoproducers Calculations'!M$209</f>
        <v>0.34468414699279876</v>
      </c>
      <c r="H389" s="152">
        <f>'Autoproducers Calculations'!M$207</f>
        <v>1.3202539430516294</v>
      </c>
      <c r="I389" s="152">
        <f>'Autoproducers Calculations'!M$206</f>
        <v>0.89999999999999991</v>
      </c>
      <c r="J389" s="151">
        <v>20</v>
      </c>
      <c r="K389" s="151">
        <v>1</v>
      </c>
      <c r="L389" s="152">
        <f>'Autoproducers Calculations'!M$226</f>
        <v>0.88987723542049135</v>
      </c>
      <c r="M389" s="151">
        <v>0</v>
      </c>
      <c r="O389" s="69">
        <f t="shared" ref="O389" si="91">L389*F389*I389</f>
        <v>25.256851646598552</v>
      </c>
      <c r="P389" s="69">
        <f t="shared" ref="P389" si="92">O389*H389</f>
        <v>33.345457975491776</v>
      </c>
      <c r="Q389" s="69">
        <f>O389/G389</f>
        <v>73.275350395288783</v>
      </c>
    </row>
    <row r="390" spans="2:17">
      <c r="C390" s="151" t="s">
        <v>112</v>
      </c>
      <c r="D390" s="151"/>
      <c r="E390" s="151"/>
      <c r="F390" s="152"/>
      <c r="G390" s="152"/>
      <c r="H390" s="152"/>
      <c r="I390" s="152"/>
      <c r="J390" s="151"/>
      <c r="K390" s="151"/>
      <c r="L390" s="152"/>
      <c r="M390" s="151"/>
      <c r="O390" s="69"/>
      <c r="P390" s="69"/>
      <c r="Q390" s="69"/>
    </row>
    <row r="391" spans="2:17">
      <c r="C391" s="151"/>
      <c r="D391" s="151" t="s">
        <v>105</v>
      </c>
      <c r="E391" s="151"/>
      <c r="F391" s="152"/>
      <c r="G391" s="152"/>
      <c r="H391" s="152"/>
      <c r="I391" s="152"/>
      <c r="J391" s="151"/>
      <c r="K391" s="151"/>
      <c r="L391" s="152"/>
      <c r="M391" s="151"/>
      <c r="O391" s="69"/>
      <c r="P391" s="69"/>
      <c r="Q391" s="69"/>
    </row>
    <row r="392" spans="2:17">
      <c r="C392" s="151"/>
      <c r="D392" s="151" t="s">
        <v>106</v>
      </c>
      <c r="E392" s="151"/>
      <c r="F392" s="152"/>
      <c r="G392" s="152"/>
      <c r="H392" s="152"/>
      <c r="I392" s="152"/>
      <c r="J392" s="151"/>
      <c r="K392" s="151"/>
      <c r="L392" s="152"/>
      <c r="M392" s="151"/>
      <c r="O392" s="69"/>
      <c r="P392" s="69"/>
      <c r="Q392" s="69"/>
    </row>
    <row r="393" spans="2:17">
      <c r="C393" s="151"/>
      <c r="D393" s="151" t="s">
        <v>380</v>
      </c>
      <c r="E393" s="151"/>
      <c r="F393" s="152"/>
      <c r="G393" s="152"/>
      <c r="H393" s="152"/>
      <c r="I393" s="152"/>
      <c r="J393" s="151"/>
      <c r="K393" s="151"/>
      <c r="L393" s="152"/>
      <c r="M393" s="151"/>
      <c r="O393" s="69"/>
      <c r="P393" s="69"/>
      <c r="Q393" s="69"/>
    </row>
    <row r="394" spans="2:17">
      <c r="C394" s="151"/>
      <c r="D394" s="151" t="s">
        <v>379</v>
      </c>
      <c r="E394" s="151"/>
      <c r="F394" s="152"/>
      <c r="G394" s="152"/>
      <c r="H394" s="152"/>
      <c r="I394" s="152"/>
      <c r="J394" s="151"/>
      <c r="K394" s="151"/>
      <c r="L394" s="152"/>
      <c r="M394" s="151"/>
      <c r="O394" s="69"/>
      <c r="P394" s="69"/>
      <c r="Q394" s="69"/>
    </row>
    <row r="395" spans="2:17">
      <c r="C395" s="151"/>
      <c r="D395" s="151" t="s">
        <v>1342</v>
      </c>
      <c r="E395" s="151"/>
      <c r="F395" s="152"/>
      <c r="G395" s="152"/>
      <c r="H395" s="152"/>
      <c r="I395" s="152"/>
      <c r="J395" s="151"/>
      <c r="K395" s="151"/>
      <c r="L395" s="152"/>
      <c r="M395" s="151"/>
      <c r="O395" s="69"/>
      <c r="P395" s="69"/>
      <c r="Q395" s="69"/>
    </row>
    <row r="396" spans="2:17">
      <c r="C396" s="151"/>
      <c r="D396" s="151" t="s">
        <v>382</v>
      </c>
      <c r="E396" s="151"/>
      <c r="F396" s="152"/>
      <c r="G396" s="152"/>
      <c r="H396" s="152"/>
      <c r="I396" s="152"/>
      <c r="J396" s="151"/>
      <c r="K396" s="151"/>
      <c r="L396" s="152"/>
      <c r="M396" s="151"/>
      <c r="O396" s="69"/>
      <c r="P396" s="69"/>
      <c r="Q396" s="69"/>
    </row>
    <row r="397" spans="2:17">
      <c r="B397" s="144" t="str">
        <f>'Autoproducers Calculations'!$C$232</f>
        <v>CHPAUTOGENGAS00</v>
      </c>
      <c r="C397" s="151" t="s">
        <v>113</v>
      </c>
      <c r="D397" s="151"/>
      <c r="E397" s="151"/>
      <c r="F397" s="152">
        <v>31.536000000000001</v>
      </c>
      <c r="G397" s="152">
        <f>'Autoproducers Calculations'!M$209</f>
        <v>0.34468414699279876</v>
      </c>
      <c r="H397" s="152">
        <f>'Autoproducers Calculations'!M$207</f>
        <v>1.3202539430516294</v>
      </c>
      <c r="I397" s="152">
        <f>'Autoproducers Calculations'!M$206</f>
        <v>0.89999999999999991</v>
      </c>
      <c r="J397" s="151">
        <v>20</v>
      </c>
      <c r="K397" s="151">
        <v>1</v>
      </c>
      <c r="L397" s="152">
        <f>'Autoproducers Calculations'!M$235</f>
        <v>3.0201455702356776</v>
      </c>
      <c r="M397" s="151">
        <v>0</v>
      </c>
      <c r="O397" s="69">
        <f t="shared" ref="O397" si="93">L397*F397*I397</f>
        <v>85.718979632657081</v>
      </c>
      <c r="P397" s="69">
        <f t="shared" ref="P397" si="94">O397*H397</f>
        <v>113.17082085437782</v>
      </c>
      <c r="Q397" s="69">
        <f>O397/G397</f>
        <v>248.68848881073706</v>
      </c>
    </row>
    <row r="398" spans="2:17">
      <c r="C398" s="151"/>
      <c r="D398" s="151" t="s">
        <v>105</v>
      </c>
      <c r="E398" s="151"/>
      <c r="F398" s="152"/>
      <c r="G398" s="152"/>
      <c r="H398" s="152"/>
      <c r="I398" s="152"/>
      <c r="J398" s="151"/>
      <c r="K398" s="151"/>
      <c r="L398" s="152"/>
      <c r="M398" s="151"/>
      <c r="O398" s="69"/>
      <c r="P398" s="69"/>
      <c r="Q398" s="69"/>
    </row>
    <row r="399" spans="2:17">
      <c r="C399" s="151"/>
      <c r="D399" s="151" t="s">
        <v>106</v>
      </c>
      <c r="E399" s="151"/>
      <c r="F399" s="152"/>
      <c r="G399" s="152"/>
      <c r="H399" s="152"/>
      <c r="I399" s="152"/>
      <c r="J399" s="151"/>
      <c r="K399" s="151"/>
      <c r="L399" s="152"/>
      <c r="M399" s="151"/>
      <c r="O399" s="69"/>
      <c r="P399" s="69"/>
      <c r="Q399" s="69"/>
    </row>
    <row r="400" spans="2:17">
      <c r="C400" s="151"/>
      <c r="D400" s="151" t="s">
        <v>1342</v>
      </c>
      <c r="E400" s="151"/>
      <c r="F400" s="152"/>
      <c r="G400" s="152"/>
      <c r="H400" s="152"/>
      <c r="I400" s="152"/>
      <c r="J400" s="151"/>
      <c r="K400" s="151"/>
      <c r="L400" s="152"/>
      <c r="M400" s="151"/>
      <c r="O400" s="69"/>
      <c r="P400" s="69"/>
      <c r="Q400" s="69"/>
    </row>
    <row r="401" spans="2:17">
      <c r="C401" s="151"/>
      <c r="D401" s="151" t="s">
        <v>378</v>
      </c>
      <c r="E401" s="151"/>
      <c r="F401" s="152"/>
      <c r="G401" s="152"/>
      <c r="H401" s="152"/>
      <c r="I401" s="152"/>
      <c r="J401" s="151"/>
      <c r="K401" s="151"/>
      <c r="L401" s="152"/>
      <c r="M401" s="151"/>
      <c r="O401" s="69"/>
      <c r="P401" s="69"/>
      <c r="Q401" s="69"/>
    </row>
    <row r="402" spans="2:17">
      <c r="C402" s="151"/>
      <c r="D402" s="151" t="s">
        <v>421</v>
      </c>
      <c r="E402" s="151"/>
      <c r="F402" s="152"/>
      <c r="G402" s="152"/>
      <c r="H402" s="152"/>
      <c r="I402" s="152"/>
      <c r="J402" s="151"/>
      <c r="K402" s="151"/>
      <c r="L402" s="152"/>
      <c r="M402" s="151"/>
      <c r="O402" s="69"/>
      <c r="P402" s="69"/>
      <c r="Q402" s="69"/>
    </row>
    <row r="403" spans="2:17">
      <c r="C403" s="151"/>
      <c r="D403" s="151" t="s">
        <v>380</v>
      </c>
      <c r="E403" s="151"/>
      <c r="F403" s="152"/>
      <c r="G403" s="152"/>
      <c r="H403" s="152"/>
      <c r="I403" s="152"/>
      <c r="J403" s="151"/>
      <c r="K403" s="151"/>
      <c r="L403" s="152"/>
      <c r="M403" s="151"/>
      <c r="O403" s="69"/>
      <c r="P403" s="69"/>
      <c r="Q403" s="69"/>
    </row>
    <row r="404" spans="2:17">
      <c r="C404" s="151"/>
      <c r="D404" s="151" t="s">
        <v>379</v>
      </c>
      <c r="E404" s="151"/>
      <c r="F404" s="152"/>
      <c r="G404" s="152"/>
      <c r="H404" s="152"/>
      <c r="I404" s="152"/>
      <c r="J404" s="151"/>
      <c r="K404" s="151"/>
      <c r="L404" s="152"/>
      <c r="M404" s="151"/>
      <c r="O404" s="69"/>
      <c r="P404" s="69"/>
      <c r="Q404" s="69"/>
    </row>
    <row r="405" spans="2:17">
      <c r="C405" s="151"/>
      <c r="D405" s="151" t="s">
        <v>381</v>
      </c>
      <c r="E405" s="151"/>
      <c r="F405" s="152"/>
      <c r="G405" s="152"/>
      <c r="H405" s="152"/>
      <c r="I405" s="152"/>
      <c r="J405" s="151"/>
      <c r="K405" s="151"/>
      <c r="L405" s="152"/>
      <c r="M405" s="151"/>
      <c r="O405" s="69"/>
      <c r="P405" s="69"/>
      <c r="Q405" s="69"/>
    </row>
    <row r="406" spans="2:17">
      <c r="C406" s="151"/>
      <c r="D406" s="151" t="s">
        <v>382</v>
      </c>
      <c r="E406" s="151"/>
      <c r="F406" s="152"/>
      <c r="G406" s="152"/>
      <c r="H406" s="152"/>
      <c r="I406" s="152"/>
      <c r="J406" s="151"/>
      <c r="K406" s="151"/>
      <c r="L406" s="152"/>
      <c r="M406" s="151"/>
      <c r="O406" s="69"/>
      <c r="P406" s="69"/>
      <c r="Q406" s="69"/>
    </row>
    <row r="407" spans="2:17">
      <c r="B407" s="144" t="str">
        <f>'Autoproducers Calculations'!$C$241</f>
        <v>CHPAUTOGENBIO00</v>
      </c>
      <c r="C407" s="151" t="s">
        <v>116</v>
      </c>
      <c r="D407" s="151"/>
      <c r="E407" s="151"/>
      <c r="F407" s="152">
        <v>31.536000000000001</v>
      </c>
      <c r="G407" s="152">
        <f>'Autoproducers Calculations'!M$209</f>
        <v>0.34468414699279876</v>
      </c>
      <c r="H407" s="152">
        <f>'Autoproducers Calculations'!M$207</f>
        <v>1.3202539430516294</v>
      </c>
      <c r="I407" s="152">
        <f>'Autoproducers Calculations'!M$206</f>
        <v>0.89999999999999991</v>
      </c>
      <c r="J407" s="151">
        <v>20</v>
      </c>
      <c r="K407" s="151">
        <v>1</v>
      </c>
      <c r="L407" s="152">
        <f>'Autoproducers Calculations'!M$244</f>
        <v>0.31784180179929211</v>
      </c>
      <c r="M407" s="151">
        <v>0</v>
      </c>
      <c r="O407" s="69">
        <f t="shared" ref="O407" si="95">L407*F407*I407</f>
        <v>9.0211131553882282</v>
      </c>
      <c r="P407" s="69">
        <f t="shared" ref="P407" si="96">O407*H407</f>
        <v>11.910160214116233</v>
      </c>
      <c r="Q407" s="69">
        <f>O407/G407</f>
        <v>26.172115062711892</v>
      </c>
    </row>
    <row r="408" spans="2:17">
      <c r="C408" s="151"/>
      <c r="D408" s="151" t="s">
        <v>105</v>
      </c>
      <c r="E408" s="151"/>
      <c r="F408" s="152"/>
      <c r="G408" s="152"/>
      <c r="H408" s="152"/>
      <c r="I408" s="152"/>
      <c r="J408" s="151"/>
      <c r="K408" s="151"/>
      <c r="L408" s="152"/>
      <c r="M408" s="151"/>
      <c r="O408" s="69"/>
      <c r="P408" s="69"/>
      <c r="Q408" s="69"/>
    </row>
    <row r="409" spans="2:17">
      <c r="C409" s="151"/>
      <c r="D409" s="151" t="s">
        <v>106</v>
      </c>
      <c r="E409" s="151"/>
      <c r="F409" s="152"/>
      <c r="G409" s="152"/>
      <c r="H409" s="152"/>
      <c r="I409" s="152"/>
      <c r="J409" s="151"/>
      <c r="K409" s="151"/>
      <c r="L409" s="152"/>
      <c r="M409" s="151"/>
      <c r="O409" s="69"/>
      <c r="P409" s="69"/>
      <c r="Q409" s="69"/>
    </row>
    <row r="410" spans="2:17">
      <c r="C410" s="151"/>
      <c r="D410" s="151" t="s">
        <v>380</v>
      </c>
      <c r="E410" s="151"/>
      <c r="F410" s="152"/>
      <c r="G410" s="152"/>
      <c r="H410" s="152"/>
      <c r="I410" s="152"/>
      <c r="J410" s="151"/>
      <c r="K410" s="151"/>
      <c r="L410" s="151"/>
      <c r="M410" s="151"/>
      <c r="O410" s="69"/>
      <c r="P410" s="69"/>
      <c r="Q410" s="69"/>
    </row>
    <row r="411" spans="2:17">
      <c r="C411" s="151"/>
      <c r="D411" s="151" t="s">
        <v>379</v>
      </c>
      <c r="E411" s="151"/>
      <c r="F411" s="152"/>
      <c r="G411" s="152"/>
      <c r="H411" s="152"/>
      <c r="I411" s="152"/>
      <c r="J411" s="151"/>
      <c r="K411" s="151"/>
      <c r="L411" s="151"/>
      <c r="M411" s="151"/>
      <c r="O411" s="69"/>
      <c r="P411" s="69"/>
      <c r="Q411" s="69"/>
    </row>
    <row r="412" spans="2:17">
      <c r="C412" s="151"/>
      <c r="D412" s="151" t="s">
        <v>381</v>
      </c>
      <c r="E412" s="151"/>
      <c r="F412" s="152"/>
      <c r="G412" s="152"/>
      <c r="H412" s="152"/>
      <c r="I412" s="152"/>
      <c r="J412" s="151"/>
      <c r="K412" s="151"/>
      <c r="L412" s="151"/>
      <c r="M412" s="151"/>
      <c r="O412" s="69"/>
      <c r="P412" s="69"/>
      <c r="Q412" s="69"/>
    </row>
    <row r="413" spans="2:17">
      <c r="C413" s="151"/>
      <c r="D413" s="151" t="s">
        <v>382</v>
      </c>
      <c r="E413" s="151"/>
      <c r="F413" s="152"/>
      <c r="G413" s="152"/>
      <c r="H413" s="152"/>
      <c r="I413" s="152"/>
      <c r="J413" s="151"/>
      <c r="K413" s="151"/>
      <c r="L413" s="151"/>
      <c r="M413" s="151"/>
      <c r="O413" s="69"/>
      <c r="P413" s="69"/>
      <c r="Q413" s="69"/>
    </row>
    <row r="414" spans="2:17">
      <c r="B414" s="144" t="str">
        <f>'Autoproducers Calculations'!$C$250</f>
        <v>CHPAUTOGENWASTE00</v>
      </c>
      <c r="C414" s="151" t="s">
        <v>117</v>
      </c>
      <c r="D414" s="151"/>
      <c r="E414" s="151"/>
      <c r="F414" s="152">
        <v>31.536000000000001</v>
      </c>
      <c r="G414" s="152">
        <f>'Autoproducers Calculations'!M$209</f>
        <v>0.34468414699279876</v>
      </c>
      <c r="H414" s="152">
        <f>'Autoproducers Calculations'!M$207</f>
        <v>1.3202539430516294</v>
      </c>
      <c r="I414" s="152">
        <f>'Autoproducers Calculations'!M$206</f>
        <v>0.89999999999999991</v>
      </c>
      <c r="J414" s="151">
        <v>20</v>
      </c>
      <c r="K414" s="151">
        <v>1</v>
      </c>
      <c r="L414" s="152">
        <f>'Autoproducers Calculations'!M$253</f>
        <v>0</v>
      </c>
      <c r="M414" s="151">
        <v>0</v>
      </c>
      <c r="O414" s="69">
        <f t="shared" ref="O414" si="97">L414*F414*I414</f>
        <v>0</v>
      </c>
      <c r="P414" s="69">
        <f t="shared" ref="P414" si="98">O414*H414</f>
        <v>0</v>
      </c>
      <c r="Q414" s="69">
        <f>O414/G414</f>
        <v>0</v>
      </c>
    </row>
    <row r="415" spans="2:17">
      <c r="C415" s="151" t="s">
        <v>118</v>
      </c>
      <c r="D415" s="151"/>
      <c r="E415" s="151"/>
      <c r="F415" s="152"/>
      <c r="G415" s="152"/>
      <c r="H415" s="152"/>
      <c r="I415" s="152"/>
      <c r="J415" s="151"/>
      <c r="K415" s="151"/>
      <c r="L415" s="151"/>
      <c r="M415" s="151"/>
      <c r="O415" s="69"/>
      <c r="P415" s="69"/>
      <c r="Q415" s="69"/>
    </row>
    <row r="416" spans="2:17">
      <c r="C416" s="151"/>
      <c r="D416" s="151" t="s">
        <v>105</v>
      </c>
      <c r="E416" s="151"/>
      <c r="F416" s="152"/>
      <c r="G416" s="152"/>
      <c r="H416" s="152"/>
      <c r="I416" s="152"/>
      <c r="J416" s="151"/>
      <c r="K416" s="151"/>
      <c r="L416" s="151"/>
      <c r="M416" s="151"/>
      <c r="O416" s="719">
        <f>SUM(O374:O414)</f>
        <v>121.36809134157943</v>
      </c>
      <c r="P416" s="719">
        <f>SUM(P374:P414)</f>
        <v>160.23670115437059</v>
      </c>
      <c r="Q416" s="719">
        <f>SUM(Q374:Q414)</f>
        <v>352.11393503431157</v>
      </c>
    </row>
    <row r="417" spans="1:17">
      <c r="C417" s="151"/>
      <c r="D417" s="151" t="s">
        <v>106</v>
      </c>
      <c r="E417" s="151"/>
      <c r="F417" s="152"/>
      <c r="G417" s="152"/>
      <c r="H417" s="152"/>
      <c r="I417" s="152"/>
      <c r="J417" s="151"/>
      <c r="K417" s="151"/>
      <c r="L417" s="151"/>
      <c r="M417" s="151"/>
    </row>
    <row r="418" spans="1:17">
      <c r="C418" s="151"/>
      <c r="D418" s="151" t="s">
        <v>381</v>
      </c>
      <c r="E418" s="151"/>
      <c r="F418" s="152"/>
      <c r="G418" s="152"/>
      <c r="H418" s="152"/>
      <c r="I418" s="152"/>
      <c r="J418" s="151"/>
      <c r="K418" s="151"/>
      <c r="L418" s="151"/>
      <c r="M418" s="151"/>
    </row>
    <row r="419" spans="1:17">
      <c r="C419" s="151"/>
      <c r="D419" s="151" t="s">
        <v>382</v>
      </c>
      <c r="E419" s="151"/>
      <c r="F419" s="151"/>
      <c r="G419" s="151"/>
      <c r="H419" s="151"/>
      <c r="I419" s="151"/>
      <c r="J419" s="151"/>
      <c r="K419" s="151"/>
      <c r="L419" s="151"/>
      <c r="M419" s="151"/>
      <c r="O419" s="677" t="s">
        <v>390</v>
      </c>
      <c r="P419" s="677" t="s">
        <v>406</v>
      </c>
      <c r="Q419" s="677" t="s">
        <v>1304</v>
      </c>
    </row>
    <row r="420" spans="1:17">
      <c r="A420" s="64" t="s">
        <v>62</v>
      </c>
      <c r="B420" s="144" t="str">
        <f>'Autoproducers Calculations'!$C$205</f>
        <v>CHPAUTOGENSOLID00</v>
      </c>
      <c r="C420" s="151" t="s">
        <v>107</v>
      </c>
      <c r="D420" s="151"/>
      <c r="E420" s="151"/>
      <c r="F420" s="152">
        <v>31.536000000000001</v>
      </c>
      <c r="G420" s="152">
        <f>'Autoproducers Calculations'!N$209</f>
        <v>0.15147279248545273</v>
      </c>
      <c r="H420" s="152">
        <f>'Autoproducers Calculations'!N$207</f>
        <v>4.291426574686291</v>
      </c>
      <c r="I420" s="152">
        <f>'Autoproducers Calculations'!N$206</f>
        <v>0.5298536268850097</v>
      </c>
      <c r="J420" s="151">
        <v>20</v>
      </c>
      <c r="K420" s="151">
        <v>1</v>
      </c>
      <c r="L420" s="152">
        <f>'Autoproducers Calculations'!N$208</f>
        <v>0.11344415593271366</v>
      </c>
      <c r="M420" s="151">
        <v>0</v>
      </c>
      <c r="O420" s="69">
        <f>L420*F420*I420</f>
        <v>1.895591037009408</v>
      </c>
      <c r="P420" s="69">
        <f t="shared" ref="P420" si="99">O420*H420</f>
        <v>8.1347897509593174</v>
      </c>
      <c r="Q420" s="69">
        <f>O420/G420</f>
        <v>12.51439948987181</v>
      </c>
    </row>
    <row r="421" spans="1:17">
      <c r="C421" s="151" t="s">
        <v>108</v>
      </c>
      <c r="D421" s="151"/>
      <c r="E421" s="152">
        <f>'Eurostat Resume'!O10/'Eurostat Resume'!O9</f>
        <v>0.14576055890758971</v>
      </c>
      <c r="F421" s="152"/>
      <c r="G421" s="152"/>
      <c r="H421" s="152"/>
      <c r="I421" s="152"/>
      <c r="J421" s="151"/>
      <c r="K421" s="151"/>
      <c r="L421" s="152"/>
      <c r="M421" s="151"/>
      <c r="O421" s="69"/>
      <c r="P421" s="69"/>
      <c r="Q421" s="69"/>
    </row>
    <row r="422" spans="1:17">
      <c r="C422" s="151"/>
      <c r="D422" s="151" t="s">
        <v>105</v>
      </c>
      <c r="E422" s="151"/>
      <c r="F422" s="152"/>
      <c r="G422" s="152"/>
      <c r="H422" s="152"/>
      <c r="I422" s="152"/>
      <c r="J422" s="151"/>
      <c r="K422" s="151"/>
      <c r="L422" s="152"/>
      <c r="M422" s="151"/>
      <c r="O422" s="69"/>
      <c r="P422" s="69"/>
      <c r="Q422" s="69"/>
    </row>
    <row r="423" spans="1:17">
      <c r="C423" s="151"/>
      <c r="D423" s="151" t="s">
        <v>106</v>
      </c>
      <c r="E423" s="151"/>
      <c r="F423" s="152"/>
      <c r="G423" s="152"/>
      <c r="H423" s="152"/>
      <c r="I423" s="152"/>
      <c r="J423" s="151"/>
      <c r="K423" s="151"/>
      <c r="L423" s="152"/>
      <c r="M423" s="151"/>
      <c r="O423" s="69"/>
      <c r="P423" s="69"/>
      <c r="Q423" s="69"/>
    </row>
    <row r="424" spans="1:17">
      <c r="C424" s="151"/>
      <c r="D424" s="151" t="s">
        <v>378</v>
      </c>
      <c r="E424" s="151"/>
      <c r="F424" s="152"/>
      <c r="G424" s="152"/>
      <c r="H424" s="152"/>
      <c r="I424" s="152"/>
      <c r="J424" s="151"/>
      <c r="K424" s="151"/>
      <c r="L424" s="152"/>
      <c r="M424" s="151"/>
      <c r="O424" s="69"/>
      <c r="P424" s="69"/>
      <c r="Q424" s="69"/>
    </row>
    <row r="425" spans="1:17">
      <c r="C425" s="151"/>
      <c r="D425" s="151" t="s">
        <v>380</v>
      </c>
      <c r="E425" s="151"/>
      <c r="F425" s="152"/>
      <c r="G425" s="152"/>
      <c r="H425" s="152"/>
      <c r="I425" s="152"/>
      <c r="J425" s="151"/>
      <c r="K425" s="151"/>
      <c r="L425" s="152"/>
      <c r="M425" s="151"/>
      <c r="O425" s="69"/>
      <c r="P425" s="69"/>
      <c r="Q425" s="69"/>
    </row>
    <row r="426" spans="1:17">
      <c r="C426" s="151"/>
      <c r="D426" s="151" t="s">
        <v>379</v>
      </c>
      <c r="E426" s="151"/>
      <c r="F426" s="152"/>
      <c r="G426" s="152"/>
      <c r="H426" s="152"/>
      <c r="I426" s="152"/>
      <c r="J426" s="151"/>
      <c r="K426" s="151"/>
      <c r="L426" s="152"/>
      <c r="M426" s="151"/>
      <c r="O426" s="69"/>
      <c r="P426" s="69"/>
      <c r="Q426" s="69"/>
    </row>
    <row r="427" spans="1:17">
      <c r="C427" s="151"/>
      <c r="D427" s="151" t="s">
        <v>381</v>
      </c>
      <c r="E427" s="151"/>
      <c r="F427" s="152"/>
      <c r="G427" s="152"/>
      <c r="H427" s="152"/>
      <c r="I427" s="152"/>
      <c r="J427" s="151"/>
      <c r="K427" s="151"/>
      <c r="L427" s="152"/>
      <c r="M427" s="151"/>
      <c r="O427" s="69"/>
      <c r="P427" s="69"/>
      <c r="Q427" s="69"/>
    </row>
    <row r="428" spans="1:17">
      <c r="C428" s="151"/>
      <c r="D428" s="151" t="s">
        <v>382</v>
      </c>
      <c r="E428" s="151"/>
      <c r="F428" s="152"/>
      <c r="G428" s="152"/>
      <c r="H428" s="152"/>
      <c r="I428" s="152"/>
      <c r="J428" s="151"/>
      <c r="K428" s="151"/>
      <c r="L428" s="152"/>
      <c r="M428" s="151"/>
      <c r="O428" s="69"/>
      <c r="P428" s="69"/>
      <c r="Q428" s="69"/>
    </row>
    <row r="429" spans="1:17">
      <c r="B429" s="144" t="str">
        <f>'Autoproducers Calculations'!$C$214</f>
        <v>CHPAUTOGENRFG00</v>
      </c>
      <c r="C429" s="151" t="s">
        <v>110</v>
      </c>
      <c r="D429" s="151"/>
      <c r="E429" s="151"/>
      <c r="F429" s="152">
        <v>31.536000000000001</v>
      </c>
      <c r="G429" s="152">
        <f>'Autoproducers Calculations'!N$209</f>
        <v>0.15147279248545273</v>
      </c>
      <c r="H429" s="152">
        <f>'Autoproducers Calculations'!N$207</f>
        <v>4.291426574686291</v>
      </c>
      <c r="I429" s="152">
        <f>'Autoproducers Calculations'!N$206</f>
        <v>0.5298536268850097</v>
      </c>
      <c r="J429" s="151">
        <v>20</v>
      </c>
      <c r="K429" s="151">
        <v>1</v>
      </c>
      <c r="L429" s="152">
        <f>'Autoproducers Calculations'!N$217</f>
        <v>0</v>
      </c>
      <c r="M429" s="151">
        <v>0</v>
      </c>
      <c r="O429" s="69">
        <f t="shared" ref="O429" si="100">L429*F429*I429</f>
        <v>0</v>
      </c>
      <c r="P429" s="69">
        <f t="shared" ref="P429" si="101">O429*H429</f>
        <v>0</v>
      </c>
      <c r="Q429" s="69">
        <f>O429/G429</f>
        <v>0</v>
      </c>
    </row>
    <row r="430" spans="1:17">
      <c r="C430" s="151"/>
      <c r="D430" s="151" t="s">
        <v>105</v>
      </c>
      <c r="E430" s="151"/>
      <c r="F430" s="152"/>
      <c r="G430" s="152"/>
      <c r="H430" s="152"/>
      <c r="I430" s="152"/>
      <c r="J430" s="151"/>
      <c r="K430" s="151"/>
      <c r="L430" s="152"/>
      <c r="M430" s="151"/>
      <c r="O430" s="69"/>
      <c r="P430" s="69"/>
      <c r="Q430" s="69"/>
    </row>
    <row r="431" spans="1:17">
      <c r="C431" s="151"/>
      <c r="D431" s="151" t="s">
        <v>106</v>
      </c>
      <c r="E431" s="151"/>
      <c r="F431" s="152"/>
      <c r="G431" s="152"/>
      <c r="H431" s="152"/>
      <c r="I431" s="152"/>
      <c r="J431" s="151"/>
      <c r="K431" s="151"/>
      <c r="L431" s="152"/>
      <c r="M431" s="151"/>
      <c r="O431" s="69"/>
      <c r="P431" s="69"/>
      <c r="Q431" s="69"/>
    </row>
    <row r="432" spans="1:17">
      <c r="C432" s="151"/>
      <c r="D432" s="151" t="s">
        <v>1342</v>
      </c>
      <c r="E432" s="151"/>
      <c r="F432" s="152"/>
      <c r="G432" s="152"/>
      <c r="H432" s="152"/>
      <c r="I432" s="152"/>
      <c r="J432" s="151"/>
      <c r="K432" s="151"/>
      <c r="L432" s="152"/>
      <c r="M432" s="151"/>
      <c r="O432" s="69"/>
      <c r="P432" s="69"/>
      <c r="Q432" s="69"/>
    </row>
    <row r="433" spans="2:17">
      <c r="C433" s="151"/>
      <c r="D433" s="151" t="s">
        <v>380</v>
      </c>
      <c r="E433" s="151"/>
      <c r="F433" s="152"/>
      <c r="G433" s="152"/>
      <c r="H433" s="152"/>
      <c r="I433" s="152"/>
      <c r="J433" s="151"/>
      <c r="K433" s="151"/>
      <c r="L433" s="152"/>
      <c r="M433" s="151"/>
      <c r="O433" s="69"/>
      <c r="P433" s="69"/>
      <c r="Q433" s="69"/>
    </row>
    <row r="434" spans="2:17">
      <c r="C434" s="151"/>
      <c r="D434" s="151" t="s">
        <v>379</v>
      </c>
      <c r="E434" s="151"/>
      <c r="F434" s="152"/>
      <c r="G434" s="152"/>
      <c r="H434" s="152"/>
      <c r="I434" s="152"/>
      <c r="J434" s="151"/>
      <c r="K434" s="151"/>
      <c r="L434" s="152"/>
      <c r="M434" s="151"/>
      <c r="O434" s="69"/>
      <c r="P434" s="69"/>
      <c r="Q434" s="69"/>
    </row>
    <row r="435" spans="2:17">
      <c r="B435" s="144" t="str">
        <f>'Autoproducers Calculations'!$C$223</f>
        <v>CHPAUTOGENOIL00</v>
      </c>
      <c r="C435" s="151" t="s">
        <v>111</v>
      </c>
      <c r="D435" s="151"/>
      <c r="E435" s="151">
        <v>1</v>
      </c>
      <c r="F435" s="152">
        <v>31.536000000000001</v>
      </c>
      <c r="G435" s="152">
        <f>'Autoproducers Calculations'!N$209</f>
        <v>0.15147279248545273</v>
      </c>
      <c r="H435" s="152">
        <f>'Autoproducers Calculations'!N$207</f>
        <v>4.291426574686291</v>
      </c>
      <c r="I435" s="152">
        <f>'Autoproducers Calculations'!N$206</f>
        <v>0.5298536268850097</v>
      </c>
      <c r="J435" s="151">
        <v>20</v>
      </c>
      <c r="K435" s="151">
        <v>1</v>
      </c>
      <c r="L435" s="152">
        <f>'Autoproducers Calculations'!N$226</f>
        <v>8.5128148767546E-2</v>
      </c>
      <c r="M435" s="151">
        <v>0</v>
      </c>
      <c r="O435" s="69">
        <f t="shared" ref="O435" si="102">L435*F435*I435</f>
        <v>1.4224457352979456</v>
      </c>
      <c r="P435" s="69">
        <f t="shared" ref="P435" si="103">O435*H435</f>
        <v>6.1043214295067854</v>
      </c>
      <c r="Q435" s="69">
        <f>O435/G435</f>
        <v>9.3907672259660462</v>
      </c>
    </row>
    <row r="436" spans="2:17">
      <c r="C436" s="151" t="s">
        <v>112</v>
      </c>
      <c r="D436" s="151"/>
      <c r="E436" s="151"/>
      <c r="F436" s="152"/>
      <c r="G436" s="152"/>
      <c r="H436" s="152"/>
      <c r="I436" s="152"/>
      <c r="J436" s="151"/>
      <c r="K436" s="151"/>
      <c r="L436" s="152"/>
      <c r="M436" s="151"/>
      <c r="O436" s="69"/>
      <c r="P436" s="69"/>
      <c r="Q436" s="69"/>
    </row>
    <row r="437" spans="2:17">
      <c r="C437" s="151"/>
      <c r="D437" s="151" t="s">
        <v>105</v>
      </c>
      <c r="E437" s="151"/>
      <c r="F437" s="152"/>
      <c r="G437" s="152"/>
      <c r="H437" s="152"/>
      <c r="I437" s="152"/>
      <c r="J437" s="151"/>
      <c r="K437" s="151"/>
      <c r="L437" s="152"/>
      <c r="M437" s="151"/>
      <c r="O437" s="69"/>
      <c r="P437" s="69"/>
      <c r="Q437" s="69"/>
    </row>
    <row r="438" spans="2:17">
      <c r="C438" s="151"/>
      <c r="D438" s="151" t="s">
        <v>106</v>
      </c>
      <c r="E438" s="151"/>
      <c r="F438" s="152"/>
      <c r="G438" s="152"/>
      <c r="H438" s="152"/>
      <c r="I438" s="152"/>
      <c r="J438" s="151"/>
      <c r="K438" s="151"/>
      <c r="L438" s="152"/>
      <c r="M438" s="151"/>
      <c r="O438" s="69"/>
      <c r="P438" s="69"/>
      <c r="Q438" s="69"/>
    </row>
    <row r="439" spans="2:17">
      <c r="C439" s="151"/>
      <c r="D439" s="151" t="s">
        <v>1342</v>
      </c>
      <c r="E439" s="151"/>
      <c r="F439" s="152"/>
      <c r="G439" s="152"/>
      <c r="H439" s="152"/>
      <c r="I439" s="152"/>
      <c r="J439" s="151"/>
      <c r="K439" s="151"/>
      <c r="L439" s="152"/>
      <c r="M439" s="151"/>
      <c r="O439" s="69"/>
      <c r="P439" s="69"/>
      <c r="Q439" s="69"/>
    </row>
    <row r="440" spans="2:17">
      <c r="C440" s="151"/>
      <c r="D440" s="151" t="s">
        <v>380</v>
      </c>
      <c r="E440" s="151"/>
      <c r="F440" s="152"/>
      <c r="G440" s="152"/>
      <c r="H440" s="152"/>
      <c r="I440" s="152"/>
      <c r="J440" s="151"/>
      <c r="K440" s="151"/>
      <c r="L440" s="152"/>
      <c r="M440" s="151"/>
      <c r="O440" s="69"/>
      <c r="P440" s="69"/>
      <c r="Q440" s="69"/>
    </row>
    <row r="441" spans="2:17">
      <c r="C441" s="151"/>
      <c r="D441" s="151" t="s">
        <v>379</v>
      </c>
      <c r="E441" s="151"/>
      <c r="F441" s="152"/>
      <c r="G441" s="152"/>
      <c r="H441" s="152"/>
      <c r="I441" s="152"/>
      <c r="J441" s="151"/>
      <c r="K441" s="151"/>
      <c r="L441" s="152"/>
      <c r="M441" s="151"/>
      <c r="O441" s="69"/>
      <c r="P441" s="69"/>
      <c r="Q441" s="69"/>
    </row>
    <row r="442" spans="2:17">
      <c r="C442" s="151"/>
      <c r="D442" s="151" t="s">
        <v>1342</v>
      </c>
      <c r="E442" s="151"/>
      <c r="F442" s="152"/>
      <c r="G442" s="152"/>
      <c r="H442" s="152"/>
      <c r="I442" s="152"/>
      <c r="J442" s="151"/>
      <c r="K442" s="151"/>
      <c r="L442" s="152"/>
      <c r="M442" s="151"/>
      <c r="O442" s="69"/>
      <c r="P442" s="69"/>
      <c r="Q442" s="69"/>
    </row>
    <row r="443" spans="2:17">
      <c r="C443" s="151"/>
      <c r="D443" s="151" t="s">
        <v>382</v>
      </c>
      <c r="E443" s="151"/>
      <c r="F443" s="152"/>
      <c r="G443" s="152"/>
      <c r="H443" s="152"/>
      <c r="I443" s="152"/>
      <c r="J443" s="151"/>
      <c r="K443" s="151"/>
      <c r="L443" s="152"/>
      <c r="M443" s="151"/>
      <c r="O443" s="69"/>
      <c r="P443" s="69"/>
      <c r="Q443" s="69"/>
    </row>
    <row r="444" spans="2:17">
      <c r="B444" s="144" t="str">
        <f>'Autoproducers Calculations'!$C$232</f>
        <v>CHPAUTOGENGAS00</v>
      </c>
      <c r="C444" s="151" t="s">
        <v>113</v>
      </c>
      <c r="D444" s="151"/>
      <c r="E444" s="151"/>
      <c r="F444" s="152">
        <v>31.536000000000001</v>
      </c>
      <c r="G444" s="152">
        <f>'Autoproducers Calculations'!N$209</f>
        <v>0.15147279248545273</v>
      </c>
      <c r="H444" s="152">
        <f>'Autoproducers Calculations'!N$207</f>
        <v>4.291426574686291</v>
      </c>
      <c r="I444" s="152">
        <f>'Autoproducers Calculations'!N$206</f>
        <v>0.5298536268850097</v>
      </c>
      <c r="J444" s="151">
        <v>20</v>
      </c>
      <c r="K444" s="151">
        <v>1</v>
      </c>
      <c r="L444" s="152">
        <f>'Autoproducers Calculations'!N$235</f>
        <v>0.4502461291988108</v>
      </c>
      <c r="M444" s="151">
        <v>0</v>
      </c>
      <c r="O444" s="69">
        <f t="shared" ref="O444" si="104">L444*F444*I444</f>
        <v>7.5233714768318771</v>
      </c>
      <c r="P444" s="69">
        <f t="shared" ref="P444" si="105">O444*H444</f>
        <v>32.285996286913168</v>
      </c>
      <c r="Q444" s="69">
        <f>O444/G444</f>
        <v>49.668137448211453</v>
      </c>
    </row>
    <row r="445" spans="2:17">
      <c r="C445" s="151"/>
      <c r="D445" s="151" t="s">
        <v>105</v>
      </c>
      <c r="E445" s="151"/>
      <c r="F445" s="152"/>
      <c r="G445" s="152"/>
      <c r="H445" s="152"/>
      <c r="I445" s="152"/>
      <c r="J445" s="151"/>
      <c r="K445" s="151"/>
      <c r="L445" s="152"/>
      <c r="M445" s="151"/>
      <c r="O445" s="69"/>
      <c r="P445" s="69"/>
      <c r="Q445" s="69"/>
    </row>
    <row r="446" spans="2:17">
      <c r="C446" s="151"/>
      <c r="D446" s="151" t="s">
        <v>106</v>
      </c>
      <c r="E446" s="151"/>
      <c r="F446" s="152"/>
      <c r="G446" s="152"/>
      <c r="H446" s="152"/>
      <c r="I446" s="152"/>
      <c r="J446" s="151"/>
      <c r="K446" s="151"/>
      <c r="L446" s="152"/>
      <c r="M446" s="151"/>
      <c r="O446" s="69"/>
      <c r="P446" s="69"/>
      <c r="Q446" s="69"/>
    </row>
    <row r="447" spans="2:17">
      <c r="C447" s="151"/>
      <c r="D447" s="151" t="s">
        <v>378</v>
      </c>
      <c r="E447" s="151"/>
      <c r="F447" s="152"/>
      <c r="G447" s="152"/>
      <c r="H447" s="152"/>
      <c r="I447" s="152"/>
      <c r="J447" s="151"/>
      <c r="K447" s="151"/>
      <c r="L447" s="152"/>
      <c r="M447" s="151"/>
      <c r="O447" s="69"/>
      <c r="P447" s="69"/>
      <c r="Q447" s="69"/>
    </row>
    <row r="448" spans="2:17">
      <c r="C448" s="151"/>
      <c r="D448" s="151" t="s">
        <v>421</v>
      </c>
      <c r="E448" s="151"/>
      <c r="F448" s="152"/>
      <c r="G448" s="152"/>
      <c r="H448" s="152"/>
      <c r="I448" s="152"/>
      <c r="J448" s="151"/>
      <c r="K448" s="151"/>
      <c r="L448" s="152"/>
      <c r="M448" s="151"/>
      <c r="O448" s="69"/>
      <c r="P448" s="69"/>
      <c r="Q448" s="69"/>
    </row>
    <row r="449" spans="2:17">
      <c r="C449" s="151"/>
      <c r="D449" s="151" t="s">
        <v>380</v>
      </c>
      <c r="E449" s="151"/>
      <c r="F449" s="152"/>
      <c r="G449" s="152"/>
      <c r="H449" s="152"/>
      <c r="I449" s="152"/>
      <c r="J449" s="151"/>
      <c r="K449" s="151"/>
      <c r="L449" s="152"/>
      <c r="M449" s="151"/>
      <c r="O449" s="69"/>
      <c r="P449" s="69"/>
      <c r="Q449" s="69"/>
    </row>
    <row r="450" spans="2:17">
      <c r="C450" s="151"/>
      <c r="D450" s="151" t="s">
        <v>379</v>
      </c>
      <c r="E450" s="151"/>
      <c r="F450" s="152"/>
      <c r="G450" s="152"/>
      <c r="H450" s="152"/>
      <c r="I450" s="152"/>
      <c r="J450" s="151"/>
      <c r="K450" s="151"/>
      <c r="L450" s="152"/>
      <c r="M450" s="151"/>
      <c r="O450" s="69"/>
      <c r="P450" s="69"/>
      <c r="Q450" s="69"/>
    </row>
    <row r="451" spans="2:17">
      <c r="C451" s="151"/>
      <c r="D451" s="151" t="s">
        <v>381</v>
      </c>
      <c r="E451" s="151"/>
      <c r="F451" s="152"/>
      <c r="G451" s="152"/>
      <c r="H451" s="152"/>
      <c r="I451" s="152"/>
      <c r="J451" s="151"/>
      <c r="K451" s="151"/>
      <c r="L451" s="152"/>
      <c r="M451" s="151"/>
      <c r="O451" s="69"/>
      <c r="P451" s="69"/>
      <c r="Q451" s="69"/>
    </row>
    <row r="452" spans="2:17">
      <c r="C452" s="151"/>
      <c r="D452" s="151" t="s">
        <v>382</v>
      </c>
      <c r="E452" s="151"/>
      <c r="F452" s="152"/>
      <c r="G452" s="152"/>
      <c r="H452" s="152"/>
      <c r="I452" s="152"/>
      <c r="J452" s="151"/>
      <c r="K452" s="151"/>
      <c r="L452" s="152"/>
      <c r="M452" s="151"/>
      <c r="O452" s="69"/>
      <c r="P452" s="69"/>
      <c r="Q452" s="69"/>
    </row>
    <row r="453" spans="2:17">
      <c r="B453" s="144" t="str">
        <f>'Autoproducers Calculations'!$C$241</f>
        <v>CHPAUTOGENBIO00</v>
      </c>
      <c r="C453" s="151" t="s">
        <v>116</v>
      </c>
      <c r="D453" s="151"/>
      <c r="E453" s="151"/>
      <c r="F453" s="152">
        <v>31.536000000000001</v>
      </c>
      <c r="G453" s="152">
        <f>'Autoproducers Calculations'!N$209</f>
        <v>0.15147279248545273</v>
      </c>
      <c r="H453" s="152">
        <f>'Autoproducers Calculations'!N$207</f>
        <v>4.291426574686291</v>
      </c>
      <c r="I453" s="152">
        <f>'Autoproducers Calculations'!N$206</f>
        <v>0.5298536268850097</v>
      </c>
      <c r="J453" s="151">
        <v>20</v>
      </c>
      <c r="K453" s="151">
        <v>1</v>
      </c>
      <c r="L453" s="152">
        <f>'Autoproducers Calculations'!N$244</f>
        <v>1.2517044134271629</v>
      </c>
      <c r="M453" s="151">
        <v>0</v>
      </c>
      <c r="O453" s="69">
        <f t="shared" ref="O453" si="106">L453*F453*I453</f>
        <v>20.915309806570935</v>
      </c>
      <c r="P453" s="69">
        <f t="shared" ref="P453" si="107">O453*H453</f>
        <v>89.756516321715296</v>
      </c>
      <c r="Q453" s="69">
        <f>O453/G453</f>
        <v>138.0796475946637</v>
      </c>
    </row>
    <row r="454" spans="2:17">
      <c r="C454" s="151"/>
      <c r="D454" s="151" t="s">
        <v>105</v>
      </c>
      <c r="E454" s="151"/>
      <c r="F454" s="152"/>
      <c r="G454" s="152"/>
      <c r="H454" s="152"/>
      <c r="I454" s="152"/>
      <c r="J454" s="151"/>
      <c r="K454" s="151"/>
      <c r="L454" s="152"/>
      <c r="M454" s="151"/>
      <c r="O454" s="69"/>
      <c r="P454" s="69"/>
      <c r="Q454" s="69"/>
    </row>
    <row r="455" spans="2:17">
      <c r="C455" s="151"/>
      <c r="D455" s="151" t="s">
        <v>106</v>
      </c>
      <c r="E455" s="151"/>
      <c r="F455" s="152"/>
      <c r="G455" s="152"/>
      <c r="H455" s="152"/>
      <c r="I455" s="152"/>
      <c r="J455" s="151"/>
      <c r="K455" s="151"/>
      <c r="L455" s="152"/>
      <c r="M455" s="151"/>
      <c r="O455" s="69"/>
      <c r="P455" s="69"/>
      <c r="Q455" s="69"/>
    </row>
    <row r="456" spans="2:17">
      <c r="C456" s="151"/>
      <c r="D456" s="151" t="s">
        <v>380</v>
      </c>
      <c r="E456" s="151"/>
      <c r="F456" s="152"/>
      <c r="G456" s="152"/>
      <c r="H456" s="152"/>
      <c r="I456" s="152"/>
      <c r="J456" s="151"/>
      <c r="K456" s="151"/>
      <c r="L456" s="151"/>
      <c r="M456" s="151"/>
      <c r="O456" s="69"/>
      <c r="P456" s="69"/>
      <c r="Q456" s="69"/>
    </row>
    <row r="457" spans="2:17">
      <c r="C457" s="151"/>
      <c r="D457" s="151" t="s">
        <v>379</v>
      </c>
      <c r="E457" s="151"/>
      <c r="F457" s="152"/>
      <c r="G457" s="152"/>
      <c r="H457" s="152"/>
      <c r="I457" s="152"/>
      <c r="J457" s="151"/>
      <c r="K457" s="151"/>
      <c r="L457" s="151"/>
      <c r="M457" s="151"/>
      <c r="O457" s="69"/>
      <c r="P457" s="69"/>
      <c r="Q457" s="69"/>
    </row>
    <row r="458" spans="2:17">
      <c r="C458" s="151"/>
      <c r="D458" s="151" t="s">
        <v>381</v>
      </c>
      <c r="E458" s="151"/>
      <c r="F458" s="152"/>
      <c r="G458" s="152"/>
      <c r="H458" s="152"/>
      <c r="I458" s="152"/>
      <c r="J458" s="151"/>
      <c r="K458" s="151"/>
      <c r="L458" s="151"/>
      <c r="M458" s="151"/>
      <c r="O458" s="69"/>
      <c r="P458" s="69"/>
      <c r="Q458" s="69"/>
    </row>
    <row r="459" spans="2:17">
      <c r="C459" s="151"/>
      <c r="D459" s="151" t="s">
        <v>382</v>
      </c>
      <c r="E459" s="151"/>
      <c r="F459" s="152"/>
      <c r="G459" s="152"/>
      <c r="H459" s="152"/>
      <c r="I459" s="152"/>
      <c r="J459" s="151"/>
      <c r="K459" s="151"/>
      <c r="L459" s="151"/>
      <c r="M459" s="151"/>
      <c r="O459" s="69"/>
      <c r="P459" s="69"/>
      <c r="Q459" s="69"/>
    </row>
    <row r="460" spans="2:17">
      <c r="B460" s="144" t="str">
        <f>'Autoproducers Calculations'!$C$250</f>
        <v>CHPAUTOGENWASTE00</v>
      </c>
      <c r="C460" s="151" t="s">
        <v>117</v>
      </c>
      <c r="D460" s="151"/>
      <c r="E460" s="151"/>
      <c r="F460" s="152">
        <v>31.536000000000001</v>
      </c>
      <c r="G460" s="152">
        <f>'Autoproducers Calculations'!N$209</f>
        <v>0.15147279248545273</v>
      </c>
      <c r="H460" s="152">
        <f>'Autoproducers Calculations'!N$207</f>
        <v>4.291426574686291</v>
      </c>
      <c r="I460" s="152">
        <f>'Autoproducers Calculations'!N$206</f>
        <v>0.5298536268850097</v>
      </c>
      <c r="J460" s="151">
        <v>20</v>
      </c>
      <c r="K460" s="151">
        <v>1</v>
      </c>
      <c r="L460" s="152">
        <f>'Autoproducers Calculations'!N$253</f>
        <v>1.4085952673766606E-2</v>
      </c>
      <c r="M460" s="151">
        <v>0</v>
      </c>
      <c r="O460" s="69">
        <f t="shared" ref="O460" si="108">L460*F460*I460</f>
        <v>0.23536871879030757</v>
      </c>
      <c r="P460" s="69">
        <f t="shared" ref="P460" si="109">O460*H460</f>
        <v>1.0100675746665906</v>
      </c>
      <c r="Q460" s="69">
        <f>O460/G460</f>
        <v>1.5538679582533748</v>
      </c>
    </row>
    <row r="461" spans="2:17">
      <c r="C461" s="151" t="s">
        <v>118</v>
      </c>
      <c r="D461" s="151"/>
      <c r="E461" s="151"/>
      <c r="F461" s="152"/>
      <c r="G461" s="152"/>
      <c r="H461" s="152"/>
      <c r="I461" s="152"/>
      <c r="J461" s="151"/>
      <c r="K461" s="151"/>
      <c r="L461" s="151"/>
      <c r="M461" s="151"/>
      <c r="O461" s="69"/>
      <c r="P461" s="69"/>
      <c r="Q461" s="69"/>
    </row>
    <row r="462" spans="2:17">
      <c r="C462" s="151"/>
      <c r="D462" s="151" t="s">
        <v>105</v>
      </c>
      <c r="E462" s="151"/>
      <c r="F462" s="152"/>
      <c r="G462" s="152"/>
      <c r="H462" s="152"/>
      <c r="I462" s="152"/>
      <c r="J462" s="151"/>
      <c r="K462" s="151"/>
      <c r="L462" s="151"/>
      <c r="M462" s="151"/>
      <c r="O462" s="719">
        <f>SUM(O420:O460)</f>
        <v>31.992086774500475</v>
      </c>
      <c r="P462" s="719">
        <f>SUM(P420:P460)</f>
        <v>137.29169136376115</v>
      </c>
      <c r="Q462" s="719">
        <f>SUM(Q420:Q460)</f>
        <v>211.20681971696638</v>
      </c>
    </row>
    <row r="463" spans="2:17">
      <c r="C463" s="151"/>
      <c r="D463" s="151" t="s">
        <v>106</v>
      </c>
      <c r="E463" s="151"/>
      <c r="F463" s="152"/>
      <c r="G463" s="152"/>
      <c r="H463" s="152"/>
      <c r="I463" s="152"/>
      <c r="J463" s="151"/>
      <c r="K463" s="151"/>
      <c r="L463" s="151"/>
      <c r="M463" s="151"/>
    </row>
    <row r="464" spans="2:17">
      <c r="C464" s="151"/>
      <c r="D464" s="151" t="s">
        <v>381</v>
      </c>
      <c r="E464" s="151"/>
      <c r="F464" s="152"/>
      <c r="G464" s="152"/>
      <c r="H464" s="152"/>
      <c r="I464" s="152"/>
      <c r="J464" s="151"/>
      <c r="K464" s="151"/>
      <c r="L464" s="151"/>
      <c r="M464" s="151"/>
    </row>
    <row r="465" spans="1:17">
      <c r="C465" s="151"/>
      <c r="D465" s="151" t="s">
        <v>382</v>
      </c>
      <c r="E465" s="151"/>
      <c r="F465" s="151"/>
      <c r="G465" s="151"/>
      <c r="H465" s="151"/>
      <c r="I465" s="151"/>
      <c r="J465" s="151"/>
      <c r="K465" s="151"/>
      <c r="L465" s="151"/>
      <c r="M465" s="151"/>
      <c r="O465" s="677" t="s">
        <v>390</v>
      </c>
      <c r="P465" s="677" t="s">
        <v>406</v>
      </c>
      <c r="Q465" s="677" t="s">
        <v>1304</v>
      </c>
    </row>
    <row r="466" spans="1:17">
      <c r="A466" s="64" t="s">
        <v>46</v>
      </c>
      <c r="B466" s="144" t="str">
        <f>'Autoproducers Calculations'!$C$205</f>
        <v>CHPAUTOGENSOLID00</v>
      </c>
      <c r="C466" s="151" t="s">
        <v>107</v>
      </c>
      <c r="D466" s="151"/>
      <c r="E466" s="151"/>
      <c r="F466" s="152">
        <v>31.536000000000001</v>
      </c>
      <c r="G466" s="152">
        <f>'Autoproducers Calculations'!O$209</f>
        <v>0.15115141856919867</v>
      </c>
      <c r="H466" s="152">
        <f>'Autoproducers Calculations'!O$207</f>
        <v>4.3193778485017624</v>
      </c>
      <c r="I466" s="152">
        <f>'Autoproducers Calculations'!O$206</f>
        <v>0.45026578529306632</v>
      </c>
      <c r="J466" s="151">
        <v>20</v>
      </c>
      <c r="K466" s="151">
        <v>1</v>
      </c>
      <c r="L466" s="152">
        <f>'Autoproducers Calculations'!O$208</f>
        <v>0.40258315775384818</v>
      </c>
      <c r="M466" s="151">
        <v>0</v>
      </c>
      <c r="O466" s="69">
        <f>L466*F466*I466</f>
        <v>5.7165124818418489</v>
      </c>
      <c r="P466" s="69">
        <f t="shared" ref="P466" si="110">O466*H466</f>
        <v>24.691777384751514</v>
      </c>
      <c r="Q466" s="69">
        <f>O466/G466</f>
        <v>37.819773945586697</v>
      </c>
    </row>
    <row r="467" spans="1:17">
      <c r="C467" s="151" t="s">
        <v>108</v>
      </c>
      <c r="D467" s="151"/>
      <c r="E467" s="151">
        <f>'Eurostat Resume'!P10/'Eurostat Resume'!P9</f>
        <v>1</v>
      </c>
      <c r="F467" s="152"/>
      <c r="G467" s="152"/>
      <c r="H467" s="152"/>
      <c r="I467" s="152"/>
      <c r="J467" s="151"/>
      <c r="K467" s="151"/>
      <c r="L467" s="152"/>
      <c r="M467" s="151"/>
      <c r="O467" s="69"/>
      <c r="P467" s="69"/>
      <c r="Q467" s="69"/>
    </row>
    <row r="468" spans="1:17">
      <c r="C468" s="151"/>
      <c r="D468" s="151" t="s">
        <v>105</v>
      </c>
      <c r="E468" s="151"/>
      <c r="F468" s="152"/>
      <c r="G468" s="152"/>
      <c r="H468" s="152"/>
      <c r="I468" s="152"/>
      <c r="J468" s="151"/>
      <c r="K468" s="151"/>
      <c r="L468" s="152"/>
      <c r="M468" s="151"/>
      <c r="O468" s="69"/>
      <c r="P468" s="69"/>
      <c r="Q468" s="69"/>
    </row>
    <row r="469" spans="1:17">
      <c r="C469" s="151"/>
      <c r="D469" s="151" t="s">
        <v>106</v>
      </c>
      <c r="E469" s="151"/>
      <c r="F469" s="152"/>
      <c r="G469" s="152"/>
      <c r="H469" s="152"/>
      <c r="I469" s="152"/>
      <c r="J469" s="151"/>
      <c r="K469" s="151"/>
      <c r="L469" s="152"/>
      <c r="M469" s="151"/>
      <c r="O469" s="69"/>
      <c r="P469" s="69"/>
      <c r="Q469" s="69"/>
    </row>
    <row r="470" spans="1:17">
      <c r="C470" s="151"/>
      <c r="D470" s="151" t="s">
        <v>378</v>
      </c>
      <c r="E470" s="151"/>
      <c r="F470" s="152"/>
      <c r="G470" s="152"/>
      <c r="H470" s="152"/>
      <c r="I470" s="152"/>
      <c r="J470" s="151"/>
      <c r="K470" s="151"/>
      <c r="L470" s="152"/>
      <c r="M470" s="151"/>
      <c r="O470" s="69"/>
      <c r="P470" s="69"/>
      <c r="Q470" s="69"/>
    </row>
    <row r="471" spans="1:17">
      <c r="C471" s="151"/>
      <c r="D471" s="151" t="s">
        <v>380</v>
      </c>
      <c r="E471" s="151"/>
      <c r="F471" s="152"/>
      <c r="G471" s="152"/>
      <c r="H471" s="152"/>
      <c r="I471" s="152"/>
      <c r="J471" s="151"/>
      <c r="K471" s="151"/>
      <c r="L471" s="152"/>
      <c r="M471" s="151"/>
      <c r="O471" s="69"/>
      <c r="P471" s="69"/>
      <c r="Q471" s="69"/>
    </row>
    <row r="472" spans="1:17">
      <c r="C472" s="151"/>
      <c r="D472" s="151" t="s">
        <v>379</v>
      </c>
      <c r="E472" s="151"/>
      <c r="F472" s="152"/>
      <c r="G472" s="152"/>
      <c r="H472" s="152"/>
      <c r="I472" s="152"/>
      <c r="J472" s="151"/>
      <c r="K472" s="151"/>
      <c r="L472" s="152"/>
      <c r="M472" s="151"/>
      <c r="O472" s="69"/>
      <c r="P472" s="69"/>
      <c r="Q472" s="69"/>
    </row>
    <row r="473" spans="1:17">
      <c r="C473" s="151"/>
      <c r="D473" s="151" t="s">
        <v>381</v>
      </c>
      <c r="E473" s="151"/>
      <c r="F473" s="152"/>
      <c r="G473" s="152"/>
      <c r="H473" s="152"/>
      <c r="I473" s="152"/>
      <c r="J473" s="151"/>
      <c r="K473" s="151"/>
      <c r="L473" s="152"/>
      <c r="M473" s="151"/>
      <c r="O473" s="69"/>
      <c r="P473" s="69"/>
      <c r="Q473" s="69"/>
    </row>
    <row r="474" spans="1:17">
      <c r="C474" s="151"/>
      <c r="D474" s="151" t="s">
        <v>382</v>
      </c>
      <c r="E474" s="151"/>
      <c r="F474" s="152"/>
      <c r="G474" s="152"/>
      <c r="H474" s="152"/>
      <c r="I474" s="152"/>
      <c r="J474" s="151"/>
      <c r="K474" s="151"/>
      <c r="L474" s="152"/>
      <c r="M474" s="151"/>
      <c r="O474" s="69"/>
      <c r="P474" s="69"/>
      <c r="Q474" s="69"/>
    </row>
    <row r="475" spans="1:17">
      <c r="B475" s="144" t="str">
        <f>'Autoproducers Calculations'!$C$214</f>
        <v>CHPAUTOGENRFG00</v>
      </c>
      <c r="C475" s="151" t="s">
        <v>110</v>
      </c>
      <c r="D475" s="151"/>
      <c r="E475" s="151"/>
      <c r="F475" s="152">
        <v>31.536000000000001</v>
      </c>
      <c r="G475" s="152">
        <f>'Autoproducers Calculations'!O$209</f>
        <v>0.15115141856919867</v>
      </c>
      <c r="H475" s="152">
        <f>'Autoproducers Calculations'!O$207</f>
        <v>4.3193778485017624</v>
      </c>
      <c r="I475" s="152">
        <f>'Autoproducers Calculations'!O$206</f>
        <v>0.45026578529306632</v>
      </c>
      <c r="J475" s="151">
        <v>20</v>
      </c>
      <c r="K475" s="151">
        <v>1</v>
      </c>
      <c r="L475" s="152">
        <f>'Autoproducers Calculations'!O$217</f>
        <v>9.7816565895737766E-3</v>
      </c>
      <c r="M475" s="151">
        <v>0</v>
      </c>
      <c r="O475" s="69">
        <f t="shared" ref="O475" si="111">L475*F475*I475</f>
        <v>0.13889543293209108</v>
      </c>
      <c r="P475" s="69">
        <f t="shared" ref="P475" si="112">O475*H475</f>
        <v>0.59994185626493646</v>
      </c>
      <c r="Q475" s="69">
        <f>O475/G475</f>
        <v>0.91891584112724245</v>
      </c>
    </row>
    <row r="476" spans="1:17">
      <c r="C476" s="151"/>
      <c r="D476" s="151" t="s">
        <v>105</v>
      </c>
      <c r="E476" s="151"/>
      <c r="F476" s="152"/>
      <c r="G476" s="152"/>
      <c r="H476" s="152"/>
      <c r="I476" s="152"/>
      <c r="J476" s="151"/>
      <c r="K476" s="151"/>
      <c r="L476" s="152"/>
      <c r="M476" s="151"/>
      <c r="O476" s="69"/>
      <c r="P476" s="69"/>
      <c r="Q476" s="69"/>
    </row>
    <row r="477" spans="1:17">
      <c r="C477" s="151"/>
      <c r="D477" s="151" t="s">
        <v>106</v>
      </c>
      <c r="E477" s="151"/>
      <c r="F477" s="152"/>
      <c r="G477" s="152"/>
      <c r="H477" s="152"/>
      <c r="I477" s="152"/>
      <c r="J477" s="151"/>
      <c r="K477" s="151"/>
      <c r="L477" s="152"/>
      <c r="M477" s="151"/>
      <c r="O477" s="69"/>
      <c r="P477" s="69"/>
      <c r="Q477" s="69"/>
    </row>
    <row r="478" spans="1:17">
      <c r="C478" s="151"/>
      <c r="D478" s="151" t="s">
        <v>1342</v>
      </c>
      <c r="E478" s="151"/>
      <c r="F478" s="152"/>
      <c r="G478" s="152"/>
      <c r="H478" s="152"/>
      <c r="I478" s="152"/>
      <c r="J478" s="151"/>
      <c r="K478" s="151"/>
      <c r="L478" s="152"/>
      <c r="M478" s="151"/>
      <c r="O478" s="69"/>
      <c r="P478" s="69"/>
      <c r="Q478" s="69"/>
    </row>
    <row r="479" spans="1:17">
      <c r="C479" s="151"/>
      <c r="D479" s="151" t="s">
        <v>380</v>
      </c>
      <c r="E479" s="151"/>
      <c r="F479" s="152"/>
      <c r="G479" s="152"/>
      <c r="H479" s="152"/>
      <c r="I479" s="152"/>
      <c r="J479" s="151"/>
      <c r="K479" s="151"/>
      <c r="L479" s="152"/>
      <c r="M479" s="151"/>
      <c r="O479" s="69"/>
      <c r="P479" s="69"/>
      <c r="Q479" s="69"/>
    </row>
    <row r="480" spans="1:17">
      <c r="C480" s="151"/>
      <c r="D480" s="151" t="s">
        <v>379</v>
      </c>
      <c r="E480" s="151"/>
      <c r="F480" s="152"/>
      <c r="G480" s="152"/>
      <c r="H480" s="152"/>
      <c r="I480" s="152"/>
      <c r="J480" s="151"/>
      <c r="K480" s="151"/>
      <c r="L480" s="152"/>
      <c r="M480" s="151"/>
      <c r="O480" s="69"/>
      <c r="P480" s="69"/>
      <c r="Q480" s="69"/>
    </row>
    <row r="481" spans="2:17">
      <c r="B481" s="144" t="str">
        <f>'Autoproducers Calculations'!$C$223</f>
        <v>CHPAUTOGENOIL00</v>
      </c>
      <c r="C481" s="151" t="s">
        <v>111</v>
      </c>
      <c r="D481" s="151"/>
      <c r="E481" s="152">
        <f>'Eurostat Resume'!P13/'Eurostat Resume'!P11</f>
        <v>0.466227466879027</v>
      </c>
      <c r="F481" s="152">
        <v>31.536000000000001</v>
      </c>
      <c r="G481" s="152">
        <f>'Autoproducers Calculations'!O$209</f>
        <v>0.15115141856919867</v>
      </c>
      <c r="H481" s="152">
        <f>'Autoproducers Calculations'!O$207</f>
        <v>4.3193778485017624</v>
      </c>
      <c r="I481" s="152">
        <f>'Autoproducers Calculations'!O$206</f>
        <v>0.45026578529306632</v>
      </c>
      <c r="J481" s="151">
        <v>20</v>
      </c>
      <c r="K481" s="151">
        <v>1</v>
      </c>
      <c r="L481" s="152">
        <f>'Autoproducers Calculations'!O$226</f>
        <v>0.29316458213639618</v>
      </c>
      <c r="M481" s="151">
        <v>0</v>
      </c>
      <c r="O481" s="69">
        <f t="shared" ref="O481" si="113">L481*F481*I481</f>
        <v>4.1628144663750266</v>
      </c>
      <c r="P481" s="69">
        <f t="shared" ref="P481" si="114">O481*H481</f>
        <v>17.980768593482974</v>
      </c>
      <c r="Q481" s="69">
        <f>O481/G481</f>
        <v>27.540690691362897</v>
      </c>
    </row>
    <row r="482" spans="2:17">
      <c r="C482" s="151" t="s">
        <v>112</v>
      </c>
      <c r="D482" s="151"/>
      <c r="E482" s="151"/>
      <c r="F482" s="152"/>
      <c r="G482" s="152"/>
      <c r="H482" s="152"/>
      <c r="I482" s="152"/>
      <c r="J482" s="151"/>
      <c r="K482" s="151"/>
      <c r="L482" s="152"/>
      <c r="M482" s="151"/>
      <c r="O482" s="69"/>
      <c r="P482" s="69"/>
      <c r="Q482" s="69"/>
    </row>
    <row r="483" spans="2:17">
      <c r="C483" s="151"/>
      <c r="D483" s="151" t="s">
        <v>105</v>
      </c>
      <c r="E483" s="151"/>
      <c r="F483" s="152"/>
      <c r="G483" s="152"/>
      <c r="H483" s="152"/>
      <c r="I483" s="152"/>
      <c r="J483" s="151"/>
      <c r="K483" s="151"/>
      <c r="L483" s="152"/>
      <c r="M483" s="151"/>
      <c r="O483" s="69"/>
      <c r="P483" s="69"/>
      <c r="Q483" s="69"/>
    </row>
    <row r="484" spans="2:17">
      <c r="C484" s="151"/>
      <c r="D484" s="151" t="s">
        <v>106</v>
      </c>
      <c r="E484" s="151"/>
      <c r="F484" s="152"/>
      <c r="G484" s="152"/>
      <c r="H484" s="152"/>
      <c r="I484" s="152"/>
      <c r="J484" s="151"/>
      <c r="K484" s="151"/>
      <c r="L484" s="152"/>
      <c r="M484" s="151"/>
      <c r="O484" s="69"/>
      <c r="P484" s="69"/>
      <c r="Q484" s="69"/>
    </row>
    <row r="485" spans="2:17">
      <c r="C485" s="151"/>
      <c r="D485" s="151" t="s">
        <v>380</v>
      </c>
      <c r="E485" s="151"/>
      <c r="F485" s="152"/>
      <c r="G485" s="152"/>
      <c r="H485" s="152"/>
      <c r="I485" s="152"/>
      <c r="J485" s="151"/>
      <c r="K485" s="151"/>
      <c r="L485" s="152"/>
      <c r="M485" s="151"/>
      <c r="O485" s="69"/>
      <c r="P485" s="69"/>
      <c r="Q485" s="69"/>
    </row>
    <row r="486" spans="2:17">
      <c r="C486" s="151"/>
      <c r="D486" s="151" t="s">
        <v>379</v>
      </c>
      <c r="E486" s="151"/>
      <c r="F486" s="152"/>
      <c r="G486" s="152"/>
      <c r="H486" s="152"/>
      <c r="I486" s="152"/>
      <c r="J486" s="151"/>
      <c r="K486" s="151"/>
      <c r="L486" s="152"/>
      <c r="M486" s="151"/>
      <c r="O486" s="69"/>
      <c r="P486" s="69"/>
      <c r="Q486" s="69"/>
    </row>
    <row r="487" spans="2:17">
      <c r="C487" s="151"/>
      <c r="D487" s="151" t="s">
        <v>1342</v>
      </c>
      <c r="E487" s="151"/>
      <c r="F487" s="152"/>
      <c r="G487" s="152"/>
      <c r="H487" s="152"/>
      <c r="I487" s="152"/>
      <c r="J487" s="151"/>
      <c r="K487" s="151"/>
      <c r="L487" s="152"/>
      <c r="M487" s="151"/>
      <c r="O487" s="69"/>
      <c r="P487" s="69"/>
      <c r="Q487" s="69"/>
    </row>
    <row r="488" spans="2:17">
      <c r="C488" s="151"/>
      <c r="D488" s="151" t="s">
        <v>382</v>
      </c>
      <c r="E488" s="151"/>
      <c r="F488" s="152"/>
      <c r="G488" s="152"/>
      <c r="H488" s="152"/>
      <c r="I488" s="152"/>
      <c r="J488" s="151"/>
      <c r="K488" s="151"/>
      <c r="L488" s="152"/>
      <c r="M488" s="151"/>
      <c r="O488" s="69"/>
      <c r="P488" s="69"/>
      <c r="Q488" s="69"/>
    </row>
    <row r="489" spans="2:17">
      <c r="B489" s="144" t="str">
        <f>'Autoproducers Calculations'!$C$232</f>
        <v>CHPAUTOGENGAS00</v>
      </c>
      <c r="C489" s="151" t="s">
        <v>113</v>
      </c>
      <c r="D489" s="151"/>
      <c r="E489" s="151"/>
      <c r="F489" s="152">
        <v>31.536000000000001</v>
      </c>
      <c r="G489" s="152">
        <f>'Autoproducers Calculations'!O$209</f>
        <v>0.15115141856919867</v>
      </c>
      <c r="H489" s="152">
        <f>'Autoproducers Calculations'!O$207</f>
        <v>4.3193778485017624</v>
      </c>
      <c r="I489" s="152">
        <f>'Autoproducers Calculations'!O$206</f>
        <v>0.45026578529306632</v>
      </c>
      <c r="J489" s="151">
        <v>20</v>
      </c>
      <c r="K489" s="151">
        <v>1</v>
      </c>
      <c r="L489" s="152">
        <f>'Autoproducers Calculations'!O$235</f>
        <v>2.5582541096207025</v>
      </c>
      <c r="M489" s="151">
        <v>0</v>
      </c>
      <c r="O489" s="69">
        <f t="shared" ref="O489" si="115">L489*F489*I489</f>
        <v>36.326138507542083</v>
      </c>
      <c r="P489" s="69">
        <f t="shared" ref="P489" si="116">O489*H489</f>
        <v>156.90631799108414</v>
      </c>
      <c r="Q489" s="69">
        <f>O489/G489</f>
        <v>240.32945804548706</v>
      </c>
    </row>
    <row r="490" spans="2:17">
      <c r="C490" s="151"/>
      <c r="D490" s="151" t="s">
        <v>105</v>
      </c>
      <c r="E490" s="151"/>
      <c r="F490" s="152"/>
      <c r="G490" s="152"/>
      <c r="H490" s="152"/>
      <c r="I490" s="152"/>
      <c r="J490" s="151"/>
      <c r="K490" s="151"/>
      <c r="L490" s="152"/>
      <c r="M490" s="151"/>
      <c r="O490" s="69"/>
      <c r="P490" s="69"/>
      <c r="Q490" s="69"/>
    </row>
    <row r="491" spans="2:17">
      <c r="C491" s="151"/>
      <c r="D491" s="151" t="s">
        <v>106</v>
      </c>
      <c r="E491" s="151"/>
      <c r="F491" s="152"/>
      <c r="G491" s="152"/>
      <c r="H491" s="152"/>
      <c r="I491" s="152"/>
      <c r="J491" s="151"/>
      <c r="K491" s="151"/>
      <c r="L491" s="152"/>
      <c r="M491" s="151"/>
      <c r="O491" s="69"/>
      <c r="P491" s="69"/>
      <c r="Q491" s="69"/>
    </row>
    <row r="492" spans="2:17">
      <c r="C492" s="151"/>
      <c r="D492" s="151" t="s">
        <v>1342</v>
      </c>
      <c r="E492" s="151"/>
      <c r="F492" s="152"/>
      <c r="G492" s="152"/>
      <c r="H492" s="152"/>
      <c r="I492" s="152"/>
      <c r="J492" s="151"/>
      <c r="K492" s="151"/>
      <c r="L492" s="152"/>
      <c r="M492" s="151"/>
      <c r="O492" s="69"/>
      <c r="P492" s="69"/>
      <c r="Q492" s="69"/>
    </row>
    <row r="493" spans="2:17">
      <c r="C493" s="151"/>
      <c r="D493" s="151" t="s">
        <v>378</v>
      </c>
      <c r="E493" s="151"/>
      <c r="F493" s="152"/>
      <c r="G493" s="152"/>
      <c r="H493" s="152"/>
      <c r="I493" s="152"/>
      <c r="J493" s="151"/>
      <c r="K493" s="151"/>
      <c r="L493" s="152"/>
      <c r="M493" s="151"/>
      <c r="O493" s="69"/>
      <c r="P493" s="69"/>
      <c r="Q493" s="69"/>
    </row>
    <row r="494" spans="2:17">
      <c r="C494" s="151"/>
      <c r="D494" s="151" t="s">
        <v>421</v>
      </c>
      <c r="E494" s="151"/>
      <c r="F494" s="152"/>
      <c r="G494" s="152"/>
      <c r="H494" s="152"/>
      <c r="I494" s="152"/>
      <c r="J494" s="151"/>
      <c r="K494" s="151"/>
      <c r="L494" s="152"/>
      <c r="M494" s="151"/>
      <c r="O494" s="69"/>
      <c r="P494" s="69"/>
      <c r="Q494" s="69"/>
    </row>
    <row r="495" spans="2:17">
      <c r="C495" s="151"/>
      <c r="D495" s="151" t="s">
        <v>380</v>
      </c>
      <c r="E495" s="151"/>
      <c r="F495" s="152"/>
      <c r="G495" s="152"/>
      <c r="H495" s="152"/>
      <c r="I495" s="152"/>
      <c r="J495" s="151"/>
      <c r="K495" s="151"/>
      <c r="L495" s="152"/>
      <c r="M495" s="151"/>
      <c r="O495" s="69"/>
      <c r="P495" s="69"/>
      <c r="Q495" s="69"/>
    </row>
    <row r="496" spans="2:17">
      <c r="C496" s="151"/>
      <c r="D496" s="151" t="s">
        <v>379</v>
      </c>
      <c r="E496" s="151"/>
      <c r="F496" s="152"/>
      <c r="G496" s="152"/>
      <c r="H496" s="152"/>
      <c r="I496" s="152"/>
      <c r="J496" s="151"/>
      <c r="K496" s="151"/>
      <c r="L496" s="152"/>
      <c r="M496" s="151"/>
      <c r="O496" s="69"/>
      <c r="P496" s="69"/>
      <c r="Q496" s="69"/>
    </row>
    <row r="497" spans="1:17">
      <c r="C497" s="151"/>
      <c r="D497" s="151" t="s">
        <v>381</v>
      </c>
      <c r="E497" s="151"/>
      <c r="F497" s="152"/>
      <c r="G497" s="152"/>
      <c r="H497" s="152"/>
      <c r="I497" s="152"/>
      <c r="J497" s="151"/>
      <c r="K497" s="151"/>
      <c r="L497" s="152"/>
      <c r="M497" s="151"/>
      <c r="O497" s="69"/>
      <c r="P497" s="69"/>
      <c r="Q497" s="69"/>
    </row>
    <row r="498" spans="1:17">
      <c r="C498" s="151"/>
      <c r="D498" s="151" t="s">
        <v>382</v>
      </c>
      <c r="E498" s="151"/>
      <c r="F498" s="152"/>
      <c r="G498" s="152"/>
      <c r="H498" s="152"/>
      <c r="I498" s="152"/>
      <c r="J498" s="151"/>
      <c r="K498" s="151"/>
      <c r="L498" s="152"/>
      <c r="M498" s="151"/>
      <c r="O498" s="69"/>
      <c r="P498" s="69"/>
      <c r="Q498" s="69"/>
    </row>
    <row r="499" spans="1:17">
      <c r="B499" s="144" t="str">
        <f>'Autoproducers Calculations'!$C$241</f>
        <v>CHPAUTOGENBIO00</v>
      </c>
      <c r="C499" s="151" t="s">
        <v>116</v>
      </c>
      <c r="D499" s="151"/>
      <c r="E499" s="151"/>
      <c r="F499" s="152">
        <v>31.536000000000001</v>
      </c>
      <c r="G499" s="152">
        <f>'Autoproducers Calculations'!O$209</f>
        <v>0.15115141856919867</v>
      </c>
      <c r="H499" s="152">
        <f>'Autoproducers Calculations'!O$207</f>
        <v>4.3193778485017624</v>
      </c>
      <c r="I499" s="152">
        <f>'Autoproducers Calculations'!O$206</f>
        <v>0.45026578529306632</v>
      </c>
      <c r="J499" s="151">
        <v>20</v>
      </c>
      <c r="K499" s="151">
        <v>1</v>
      </c>
      <c r="L499" s="152">
        <f>'Autoproducers Calculations'!O$244</f>
        <v>0.13132860909947935</v>
      </c>
      <c r="M499" s="151">
        <v>0</v>
      </c>
      <c r="O499" s="69">
        <f t="shared" ref="O499" si="117">L499*F499*I499</f>
        <v>1.8648113282452055</v>
      </c>
      <c r="P499" s="69">
        <f t="shared" ref="P499" si="118">O499*H499</f>
        <v>8.0548247428574893</v>
      </c>
      <c r="Q499" s="69">
        <f>O499/G499</f>
        <v>12.337372324372039</v>
      </c>
    </row>
    <row r="500" spans="1:17">
      <c r="C500" s="151"/>
      <c r="D500" s="151" t="s">
        <v>105</v>
      </c>
      <c r="E500" s="151"/>
      <c r="F500" s="152"/>
      <c r="G500" s="152"/>
      <c r="H500" s="152"/>
      <c r="I500" s="152"/>
      <c r="J500" s="151"/>
      <c r="K500" s="151"/>
      <c r="L500" s="152"/>
      <c r="M500" s="151"/>
      <c r="O500" s="69"/>
      <c r="P500" s="69"/>
      <c r="Q500" s="69"/>
    </row>
    <row r="501" spans="1:17">
      <c r="C501" s="151"/>
      <c r="D501" s="151" t="s">
        <v>106</v>
      </c>
      <c r="E501" s="151"/>
      <c r="F501" s="152"/>
      <c r="G501" s="152"/>
      <c r="H501" s="152"/>
      <c r="I501" s="152"/>
      <c r="J501" s="151"/>
      <c r="K501" s="151"/>
      <c r="L501" s="152"/>
      <c r="M501" s="151"/>
      <c r="O501" s="69"/>
      <c r="P501" s="69"/>
      <c r="Q501" s="69"/>
    </row>
    <row r="502" spans="1:17">
      <c r="C502" s="151"/>
      <c r="D502" s="151" t="s">
        <v>380</v>
      </c>
      <c r="E502" s="151"/>
      <c r="F502" s="152"/>
      <c r="G502" s="152"/>
      <c r="H502" s="152"/>
      <c r="I502" s="152"/>
      <c r="J502" s="151"/>
      <c r="K502" s="151"/>
      <c r="L502" s="151"/>
      <c r="M502" s="151"/>
      <c r="O502" s="69"/>
      <c r="P502" s="69"/>
      <c r="Q502" s="69"/>
    </row>
    <row r="503" spans="1:17">
      <c r="C503" s="151"/>
      <c r="D503" s="151" t="s">
        <v>379</v>
      </c>
      <c r="E503" s="151"/>
      <c r="F503" s="152"/>
      <c r="G503" s="152"/>
      <c r="H503" s="152"/>
      <c r="I503" s="152"/>
      <c r="J503" s="151"/>
      <c r="K503" s="151"/>
      <c r="L503" s="151"/>
      <c r="M503" s="151"/>
      <c r="O503" s="69"/>
      <c r="P503" s="69"/>
      <c r="Q503" s="69"/>
    </row>
    <row r="504" spans="1:17">
      <c r="C504" s="151"/>
      <c r="D504" s="151" t="s">
        <v>381</v>
      </c>
      <c r="E504" s="151"/>
      <c r="F504" s="152"/>
      <c r="G504" s="152"/>
      <c r="H504" s="152"/>
      <c r="I504" s="152"/>
      <c r="J504" s="151"/>
      <c r="K504" s="151"/>
      <c r="L504" s="151"/>
      <c r="M504" s="151"/>
      <c r="O504" s="69"/>
      <c r="P504" s="69"/>
      <c r="Q504" s="69"/>
    </row>
    <row r="505" spans="1:17">
      <c r="C505" s="151"/>
      <c r="D505" s="151" t="s">
        <v>382</v>
      </c>
      <c r="E505" s="151"/>
      <c r="F505" s="152"/>
      <c r="G505" s="152"/>
      <c r="H505" s="152"/>
      <c r="I505" s="152"/>
      <c r="J505" s="151"/>
      <c r="K505" s="151"/>
      <c r="L505" s="151"/>
      <c r="M505" s="151"/>
      <c r="O505" s="69"/>
      <c r="P505" s="69"/>
      <c r="Q505" s="69"/>
    </row>
    <row r="506" spans="1:17">
      <c r="B506" s="144" t="str">
        <f>'Autoproducers Calculations'!$C$250</f>
        <v>CHPAUTOGENWASTE00</v>
      </c>
      <c r="C506" s="151" t="s">
        <v>117</v>
      </c>
      <c r="D506" s="151"/>
      <c r="E506" s="151"/>
      <c r="F506" s="152">
        <v>31.536000000000001</v>
      </c>
      <c r="G506" s="152">
        <f>'Autoproducers Calculations'!O$209</f>
        <v>0.15115141856919867</v>
      </c>
      <c r="H506" s="152">
        <f>'Autoproducers Calculations'!O$207</f>
        <v>4.3193778485017624</v>
      </c>
      <c r="I506" s="152">
        <f>'Autoproducers Calculations'!O$206</f>
        <v>0.45026578529306632</v>
      </c>
      <c r="J506" s="151">
        <v>20</v>
      </c>
      <c r="K506" s="151">
        <v>1</v>
      </c>
      <c r="L506" s="152">
        <f>'Autoproducers Calculations'!O$253</f>
        <v>0</v>
      </c>
      <c r="M506" s="151">
        <v>0</v>
      </c>
      <c r="O506" s="69">
        <f t="shared" ref="O506" si="119">L506*F506*I506</f>
        <v>0</v>
      </c>
      <c r="P506" s="69">
        <f t="shared" ref="P506" si="120">O506*H506</f>
        <v>0</v>
      </c>
      <c r="Q506" s="69">
        <f>O506/G506</f>
        <v>0</v>
      </c>
    </row>
    <row r="507" spans="1:17">
      <c r="C507" s="151" t="s">
        <v>118</v>
      </c>
      <c r="D507" s="151"/>
      <c r="E507" s="151"/>
      <c r="F507" s="152"/>
      <c r="G507" s="152"/>
      <c r="H507" s="152"/>
      <c r="I507" s="152"/>
      <c r="J507" s="151"/>
      <c r="K507" s="151"/>
      <c r="L507" s="151"/>
      <c r="M507" s="151"/>
      <c r="O507" s="69"/>
      <c r="P507" s="69"/>
      <c r="Q507" s="69"/>
    </row>
    <row r="508" spans="1:17">
      <c r="C508" s="151"/>
      <c r="D508" s="151" t="s">
        <v>105</v>
      </c>
      <c r="E508" s="151"/>
      <c r="F508" s="152"/>
      <c r="G508" s="152"/>
      <c r="H508" s="152"/>
      <c r="I508" s="152"/>
      <c r="J508" s="151"/>
      <c r="K508" s="151"/>
      <c r="L508" s="151"/>
      <c r="M508" s="151"/>
      <c r="O508" s="719">
        <f>SUM(O466:O506)</f>
        <v>48.209172216936253</v>
      </c>
      <c r="P508" s="719">
        <f>SUM(P466:P506)</f>
        <v>208.23363056844104</v>
      </c>
      <c r="Q508" s="719">
        <f>SUM(Q466:Q506)</f>
        <v>318.94621084793596</v>
      </c>
    </row>
    <row r="509" spans="1:17">
      <c r="C509" s="151"/>
      <c r="D509" s="151" t="s">
        <v>106</v>
      </c>
      <c r="E509" s="151"/>
      <c r="F509" s="152"/>
      <c r="G509" s="152"/>
      <c r="H509" s="152"/>
      <c r="I509" s="152"/>
      <c r="J509" s="151"/>
      <c r="K509" s="151"/>
      <c r="L509" s="151"/>
      <c r="M509" s="151"/>
    </row>
    <row r="510" spans="1:17">
      <c r="C510" s="151"/>
      <c r="D510" s="151" t="s">
        <v>381</v>
      </c>
      <c r="E510" s="151"/>
      <c r="F510" s="152"/>
      <c r="G510" s="152"/>
      <c r="H510" s="152"/>
      <c r="I510" s="152"/>
      <c r="J510" s="151"/>
      <c r="K510" s="151"/>
      <c r="L510" s="151"/>
      <c r="M510" s="151"/>
    </row>
    <row r="511" spans="1:17">
      <c r="C511" s="151"/>
      <c r="D511" s="151" t="s">
        <v>382</v>
      </c>
      <c r="E511" s="151"/>
      <c r="F511" s="151"/>
      <c r="G511" s="151"/>
      <c r="H511" s="151"/>
      <c r="I511" s="151"/>
      <c r="J511" s="151"/>
      <c r="K511" s="151"/>
      <c r="L511" s="151"/>
      <c r="M511" s="151"/>
      <c r="O511" s="677" t="s">
        <v>390</v>
      </c>
      <c r="P511" s="677" t="s">
        <v>406</v>
      </c>
      <c r="Q511" s="677" t="s">
        <v>1304</v>
      </c>
    </row>
    <row r="512" spans="1:17">
      <c r="A512" s="64" t="s">
        <v>82</v>
      </c>
      <c r="B512" s="144" t="str">
        <f>'Autoproducers Calculations'!$C$205</f>
        <v>CHPAUTOGENSOLID00</v>
      </c>
      <c r="C512" s="151" t="s">
        <v>107</v>
      </c>
      <c r="D512" s="151"/>
      <c r="E512" s="151"/>
      <c r="F512" s="152">
        <v>31.536000000000001</v>
      </c>
      <c r="G512" s="152">
        <f>'Autoproducers Calculations'!P$209</f>
        <v>0.20619840977533202</v>
      </c>
      <c r="H512" s="152">
        <f>'Autoproducers Calculations'!P$207</f>
        <v>2.4751773049645394</v>
      </c>
      <c r="I512" s="152">
        <f>'Autoproducers Calculations'!P$206</f>
        <v>0.49780596610463002</v>
      </c>
      <c r="J512" s="151">
        <v>20</v>
      </c>
      <c r="K512" s="151">
        <v>1</v>
      </c>
      <c r="L512" s="152">
        <f>'Autoproducers Calculations'!P$208</f>
        <v>0</v>
      </c>
      <c r="M512" s="151">
        <v>0</v>
      </c>
      <c r="O512" s="69">
        <f>L512*F512*I512</f>
        <v>0</v>
      </c>
      <c r="P512" s="69">
        <f t="shared" ref="P512" si="121">O512*H512</f>
        <v>0</v>
      </c>
      <c r="Q512" s="69">
        <f>O512/G512</f>
        <v>0</v>
      </c>
    </row>
    <row r="513" spans="2:17">
      <c r="C513" s="151" t="s">
        <v>108</v>
      </c>
      <c r="D513" s="151"/>
      <c r="E513" s="152">
        <f>'Eurostat Resume'!Q10</f>
        <v>0</v>
      </c>
      <c r="F513" s="152"/>
      <c r="G513" s="152"/>
      <c r="H513" s="152"/>
      <c r="I513" s="152"/>
      <c r="J513" s="151"/>
      <c r="K513" s="151"/>
      <c r="L513" s="152"/>
      <c r="M513" s="151"/>
      <c r="O513" s="69"/>
      <c r="P513" s="69"/>
      <c r="Q513" s="69"/>
    </row>
    <row r="514" spans="2:17">
      <c r="C514" s="151"/>
      <c r="D514" s="151" t="s">
        <v>105</v>
      </c>
      <c r="E514" s="151"/>
      <c r="F514" s="152"/>
      <c r="G514" s="152"/>
      <c r="H514" s="152"/>
      <c r="I514" s="152"/>
      <c r="J514" s="151"/>
      <c r="K514" s="151"/>
      <c r="L514" s="152"/>
      <c r="M514" s="151"/>
      <c r="O514" s="69"/>
      <c r="P514" s="69"/>
      <c r="Q514" s="69"/>
    </row>
    <row r="515" spans="2:17">
      <c r="C515" s="151"/>
      <c r="D515" s="151" t="s">
        <v>106</v>
      </c>
      <c r="E515" s="151"/>
      <c r="F515" s="152"/>
      <c r="G515" s="152"/>
      <c r="H515" s="152"/>
      <c r="I515" s="152"/>
      <c r="J515" s="151"/>
      <c r="K515" s="151"/>
      <c r="L515" s="152"/>
      <c r="M515" s="151"/>
      <c r="O515" s="69"/>
      <c r="P515" s="69"/>
      <c r="Q515" s="69"/>
    </row>
    <row r="516" spans="2:17">
      <c r="C516" s="151"/>
      <c r="D516" s="151" t="s">
        <v>378</v>
      </c>
      <c r="E516" s="151"/>
      <c r="F516" s="152"/>
      <c r="G516" s="152"/>
      <c r="H516" s="152"/>
      <c r="I516" s="152"/>
      <c r="J516" s="151"/>
      <c r="K516" s="151"/>
      <c r="L516" s="152"/>
      <c r="M516" s="151"/>
      <c r="O516" s="69"/>
      <c r="P516" s="69"/>
      <c r="Q516" s="69"/>
    </row>
    <row r="517" spans="2:17">
      <c r="C517" s="151"/>
      <c r="D517" s="151" t="s">
        <v>380</v>
      </c>
      <c r="E517" s="151"/>
      <c r="F517" s="152"/>
      <c r="G517" s="152"/>
      <c r="H517" s="152"/>
      <c r="I517" s="152"/>
      <c r="J517" s="151"/>
      <c r="K517" s="151"/>
      <c r="L517" s="152"/>
      <c r="M517" s="151"/>
      <c r="O517" s="69"/>
      <c r="P517" s="69"/>
      <c r="Q517" s="69"/>
    </row>
    <row r="518" spans="2:17">
      <c r="C518" s="151"/>
      <c r="D518" s="151" t="s">
        <v>379</v>
      </c>
      <c r="E518" s="151"/>
      <c r="F518" s="152"/>
      <c r="G518" s="152"/>
      <c r="H518" s="152"/>
      <c r="I518" s="152"/>
      <c r="J518" s="151"/>
      <c r="K518" s="151"/>
      <c r="L518" s="152"/>
      <c r="M518" s="151"/>
      <c r="O518" s="69"/>
      <c r="P518" s="69"/>
      <c r="Q518" s="69"/>
    </row>
    <row r="519" spans="2:17">
      <c r="C519" s="151"/>
      <c r="D519" s="151" t="s">
        <v>381</v>
      </c>
      <c r="E519" s="151"/>
      <c r="F519" s="152"/>
      <c r="G519" s="152"/>
      <c r="H519" s="152"/>
      <c r="I519" s="152"/>
      <c r="J519" s="151"/>
      <c r="K519" s="151"/>
      <c r="L519" s="152"/>
      <c r="M519" s="151"/>
      <c r="O519" s="69"/>
      <c r="P519" s="69"/>
      <c r="Q519" s="69"/>
    </row>
    <row r="520" spans="2:17">
      <c r="C520" s="151"/>
      <c r="D520" s="151" t="s">
        <v>382</v>
      </c>
      <c r="E520" s="151"/>
      <c r="F520" s="152"/>
      <c r="G520" s="152"/>
      <c r="H520" s="152"/>
      <c r="I520" s="152"/>
      <c r="J520" s="151"/>
      <c r="K520" s="151"/>
      <c r="L520" s="152"/>
      <c r="M520" s="151"/>
      <c r="O520" s="69"/>
      <c r="P520" s="69"/>
      <c r="Q520" s="69"/>
    </row>
    <row r="521" spans="2:17">
      <c r="B521" s="144" t="str">
        <f>'Autoproducers Calculations'!$C$214</f>
        <v>CHPAUTOGENRFG00</v>
      </c>
      <c r="C521" s="151" t="s">
        <v>110</v>
      </c>
      <c r="D521" s="151"/>
      <c r="E521" s="151"/>
      <c r="F521" s="152">
        <v>31.536000000000001</v>
      </c>
      <c r="G521" s="152">
        <f>'Autoproducers Calculations'!P$209</f>
        <v>0.20619840977533202</v>
      </c>
      <c r="H521" s="152">
        <f>'Autoproducers Calculations'!P$207</f>
        <v>2.4751773049645394</v>
      </c>
      <c r="I521" s="152">
        <f>'Autoproducers Calculations'!P$206</f>
        <v>0.49780596610463002</v>
      </c>
      <c r="J521" s="151">
        <v>20</v>
      </c>
      <c r="K521" s="151">
        <v>1</v>
      </c>
      <c r="L521" s="152">
        <f>'Autoproducers Calculations'!P$217</f>
        <v>0</v>
      </c>
      <c r="M521" s="151">
        <v>0</v>
      </c>
      <c r="O521" s="69">
        <f t="shared" ref="O521" si="122">L521*F521*I521</f>
        <v>0</v>
      </c>
      <c r="P521" s="69">
        <f t="shared" ref="P521" si="123">O521*H521</f>
        <v>0</v>
      </c>
      <c r="Q521" s="69">
        <f>O521/G521</f>
        <v>0</v>
      </c>
    </row>
    <row r="522" spans="2:17">
      <c r="C522" s="151"/>
      <c r="D522" s="151" t="s">
        <v>105</v>
      </c>
      <c r="E522" s="151"/>
      <c r="F522" s="152"/>
      <c r="G522" s="152"/>
      <c r="H522" s="152"/>
      <c r="I522" s="152"/>
      <c r="J522" s="151"/>
      <c r="K522" s="151"/>
      <c r="L522" s="152"/>
      <c r="M522" s="151"/>
      <c r="O522" s="69"/>
      <c r="P522" s="69"/>
      <c r="Q522" s="69"/>
    </row>
    <row r="523" spans="2:17">
      <c r="C523" s="151"/>
      <c r="D523" s="151" t="s">
        <v>106</v>
      </c>
      <c r="E523" s="151"/>
      <c r="F523" s="152"/>
      <c r="G523" s="152"/>
      <c r="H523" s="152"/>
      <c r="I523" s="152"/>
      <c r="J523" s="151"/>
      <c r="K523" s="151"/>
      <c r="L523" s="152"/>
      <c r="M523" s="151"/>
      <c r="O523" s="69"/>
      <c r="P523" s="69"/>
      <c r="Q523" s="69"/>
    </row>
    <row r="524" spans="2:17">
      <c r="C524" s="151"/>
      <c r="D524" s="151" t="s">
        <v>1342</v>
      </c>
      <c r="E524" s="151"/>
      <c r="F524" s="152"/>
      <c r="G524" s="152"/>
      <c r="H524" s="152"/>
      <c r="I524" s="152"/>
      <c r="J524" s="151"/>
      <c r="K524" s="151"/>
      <c r="L524" s="152"/>
      <c r="M524" s="151"/>
      <c r="O524" s="69"/>
      <c r="P524" s="69"/>
      <c r="Q524" s="69"/>
    </row>
    <row r="525" spans="2:17">
      <c r="C525" s="151"/>
      <c r="D525" s="151" t="s">
        <v>380</v>
      </c>
      <c r="E525" s="151"/>
      <c r="F525" s="152"/>
      <c r="G525" s="152"/>
      <c r="H525" s="152"/>
      <c r="I525" s="152"/>
      <c r="J525" s="151"/>
      <c r="K525" s="151"/>
      <c r="L525" s="152"/>
      <c r="M525" s="151"/>
      <c r="O525" s="69"/>
      <c r="P525" s="69"/>
      <c r="Q525" s="69"/>
    </row>
    <row r="526" spans="2:17">
      <c r="C526" s="151"/>
      <c r="D526" s="151" t="s">
        <v>379</v>
      </c>
      <c r="E526" s="151"/>
      <c r="F526" s="152"/>
      <c r="G526" s="152"/>
      <c r="H526" s="152"/>
      <c r="I526" s="152"/>
      <c r="J526" s="151"/>
      <c r="K526" s="151"/>
      <c r="L526" s="152"/>
      <c r="M526" s="151"/>
      <c r="O526" s="69"/>
      <c r="P526" s="69"/>
      <c r="Q526" s="69"/>
    </row>
    <row r="527" spans="2:17">
      <c r="B527" s="144" t="str">
        <f>'Autoproducers Calculations'!$C$223</f>
        <v>CHPAUTOGENOIL00</v>
      </c>
      <c r="C527" s="151" t="s">
        <v>111</v>
      </c>
      <c r="D527" s="151"/>
      <c r="E527" s="152">
        <f>'Eurostat Resume'!Q13</f>
        <v>0</v>
      </c>
      <c r="F527" s="152">
        <v>31.536000000000001</v>
      </c>
      <c r="G527" s="152">
        <f>'Autoproducers Calculations'!P$209</f>
        <v>0.20619840977533202</v>
      </c>
      <c r="H527" s="152">
        <f>'Autoproducers Calculations'!P$207</f>
        <v>2.4751773049645394</v>
      </c>
      <c r="I527" s="152">
        <f>'Autoproducers Calculations'!P$206</f>
        <v>0.49780596610463002</v>
      </c>
      <c r="J527" s="151">
        <v>20</v>
      </c>
      <c r="K527" s="151">
        <v>1</v>
      </c>
      <c r="L527" s="152">
        <f>'Autoproducers Calculations'!P$226</f>
        <v>5.9710234933605714E-2</v>
      </c>
      <c r="M527" s="151">
        <v>0</v>
      </c>
      <c r="O527" s="69">
        <f t="shared" ref="O527" si="124">L527*F527*I527</f>
        <v>0.93737957040767628</v>
      </c>
      <c r="P527" s="69">
        <f t="shared" ref="P527" si="125">O527*H527</f>
        <v>2.32018063881049</v>
      </c>
      <c r="Q527" s="69">
        <f>O527/G527</f>
        <v>4.5460077574265423</v>
      </c>
    </row>
    <row r="528" spans="2:17">
      <c r="C528" s="151" t="s">
        <v>112</v>
      </c>
      <c r="D528" s="151"/>
      <c r="E528" s="151"/>
      <c r="F528" s="152"/>
      <c r="G528" s="152"/>
      <c r="H528" s="152"/>
      <c r="I528" s="152"/>
      <c r="J528" s="151"/>
      <c r="K528" s="151"/>
      <c r="L528" s="152"/>
      <c r="M528" s="151"/>
      <c r="O528" s="69"/>
      <c r="P528" s="69"/>
      <c r="Q528" s="69"/>
    </row>
    <row r="529" spans="2:17">
      <c r="C529" s="151"/>
      <c r="D529" s="151" t="s">
        <v>105</v>
      </c>
      <c r="E529" s="151"/>
      <c r="F529" s="152"/>
      <c r="G529" s="152"/>
      <c r="H529" s="152"/>
      <c r="I529" s="152"/>
      <c r="J529" s="151"/>
      <c r="K529" s="151"/>
      <c r="L529" s="152"/>
      <c r="M529" s="151"/>
      <c r="O529" s="69"/>
      <c r="P529" s="69"/>
      <c r="Q529" s="69"/>
    </row>
    <row r="530" spans="2:17">
      <c r="C530" s="151"/>
      <c r="D530" s="151" t="s">
        <v>106</v>
      </c>
      <c r="E530" s="151"/>
      <c r="F530" s="152"/>
      <c r="G530" s="152"/>
      <c r="H530" s="152"/>
      <c r="I530" s="152"/>
      <c r="J530" s="151"/>
      <c r="K530" s="151"/>
      <c r="L530" s="152"/>
      <c r="M530" s="151"/>
      <c r="O530" s="69"/>
      <c r="P530" s="69"/>
      <c r="Q530" s="69"/>
    </row>
    <row r="531" spans="2:17">
      <c r="C531" s="151"/>
      <c r="D531" s="151" t="s">
        <v>380</v>
      </c>
      <c r="E531" s="151"/>
      <c r="F531" s="152"/>
      <c r="G531" s="152"/>
      <c r="H531" s="152"/>
      <c r="I531" s="152"/>
      <c r="J531" s="151"/>
      <c r="K531" s="151"/>
      <c r="L531" s="152"/>
      <c r="M531" s="151"/>
      <c r="O531" s="69"/>
      <c r="P531" s="69"/>
      <c r="Q531" s="69"/>
    </row>
    <row r="532" spans="2:17">
      <c r="C532" s="151"/>
      <c r="D532" s="151" t="s">
        <v>379</v>
      </c>
      <c r="E532" s="151"/>
      <c r="F532" s="152"/>
      <c r="G532" s="152"/>
      <c r="H532" s="152"/>
      <c r="I532" s="152"/>
      <c r="J532" s="151"/>
      <c r="K532" s="151"/>
      <c r="L532" s="152"/>
      <c r="M532" s="151"/>
      <c r="O532" s="69"/>
      <c r="P532" s="69"/>
      <c r="Q532" s="69"/>
    </row>
    <row r="533" spans="2:17">
      <c r="C533" s="151"/>
      <c r="D533" s="151" t="s">
        <v>1342</v>
      </c>
      <c r="E533" s="151"/>
      <c r="F533" s="152"/>
      <c r="G533" s="152"/>
      <c r="H533" s="152"/>
      <c r="I533" s="152"/>
      <c r="J533" s="151"/>
      <c r="K533" s="151"/>
      <c r="L533" s="152"/>
      <c r="M533" s="151"/>
      <c r="O533" s="69"/>
      <c r="P533" s="69"/>
      <c r="Q533" s="69"/>
    </row>
    <row r="534" spans="2:17">
      <c r="C534" s="151"/>
      <c r="D534" s="151" t="s">
        <v>382</v>
      </c>
      <c r="E534" s="151"/>
      <c r="F534" s="152"/>
      <c r="G534" s="152"/>
      <c r="H534" s="152"/>
      <c r="I534" s="152"/>
      <c r="J534" s="151"/>
      <c r="K534" s="151"/>
      <c r="L534" s="152"/>
      <c r="M534" s="151"/>
      <c r="O534" s="69"/>
      <c r="P534" s="69"/>
      <c r="Q534" s="69"/>
    </row>
    <row r="535" spans="2:17">
      <c r="B535" s="144" t="str">
        <f>'Autoproducers Calculations'!$C$232</f>
        <v>CHPAUTOGENGAS00</v>
      </c>
      <c r="C535" s="151" t="s">
        <v>113</v>
      </c>
      <c r="D535" s="151"/>
      <c r="E535" s="151"/>
      <c r="F535" s="152">
        <v>31.536000000000001</v>
      </c>
      <c r="G535" s="152">
        <f>'Autoproducers Calculations'!P$209</f>
        <v>0.20619840977533202</v>
      </c>
      <c r="H535" s="152">
        <f>'Autoproducers Calculations'!P$207</f>
        <v>2.4751773049645394</v>
      </c>
      <c r="I535" s="152">
        <f>'Autoproducers Calculations'!P$206</f>
        <v>0.49780596610463002</v>
      </c>
      <c r="J535" s="151">
        <v>20</v>
      </c>
      <c r="K535" s="151">
        <v>1</v>
      </c>
      <c r="L535" s="152">
        <f>'Autoproducers Calculations'!P$235</f>
        <v>0.18385776506639429</v>
      </c>
      <c r="M535" s="151">
        <v>0</v>
      </c>
      <c r="O535" s="69">
        <f t="shared" ref="O535" si="126">L535*F535*I535</f>
        <v>2.8863479272136368</v>
      </c>
      <c r="P535" s="69">
        <f t="shared" ref="P535" si="127">O535*H535</f>
        <v>7.1442228836706336</v>
      </c>
      <c r="Q535" s="69">
        <f>O535/G535</f>
        <v>13.997915553075895</v>
      </c>
    </row>
    <row r="536" spans="2:17">
      <c r="C536" s="151"/>
      <c r="D536" s="151" t="s">
        <v>105</v>
      </c>
      <c r="E536" s="151"/>
      <c r="F536" s="152"/>
      <c r="G536" s="152"/>
      <c r="H536" s="152"/>
      <c r="I536" s="152"/>
      <c r="J536" s="151"/>
      <c r="K536" s="151"/>
      <c r="L536" s="152"/>
      <c r="M536" s="151"/>
      <c r="O536" s="69"/>
      <c r="P536" s="69"/>
      <c r="Q536" s="69"/>
    </row>
    <row r="537" spans="2:17">
      <c r="C537" s="151"/>
      <c r="D537" s="151" t="s">
        <v>106</v>
      </c>
      <c r="E537" s="151"/>
      <c r="F537" s="152"/>
      <c r="G537" s="152"/>
      <c r="H537" s="152"/>
      <c r="I537" s="152"/>
      <c r="J537" s="151"/>
      <c r="K537" s="151"/>
      <c r="L537" s="152"/>
      <c r="M537" s="151"/>
      <c r="O537" s="69"/>
      <c r="P537" s="69"/>
      <c r="Q537" s="69"/>
    </row>
    <row r="538" spans="2:17">
      <c r="C538" s="151"/>
      <c r="D538" s="151" t="s">
        <v>1342</v>
      </c>
      <c r="E538" s="151"/>
      <c r="F538" s="152"/>
      <c r="G538" s="152"/>
      <c r="H538" s="152"/>
      <c r="I538" s="152"/>
      <c r="J538" s="151"/>
      <c r="K538" s="151"/>
      <c r="L538" s="152"/>
      <c r="M538" s="151"/>
      <c r="O538" s="69"/>
      <c r="P538" s="69"/>
      <c r="Q538" s="69"/>
    </row>
    <row r="539" spans="2:17">
      <c r="C539" s="151"/>
      <c r="D539" s="151" t="s">
        <v>378</v>
      </c>
      <c r="E539" s="151"/>
      <c r="F539" s="152"/>
      <c r="G539" s="152"/>
      <c r="H539" s="152"/>
      <c r="I539" s="152"/>
      <c r="J539" s="151"/>
      <c r="K539" s="151"/>
      <c r="L539" s="152"/>
      <c r="M539" s="151"/>
      <c r="O539" s="69"/>
      <c r="P539" s="69"/>
      <c r="Q539" s="69"/>
    </row>
    <row r="540" spans="2:17">
      <c r="C540" s="151"/>
      <c r="D540" s="151" t="s">
        <v>421</v>
      </c>
      <c r="E540" s="151"/>
      <c r="F540" s="152"/>
      <c r="G540" s="152"/>
      <c r="H540" s="152"/>
      <c r="I540" s="152"/>
      <c r="J540" s="151"/>
      <c r="K540" s="151"/>
      <c r="L540" s="152"/>
      <c r="M540" s="151"/>
      <c r="O540" s="69"/>
      <c r="P540" s="69"/>
      <c r="Q540" s="69"/>
    </row>
    <row r="541" spans="2:17">
      <c r="C541" s="151"/>
      <c r="D541" s="151" t="s">
        <v>380</v>
      </c>
      <c r="E541" s="151"/>
      <c r="F541" s="152"/>
      <c r="G541" s="152"/>
      <c r="H541" s="152"/>
      <c r="I541" s="152"/>
      <c r="J541" s="151"/>
      <c r="K541" s="151"/>
      <c r="L541" s="152"/>
      <c r="M541" s="151"/>
      <c r="O541" s="69"/>
      <c r="P541" s="69"/>
      <c r="Q541" s="69"/>
    </row>
    <row r="542" spans="2:17">
      <c r="C542" s="151"/>
      <c r="D542" s="151" t="s">
        <v>379</v>
      </c>
      <c r="E542" s="151"/>
      <c r="F542" s="152"/>
      <c r="G542" s="152"/>
      <c r="H542" s="152"/>
      <c r="I542" s="152"/>
      <c r="J542" s="151"/>
      <c r="K542" s="151"/>
      <c r="L542" s="152"/>
      <c r="M542" s="151"/>
      <c r="O542" s="69"/>
      <c r="P542" s="69"/>
      <c r="Q542" s="69"/>
    </row>
    <row r="543" spans="2:17">
      <c r="C543" s="151"/>
      <c r="D543" s="151" t="s">
        <v>381</v>
      </c>
      <c r="E543" s="151"/>
      <c r="F543" s="152"/>
      <c r="G543" s="152"/>
      <c r="H543" s="152"/>
      <c r="I543" s="152"/>
      <c r="J543" s="151"/>
      <c r="K543" s="151"/>
      <c r="L543" s="152"/>
      <c r="M543" s="151"/>
      <c r="O543" s="69"/>
      <c r="P543" s="69"/>
      <c r="Q543" s="69"/>
    </row>
    <row r="544" spans="2:17">
      <c r="C544" s="151"/>
      <c r="D544" s="151" t="s">
        <v>382</v>
      </c>
      <c r="E544" s="151"/>
      <c r="F544" s="152"/>
      <c r="G544" s="152"/>
      <c r="H544" s="152"/>
      <c r="I544" s="152"/>
      <c r="J544" s="151"/>
      <c r="K544" s="151"/>
      <c r="L544" s="152"/>
      <c r="M544" s="151"/>
      <c r="O544" s="69"/>
      <c r="P544" s="69"/>
      <c r="Q544" s="69"/>
    </row>
    <row r="545" spans="1:17">
      <c r="B545" s="144" t="str">
        <f>'Autoproducers Calculations'!$C$241</f>
        <v>CHPAUTOGENBIO00</v>
      </c>
      <c r="C545" s="151" t="s">
        <v>116</v>
      </c>
      <c r="D545" s="151"/>
      <c r="E545" s="151"/>
      <c r="F545" s="152">
        <v>31.536000000000001</v>
      </c>
      <c r="G545" s="152">
        <f>'Autoproducers Calculations'!P$209</f>
        <v>0.20619840977533202</v>
      </c>
      <c r="H545" s="152">
        <f>'Autoproducers Calculations'!P$207</f>
        <v>2.4751773049645394</v>
      </c>
      <c r="I545" s="152">
        <f>'Autoproducers Calculations'!P$206</f>
        <v>0.49780596610463002</v>
      </c>
      <c r="J545" s="151">
        <v>20</v>
      </c>
      <c r="K545" s="151">
        <v>1</v>
      </c>
      <c r="L545" s="152">
        <f>'Autoproducers Calculations'!P$244</f>
        <v>0</v>
      </c>
      <c r="M545" s="151">
        <v>0</v>
      </c>
      <c r="O545" s="69">
        <f t="shared" ref="O545" si="128">L545*F545*I545</f>
        <v>0</v>
      </c>
      <c r="P545" s="69">
        <f t="shared" ref="P545" si="129">O545*H545</f>
        <v>0</v>
      </c>
      <c r="Q545" s="69">
        <f>O545/G545</f>
        <v>0</v>
      </c>
    </row>
    <row r="546" spans="1:17">
      <c r="C546" s="151"/>
      <c r="D546" s="151" t="s">
        <v>105</v>
      </c>
      <c r="E546" s="151"/>
      <c r="F546" s="152"/>
      <c r="G546" s="152"/>
      <c r="H546" s="152"/>
      <c r="I546" s="152"/>
      <c r="J546" s="151"/>
      <c r="K546" s="151"/>
      <c r="L546" s="152"/>
      <c r="M546" s="151"/>
      <c r="O546" s="69"/>
      <c r="P546" s="69"/>
      <c r="Q546" s="69"/>
    </row>
    <row r="547" spans="1:17">
      <c r="C547" s="151"/>
      <c r="D547" s="151" t="s">
        <v>106</v>
      </c>
      <c r="E547" s="151"/>
      <c r="F547" s="152"/>
      <c r="G547" s="152"/>
      <c r="H547" s="152"/>
      <c r="I547" s="152"/>
      <c r="J547" s="151"/>
      <c r="K547" s="151"/>
      <c r="L547" s="152"/>
      <c r="M547" s="151"/>
      <c r="O547" s="69"/>
      <c r="P547" s="69"/>
      <c r="Q547" s="69"/>
    </row>
    <row r="548" spans="1:17">
      <c r="C548" s="151"/>
      <c r="D548" s="151" t="s">
        <v>380</v>
      </c>
      <c r="E548" s="151"/>
      <c r="F548" s="152"/>
      <c r="G548" s="152"/>
      <c r="H548" s="152"/>
      <c r="I548" s="152"/>
      <c r="J548" s="151"/>
      <c r="K548" s="151"/>
      <c r="L548" s="151"/>
      <c r="M548" s="151"/>
      <c r="O548" s="69"/>
      <c r="P548" s="69"/>
      <c r="Q548" s="69"/>
    </row>
    <row r="549" spans="1:17">
      <c r="C549" s="151"/>
      <c r="D549" s="151" t="s">
        <v>379</v>
      </c>
      <c r="E549" s="151"/>
      <c r="F549" s="152"/>
      <c r="G549" s="152"/>
      <c r="H549" s="152"/>
      <c r="I549" s="152"/>
      <c r="J549" s="151"/>
      <c r="K549" s="151"/>
      <c r="L549" s="151"/>
      <c r="M549" s="151"/>
      <c r="O549" s="69"/>
      <c r="P549" s="69"/>
      <c r="Q549" s="69"/>
    </row>
    <row r="550" spans="1:17">
      <c r="C550" s="151"/>
      <c r="D550" s="151" t="s">
        <v>381</v>
      </c>
      <c r="E550" s="151"/>
      <c r="F550" s="152"/>
      <c r="G550" s="152"/>
      <c r="H550" s="152"/>
      <c r="I550" s="152"/>
      <c r="J550" s="151"/>
      <c r="K550" s="151"/>
      <c r="L550" s="151"/>
      <c r="M550" s="151"/>
      <c r="O550" s="69"/>
      <c r="P550" s="69"/>
      <c r="Q550" s="69"/>
    </row>
    <row r="551" spans="1:17">
      <c r="C551" s="151"/>
      <c r="D551" s="151" t="s">
        <v>382</v>
      </c>
      <c r="E551" s="151"/>
      <c r="F551" s="152"/>
      <c r="G551" s="152"/>
      <c r="H551" s="152"/>
      <c r="I551" s="152"/>
      <c r="J551" s="151"/>
      <c r="K551" s="151"/>
      <c r="L551" s="151"/>
      <c r="M551" s="151"/>
      <c r="O551" s="69"/>
      <c r="P551" s="69"/>
      <c r="Q551" s="69"/>
    </row>
    <row r="552" spans="1:17">
      <c r="B552" s="144" t="str">
        <f>'Autoproducers Calculations'!$C$250</f>
        <v>CHPAUTOGENWASTE00</v>
      </c>
      <c r="C552" s="151" t="s">
        <v>117</v>
      </c>
      <c r="D552" s="151"/>
      <c r="E552" s="151"/>
      <c r="F552" s="152">
        <v>31.536000000000001</v>
      </c>
      <c r="G552" s="152">
        <f>'Autoproducers Calculations'!P$209</f>
        <v>0.20619840977533202</v>
      </c>
      <c r="H552" s="152">
        <f>'Autoproducers Calculations'!P$207</f>
        <v>2.4751773049645394</v>
      </c>
      <c r="I552" s="152">
        <f>'Autoproducers Calculations'!P$206</f>
        <v>0.49780596610463002</v>
      </c>
      <c r="J552" s="151">
        <v>20</v>
      </c>
      <c r="K552" s="151">
        <v>1</v>
      </c>
      <c r="L552" s="152">
        <f>'Autoproducers Calculations'!P$253</f>
        <v>0</v>
      </c>
      <c r="M552" s="151">
        <v>0</v>
      </c>
      <c r="O552" s="69">
        <f t="shared" ref="O552" si="130">L552*F552*I552</f>
        <v>0</v>
      </c>
      <c r="P552" s="69">
        <f t="shared" ref="P552" si="131">O552*H552</f>
        <v>0</v>
      </c>
      <c r="Q552" s="69">
        <f>O552/G552</f>
        <v>0</v>
      </c>
    </row>
    <row r="553" spans="1:17">
      <c r="C553" s="151" t="s">
        <v>118</v>
      </c>
      <c r="D553" s="151"/>
      <c r="E553" s="151"/>
      <c r="F553" s="152"/>
      <c r="G553" s="152"/>
      <c r="H553" s="152"/>
      <c r="I553" s="152"/>
      <c r="J553" s="151"/>
      <c r="K553" s="151"/>
      <c r="L553" s="151"/>
      <c r="M553" s="151"/>
      <c r="O553" s="69"/>
      <c r="P553" s="69"/>
      <c r="Q553" s="69"/>
    </row>
    <row r="554" spans="1:17">
      <c r="C554" s="151"/>
      <c r="D554" s="151" t="s">
        <v>105</v>
      </c>
      <c r="E554" s="151"/>
      <c r="F554" s="152"/>
      <c r="G554" s="152"/>
      <c r="H554" s="152"/>
      <c r="I554" s="152"/>
      <c r="J554" s="151"/>
      <c r="K554" s="151"/>
      <c r="L554" s="151"/>
      <c r="M554" s="151"/>
      <c r="O554" s="719">
        <f>SUM(O512:O552)</f>
        <v>3.8237274976213129</v>
      </c>
      <c r="P554" s="719">
        <f>SUM(P512:P552)</f>
        <v>9.464403522481124</v>
      </c>
      <c r="Q554" s="719">
        <f>SUM(Q512:Q552)</f>
        <v>18.543923310502436</v>
      </c>
    </row>
    <row r="555" spans="1:17">
      <c r="C555" s="151"/>
      <c r="D555" s="151" t="s">
        <v>106</v>
      </c>
      <c r="E555" s="151"/>
      <c r="F555" s="152"/>
      <c r="G555" s="152"/>
      <c r="H555" s="152"/>
      <c r="I555" s="152"/>
      <c r="J555" s="151"/>
      <c r="K555" s="151"/>
      <c r="L555" s="151"/>
      <c r="M555" s="151"/>
    </row>
    <row r="556" spans="1:17">
      <c r="C556" s="151"/>
      <c r="D556" s="151" t="s">
        <v>381</v>
      </c>
      <c r="E556" s="151"/>
      <c r="F556" s="152"/>
      <c r="G556" s="152"/>
      <c r="H556" s="152"/>
      <c r="I556" s="152"/>
      <c r="J556" s="151"/>
      <c r="K556" s="151"/>
      <c r="L556" s="151"/>
      <c r="M556" s="151"/>
    </row>
    <row r="557" spans="1:17">
      <c r="C557" s="151"/>
      <c r="D557" s="151" t="s">
        <v>382</v>
      </c>
      <c r="E557" s="151"/>
      <c r="F557" s="151"/>
      <c r="G557" s="151"/>
      <c r="H557" s="151"/>
      <c r="I557" s="151"/>
      <c r="J557" s="151"/>
      <c r="K557" s="151"/>
      <c r="L557" s="151"/>
      <c r="M557" s="151"/>
      <c r="O557" s="677" t="s">
        <v>390</v>
      </c>
      <c r="P557" s="677" t="s">
        <v>406</v>
      </c>
      <c r="Q557" s="677" t="s">
        <v>1304</v>
      </c>
    </row>
    <row r="558" spans="1:17">
      <c r="A558" s="64" t="s">
        <v>53</v>
      </c>
      <c r="B558" s="144" t="str">
        <f>'Autoproducers Calculations'!$C$205</f>
        <v>CHPAUTOGENSOLID00</v>
      </c>
      <c r="C558" s="151" t="s">
        <v>107</v>
      </c>
      <c r="D558" s="151"/>
      <c r="E558" s="151"/>
      <c r="F558" s="152">
        <v>31.536000000000001</v>
      </c>
      <c r="G558" s="152">
        <f>'Autoproducers Calculations'!Q$209</f>
        <v>0.1078999565059939</v>
      </c>
      <c r="H558" s="152">
        <f>'Autoproducers Calculations'!Q$207</f>
        <v>6.1158868799634423</v>
      </c>
      <c r="I558" s="152">
        <f>'Autoproducers Calculations'!Q$206</f>
        <v>0.34645302760666807</v>
      </c>
      <c r="J558" s="151">
        <v>20</v>
      </c>
      <c r="K558" s="151">
        <v>1</v>
      </c>
      <c r="L558" s="152">
        <f>'Autoproducers Calculations'!Q$208</f>
        <v>0</v>
      </c>
      <c r="M558" s="151">
        <v>0</v>
      </c>
      <c r="O558" s="69">
        <f>L558*F558*I558</f>
        <v>0</v>
      </c>
      <c r="P558" s="69">
        <f t="shared" ref="P558" si="132">O558*H558</f>
        <v>0</v>
      </c>
      <c r="Q558" s="69">
        <f>O558/G558</f>
        <v>0</v>
      </c>
    </row>
    <row r="559" spans="1:17">
      <c r="C559" s="151" t="s">
        <v>108</v>
      </c>
      <c r="D559" s="151"/>
      <c r="E559" s="152">
        <f>'Eurostat Resume'!R10</f>
        <v>0</v>
      </c>
      <c r="F559" s="152"/>
      <c r="G559" s="152"/>
      <c r="H559" s="152"/>
      <c r="I559" s="152"/>
      <c r="J559" s="151"/>
      <c r="K559" s="151"/>
      <c r="L559" s="152"/>
      <c r="M559" s="151"/>
      <c r="O559" s="69"/>
      <c r="P559" s="69"/>
      <c r="Q559" s="69"/>
    </row>
    <row r="560" spans="1:17">
      <c r="C560" s="151"/>
      <c r="D560" s="151" t="s">
        <v>105</v>
      </c>
      <c r="E560" s="151"/>
      <c r="F560" s="152"/>
      <c r="G560" s="152"/>
      <c r="H560" s="152"/>
      <c r="I560" s="152"/>
      <c r="J560" s="151"/>
      <c r="K560" s="151"/>
      <c r="L560" s="152"/>
      <c r="M560" s="151"/>
      <c r="O560" s="69"/>
      <c r="P560" s="69"/>
      <c r="Q560" s="69"/>
    </row>
    <row r="561" spans="2:17">
      <c r="C561" s="151"/>
      <c r="D561" s="151" t="s">
        <v>106</v>
      </c>
      <c r="E561" s="151"/>
      <c r="F561" s="152"/>
      <c r="G561" s="152"/>
      <c r="H561" s="152"/>
      <c r="I561" s="152"/>
      <c r="J561" s="151"/>
      <c r="K561" s="151"/>
      <c r="L561" s="152"/>
      <c r="M561" s="151"/>
      <c r="O561" s="69"/>
      <c r="P561" s="69"/>
      <c r="Q561" s="69"/>
    </row>
    <row r="562" spans="2:17">
      <c r="C562" s="151"/>
      <c r="D562" s="151" t="s">
        <v>378</v>
      </c>
      <c r="E562" s="151"/>
      <c r="F562" s="152"/>
      <c r="G562" s="152"/>
      <c r="H562" s="152"/>
      <c r="I562" s="152"/>
      <c r="J562" s="151"/>
      <c r="K562" s="151"/>
      <c r="L562" s="152"/>
      <c r="M562" s="151"/>
      <c r="O562" s="69"/>
      <c r="P562" s="69"/>
      <c r="Q562" s="69"/>
    </row>
    <row r="563" spans="2:17">
      <c r="C563" s="151"/>
      <c r="D563" s="151" t="s">
        <v>380</v>
      </c>
      <c r="E563" s="151"/>
      <c r="F563" s="152"/>
      <c r="G563" s="152"/>
      <c r="H563" s="152"/>
      <c r="I563" s="152"/>
      <c r="J563" s="151"/>
      <c r="K563" s="151"/>
      <c r="L563" s="152"/>
      <c r="M563" s="151"/>
      <c r="O563" s="69"/>
      <c r="P563" s="69"/>
      <c r="Q563" s="69"/>
    </row>
    <row r="564" spans="2:17">
      <c r="C564" s="151"/>
      <c r="D564" s="151" t="s">
        <v>379</v>
      </c>
      <c r="E564" s="151"/>
      <c r="F564" s="152"/>
      <c r="G564" s="152"/>
      <c r="H564" s="152"/>
      <c r="I564" s="152"/>
      <c r="J564" s="151"/>
      <c r="K564" s="151"/>
      <c r="L564" s="152"/>
      <c r="M564" s="151"/>
      <c r="O564" s="69"/>
      <c r="P564" s="69"/>
      <c r="Q564" s="69"/>
    </row>
    <row r="565" spans="2:17">
      <c r="C565" s="151"/>
      <c r="D565" s="151" t="s">
        <v>381</v>
      </c>
      <c r="E565" s="151"/>
      <c r="F565" s="152"/>
      <c r="G565" s="152"/>
      <c r="H565" s="152"/>
      <c r="I565" s="152"/>
      <c r="J565" s="151"/>
      <c r="K565" s="151"/>
      <c r="L565" s="152"/>
      <c r="M565" s="151"/>
      <c r="O565" s="69"/>
      <c r="P565" s="69"/>
      <c r="Q565" s="69"/>
    </row>
    <row r="566" spans="2:17">
      <c r="C566" s="151"/>
      <c r="D566" s="151" t="s">
        <v>382</v>
      </c>
      <c r="E566" s="151"/>
      <c r="F566" s="152"/>
      <c r="G566" s="152"/>
      <c r="H566" s="152"/>
      <c r="I566" s="152"/>
      <c r="J566" s="151"/>
      <c r="K566" s="151"/>
      <c r="L566" s="152"/>
      <c r="M566" s="151"/>
      <c r="O566" s="69"/>
      <c r="P566" s="69"/>
      <c r="Q566" s="69"/>
    </row>
    <row r="567" spans="2:17">
      <c r="B567" s="144" t="str">
        <f>'Autoproducers Calculations'!$C$214</f>
        <v>CHPAUTOGENRFG00</v>
      </c>
      <c r="C567" s="151" t="s">
        <v>110</v>
      </c>
      <c r="D567" s="151"/>
      <c r="E567" s="151"/>
      <c r="F567" s="152">
        <v>31.536000000000001</v>
      </c>
      <c r="G567" s="152">
        <f>'Autoproducers Calculations'!Q$209</f>
        <v>0.1078999565059939</v>
      </c>
      <c r="H567" s="152">
        <f>'Autoproducers Calculations'!Q$207</f>
        <v>6.1158868799634423</v>
      </c>
      <c r="I567" s="152">
        <f>'Autoproducers Calculations'!Q$206</f>
        <v>0.34645302760666807</v>
      </c>
      <c r="J567" s="151">
        <v>20</v>
      </c>
      <c r="K567" s="151">
        <v>1</v>
      </c>
      <c r="L567" s="152">
        <f>'Autoproducers Calculations'!Q$217</f>
        <v>0</v>
      </c>
      <c r="M567" s="151">
        <v>0</v>
      </c>
      <c r="O567" s="69">
        <f t="shared" ref="O567" si="133">L567*F567*I567</f>
        <v>0</v>
      </c>
      <c r="P567" s="69">
        <f t="shared" ref="P567" si="134">O567*H567</f>
        <v>0</v>
      </c>
      <c r="Q567" s="69">
        <f>O567/G567</f>
        <v>0</v>
      </c>
    </row>
    <row r="568" spans="2:17">
      <c r="C568" s="151"/>
      <c r="D568" s="151" t="s">
        <v>105</v>
      </c>
      <c r="E568" s="151"/>
      <c r="F568" s="152"/>
      <c r="G568" s="152"/>
      <c r="H568" s="152"/>
      <c r="I568" s="152"/>
      <c r="J568" s="151"/>
      <c r="K568" s="151"/>
      <c r="L568" s="152"/>
      <c r="M568" s="151"/>
      <c r="O568" s="69"/>
      <c r="P568" s="69"/>
      <c r="Q568" s="69"/>
    </row>
    <row r="569" spans="2:17">
      <c r="C569" s="151"/>
      <c r="D569" s="151" t="s">
        <v>106</v>
      </c>
      <c r="E569" s="151"/>
      <c r="F569" s="152"/>
      <c r="G569" s="152"/>
      <c r="H569" s="152"/>
      <c r="I569" s="152"/>
      <c r="J569" s="151"/>
      <c r="K569" s="151"/>
      <c r="L569" s="152"/>
      <c r="M569" s="151"/>
      <c r="O569" s="69"/>
      <c r="P569" s="69"/>
      <c r="Q569" s="69"/>
    </row>
    <row r="570" spans="2:17">
      <c r="C570" s="151"/>
      <c r="D570" s="151" t="s">
        <v>1342</v>
      </c>
      <c r="E570" s="151"/>
      <c r="F570" s="152"/>
      <c r="G570" s="152"/>
      <c r="H570" s="152"/>
      <c r="I570" s="152"/>
      <c r="J570" s="151"/>
      <c r="K570" s="151"/>
      <c r="L570" s="152"/>
      <c r="M570" s="151"/>
      <c r="O570" s="69"/>
      <c r="P570" s="69"/>
      <c r="Q570" s="69"/>
    </row>
    <row r="571" spans="2:17">
      <c r="C571" s="151"/>
      <c r="D571" s="151" t="s">
        <v>380</v>
      </c>
      <c r="E571" s="151"/>
      <c r="F571" s="152"/>
      <c r="G571" s="152"/>
      <c r="H571" s="152"/>
      <c r="I571" s="152"/>
      <c r="J571" s="151"/>
      <c r="K571" s="151"/>
      <c r="L571" s="152"/>
      <c r="M571" s="151"/>
      <c r="O571" s="69"/>
      <c r="P571" s="69"/>
      <c r="Q571" s="69"/>
    </row>
    <row r="572" spans="2:17">
      <c r="C572" s="151"/>
      <c r="D572" s="151" t="s">
        <v>379</v>
      </c>
      <c r="E572" s="151"/>
      <c r="F572" s="152"/>
      <c r="G572" s="152"/>
      <c r="H572" s="152"/>
      <c r="I572" s="152"/>
      <c r="J572" s="151"/>
      <c r="K572" s="151"/>
      <c r="L572" s="152"/>
      <c r="M572" s="151"/>
      <c r="O572" s="69"/>
      <c r="P572" s="69"/>
      <c r="Q572" s="69"/>
    </row>
    <row r="573" spans="2:17">
      <c r="B573" s="144" t="str">
        <f>'Autoproducers Calculations'!$C$223</f>
        <v>CHPAUTOGENOIL00</v>
      </c>
      <c r="C573" s="151" t="s">
        <v>111</v>
      </c>
      <c r="D573" s="151"/>
      <c r="E573" s="151">
        <v>1</v>
      </c>
      <c r="F573" s="152">
        <v>31.536000000000001</v>
      </c>
      <c r="G573" s="152">
        <f>'Autoproducers Calculations'!Q$209</f>
        <v>0.1078999565059939</v>
      </c>
      <c r="H573" s="152">
        <f>'Autoproducers Calculations'!Q$207</f>
        <v>6.1158868799634423</v>
      </c>
      <c r="I573" s="152">
        <f>'Autoproducers Calculations'!Q$206</f>
        <v>0.34645302760666807</v>
      </c>
      <c r="J573" s="151">
        <v>20</v>
      </c>
      <c r="K573" s="151">
        <v>1</v>
      </c>
      <c r="L573" s="152">
        <f>'Autoproducers Calculations'!Q$226</f>
        <v>8.6214537013307099E-3</v>
      </c>
      <c r="M573" s="151">
        <v>0</v>
      </c>
      <c r="O573" s="69">
        <f t="shared" ref="O573" si="135">L573*F573*I573</f>
        <v>9.4195784656236375E-2</v>
      </c>
      <c r="P573" s="69">
        <f t="shared" ref="P573" si="136">O573*H573</f>
        <v>0.57609076352693778</v>
      </c>
      <c r="Q573" s="69">
        <f>O573/G573</f>
        <v>0.8729918686390179</v>
      </c>
    </row>
    <row r="574" spans="2:17">
      <c r="C574" s="151" t="s">
        <v>112</v>
      </c>
      <c r="D574" s="151"/>
      <c r="E574" s="151"/>
      <c r="F574" s="152"/>
      <c r="G574" s="152"/>
      <c r="H574" s="152"/>
      <c r="I574" s="152"/>
      <c r="J574" s="151"/>
      <c r="K574" s="151"/>
      <c r="L574" s="152"/>
      <c r="M574" s="151"/>
      <c r="O574" s="69"/>
      <c r="P574" s="69"/>
      <c r="Q574" s="69"/>
    </row>
    <row r="575" spans="2:17">
      <c r="C575" s="151"/>
      <c r="D575" s="151" t="s">
        <v>105</v>
      </c>
      <c r="E575" s="151"/>
      <c r="F575" s="152"/>
      <c r="G575" s="152"/>
      <c r="H575" s="152"/>
      <c r="I575" s="152"/>
      <c r="J575" s="151"/>
      <c r="K575" s="151"/>
      <c r="L575" s="152"/>
      <c r="M575" s="151"/>
      <c r="O575" s="69"/>
      <c r="P575" s="69"/>
      <c r="Q575" s="69"/>
    </row>
    <row r="576" spans="2:17">
      <c r="C576" s="151"/>
      <c r="D576" s="151" t="s">
        <v>106</v>
      </c>
      <c r="E576" s="151"/>
      <c r="F576" s="152"/>
      <c r="G576" s="152"/>
      <c r="H576" s="152"/>
      <c r="I576" s="152"/>
      <c r="J576" s="151"/>
      <c r="K576" s="151"/>
      <c r="L576" s="152"/>
      <c r="M576" s="151"/>
      <c r="O576" s="69"/>
      <c r="P576" s="69"/>
      <c r="Q576" s="69"/>
    </row>
    <row r="577" spans="2:17">
      <c r="C577" s="151"/>
      <c r="D577" s="151" t="s">
        <v>380</v>
      </c>
      <c r="E577" s="151"/>
      <c r="F577" s="152"/>
      <c r="G577" s="152"/>
      <c r="H577" s="152"/>
      <c r="I577" s="152"/>
      <c r="J577" s="151"/>
      <c r="K577" s="151"/>
      <c r="L577" s="152"/>
      <c r="M577" s="151"/>
      <c r="O577" s="69"/>
      <c r="P577" s="69"/>
      <c r="Q577" s="69"/>
    </row>
    <row r="578" spans="2:17">
      <c r="C578" s="151"/>
      <c r="D578" s="151" t="s">
        <v>379</v>
      </c>
      <c r="E578" s="151"/>
      <c r="F578" s="152"/>
      <c r="G578" s="152"/>
      <c r="H578" s="152"/>
      <c r="I578" s="152"/>
      <c r="J578" s="151"/>
      <c r="K578" s="151"/>
      <c r="L578" s="152"/>
      <c r="M578" s="151"/>
      <c r="O578" s="69"/>
      <c r="P578" s="69"/>
      <c r="Q578" s="69"/>
    </row>
    <row r="579" spans="2:17">
      <c r="C579" s="151"/>
      <c r="D579" s="151" t="s">
        <v>1342</v>
      </c>
      <c r="E579" s="151"/>
      <c r="F579" s="152"/>
      <c r="G579" s="152"/>
      <c r="H579" s="152"/>
      <c r="I579" s="152"/>
      <c r="J579" s="151"/>
      <c r="K579" s="151"/>
      <c r="L579" s="152"/>
      <c r="M579" s="151"/>
      <c r="O579" s="69"/>
      <c r="P579" s="69"/>
      <c r="Q579" s="69"/>
    </row>
    <row r="580" spans="2:17">
      <c r="C580" s="151"/>
      <c r="D580" s="151" t="s">
        <v>382</v>
      </c>
      <c r="E580" s="151"/>
      <c r="F580" s="152"/>
      <c r="G580" s="152"/>
      <c r="H580" s="152"/>
      <c r="I580" s="152"/>
      <c r="J580" s="151"/>
      <c r="K580" s="151"/>
      <c r="L580" s="152"/>
      <c r="M580" s="151"/>
      <c r="O580" s="69"/>
      <c r="P580" s="69"/>
      <c r="Q580" s="69"/>
    </row>
    <row r="581" spans="2:17">
      <c r="B581" s="144" t="str">
        <f>'Autoproducers Calculations'!$C$232</f>
        <v>CHPAUTOGENGAS00</v>
      </c>
      <c r="C581" s="151" t="s">
        <v>113</v>
      </c>
      <c r="D581" s="151"/>
      <c r="E581" s="151"/>
      <c r="F581" s="152">
        <v>31.536000000000001</v>
      </c>
      <c r="G581" s="152">
        <f>'Autoproducers Calculations'!Q$209</f>
        <v>0.1078999565059939</v>
      </c>
      <c r="H581" s="152">
        <f>'Autoproducers Calculations'!Q$207</f>
        <v>6.1158868799634423</v>
      </c>
      <c r="I581" s="152">
        <f>'Autoproducers Calculations'!Q$206</f>
        <v>0.34645302760666807</v>
      </c>
      <c r="J581" s="151">
        <v>20</v>
      </c>
      <c r="K581" s="151">
        <v>1</v>
      </c>
      <c r="L581" s="152">
        <f>'Autoproducers Calculations'!Q$235</f>
        <v>0.11854498839329726</v>
      </c>
      <c r="M581" s="151">
        <v>0</v>
      </c>
      <c r="O581" s="69">
        <f t="shared" ref="O581" si="137">L581*F581*I581</f>
        <v>1.2951920390232501</v>
      </c>
      <c r="P581" s="69">
        <f t="shared" ref="P581" si="138">O581*H581</f>
        <v>7.9212479984953941</v>
      </c>
      <c r="Q581" s="69">
        <f>O581/G581</f>
        <v>12.003638193786495</v>
      </c>
    </row>
    <row r="582" spans="2:17">
      <c r="C582" s="151"/>
      <c r="D582" s="151" t="s">
        <v>105</v>
      </c>
      <c r="E582" s="151"/>
      <c r="F582" s="152"/>
      <c r="G582" s="152"/>
      <c r="H582" s="152"/>
      <c r="I582" s="152"/>
      <c r="J582" s="151"/>
      <c r="K582" s="151"/>
      <c r="L582" s="152"/>
      <c r="M582" s="151"/>
      <c r="O582" s="69"/>
      <c r="P582" s="69"/>
      <c r="Q582" s="69"/>
    </row>
    <row r="583" spans="2:17">
      <c r="C583" s="151"/>
      <c r="D583" s="151" t="s">
        <v>106</v>
      </c>
      <c r="E583" s="151"/>
      <c r="F583" s="152"/>
      <c r="G583" s="152"/>
      <c r="H583" s="152"/>
      <c r="I583" s="152"/>
      <c r="J583" s="151"/>
      <c r="K583" s="151"/>
      <c r="L583" s="152"/>
      <c r="M583" s="151"/>
      <c r="O583" s="69"/>
      <c r="P583" s="69"/>
      <c r="Q583" s="69"/>
    </row>
    <row r="584" spans="2:17">
      <c r="C584" s="151"/>
      <c r="D584" s="151" t="s">
        <v>1342</v>
      </c>
      <c r="E584" s="151"/>
      <c r="F584" s="152"/>
      <c r="G584" s="152"/>
      <c r="H584" s="152"/>
      <c r="I584" s="152"/>
      <c r="J584" s="151"/>
      <c r="K584" s="151"/>
      <c r="L584" s="152"/>
      <c r="M584" s="151"/>
      <c r="O584" s="69"/>
      <c r="P584" s="69"/>
      <c r="Q584" s="69"/>
    </row>
    <row r="585" spans="2:17">
      <c r="C585" s="151"/>
      <c r="D585" s="151" t="s">
        <v>378</v>
      </c>
      <c r="E585" s="151"/>
      <c r="F585" s="152"/>
      <c r="G585" s="152"/>
      <c r="H585" s="152"/>
      <c r="I585" s="152"/>
      <c r="J585" s="151"/>
      <c r="K585" s="151"/>
      <c r="L585" s="152"/>
      <c r="M585" s="151"/>
      <c r="O585" s="69"/>
      <c r="P585" s="69"/>
      <c r="Q585" s="69"/>
    </row>
    <row r="586" spans="2:17">
      <c r="C586" s="151"/>
      <c r="D586" s="151" t="s">
        <v>421</v>
      </c>
      <c r="E586" s="151"/>
      <c r="F586" s="152"/>
      <c r="G586" s="152"/>
      <c r="H586" s="152"/>
      <c r="I586" s="152"/>
      <c r="J586" s="151"/>
      <c r="K586" s="151"/>
      <c r="L586" s="152"/>
      <c r="M586" s="151"/>
      <c r="O586" s="69"/>
      <c r="P586" s="69"/>
      <c r="Q586" s="69"/>
    </row>
    <row r="587" spans="2:17">
      <c r="C587" s="151"/>
      <c r="D587" s="151" t="s">
        <v>380</v>
      </c>
      <c r="E587" s="151"/>
      <c r="F587" s="152"/>
      <c r="G587" s="152"/>
      <c r="H587" s="152"/>
      <c r="I587" s="152"/>
      <c r="J587" s="151"/>
      <c r="K587" s="151"/>
      <c r="L587" s="152"/>
      <c r="M587" s="151"/>
      <c r="O587" s="69"/>
      <c r="P587" s="69"/>
      <c r="Q587" s="69"/>
    </row>
    <row r="588" spans="2:17">
      <c r="C588" s="151"/>
      <c r="D588" s="151" t="s">
        <v>379</v>
      </c>
      <c r="E588" s="151"/>
      <c r="F588" s="152"/>
      <c r="G588" s="152"/>
      <c r="H588" s="152"/>
      <c r="I588" s="152"/>
      <c r="J588" s="151"/>
      <c r="K588" s="151"/>
      <c r="L588" s="152"/>
      <c r="M588" s="151"/>
      <c r="O588" s="69"/>
      <c r="P588" s="69"/>
      <c r="Q588" s="69"/>
    </row>
    <row r="589" spans="2:17">
      <c r="C589" s="151"/>
      <c r="D589" s="151" t="s">
        <v>381</v>
      </c>
      <c r="E589" s="151"/>
      <c r="F589" s="152"/>
      <c r="G589" s="152"/>
      <c r="H589" s="152"/>
      <c r="I589" s="152"/>
      <c r="J589" s="151"/>
      <c r="K589" s="151"/>
      <c r="L589" s="152"/>
      <c r="M589" s="151"/>
      <c r="O589" s="69"/>
      <c r="P589" s="69"/>
      <c r="Q589" s="69"/>
    </row>
    <row r="590" spans="2:17">
      <c r="C590" s="151"/>
      <c r="D590" s="151" t="s">
        <v>382</v>
      </c>
      <c r="E590" s="151"/>
      <c r="F590" s="152"/>
      <c r="G590" s="152"/>
      <c r="H590" s="152"/>
      <c r="I590" s="152"/>
      <c r="J590" s="151"/>
      <c r="K590" s="151"/>
      <c r="L590" s="152"/>
      <c r="M590" s="151"/>
      <c r="O590" s="69"/>
      <c r="P590" s="69"/>
      <c r="Q590" s="69"/>
    </row>
    <row r="591" spans="2:17">
      <c r="B591" s="144" t="str">
        <f>'Autoproducers Calculations'!$C$241</f>
        <v>CHPAUTOGENBIO00</v>
      </c>
      <c r="C591" s="151" t="s">
        <v>116</v>
      </c>
      <c r="D591" s="151"/>
      <c r="E591" s="151"/>
      <c r="F591" s="152">
        <v>31.536000000000001</v>
      </c>
      <c r="G591" s="152">
        <f>'Autoproducers Calculations'!Q$209</f>
        <v>0.1078999565059939</v>
      </c>
      <c r="H591" s="152">
        <f>'Autoproducers Calculations'!Q$207</f>
        <v>6.1158868799634423</v>
      </c>
      <c r="I591" s="152">
        <f>'Autoproducers Calculations'!Q$206</f>
        <v>0.34645302760666807</v>
      </c>
      <c r="J591" s="151">
        <v>20</v>
      </c>
      <c r="K591" s="151">
        <v>1</v>
      </c>
      <c r="L591" s="152">
        <f>'Autoproducers Calculations'!Q$244</f>
        <v>2.3277924993592917E-3</v>
      </c>
      <c r="M591" s="151">
        <v>0</v>
      </c>
      <c r="O591" s="69">
        <f t="shared" ref="O591" si="139">L591*F591*I591</f>
        <v>2.5432861857183822E-2</v>
      </c>
      <c r="P591" s="69">
        <f t="shared" ref="P591" si="140">O591*H591</f>
        <v>0.15554450615227319</v>
      </c>
      <c r="Q591" s="69">
        <f>O591/G591</f>
        <v>0.23570780453253484</v>
      </c>
    </row>
    <row r="592" spans="2:17">
      <c r="C592" s="151"/>
      <c r="D592" s="151" t="s">
        <v>105</v>
      </c>
      <c r="E592" s="151"/>
      <c r="F592" s="152"/>
      <c r="G592" s="152"/>
      <c r="H592" s="152"/>
      <c r="I592" s="152"/>
      <c r="J592" s="151"/>
      <c r="K592" s="151"/>
      <c r="L592" s="152"/>
      <c r="M592" s="151"/>
      <c r="O592" s="69"/>
      <c r="P592" s="69"/>
      <c r="Q592" s="69"/>
    </row>
    <row r="593" spans="1:17">
      <c r="C593" s="151"/>
      <c r="D593" s="151" t="s">
        <v>106</v>
      </c>
      <c r="E593" s="151"/>
      <c r="F593" s="152"/>
      <c r="G593" s="152"/>
      <c r="H593" s="152"/>
      <c r="I593" s="152"/>
      <c r="J593" s="151"/>
      <c r="K593" s="151"/>
      <c r="L593" s="152"/>
      <c r="M593" s="151"/>
      <c r="O593" s="69"/>
      <c r="P593" s="69"/>
      <c r="Q593" s="69"/>
    </row>
    <row r="594" spans="1:17">
      <c r="C594" s="151"/>
      <c r="D594" s="151" t="s">
        <v>380</v>
      </c>
      <c r="E594" s="151"/>
      <c r="F594" s="152"/>
      <c r="G594" s="152"/>
      <c r="H594" s="152"/>
      <c r="I594" s="152"/>
      <c r="J594" s="151"/>
      <c r="K594" s="151"/>
      <c r="L594" s="151"/>
      <c r="M594" s="151"/>
      <c r="O594" s="69"/>
      <c r="P594" s="69"/>
      <c r="Q594" s="69"/>
    </row>
    <row r="595" spans="1:17">
      <c r="C595" s="151"/>
      <c r="D595" s="151" t="s">
        <v>379</v>
      </c>
      <c r="E595" s="151"/>
      <c r="F595" s="152"/>
      <c r="G595" s="152"/>
      <c r="H595" s="152"/>
      <c r="I595" s="152"/>
      <c r="J595" s="151"/>
      <c r="K595" s="151"/>
      <c r="L595" s="151"/>
      <c r="M595" s="151"/>
      <c r="O595" s="69"/>
      <c r="P595" s="69"/>
      <c r="Q595" s="69"/>
    </row>
    <row r="596" spans="1:17">
      <c r="C596" s="151"/>
      <c r="D596" s="151" t="s">
        <v>381</v>
      </c>
      <c r="E596" s="151"/>
      <c r="F596" s="152"/>
      <c r="G596" s="152"/>
      <c r="H596" s="152"/>
      <c r="I596" s="152"/>
      <c r="J596" s="151"/>
      <c r="K596" s="151"/>
      <c r="L596" s="151"/>
      <c r="M596" s="151"/>
      <c r="O596" s="69"/>
      <c r="P596" s="69"/>
      <c r="Q596" s="69"/>
    </row>
    <row r="597" spans="1:17">
      <c r="C597" s="151"/>
      <c r="D597" s="151" t="s">
        <v>382</v>
      </c>
      <c r="E597" s="151"/>
      <c r="F597" s="152"/>
      <c r="G597" s="152"/>
      <c r="H597" s="152"/>
      <c r="I597" s="152"/>
      <c r="J597" s="151"/>
      <c r="K597" s="151"/>
      <c r="L597" s="151"/>
      <c r="M597" s="151"/>
      <c r="O597" s="69"/>
      <c r="P597" s="69"/>
      <c r="Q597" s="69"/>
    </row>
    <row r="598" spans="1:17">
      <c r="B598" s="144" t="str">
        <f>'Autoproducers Calculations'!$C$250</f>
        <v>CHPAUTOGENWASTE00</v>
      </c>
      <c r="C598" s="151" t="s">
        <v>117</v>
      </c>
      <c r="D598" s="151"/>
      <c r="E598" s="151"/>
      <c r="F598" s="152">
        <v>31.536000000000001</v>
      </c>
      <c r="G598" s="152">
        <f>'Autoproducers Calculations'!Q$209</f>
        <v>0.1078999565059939</v>
      </c>
      <c r="H598" s="152">
        <f>'Autoproducers Calculations'!Q$207</f>
        <v>6.1158868799634423</v>
      </c>
      <c r="I598" s="152">
        <f>'Autoproducers Calculations'!Q$206</f>
        <v>0.34645302760666807</v>
      </c>
      <c r="J598" s="151">
        <v>20</v>
      </c>
      <c r="K598" s="151">
        <v>1</v>
      </c>
      <c r="L598" s="152">
        <f>'Autoproducers Calculations'!Q$253</f>
        <v>5.2590867578117331E-3</v>
      </c>
      <c r="M598" s="151">
        <v>0</v>
      </c>
      <c r="O598" s="69">
        <f t="shared" ref="O598" si="141">L598*F598*I598</f>
        <v>5.7459428640304192E-2</v>
      </c>
      <c r="P598" s="69">
        <f t="shared" ref="P598" si="142">O598*H598</f>
        <v>0.35141536575143206</v>
      </c>
      <c r="Q598" s="69">
        <f>O598/G598</f>
        <v>0.53252503986980093</v>
      </c>
    </row>
    <row r="599" spans="1:17">
      <c r="C599" s="151" t="s">
        <v>118</v>
      </c>
      <c r="D599" s="151"/>
      <c r="E599" s="151"/>
      <c r="F599" s="152"/>
      <c r="G599" s="152"/>
      <c r="H599" s="152"/>
      <c r="I599" s="152"/>
      <c r="J599" s="151"/>
      <c r="K599" s="151"/>
      <c r="L599" s="151"/>
      <c r="M599" s="151"/>
      <c r="O599" s="69"/>
      <c r="P599" s="69"/>
      <c r="Q599" s="69"/>
    </row>
    <row r="600" spans="1:17">
      <c r="C600" s="151"/>
      <c r="D600" s="151" t="s">
        <v>105</v>
      </c>
      <c r="E600" s="151"/>
      <c r="F600" s="152"/>
      <c r="G600" s="152"/>
      <c r="H600" s="152"/>
      <c r="I600" s="152"/>
      <c r="J600" s="151"/>
      <c r="K600" s="151"/>
      <c r="L600" s="151"/>
      <c r="M600" s="151"/>
      <c r="O600" s="719">
        <f>SUM(O558:O598)</f>
        <v>1.4722801141769746</v>
      </c>
      <c r="P600" s="719">
        <f>SUM(P558:P598)</f>
        <v>9.0042986339260374</v>
      </c>
      <c r="Q600" s="719">
        <f>SUM(Q558:Q598)</f>
        <v>13.644862906827848</v>
      </c>
    </row>
    <row r="601" spans="1:17">
      <c r="C601" s="151"/>
      <c r="D601" s="151" t="s">
        <v>106</v>
      </c>
      <c r="E601" s="151"/>
      <c r="F601" s="152"/>
      <c r="G601" s="152"/>
      <c r="H601" s="152"/>
      <c r="I601" s="152"/>
      <c r="J601" s="151"/>
      <c r="K601" s="151"/>
      <c r="L601" s="151"/>
      <c r="M601" s="151"/>
    </row>
    <row r="602" spans="1:17">
      <c r="C602" s="151"/>
      <c r="D602" s="151" t="s">
        <v>381</v>
      </c>
      <c r="E602" s="151"/>
      <c r="F602" s="152"/>
      <c r="G602" s="152"/>
      <c r="H602" s="152"/>
      <c r="I602" s="152"/>
      <c r="J602" s="151"/>
      <c r="K602" s="151"/>
      <c r="L602" s="151"/>
      <c r="M602" s="151"/>
    </row>
    <row r="603" spans="1:17">
      <c r="C603" s="151"/>
      <c r="D603" s="151" t="s">
        <v>382</v>
      </c>
      <c r="E603" s="151"/>
      <c r="F603" s="151"/>
      <c r="G603" s="151"/>
      <c r="H603" s="151"/>
      <c r="I603" s="151"/>
      <c r="J603" s="151"/>
      <c r="K603" s="151"/>
      <c r="L603" s="151"/>
      <c r="M603" s="151"/>
      <c r="O603" s="677" t="s">
        <v>390</v>
      </c>
      <c r="P603" s="677" t="s">
        <v>406</v>
      </c>
      <c r="Q603" s="677" t="s">
        <v>1304</v>
      </c>
    </row>
    <row r="604" spans="1:17">
      <c r="A604" s="64" t="s">
        <v>47</v>
      </c>
      <c r="B604" s="144" t="str">
        <f>'Autoproducers Calculations'!$C$205</f>
        <v>CHPAUTOGENSOLID00</v>
      </c>
      <c r="C604" s="151" t="s">
        <v>107</v>
      </c>
      <c r="D604" s="151"/>
      <c r="E604" s="151"/>
      <c r="F604" s="152">
        <v>31.536000000000001</v>
      </c>
      <c r="G604" s="152">
        <f>'Autoproducers Calculations'!R$209</f>
        <v>0.22348126963347045</v>
      </c>
      <c r="H604" s="152">
        <f>'Autoproducers Calculations'!R$207</f>
        <v>2.403987696684927</v>
      </c>
      <c r="I604" s="152">
        <f>'Autoproducers Calculations'!R$206</f>
        <v>0.56421070667718776</v>
      </c>
      <c r="J604" s="151">
        <v>20</v>
      </c>
      <c r="K604" s="151">
        <v>1</v>
      </c>
      <c r="L604" s="152">
        <f>'Autoproducers Calculations'!R$208</f>
        <v>2.2257055676040499E-2</v>
      </c>
      <c r="M604" s="151">
        <v>0</v>
      </c>
      <c r="O604" s="69">
        <f>L604*F604*I604</f>
        <v>0.39601865310128331</v>
      </c>
      <c r="P604" s="69">
        <f t="shared" ref="P604" si="143">O604*H604</f>
        <v>0.95202396971322123</v>
      </c>
      <c r="Q604" s="69">
        <f>O604/G604</f>
        <v>1.7720440453501531</v>
      </c>
    </row>
    <row r="605" spans="1:17">
      <c r="C605" s="151" t="s">
        <v>108</v>
      </c>
      <c r="D605" s="151"/>
      <c r="E605" s="152">
        <f>'Eurostat Resume'!S10/'Eurostat Resume'!S9</f>
        <v>0.35824742268041238</v>
      </c>
      <c r="F605" s="152"/>
      <c r="G605" s="152"/>
      <c r="H605" s="152"/>
      <c r="I605" s="152"/>
      <c r="J605" s="151"/>
      <c r="K605" s="151"/>
      <c r="L605" s="152"/>
      <c r="M605" s="151"/>
      <c r="O605" s="69"/>
      <c r="P605" s="69"/>
      <c r="Q605" s="69"/>
    </row>
    <row r="606" spans="1:17">
      <c r="C606" s="151"/>
      <c r="D606" s="151" t="s">
        <v>105</v>
      </c>
      <c r="E606" s="151"/>
      <c r="F606" s="152"/>
      <c r="G606" s="152"/>
      <c r="H606" s="152"/>
      <c r="I606" s="152"/>
      <c r="J606" s="151"/>
      <c r="K606" s="151"/>
      <c r="L606" s="152"/>
      <c r="M606" s="151"/>
      <c r="O606" s="69"/>
      <c r="P606" s="69"/>
      <c r="Q606" s="69"/>
    </row>
    <row r="607" spans="1:17">
      <c r="C607" s="151"/>
      <c r="D607" s="151" t="s">
        <v>106</v>
      </c>
      <c r="E607" s="151"/>
      <c r="F607" s="152"/>
      <c r="G607" s="152"/>
      <c r="H607" s="152"/>
      <c r="I607" s="152"/>
      <c r="J607" s="151"/>
      <c r="K607" s="151"/>
      <c r="L607" s="152"/>
      <c r="M607" s="151"/>
      <c r="O607" s="69"/>
      <c r="P607" s="69"/>
      <c r="Q607" s="69"/>
    </row>
    <row r="608" spans="1:17">
      <c r="C608" s="151"/>
      <c r="D608" s="151" t="s">
        <v>378</v>
      </c>
      <c r="E608" s="151"/>
      <c r="F608" s="152"/>
      <c r="G608" s="152"/>
      <c r="H608" s="152"/>
      <c r="I608" s="152"/>
      <c r="J608" s="151"/>
      <c r="K608" s="151"/>
      <c r="L608" s="152"/>
      <c r="M608" s="151"/>
      <c r="O608" s="69"/>
      <c r="P608" s="69"/>
      <c r="Q608" s="69"/>
    </row>
    <row r="609" spans="2:17">
      <c r="C609" s="151"/>
      <c r="D609" s="151" t="s">
        <v>380</v>
      </c>
      <c r="E609" s="151"/>
      <c r="F609" s="152"/>
      <c r="G609" s="152"/>
      <c r="H609" s="152"/>
      <c r="I609" s="152"/>
      <c r="J609" s="151"/>
      <c r="K609" s="151"/>
      <c r="L609" s="152"/>
      <c r="M609" s="151"/>
      <c r="O609" s="69"/>
      <c r="P609" s="69"/>
      <c r="Q609" s="69"/>
    </row>
    <row r="610" spans="2:17">
      <c r="C610" s="151"/>
      <c r="D610" s="151" t="s">
        <v>379</v>
      </c>
      <c r="E610" s="151"/>
      <c r="F610" s="152"/>
      <c r="G610" s="152"/>
      <c r="H610" s="152"/>
      <c r="I610" s="152"/>
      <c r="J610" s="151"/>
      <c r="K610" s="151"/>
      <c r="L610" s="152"/>
      <c r="M610" s="151"/>
      <c r="O610" s="69"/>
      <c r="P610" s="69"/>
      <c r="Q610" s="69"/>
    </row>
    <row r="611" spans="2:17">
      <c r="C611" s="151"/>
      <c r="D611" s="151" t="s">
        <v>381</v>
      </c>
      <c r="E611" s="151"/>
      <c r="F611" s="152"/>
      <c r="G611" s="152"/>
      <c r="H611" s="152"/>
      <c r="I611" s="152"/>
      <c r="J611" s="151"/>
      <c r="K611" s="151"/>
      <c r="L611" s="152"/>
      <c r="M611" s="151"/>
      <c r="O611" s="69"/>
      <c r="P611" s="69"/>
      <c r="Q611" s="69"/>
    </row>
    <row r="612" spans="2:17">
      <c r="C612" s="151"/>
      <c r="D612" s="151" t="s">
        <v>382</v>
      </c>
      <c r="E612" s="151"/>
      <c r="F612" s="152"/>
      <c r="G612" s="152"/>
      <c r="H612" s="152"/>
      <c r="I612" s="152"/>
      <c r="J612" s="151"/>
      <c r="K612" s="151"/>
      <c r="L612" s="152"/>
      <c r="M612" s="151"/>
      <c r="O612" s="69"/>
      <c r="P612" s="69"/>
      <c r="Q612" s="69"/>
    </row>
    <row r="613" spans="2:17">
      <c r="B613" s="144" t="str">
        <f>'Autoproducers Calculations'!$C$214</f>
        <v>CHPAUTOGENRFG00</v>
      </c>
      <c r="C613" s="151" t="s">
        <v>110</v>
      </c>
      <c r="D613" s="151"/>
      <c r="E613" s="151"/>
      <c r="F613" s="152">
        <v>31.536000000000001</v>
      </c>
      <c r="G613" s="152">
        <f>'Autoproducers Calculations'!R$209</f>
        <v>0.22348126963347045</v>
      </c>
      <c r="H613" s="152">
        <f>'Autoproducers Calculations'!R$207</f>
        <v>2.403987696684927</v>
      </c>
      <c r="I613" s="152">
        <f>'Autoproducers Calculations'!R$206</f>
        <v>0.56421070667718776</v>
      </c>
      <c r="J613" s="151">
        <v>20</v>
      </c>
      <c r="K613" s="151">
        <v>1</v>
      </c>
      <c r="L613" s="152">
        <f>'Autoproducers Calculations'!R$217</f>
        <v>0</v>
      </c>
      <c r="M613" s="151">
        <v>0</v>
      </c>
      <c r="O613" s="69">
        <f t="shared" ref="O613" si="144">L613*F613*I613</f>
        <v>0</v>
      </c>
      <c r="P613" s="69">
        <f t="shared" ref="P613" si="145">O613*H613</f>
        <v>0</v>
      </c>
      <c r="Q613" s="69">
        <f>O613/G613</f>
        <v>0</v>
      </c>
    </row>
    <row r="614" spans="2:17">
      <c r="C614" s="151"/>
      <c r="D614" s="151" t="s">
        <v>105</v>
      </c>
      <c r="E614" s="151"/>
      <c r="F614" s="152"/>
      <c r="G614" s="152"/>
      <c r="H614" s="152"/>
      <c r="I614" s="152"/>
      <c r="J614" s="151"/>
      <c r="K614" s="151"/>
      <c r="L614" s="152"/>
      <c r="M614" s="151"/>
      <c r="O614" s="69"/>
      <c r="P614" s="69"/>
      <c r="Q614" s="69"/>
    </row>
    <row r="615" spans="2:17">
      <c r="C615" s="151"/>
      <c r="D615" s="151" t="s">
        <v>106</v>
      </c>
      <c r="E615" s="151"/>
      <c r="F615" s="152"/>
      <c r="G615" s="152"/>
      <c r="H615" s="152"/>
      <c r="I615" s="152"/>
      <c r="J615" s="151"/>
      <c r="K615" s="151"/>
      <c r="L615" s="152"/>
      <c r="M615" s="151"/>
      <c r="O615" s="69"/>
      <c r="P615" s="69"/>
      <c r="Q615" s="69"/>
    </row>
    <row r="616" spans="2:17">
      <c r="C616" s="151"/>
      <c r="D616" s="151" t="s">
        <v>1342</v>
      </c>
      <c r="E616" s="151"/>
      <c r="F616" s="152"/>
      <c r="G616" s="152"/>
      <c r="H616" s="152"/>
      <c r="I616" s="152"/>
      <c r="J616" s="151"/>
      <c r="K616" s="151"/>
      <c r="L616" s="152"/>
      <c r="M616" s="151"/>
      <c r="O616" s="69"/>
      <c r="P616" s="69"/>
      <c r="Q616" s="69"/>
    </row>
    <row r="617" spans="2:17">
      <c r="C617" s="151"/>
      <c r="D617" s="151" t="s">
        <v>380</v>
      </c>
      <c r="E617" s="151"/>
      <c r="F617" s="152"/>
      <c r="G617" s="152"/>
      <c r="H617" s="152"/>
      <c r="I617" s="152"/>
      <c r="J617" s="151"/>
      <c r="K617" s="151"/>
      <c r="L617" s="152"/>
      <c r="M617" s="151"/>
      <c r="O617" s="69"/>
      <c r="P617" s="69"/>
      <c r="Q617" s="69"/>
    </row>
    <row r="618" spans="2:17">
      <c r="C618" s="151"/>
      <c r="D618" s="151" t="s">
        <v>379</v>
      </c>
      <c r="E618" s="151"/>
      <c r="F618" s="152"/>
      <c r="G618" s="152"/>
      <c r="H618" s="152"/>
      <c r="I618" s="152"/>
      <c r="J618" s="151"/>
      <c r="K618" s="151"/>
      <c r="L618" s="152"/>
      <c r="M618" s="151"/>
      <c r="O618" s="69"/>
      <c r="P618" s="69"/>
      <c r="Q618" s="69"/>
    </row>
    <row r="619" spans="2:17">
      <c r="B619" s="144" t="str">
        <f>'Autoproducers Calculations'!$C$223</f>
        <v>CHPAUTOGENOIL00</v>
      </c>
      <c r="C619" s="151" t="s">
        <v>111</v>
      </c>
      <c r="D619" s="151"/>
      <c r="E619" s="152">
        <f>'Eurostat Resume'!S13</f>
        <v>0</v>
      </c>
      <c r="F619" s="152">
        <v>31.536000000000001</v>
      </c>
      <c r="G619" s="152">
        <f>'Autoproducers Calculations'!R$209</f>
        <v>0.22348126963347045</v>
      </c>
      <c r="H619" s="152">
        <f>'Autoproducers Calculations'!R$207</f>
        <v>2.403987696684927</v>
      </c>
      <c r="I619" s="152">
        <f>'Autoproducers Calculations'!R$206</f>
        <v>0.56421070667718776</v>
      </c>
      <c r="J619" s="151">
        <v>20</v>
      </c>
      <c r="K619" s="151">
        <v>1</v>
      </c>
      <c r="L619" s="152">
        <f>'Autoproducers Calculations'!R$226</f>
        <v>0</v>
      </c>
      <c r="M619" s="151">
        <v>0</v>
      </c>
      <c r="O619" s="69">
        <f t="shared" ref="O619" si="146">L619*F619*I619</f>
        <v>0</v>
      </c>
      <c r="P619" s="69">
        <f t="shared" ref="P619" si="147">O619*H619</f>
        <v>0</v>
      </c>
      <c r="Q619" s="69">
        <f>O619/G619</f>
        <v>0</v>
      </c>
    </row>
    <row r="620" spans="2:17">
      <c r="C620" s="151" t="s">
        <v>112</v>
      </c>
      <c r="D620" s="151"/>
      <c r="E620" s="151"/>
      <c r="F620" s="152"/>
      <c r="G620" s="152"/>
      <c r="H620" s="152"/>
      <c r="I620" s="152"/>
      <c r="J620" s="151"/>
      <c r="K620" s="151"/>
      <c r="L620" s="152"/>
      <c r="M620" s="151"/>
      <c r="O620" s="69"/>
      <c r="P620" s="69"/>
      <c r="Q620" s="69"/>
    </row>
    <row r="621" spans="2:17">
      <c r="C621" s="151"/>
      <c r="D621" s="151" t="s">
        <v>105</v>
      </c>
      <c r="E621" s="151"/>
      <c r="F621" s="152"/>
      <c r="G621" s="152"/>
      <c r="H621" s="152"/>
      <c r="I621" s="152"/>
      <c r="J621" s="151"/>
      <c r="K621" s="151"/>
      <c r="L621" s="152"/>
      <c r="M621" s="151"/>
      <c r="O621" s="69"/>
      <c r="P621" s="69"/>
      <c r="Q621" s="69"/>
    </row>
    <row r="622" spans="2:17">
      <c r="C622" s="151"/>
      <c r="D622" s="151" t="s">
        <v>106</v>
      </c>
      <c r="E622" s="151"/>
      <c r="F622" s="152"/>
      <c r="G622" s="152"/>
      <c r="H622" s="152"/>
      <c r="I622" s="152"/>
      <c r="J622" s="151"/>
      <c r="K622" s="151"/>
      <c r="L622" s="152"/>
      <c r="M622" s="151"/>
      <c r="O622" s="69"/>
      <c r="P622" s="69"/>
      <c r="Q622" s="69"/>
    </row>
    <row r="623" spans="2:17">
      <c r="C623" s="151"/>
      <c r="D623" s="151" t="s">
        <v>380</v>
      </c>
      <c r="E623" s="151"/>
      <c r="F623" s="152"/>
      <c r="G623" s="152"/>
      <c r="H623" s="152"/>
      <c r="I623" s="152"/>
      <c r="J623" s="151"/>
      <c r="K623" s="151"/>
      <c r="L623" s="152"/>
      <c r="M623" s="151"/>
      <c r="O623" s="69"/>
      <c r="P623" s="69"/>
      <c r="Q623" s="69"/>
    </row>
    <row r="624" spans="2:17">
      <c r="C624" s="151"/>
      <c r="D624" s="151" t="s">
        <v>379</v>
      </c>
      <c r="E624" s="151"/>
      <c r="F624" s="152"/>
      <c r="G624" s="152"/>
      <c r="H624" s="152"/>
      <c r="I624" s="152"/>
      <c r="J624" s="151"/>
      <c r="K624" s="151"/>
      <c r="L624" s="152"/>
      <c r="M624" s="151"/>
      <c r="O624" s="69"/>
      <c r="P624" s="69"/>
      <c r="Q624" s="69"/>
    </row>
    <row r="625" spans="2:17">
      <c r="C625" s="151"/>
      <c r="D625" s="151" t="s">
        <v>1342</v>
      </c>
      <c r="E625" s="151"/>
      <c r="F625" s="152"/>
      <c r="G625" s="152"/>
      <c r="H625" s="152"/>
      <c r="I625" s="152"/>
      <c r="J625" s="151"/>
      <c r="K625" s="151"/>
      <c r="L625" s="152"/>
      <c r="M625" s="151"/>
      <c r="O625" s="69"/>
      <c r="P625" s="69"/>
      <c r="Q625" s="69"/>
    </row>
    <row r="626" spans="2:17">
      <c r="C626" s="151"/>
      <c r="D626" s="151" t="s">
        <v>382</v>
      </c>
      <c r="E626" s="151"/>
      <c r="F626" s="152"/>
      <c r="G626" s="152"/>
      <c r="H626" s="152"/>
      <c r="I626" s="152"/>
      <c r="J626" s="151"/>
      <c r="K626" s="151"/>
      <c r="L626" s="152"/>
      <c r="M626" s="151"/>
      <c r="O626" s="69"/>
      <c r="P626" s="69"/>
      <c r="Q626" s="69"/>
    </row>
    <row r="627" spans="2:17">
      <c r="B627" s="144" t="str">
        <f>'Autoproducers Calculations'!$C$232</f>
        <v>CHPAUTOGENGAS00</v>
      </c>
      <c r="C627" s="151" t="s">
        <v>113</v>
      </c>
      <c r="D627" s="151"/>
      <c r="E627" s="151"/>
      <c r="F627" s="152">
        <v>31.536000000000001</v>
      </c>
      <c r="G627" s="152">
        <f>'Autoproducers Calculations'!R$209</f>
        <v>0.22348126963347045</v>
      </c>
      <c r="H627" s="152">
        <f>'Autoproducers Calculations'!R$207</f>
        <v>2.403987696684927</v>
      </c>
      <c r="I627" s="152">
        <f>'Autoproducers Calculations'!R$206</f>
        <v>0.56421070667718776</v>
      </c>
      <c r="J627" s="151">
        <v>20</v>
      </c>
      <c r="K627" s="151">
        <v>1</v>
      </c>
      <c r="L627" s="152">
        <f>'Autoproducers Calculations'!R$235</f>
        <v>0.10230788350056244</v>
      </c>
      <c r="M627" s="151">
        <v>0</v>
      </c>
      <c r="O627" s="69">
        <f t="shared" ref="O627" si="148">L627*F627*I627</f>
        <v>1.8203589376446878</v>
      </c>
      <c r="P627" s="69">
        <f t="shared" ref="P627" si="149">O627*H627</f>
        <v>4.3761204896482733</v>
      </c>
      <c r="Q627" s="69">
        <f>O627/G627</f>
        <v>8.1454653476340173</v>
      </c>
    </row>
    <row r="628" spans="2:17">
      <c r="C628" s="151"/>
      <c r="D628" s="151" t="s">
        <v>105</v>
      </c>
      <c r="E628" s="151"/>
      <c r="F628" s="152"/>
      <c r="G628" s="152"/>
      <c r="H628" s="152"/>
      <c r="I628" s="152"/>
      <c r="J628" s="151"/>
      <c r="K628" s="151"/>
      <c r="L628" s="152"/>
      <c r="M628" s="151"/>
      <c r="O628" s="69"/>
      <c r="P628" s="69"/>
      <c r="Q628" s="69"/>
    </row>
    <row r="629" spans="2:17">
      <c r="C629" s="151"/>
      <c r="D629" s="151" t="s">
        <v>106</v>
      </c>
      <c r="E629" s="151"/>
      <c r="F629" s="152"/>
      <c r="G629" s="152"/>
      <c r="H629" s="152"/>
      <c r="I629" s="152"/>
      <c r="J629" s="151"/>
      <c r="K629" s="151"/>
      <c r="L629" s="152"/>
      <c r="M629" s="151"/>
      <c r="O629" s="69"/>
      <c r="P629" s="69"/>
      <c r="Q629" s="69"/>
    </row>
    <row r="630" spans="2:17">
      <c r="C630" s="151"/>
      <c r="D630" s="151" t="s">
        <v>1342</v>
      </c>
      <c r="E630" s="151"/>
      <c r="F630" s="152"/>
      <c r="G630" s="152"/>
      <c r="H630" s="152"/>
      <c r="I630" s="152"/>
      <c r="J630" s="151"/>
      <c r="K630" s="151"/>
      <c r="L630" s="152"/>
      <c r="M630" s="151"/>
      <c r="O630" s="69"/>
      <c r="P630" s="69"/>
      <c r="Q630" s="69"/>
    </row>
    <row r="631" spans="2:17">
      <c r="C631" s="151"/>
      <c r="D631" s="151" t="s">
        <v>378</v>
      </c>
      <c r="E631" s="151"/>
      <c r="F631" s="152"/>
      <c r="G631" s="152"/>
      <c r="H631" s="152"/>
      <c r="I631" s="152"/>
      <c r="J631" s="151"/>
      <c r="K631" s="151"/>
      <c r="L631" s="152"/>
      <c r="M631" s="151"/>
      <c r="O631" s="69"/>
      <c r="P631" s="69"/>
      <c r="Q631" s="69"/>
    </row>
    <row r="632" spans="2:17">
      <c r="C632" s="151"/>
      <c r="D632" s="151" t="s">
        <v>421</v>
      </c>
      <c r="E632" s="151"/>
      <c r="F632" s="152"/>
      <c r="G632" s="152"/>
      <c r="H632" s="152"/>
      <c r="I632" s="152"/>
      <c r="J632" s="151"/>
      <c r="K632" s="151"/>
      <c r="L632" s="152"/>
      <c r="M632" s="151"/>
      <c r="O632" s="69"/>
      <c r="P632" s="69"/>
      <c r="Q632" s="69"/>
    </row>
    <row r="633" spans="2:17">
      <c r="C633" s="151"/>
      <c r="D633" s="151" t="s">
        <v>380</v>
      </c>
      <c r="E633" s="151"/>
      <c r="F633" s="152"/>
      <c r="G633" s="152"/>
      <c r="H633" s="152"/>
      <c r="I633" s="152"/>
      <c r="J633" s="151"/>
      <c r="K633" s="151"/>
      <c r="L633" s="152"/>
      <c r="M633" s="151"/>
      <c r="O633" s="69"/>
      <c r="P633" s="69"/>
      <c r="Q633" s="69"/>
    </row>
    <row r="634" spans="2:17">
      <c r="C634" s="151"/>
      <c r="D634" s="151" t="s">
        <v>379</v>
      </c>
      <c r="E634" s="151"/>
      <c r="F634" s="152"/>
      <c r="G634" s="152"/>
      <c r="H634" s="152"/>
      <c r="I634" s="152"/>
      <c r="J634" s="151"/>
      <c r="K634" s="151"/>
      <c r="L634" s="152"/>
      <c r="M634" s="151"/>
      <c r="O634" s="69"/>
      <c r="P634" s="69"/>
      <c r="Q634" s="69"/>
    </row>
    <row r="635" spans="2:17">
      <c r="C635" s="151"/>
      <c r="D635" s="151" t="s">
        <v>381</v>
      </c>
      <c r="E635" s="151"/>
      <c r="F635" s="152"/>
      <c r="G635" s="152"/>
      <c r="H635" s="152"/>
      <c r="I635" s="152"/>
      <c r="J635" s="151"/>
      <c r="K635" s="151"/>
      <c r="L635" s="152"/>
      <c r="M635" s="151"/>
      <c r="O635" s="69"/>
      <c r="P635" s="69"/>
      <c r="Q635" s="69"/>
    </row>
    <row r="636" spans="2:17">
      <c r="C636" s="151"/>
      <c r="D636" s="151" t="s">
        <v>382</v>
      </c>
      <c r="E636" s="151"/>
      <c r="F636" s="152"/>
      <c r="G636" s="152"/>
      <c r="H636" s="152"/>
      <c r="I636" s="152"/>
      <c r="J636" s="151"/>
      <c r="K636" s="151"/>
      <c r="L636" s="152"/>
      <c r="M636" s="151"/>
      <c r="O636" s="69"/>
      <c r="P636" s="69"/>
      <c r="Q636" s="69"/>
    </row>
    <row r="637" spans="2:17">
      <c r="B637" s="144" t="str">
        <f>'Autoproducers Calculations'!$C$241</f>
        <v>CHPAUTOGENBIO00</v>
      </c>
      <c r="C637" s="151" t="s">
        <v>116</v>
      </c>
      <c r="D637" s="151"/>
      <c r="E637" s="151"/>
      <c r="F637" s="152">
        <v>31.536000000000001</v>
      </c>
      <c r="G637" s="152">
        <f>'Autoproducers Calculations'!R$209</f>
        <v>0.22348126963347045</v>
      </c>
      <c r="H637" s="152">
        <f>'Autoproducers Calculations'!R$207</f>
        <v>2.403987696684927</v>
      </c>
      <c r="I637" s="152">
        <f>'Autoproducers Calculations'!R$206</f>
        <v>0.56421070667718776</v>
      </c>
      <c r="J637" s="151">
        <v>20</v>
      </c>
      <c r="K637" s="151">
        <v>1</v>
      </c>
      <c r="L637" s="152">
        <f>'Autoproducers Calculations'!R$244</f>
        <v>2.9255408233970753E-3</v>
      </c>
      <c r="M637" s="151">
        <v>0</v>
      </c>
      <c r="O637" s="69">
        <f t="shared" ref="O637" si="150">L637*F637*I637</f>
        <v>5.2053998216921256E-2</v>
      </c>
      <c r="P637" s="69">
        <f t="shared" ref="P637" si="151">O637*H637</f>
        <v>0.12513717127673782</v>
      </c>
      <c r="Q637" s="69">
        <f>O637/G637</f>
        <v>0.23292331523932422</v>
      </c>
    </row>
    <row r="638" spans="2:17">
      <c r="C638" s="151"/>
      <c r="D638" s="151" t="s">
        <v>105</v>
      </c>
      <c r="E638" s="151"/>
      <c r="F638" s="152"/>
      <c r="G638" s="152"/>
      <c r="H638" s="152"/>
      <c r="I638" s="152"/>
      <c r="J638" s="151"/>
      <c r="K638" s="151"/>
      <c r="L638" s="152"/>
      <c r="M638" s="151"/>
      <c r="O638" s="69"/>
      <c r="P638" s="69"/>
      <c r="Q638" s="69"/>
    </row>
    <row r="639" spans="2:17">
      <c r="C639" s="151"/>
      <c r="D639" s="151" t="s">
        <v>106</v>
      </c>
      <c r="E639" s="151"/>
      <c r="F639" s="152"/>
      <c r="G639" s="152"/>
      <c r="H639" s="152"/>
      <c r="I639" s="152"/>
      <c r="J639" s="151"/>
      <c r="K639" s="151"/>
      <c r="L639" s="152"/>
      <c r="M639" s="151"/>
      <c r="O639" s="69"/>
      <c r="P639" s="69"/>
      <c r="Q639" s="69"/>
    </row>
    <row r="640" spans="2:17">
      <c r="C640" s="151"/>
      <c r="D640" s="151" t="s">
        <v>380</v>
      </c>
      <c r="E640" s="151"/>
      <c r="F640" s="152"/>
      <c r="G640" s="152"/>
      <c r="H640" s="152"/>
      <c r="I640" s="152"/>
      <c r="J640" s="151"/>
      <c r="K640" s="151"/>
      <c r="L640" s="151"/>
      <c r="M640" s="151"/>
      <c r="O640" s="69"/>
      <c r="P640" s="69"/>
      <c r="Q640" s="69"/>
    </row>
    <row r="641" spans="1:17">
      <c r="C641" s="151"/>
      <c r="D641" s="151" t="s">
        <v>379</v>
      </c>
      <c r="E641" s="151"/>
      <c r="F641" s="152"/>
      <c r="G641" s="152"/>
      <c r="H641" s="152"/>
      <c r="I641" s="152"/>
      <c r="J641" s="151"/>
      <c r="K641" s="151"/>
      <c r="L641" s="151"/>
      <c r="M641" s="151"/>
      <c r="O641" s="69"/>
      <c r="P641" s="69"/>
      <c r="Q641" s="69"/>
    </row>
    <row r="642" spans="1:17">
      <c r="C642" s="151"/>
      <c r="D642" s="151" t="s">
        <v>381</v>
      </c>
      <c r="E642" s="151"/>
      <c r="F642" s="152"/>
      <c r="G642" s="152"/>
      <c r="H642" s="152"/>
      <c r="I642" s="152"/>
      <c r="J642" s="151"/>
      <c r="K642" s="151"/>
      <c r="L642" s="151"/>
      <c r="M642" s="151"/>
      <c r="O642" s="69"/>
      <c r="P642" s="69"/>
      <c r="Q642" s="69"/>
    </row>
    <row r="643" spans="1:17">
      <c r="C643" s="151"/>
      <c r="D643" s="151" t="s">
        <v>382</v>
      </c>
      <c r="E643" s="151"/>
      <c r="F643" s="152"/>
      <c r="G643" s="152"/>
      <c r="H643" s="152"/>
      <c r="I643" s="152"/>
      <c r="J643" s="151"/>
      <c r="K643" s="151"/>
      <c r="L643" s="151"/>
      <c r="M643" s="151"/>
      <c r="O643" s="69"/>
      <c r="P643" s="69"/>
      <c r="Q643" s="69"/>
    </row>
    <row r="644" spans="1:17">
      <c r="B644" s="144" t="str">
        <f>'Autoproducers Calculations'!$C$250</f>
        <v>CHPAUTOGENWASTE00</v>
      </c>
      <c r="C644" s="151" t="s">
        <v>117</v>
      </c>
      <c r="D644" s="151"/>
      <c r="E644" s="151"/>
      <c r="F644" s="152">
        <v>31.536000000000001</v>
      </c>
      <c r="G644" s="152">
        <f>'Autoproducers Calculations'!R$209</f>
        <v>0.22348126963347045</v>
      </c>
      <c r="H644" s="152">
        <f>'Autoproducers Calculations'!R$207</f>
        <v>2.403987696684927</v>
      </c>
      <c r="I644" s="152">
        <f>'Autoproducers Calculations'!R$206</f>
        <v>0.56421070667718776</v>
      </c>
      <c r="J644" s="151">
        <v>20</v>
      </c>
      <c r="K644" s="151">
        <v>1</v>
      </c>
      <c r="L644" s="152">
        <f>'Autoproducers Calculations'!R$253</f>
        <v>0</v>
      </c>
      <c r="M644" s="151">
        <v>0</v>
      </c>
      <c r="O644" s="69">
        <f t="shared" ref="O644" si="152">L644*F644*I644</f>
        <v>0</v>
      </c>
      <c r="P644" s="69">
        <f t="shared" ref="P644" si="153">O644*H644</f>
        <v>0</v>
      </c>
      <c r="Q644" s="69">
        <f>O644/G644</f>
        <v>0</v>
      </c>
    </row>
    <row r="645" spans="1:17">
      <c r="C645" s="151" t="s">
        <v>118</v>
      </c>
      <c r="D645" s="151"/>
      <c r="E645" s="151"/>
      <c r="F645" s="152"/>
      <c r="G645" s="152"/>
      <c r="H645" s="152"/>
      <c r="I645" s="152"/>
      <c r="J645" s="151"/>
      <c r="K645" s="151"/>
      <c r="L645" s="151"/>
      <c r="M645" s="151"/>
      <c r="O645" s="69"/>
      <c r="P645" s="69"/>
      <c r="Q645" s="69"/>
    </row>
    <row r="646" spans="1:17">
      <c r="C646" s="151"/>
      <c r="D646" s="151" t="s">
        <v>105</v>
      </c>
      <c r="E646" s="151"/>
      <c r="F646" s="152"/>
      <c r="G646" s="152"/>
      <c r="H646" s="152"/>
      <c r="I646" s="152"/>
      <c r="J646" s="151"/>
      <c r="K646" s="151"/>
      <c r="L646" s="151"/>
      <c r="M646" s="151"/>
      <c r="O646" s="719">
        <f>SUM(O604:O644)</f>
        <v>2.2684315889628928</v>
      </c>
      <c r="P646" s="719">
        <f>SUM(P604:P644)</f>
        <v>5.4532816306382328</v>
      </c>
      <c r="Q646" s="719">
        <f>SUM(Q604:Q644)</f>
        <v>10.150432708223494</v>
      </c>
    </row>
    <row r="647" spans="1:17">
      <c r="C647" s="151"/>
      <c r="D647" s="151" t="s">
        <v>106</v>
      </c>
      <c r="E647" s="151"/>
      <c r="F647" s="152"/>
      <c r="G647" s="152"/>
      <c r="H647" s="152"/>
      <c r="I647" s="152"/>
      <c r="J647" s="151"/>
      <c r="K647" s="151"/>
      <c r="L647" s="151"/>
      <c r="M647" s="151"/>
    </row>
    <row r="648" spans="1:17">
      <c r="C648" s="151"/>
      <c r="D648" s="151" t="s">
        <v>381</v>
      </c>
      <c r="E648" s="151"/>
      <c r="F648" s="152"/>
      <c r="G648" s="152"/>
      <c r="H648" s="152"/>
      <c r="I648" s="152"/>
      <c r="J648" s="151"/>
      <c r="K648" s="151"/>
      <c r="L648" s="151"/>
      <c r="M648" s="151"/>
    </row>
    <row r="649" spans="1:17">
      <c r="C649" s="151"/>
      <c r="D649" s="151" t="s">
        <v>382</v>
      </c>
      <c r="E649" s="151"/>
      <c r="F649" s="151"/>
      <c r="G649" s="151"/>
      <c r="H649" s="151"/>
      <c r="I649" s="151"/>
      <c r="J649" s="151"/>
      <c r="K649" s="151"/>
      <c r="L649" s="151"/>
      <c r="M649" s="151"/>
      <c r="O649" s="677" t="s">
        <v>390</v>
      </c>
      <c r="P649" s="677" t="s">
        <v>406</v>
      </c>
      <c r="Q649" s="677" t="s">
        <v>1304</v>
      </c>
    </row>
    <row r="650" spans="1:17">
      <c r="A650" s="64" t="s">
        <v>48</v>
      </c>
      <c r="B650" s="144" t="str">
        <f>'Autoproducers Calculations'!$C$205</f>
        <v>CHPAUTOGENSOLID00</v>
      </c>
      <c r="C650" s="151" t="s">
        <v>107</v>
      </c>
      <c r="D650" s="151"/>
      <c r="E650" s="151"/>
      <c r="F650" s="152">
        <v>31.536000000000001</v>
      </c>
      <c r="G650" s="152">
        <f>'Autoproducers Calculations'!S$209</f>
        <v>0.23161772077635151</v>
      </c>
      <c r="H650" s="152">
        <f>'Autoproducers Calculations'!S$207</f>
        <v>2.1465856114092969</v>
      </c>
      <c r="I650" s="152">
        <f>'Autoproducers Calculations'!S$206</f>
        <v>0.71469206074653024</v>
      </c>
      <c r="J650" s="151">
        <v>20</v>
      </c>
      <c r="K650" s="151">
        <v>1</v>
      </c>
      <c r="L650" s="152">
        <f>'Autoproducers Calculations'!S$208</f>
        <v>2.9670708401215523E-2</v>
      </c>
      <c r="M650" s="151">
        <v>0</v>
      </c>
      <c r="O650" s="69">
        <f>L650*F650*I650</f>
        <v>0.66873411663915316</v>
      </c>
      <c r="P650" s="69">
        <f t="shared" ref="P650" si="154">O650*H650</f>
        <v>1.4354950326361127</v>
      </c>
      <c r="Q650" s="69">
        <f>O650/G650</f>
        <v>2.887232092594842</v>
      </c>
    </row>
    <row r="651" spans="1:17">
      <c r="C651" s="151" t="s">
        <v>108</v>
      </c>
      <c r="D651" s="151"/>
      <c r="E651" s="151">
        <f>'Eurostat Resume'!T10/'Eurostat Resume'!T9</f>
        <v>1</v>
      </c>
      <c r="F651" s="152"/>
      <c r="G651" s="152"/>
      <c r="H651" s="152"/>
      <c r="I651" s="152"/>
      <c r="J651" s="151"/>
      <c r="K651" s="151"/>
      <c r="L651" s="152"/>
      <c r="M651" s="151"/>
      <c r="O651" s="69"/>
      <c r="P651" s="69"/>
      <c r="Q651" s="69"/>
    </row>
    <row r="652" spans="1:17">
      <c r="C652" s="151"/>
      <c r="D652" s="151" t="s">
        <v>105</v>
      </c>
      <c r="E652" s="151"/>
      <c r="F652" s="152"/>
      <c r="G652" s="152"/>
      <c r="H652" s="152"/>
      <c r="I652" s="152"/>
      <c r="J652" s="151"/>
      <c r="K652" s="151"/>
      <c r="L652" s="152"/>
      <c r="M652" s="151"/>
      <c r="O652" s="69"/>
      <c r="P652" s="69"/>
      <c r="Q652" s="69"/>
    </row>
    <row r="653" spans="1:17">
      <c r="C653" s="151"/>
      <c r="D653" s="151" t="s">
        <v>106</v>
      </c>
      <c r="E653" s="151"/>
      <c r="F653" s="152"/>
      <c r="G653" s="152"/>
      <c r="H653" s="152"/>
      <c r="I653" s="152"/>
      <c r="J653" s="151"/>
      <c r="K653" s="151"/>
      <c r="L653" s="152"/>
      <c r="M653" s="151"/>
      <c r="O653" s="69"/>
      <c r="P653" s="69"/>
      <c r="Q653" s="69"/>
    </row>
    <row r="654" spans="1:17">
      <c r="C654" s="151"/>
      <c r="D654" s="151" t="s">
        <v>378</v>
      </c>
      <c r="E654" s="151"/>
      <c r="F654" s="152"/>
      <c r="G654" s="152"/>
      <c r="H654" s="152"/>
      <c r="I654" s="152"/>
      <c r="J654" s="151"/>
      <c r="K654" s="151"/>
      <c r="L654" s="152"/>
      <c r="M654" s="151"/>
      <c r="O654" s="69"/>
      <c r="P654" s="69"/>
      <c r="Q654" s="69"/>
    </row>
    <row r="655" spans="1:17">
      <c r="C655" s="151"/>
      <c r="D655" s="151" t="s">
        <v>380</v>
      </c>
      <c r="E655" s="151"/>
      <c r="F655" s="152"/>
      <c r="G655" s="152"/>
      <c r="H655" s="152"/>
      <c r="I655" s="152"/>
      <c r="J655" s="151"/>
      <c r="K655" s="151"/>
      <c r="L655" s="152"/>
      <c r="M655" s="151"/>
      <c r="O655" s="69"/>
      <c r="P655" s="69"/>
      <c r="Q655" s="69"/>
    </row>
    <row r="656" spans="1:17">
      <c r="C656" s="151"/>
      <c r="D656" s="151" t="s">
        <v>379</v>
      </c>
      <c r="E656" s="151"/>
      <c r="F656" s="152"/>
      <c r="G656" s="152"/>
      <c r="H656" s="152"/>
      <c r="I656" s="152"/>
      <c r="J656" s="151"/>
      <c r="K656" s="151"/>
      <c r="L656" s="152"/>
      <c r="M656" s="151"/>
      <c r="O656" s="69"/>
      <c r="P656" s="69"/>
      <c r="Q656" s="69"/>
    </row>
    <row r="657" spans="2:17">
      <c r="C657" s="151"/>
      <c r="D657" s="151" t="s">
        <v>381</v>
      </c>
      <c r="E657" s="151"/>
      <c r="F657" s="152"/>
      <c r="G657" s="152"/>
      <c r="H657" s="152"/>
      <c r="I657" s="152"/>
      <c r="J657" s="151"/>
      <c r="K657" s="151"/>
      <c r="L657" s="152"/>
      <c r="M657" s="151"/>
      <c r="O657" s="69"/>
      <c r="P657" s="69"/>
      <c r="Q657" s="69"/>
    </row>
    <row r="658" spans="2:17">
      <c r="C658" s="151"/>
      <c r="D658" s="151" t="s">
        <v>382</v>
      </c>
      <c r="E658" s="151"/>
      <c r="F658" s="152"/>
      <c r="G658" s="152"/>
      <c r="H658" s="152"/>
      <c r="I658" s="152"/>
      <c r="J658" s="151"/>
      <c r="K658" s="151"/>
      <c r="L658" s="152"/>
      <c r="M658" s="151"/>
      <c r="O658" s="69"/>
      <c r="P658" s="69"/>
      <c r="Q658" s="69"/>
    </row>
    <row r="659" spans="2:17">
      <c r="B659" s="144" t="str">
        <f>'Autoproducers Calculations'!$C$214</f>
        <v>CHPAUTOGENRFG00</v>
      </c>
      <c r="C659" s="151" t="s">
        <v>110</v>
      </c>
      <c r="D659" s="151"/>
      <c r="E659" s="151"/>
      <c r="F659" s="152">
        <v>31.536000000000001</v>
      </c>
      <c r="G659" s="152">
        <f>'Autoproducers Calculations'!S$209</f>
        <v>0.23161772077635151</v>
      </c>
      <c r="H659" s="152">
        <f>'Autoproducers Calculations'!S$207</f>
        <v>2.1465856114092969</v>
      </c>
      <c r="I659" s="152">
        <f>'Autoproducers Calculations'!S$206</f>
        <v>0.71469206074653024</v>
      </c>
      <c r="J659" s="151">
        <v>20</v>
      </c>
      <c r="K659" s="151">
        <v>1</v>
      </c>
      <c r="L659" s="152">
        <f>'Autoproducers Calculations'!S$217</f>
        <v>0.31020645152344961</v>
      </c>
      <c r="M659" s="151">
        <v>0</v>
      </c>
      <c r="O659" s="69">
        <f t="shared" ref="O659" si="155">L659*F659*I659</f>
        <v>6.9915970502005917</v>
      </c>
      <c r="P659" s="69">
        <f t="shared" ref="P659" si="156">O659*H659</f>
        <v>15.008061628732275</v>
      </c>
      <c r="Q659" s="69">
        <f>O659/G659</f>
        <v>30.185933212561185</v>
      </c>
    </row>
    <row r="660" spans="2:17">
      <c r="C660" s="151"/>
      <c r="D660" s="151" t="s">
        <v>105</v>
      </c>
      <c r="E660" s="151"/>
      <c r="F660" s="152"/>
      <c r="G660" s="152"/>
      <c r="H660" s="152"/>
      <c r="I660" s="152"/>
      <c r="J660" s="151"/>
      <c r="K660" s="151"/>
      <c r="L660" s="152"/>
      <c r="M660" s="151"/>
      <c r="O660" s="69"/>
      <c r="P660" s="69"/>
      <c r="Q660" s="69"/>
    </row>
    <row r="661" spans="2:17">
      <c r="C661" s="151"/>
      <c r="D661" s="151" t="s">
        <v>106</v>
      </c>
      <c r="E661" s="151"/>
      <c r="F661" s="152"/>
      <c r="G661" s="152"/>
      <c r="H661" s="152"/>
      <c r="I661" s="152"/>
      <c r="J661" s="151"/>
      <c r="K661" s="151"/>
      <c r="L661" s="152"/>
      <c r="M661" s="151"/>
      <c r="O661" s="69"/>
      <c r="P661" s="69"/>
      <c r="Q661" s="69"/>
    </row>
    <row r="662" spans="2:17">
      <c r="C662" s="151"/>
      <c r="D662" s="151" t="s">
        <v>1342</v>
      </c>
      <c r="E662" s="151"/>
      <c r="F662" s="152"/>
      <c r="G662" s="152"/>
      <c r="H662" s="152"/>
      <c r="I662" s="152"/>
      <c r="J662" s="151"/>
      <c r="K662" s="151"/>
      <c r="L662" s="152"/>
      <c r="M662" s="151"/>
      <c r="O662" s="69"/>
      <c r="P662" s="69"/>
      <c r="Q662" s="69"/>
    </row>
    <row r="663" spans="2:17">
      <c r="C663" s="151"/>
      <c r="D663" s="151" t="s">
        <v>380</v>
      </c>
      <c r="E663" s="151"/>
      <c r="F663" s="152"/>
      <c r="G663" s="152"/>
      <c r="H663" s="152"/>
      <c r="I663" s="152"/>
      <c r="J663" s="151"/>
      <c r="K663" s="151"/>
      <c r="L663" s="152"/>
      <c r="M663" s="151"/>
      <c r="O663" s="69"/>
      <c r="P663" s="69"/>
      <c r="Q663" s="69"/>
    </row>
    <row r="664" spans="2:17">
      <c r="C664" s="151"/>
      <c r="D664" s="151" t="s">
        <v>379</v>
      </c>
      <c r="E664" s="151"/>
      <c r="F664" s="152"/>
      <c r="G664" s="152"/>
      <c r="H664" s="152"/>
      <c r="I664" s="152"/>
      <c r="J664" s="151"/>
      <c r="K664" s="151"/>
      <c r="L664" s="152"/>
      <c r="M664" s="151"/>
      <c r="O664" s="69"/>
      <c r="P664" s="69"/>
      <c r="Q664" s="69"/>
    </row>
    <row r="665" spans="2:17">
      <c r="B665" s="144" t="str">
        <f>'Autoproducers Calculations'!$C$223</f>
        <v>CHPAUTOGENOIL00</v>
      </c>
      <c r="C665" s="151" t="s">
        <v>111</v>
      </c>
      <c r="D665" s="151"/>
      <c r="E665" s="152">
        <f>'Eurostat Resume'!T13/'Eurostat Resume'!T11</f>
        <v>0.45987176652664158</v>
      </c>
      <c r="F665" s="152">
        <v>31.536000000000001</v>
      </c>
      <c r="G665" s="152">
        <f>'Autoproducers Calculations'!S$209</f>
        <v>0.23161772077635151</v>
      </c>
      <c r="H665" s="152">
        <f>'Autoproducers Calculations'!S$207</f>
        <v>2.1465856114092969</v>
      </c>
      <c r="I665" s="152">
        <f>'Autoproducers Calculations'!S$206</f>
        <v>0.71469206074653024</v>
      </c>
      <c r="J665" s="151">
        <v>20</v>
      </c>
      <c r="K665" s="151">
        <v>1</v>
      </c>
      <c r="L665" s="152">
        <f>'Autoproducers Calculations'!S$226</f>
        <v>0.90318065605971309</v>
      </c>
      <c r="M665" s="151">
        <v>0</v>
      </c>
      <c r="O665" s="69">
        <f t="shared" ref="O665" si="157">L665*F665*I665</f>
        <v>20.356363253225172</v>
      </c>
      <c r="P665" s="69">
        <f t="shared" ref="P665" si="158">O665*H665</f>
        <v>43.696676459994102</v>
      </c>
      <c r="Q665" s="69">
        <f>O665/G665</f>
        <v>87.887762581349023</v>
      </c>
    </row>
    <row r="666" spans="2:17">
      <c r="C666" s="151" t="s">
        <v>112</v>
      </c>
      <c r="D666" s="151"/>
      <c r="E666" s="151"/>
      <c r="F666" s="152"/>
      <c r="G666" s="152"/>
      <c r="H666" s="152"/>
      <c r="I666" s="152"/>
      <c r="J666" s="151"/>
      <c r="K666" s="151"/>
      <c r="L666" s="152"/>
      <c r="M666" s="151"/>
      <c r="O666" s="69"/>
      <c r="P666" s="69"/>
      <c r="Q666" s="69"/>
    </row>
    <row r="667" spans="2:17">
      <c r="C667" s="151"/>
      <c r="D667" s="151" t="s">
        <v>105</v>
      </c>
      <c r="E667" s="151"/>
      <c r="F667" s="152"/>
      <c r="G667" s="152"/>
      <c r="H667" s="152"/>
      <c r="I667" s="152"/>
      <c r="J667" s="151"/>
      <c r="K667" s="151"/>
      <c r="L667" s="152"/>
      <c r="M667" s="151"/>
      <c r="O667" s="69"/>
      <c r="P667" s="69"/>
      <c r="Q667" s="69"/>
    </row>
    <row r="668" spans="2:17">
      <c r="C668" s="151"/>
      <c r="D668" s="151" t="s">
        <v>106</v>
      </c>
      <c r="E668" s="151"/>
      <c r="F668" s="152"/>
      <c r="G668" s="152"/>
      <c r="H668" s="152"/>
      <c r="I668" s="152"/>
      <c r="J668" s="151"/>
      <c r="K668" s="151"/>
      <c r="L668" s="152"/>
      <c r="M668" s="151"/>
      <c r="O668" s="69"/>
      <c r="P668" s="69"/>
      <c r="Q668" s="69"/>
    </row>
    <row r="669" spans="2:17">
      <c r="C669" s="151"/>
      <c r="D669" s="151" t="s">
        <v>380</v>
      </c>
      <c r="E669" s="151"/>
      <c r="F669" s="152"/>
      <c r="G669" s="152"/>
      <c r="H669" s="152"/>
      <c r="I669" s="152"/>
      <c r="J669" s="151"/>
      <c r="K669" s="151"/>
      <c r="L669" s="152"/>
      <c r="M669" s="151"/>
      <c r="O669" s="69"/>
      <c r="P669" s="69"/>
      <c r="Q669" s="69"/>
    </row>
    <row r="670" spans="2:17">
      <c r="C670" s="151"/>
      <c r="D670" s="151" t="s">
        <v>379</v>
      </c>
      <c r="E670" s="151"/>
      <c r="F670" s="152"/>
      <c r="G670" s="152"/>
      <c r="H670" s="152"/>
      <c r="I670" s="152"/>
      <c r="J670" s="151"/>
      <c r="K670" s="151"/>
      <c r="L670" s="152"/>
      <c r="M670" s="151"/>
      <c r="O670" s="69"/>
      <c r="P670" s="69"/>
      <c r="Q670" s="69"/>
    </row>
    <row r="671" spans="2:17">
      <c r="C671" s="151"/>
      <c r="D671" s="151" t="s">
        <v>1342</v>
      </c>
      <c r="E671" s="151"/>
      <c r="F671" s="152"/>
      <c r="G671" s="152"/>
      <c r="H671" s="152"/>
      <c r="I671" s="152"/>
      <c r="J671" s="151"/>
      <c r="K671" s="151"/>
      <c r="L671" s="152"/>
      <c r="M671" s="151"/>
      <c r="O671" s="69"/>
      <c r="P671" s="69"/>
      <c r="Q671" s="69"/>
    </row>
    <row r="672" spans="2:17">
      <c r="C672" s="151"/>
      <c r="D672" s="151" t="s">
        <v>382</v>
      </c>
      <c r="E672" s="151"/>
      <c r="F672" s="152"/>
      <c r="G672" s="152"/>
      <c r="H672" s="152"/>
      <c r="I672" s="152"/>
      <c r="J672" s="151"/>
      <c r="K672" s="151"/>
      <c r="L672" s="152"/>
      <c r="M672" s="151"/>
      <c r="O672" s="69"/>
      <c r="P672" s="69"/>
      <c r="Q672" s="69"/>
    </row>
    <row r="673" spans="2:17">
      <c r="B673" s="144" t="str">
        <f>'Autoproducers Calculations'!$C$232</f>
        <v>CHPAUTOGENGAS00</v>
      </c>
      <c r="C673" s="151" t="s">
        <v>113</v>
      </c>
      <c r="D673" s="151"/>
      <c r="E673" s="151"/>
      <c r="F673" s="152">
        <v>31.536000000000001</v>
      </c>
      <c r="G673" s="152">
        <f>'Autoproducers Calculations'!S$209</f>
        <v>0.23161772077635151</v>
      </c>
      <c r="H673" s="152">
        <f>'Autoproducers Calculations'!S$207</f>
        <v>2.1465856114092969</v>
      </c>
      <c r="I673" s="152">
        <f>'Autoproducers Calculations'!S$206</f>
        <v>0.71469206074653024</v>
      </c>
      <c r="J673" s="151">
        <v>20</v>
      </c>
      <c r="K673" s="151">
        <v>1</v>
      </c>
      <c r="L673" s="152">
        <f>'Autoproducers Calculations'!S$235</f>
        <v>1.5249349112043167</v>
      </c>
      <c r="M673" s="151">
        <v>0</v>
      </c>
      <c r="O673" s="69">
        <f t="shared" ref="O673" si="159">L673*F673*I673</f>
        <v>34.369789456548567</v>
      </c>
      <c r="P673" s="69">
        <f t="shared" ref="P673" si="160">O673*H673</f>
        <v>73.777695514594114</v>
      </c>
      <c r="Q673" s="69">
        <f>O673/G673</f>
        <v>148.39015486960861</v>
      </c>
    </row>
    <row r="674" spans="2:17">
      <c r="C674" s="151"/>
      <c r="D674" s="151" t="s">
        <v>105</v>
      </c>
      <c r="E674" s="151"/>
      <c r="F674" s="152"/>
      <c r="G674" s="152"/>
      <c r="H674" s="152"/>
      <c r="I674" s="152"/>
      <c r="J674" s="151"/>
      <c r="K674" s="151"/>
      <c r="L674" s="152"/>
      <c r="M674" s="151"/>
      <c r="O674" s="69"/>
      <c r="P674" s="69"/>
      <c r="Q674" s="69"/>
    </row>
    <row r="675" spans="2:17">
      <c r="C675" s="151"/>
      <c r="D675" s="151" t="s">
        <v>106</v>
      </c>
      <c r="E675" s="151"/>
      <c r="F675" s="152"/>
      <c r="G675" s="152"/>
      <c r="H675" s="152"/>
      <c r="I675" s="152"/>
      <c r="J675" s="151"/>
      <c r="K675" s="151"/>
      <c r="L675" s="152"/>
      <c r="M675" s="151"/>
      <c r="O675" s="69"/>
      <c r="P675" s="69"/>
      <c r="Q675" s="69"/>
    </row>
    <row r="676" spans="2:17">
      <c r="C676" s="151"/>
      <c r="D676" s="151" t="s">
        <v>1342</v>
      </c>
      <c r="E676" s="151"/>
      <c r="F676" s="152"/>
      <c r="G676" s="152"/>
      <c r="H676" s="152"/>
      <c r="I676" s="152"/>
      <c r="J676" s="151"/>
      <c r="K676" s="151"/>
      <c r="L676" s="152"/>
      <c r="M676" s="151"/>
      <c r="O676" s="69"/>
      <c r="P676" s="69"/>
      <c r="Q676" s="69"/>
    </row>
    <row r="677" spans="2:17">
      <c r="C677" s="151"/>
      <c r="D677" s="151" t="s">
        <v>378</v>
      </c>
      <c r="E677" s="151"/>
      <c r="F677" s="152"/>
      <c r="G677" s="152"/>
      <c r="H677" s="152"/>
      <c r="I677" s="152"/>
      <c r="J677" s="151"/>
      <c r="K677" s="151"/>
      <c r="L677" s="152"/>
      <c r="M677" s="151"/>
      <c r="O677" s="69"/>
      <c r="P677" s="69"/>
      <c r="Q677" s="69"/>
    </row>
    <row r="678" spans="2:17">
      <c r="C678" s="151"/>
      <c r="D678" s="151" t="s">
        <v>421</v>
      </c>
      <c r="E678" s="151"/>
      <c r="F678" s="152"/>
      <c r="G678" s="152"/>
      <c r="H678" s="152"/>
      <c r="I678" s="152"/>
      <c r="J678" s="151"/>
      <c r="K678" s="151"/>
      <c r="L678" s="152"/>
      <c r="M678" s="151"/>
      <c r="O678" s="69"/>
      <c r="P678" s="69"/>
      <c r="Q678" s="69"/>
    </row>
    <row r="679" spans="2:17">
      <c r="C679" s="151"/>
      <c r="D679" s="151" t="s">
        <v>380</v>
      </c>
      <c r="E679" s="151"/>
      <c r="F679" s="152"/>
      <c r="G679" s="152"/>
      <c r="H679" s="152"/>
      <c r="I679" s="152"/>
      <c r="J679" s="151"/>
      <c r="K679" s="151"/>
      <c r="L679" s="152"/>
      <c r="M679" s="151"/>
      <c r="O679" s="69"/>
      <c r="P679" s="69"/>
      <c r="Q679" s="69"/>
    </row>
    <row r="680" spans="2:17">
      <c r="C680" s="151"/>
      <c r="D680" s="151" t="s">
        <v>379</v>
      </c>
      <c r="E680" s="151"/>
      <c r="F680" s="152"/>
      <c r="G680" s="152"/>
      <c r="H680" s="152"/>
      <c r="I680" s="152"/>
      <c r="J680" s="151"/>
      <c r="K680" s="151"/>
      <c r="L680" s="152"/>
      <c r="M680" s="151"/>
      <c r="O680" s="69"/>
      <c r="P680" s="69"/>
      <c r="Q680" s="69"/>
    </row>
    <row r="681" spans="2:17">
      <c r="C681" s="151"/>
      <c r="D681" s="151" t="s">
        <v>381</v>
      </c>
      <c r="E681" s="151"/>
      <c r="F681" s="152"/>
      <c r="G681" s="152"/>
      <c r="H681" s="152"/>
      <c r="I681" s="152"/>
      <c r="J681" s="151"/>
      <c r="K681" s="151"/>
      <c r="L681" s="152"/>
      <c r="M681" s="151"/>
      <c r="O681" s="69"/>
      <c r="P681" s="69"/>
      <c r="Q681" s="69"/>
    </row>
    <row r="682" spans="2:17">
      <c r="C682" s="151"/>
      <c r="D682" s="151" t="s">
        <v>382</v>
      </c>
      <c r="E682" s="151"/>
      <c r="F682" s="152"/>
      <c r="G682" s="152"/>
      <c r="H682" s="152"/>
      <c r="I682" s="152"/>
      <c r="J682" s="151"/>
      <c r="K682" s="151"/>
      <c r="L682" s="152"/>
      <c r="M682" s="151"/>
      <c r="O682" s="69"/>
      <c r="P682" s="69"/>
      <c r="Q682" s="69"/>
    </row>
    <row r="683" spans="2:17">
      <c r="B683" s="144" t="str">
        <f>'Autoproducers Calculations'!$C$241</f>
        <v>CHPAUTOGENBIO00</v>
      </c>
      <c r="C683" s="151" t="s">
        <v>116</v>
      </c>
      <c r="D683" s="151"/>
      <c r="E683" s="151"/>
      <c r="F683" s="152">
        <v>31.536000000000001</v>
      </c>
      <c r="G683" s="152">
        <f>'Autoproducers Calculations'!S$209</f>
        <v>0.23161772077635151</v>
      </c>
      <c r="H683" s="152">
        <f>'Autoproducers Calculations'!S$207</f>
        <v>2.1465856114092969</v>
      </c>
      <c r="I683" s="152">
        <f>'Autoproducers Calculations'!S$206</f>
        <v>0.71469206074653024</v>
      </c>
      <c r="J683" s="151">
        <v>20</v>
      </c>
      <c r="K683" s="151">
        <v>1</v>
      </c>
      <c r="L683" s="152">
        <f>'Autoproducers Calculations'!S$244</f>
        <v>8.3485754561105508E-3</v>
      </c>
      <c r="M683" s="151">
        <v>0</v>
      </c>
      <c r="O683" s="69">
        <f t="shared" ref="O683" si="161">L683*F683*I683</f>
        <v>0.18816460858779785</v>
      </c>
      <c r="P683" s="69">
        <f t="shared" ref="P683" si="162">O683*H683</f>
        <v>0.40391144137102908</v>
      </c>
      <c r="Q683" s="69">
        <f>O683/G683</f>
        <v>0.81239297216592643</v>
      </c>
    </row>
    <row r="684" spans="2:17">
      <c r="C684" s="151"/>
      <c r="D684" s="151" t="s">
        <v>105</v>
      </c>
      <c r="E684" s="151"/>
      <c r="F684" s="152"/>
      <c r="G684" s="152"/>
      <c r="H684" s="152"/>
      <c r="I684" s="152"/>
      <c r="J684" s="151"/>
      <c r="K684" s="151"/>
      <c r="L684" s="152"/>
      <c r="M684" s="151"/>
      <c r="O684" s="69"/>
      <c r="P684" s="69"/>
      <c r="Q684" s="69"/>
    </row>
    <row r="685" spans="2:17">
      <c r="C685" s="151"/>
      <c r="D685" s="151" t="s">
        <v>106</v>
      </c>
      <c r="E685" s="151"/>
      <c r="F685" s="152"/>
      <c r="G685" s="152"/>
      <c r="H685" s="152"/>
      <c r="I685" s="152"/>
      <c r="J685" s="151"/>
      <c r="K685" s="151"/>
      <c r="L685" s="152"/>
      <c r="M685" s="151"/>
      <c r="O685" s="69"/>
      <c r="P685" s="69"/>
      <c r="Q685" s="69"/>
    </row>
    <row r="686" spans="2:17">
      <c r="C686" s="151"/>
      <c r="D686" s="151" t="s">
        <v>380</v>
      </c>
      <c r="E686" s="151"/>
      <c r="F686" s="152"/>
      <c r="G686" s="152"/>
      <c r="H686" s="152"/>
      <c r="I686" s="152"/>
      <c r="J686" s="151"/>
      <c r="K686" s="151"/>
      <c r="L686" s="151"/>
      <c r="M686" s="151"/>
      <c r="O686" s="69"/>
      <c r="P686" s="69"/>
      <c r="Q686" s="69"/>
    </row>
    <row r="687" spans="2:17">
      <c r="C687" s="151"/>
      <c r="D687" s="151" t="s">
        <v>379</v>
      </c>
      <c r="E687" s="151"/>
      <c r="F687" s="152"/>
      <c r="G687" s="152"/>
      <c r="H687" s="152"/>
      <c r="I687" s="152"/>
      <c r="J687" s="151"/>
      <c r="K687" s="151"/>
      <c r="L687" s="151"/>
      <c r="M687" s="151"/>
      <c r="O687" s="69"/>
      <c r="P687" s="69"/>
      <c r="Q687" s="69"/>
    </row>
    <row r="688" spans="2:17">
      <c r="C688" s="151"/>
      <c r="D688" s="151" t="s">
        <v>381</v>
      </c>
      <c r="E688" s="151"/>
      <c r="F688" s="152"/>
      <c r="G688" s="152"/>
      <c r="H688" s="152"/>
      <c r="I688" s="152"/>
      <c r="J688" s="151"/>
      <c r="K688" s="151"/>
      <c r="L688" s="151"/>
      <c r="M688" s="151"/>
      <c r="O688" s="69"/>
      <c r="P688" s="69"/>
      <c r="Q688" s="69"/>
    </row>
    <row r="689" spans="1:17">
      <c r="C689" s="151"/>
      <c r="D689" s="151" t="s">
        <v>382</v>
      </c>
      <c r="E689" s="151"/>
      <c r="F689" s="152"/>
      <c r="G689" s="152"/>
      <c r="H689" s="152"/>
      <c r="I689" s="152"/>
      <c r="J689" s="151"/>
      <c r="K689" s="151"/>
      <c r="L689" s="151"/>
      <c r="M689" s="151"/>
      <c r="O689" s="69"/>
      <c r="P689" s="69"/>
      <c r="Q689" s="69"/>
    </row>
    <row r="690" spans="1:17">
      <c r="B690" s="144" t="str">
        <f>'Autoproducers Calculations'!$C$250</f>
        <v>CHPAUTOGENWASTE00</v>
      </c>
      <c r="C690" s="151" t="s">
        <v>117</v>
      </c>
      <c r="D690" s="151"/>
      <c r="E690" s="151"/>
      <c r="F690" s="152">
        <v>31.536000000000001</v>
      </c>
      <c r="G690" s="152">
        <f>'Autoproducers Calculations'!S$209</f>
        <v>0.23161772077635151</v>
      </c>
      <c r="H690" s="152">
        <f>'Autoproducers Calculations'!S$207</f>
        <v>2.1465856114092969</v>
      </c>
      <c r="I690" s="152">
        <f>'Autoproducers Calculations'!S$206</f>
        <v>0.71469206074653024</v>
      </c>
      <c r="J690" s="151">
        <v>20</v>
      </c>
      <c r="K690" s="151">
        <v>1</v>
      </c>
      <c r="L690" s="152">
        <f>'Autoproducers Calculations'!S$253</f>
        <v>9.8186973551942867E-3</v>
      </c>
      <c r="M690" s="151">
        <v>0</v>
      </c>
      <c r="O690" s="69">
        <f t="shared" ref="O690" si="163">L690*F690*I690</f>
        <v>0.22129899339053352</v>
      </c>
      <c r="P690" s="69">
        <f t="shared" ref="P690" si="164">O690*H690</f>
        <v>0.47503723503148038</v>
      </c>
      <c r="Q690" s="69">
        <f>O690/G690</f>
        <v>0.95544931816429679</v>
      </c>
    </row>
    <row r="691" spans="1:17">
      <c r="C691" s="151" t="s">
        <v>118</v>
      </c>
      <c r="D691" s="151"/>
      <c r="E691" s="151"/>
      <c r="F691" s="152"/>
      <c r="G691" s="152"/>
      <c r="H691" s="152"/>
      <c r="I691" s="152"/>
      <c r="J691" s="151"/>
      <c r="K691" s="151"/>
      <c r="L691" s="151"/>
      <c r="M691" s="151"/>
      <c r="O691" s="69"/>
      <c r="P691" s="69"/>
      <c r="Q691" s="69"/>
    </row>
    <row r="692" spans="1:17">
      <c r="C692" s="151"/>
      <c r="D692" s="151" t="s">
        <v>105</v>
      </c>
      <c r="E692" s="151"/>
      <c r="F692" s="152"/>
      <c r="G692" s="152"/>
      <c r="H692" s="152"/>
      <c r="I692" s="152"/>
      <c r="J692" s="151"/>
      <c r="K692" s="151"/>
      <c r="L692" s="151"/>
      <c r="M692" s="151"/>
      <c r="O692" s="719">
        <f>SUM(O650:O690)</f>
        <v>62.795947478591813</v>
      </c>
      <c r="P692" s="719">
        <f>SUM(P650:P690)</f>
        <v>134.79687731235913</v>
      </c>
      <c r="Q692" s="719">
        <f>SUM(Q650:Q690)</f>
        <v>271.11892504644391</v>
      </c>
    </row>
    <row r="693" spans="1:17">
      <c r="C693" s="151"/>
      <c r="D693" s="151" t="s">
        <v>106</v>
      </c>
      <c r="E693" s="151"/>
      <c r="F693" s="152"/>
      <c r="G693" s="152"/>
      <c r="H693" s="152"/>
      <c r="I693" s="152"/>
      <c r="J693" s="151"/>
      <c r="K693" s="151"/>
      <c r="L693" s="151"/>
      <c r="M693" s="151"/>
    </row>
    <row r="694" spans="1:17">
      <c r="C694" s="151"/>
      <c r="D694" s="151" t="s">
        <v>381</v>
      </c>
      <c r="E694" s="151"/>
      <c r="F694" s="152"/>
      <c r="G694" s="152"/>
      <c r="H694" s="152"/>
      <c r="I694" s="152"/>
      <c r="J694" s="151"/>
      <c r="K694" s="151"/>
      <c r="L694" s="151"/>
      <c r="M694" s="151"/>
    </row>
    <row r="695" spans="1:17">
      <c r="C695" s="151"/>
      <c r="D695" s="151" t="s">
        <v>382</v>
      </c>
      <c r="E695" s="151"/>
      <c r="F695" s="151"/>
      <c r="G695" s="151"/>
      <c r="H695" s="151"/>
      <c r="I695" s="151"/>
      <c r="J695" s="151"/>
      <c r="K695" s="151"/>
      <c r="L695" s="151"/>
      <c r="M695" s="151"/>
      <c r="O695" s="677" t="s">
        <v>390</v>
      </c>
      <c r="P695" s="677" t="s">
        <v>406</v>
      </c>
      <c r="Q695" s="677" t="s">
        <v>1304</v>
      </c>
    </row>
    <row r="696" spans="1:17">
      <c r="A696" s="64" t="s">
        <v>51</v>
      </c>
      <c r="B696" s="144" t="str">
        <f>'Autoproducers Calculations'!$C$205</f>
        <v>CHPAUTOGENSOLID00</v>
      </c>
      <c r="C696" s="151" t="s">
        <v>107</v>
      </c>
      <c r="D696" s="151"/>
      <c r="E696" s="151"/>
      <c r="F696" s="152">
        <v>31.536000000000001</v>
      </c>
      <c r="G696" s="152">
        <f>'Autoproducers Calculations'!T$209</f>
        <v>5.4782608695652171E-2</v>
      </c>
      <c r="H696" s="152">
        <f>'Autoproducers Calculations'!T$207</f>
        <v>13.412698412698413</v>
      </c>
      <c r="I696" s="152">
        <f>'Autoproducers Calculations'!T$206</f>
        <v>0.9</v>
      </c>
      <c r="J696" s="151">
        <v>20</v>
      </c>
      <c r="K696" s="151">
        <v>1</v>
      </c>
      <c r="L696" s="152">
        <f>'Autoproducers Calculations'!T$208</f>
        <v>0</v>
      </c>
      <c r="M696" s="151">
        <v>0</v>
      </c>
      <c r="O696" s="69">
        <f>L696*F696*I696</f>
        <v>0</v>
      </c>
      <c r="P696" s="69">
        <f t="shared" ref="P696" si="165">O696*H696</f>
        <v>0</v>
      </c>
      <c r="Q696" s="69">
        <f>O696/G696</f>
        <v>0</v>
      </c>
    </row>
    <row r="697" spans="1:17">
      <c r="C697" s="151" t="s">
        <v>108</v>
      </c>
      <c r="D697" s="151"/>
      <c r="E697" s="152">
        <f>'Eurostat Resume'!U10</f>
        <v>0</v>
      </c>
      <c r="F697" s="152"/>
      <c r="G697" s="152"/>
      <c r="H697" s="152"/>
      <c r="I697" s="152"/>
      <c r="J697" s="151"/>
      <c r="K697" s="151"/>
      <c r="L697" s="152"/>
      <c r="M697" s="151"/>
      <c r="O697" s="69"/>
      <c r="P697" s="69"/>
      <c r="Q697" s="69"/>
    </row>
    <row r="698" spans="1:17">
      <c r="C698" s="151"/>
      <c r="D698" s="151" t="s">
        <v>105</v>
      </c>
      <c r="E698" s="151"/>
      <c r="F698" s="152"/>
      <c r="G698" s="152"/>
      <c r="H698" s="152"/>
      <c r="I698" s="152"/>
      <c r="J698" s="151"/>
      <c r="K698" s="151"/>
      <c r="L698" s="152"/>
      <c r="M698" s="151"/>
      <c r="O698" s="69"/>
      <c r="P698" s="69"/>
      <c r="Q698" s="69"/>
    </row>
    <row r="699" spans="1:17">
      <c r="C699" s="151"/>
      <c r="D699" s="151" t="s">
        <v>106</v>
      </c>
      <c r="E699" s="151"/>
      <c r="F699" s="152"/>
      <c r="G699" s="152"/>
      <c r="H699" s="152"/>
      <c r="I699" s="152"/>
      <c r="J699" s="151"/>
      <c r="K699" s="151"/>
      <c r="L699" s="152"/>
      <c r="M699" s="151"/>
      <c r="O699" s="69"/>
      <c r="P699" s="69"/>
      <c r="Q699" s="69"/>
    </row>
    <row r="700" spans="1:17">
      <c r="C700" s="151"/>
      <c r="D700" s="151" t="s">
        <v>378</v>
      </c>
      <c r="E700" s="151"/>
      <c r="F700" s="152"/>
      <c r="G700" s="152"/>
      <c r="H700" s="152"/>
      <c r="I700" s="152"/>
      <c r="J700" s="151"/>
      <c r="K700" s="151"/>
      <c r="L700" s="152"/>
      <c r="M700" s="151"/>
      <c r="O700" s="69"/>
      <c r="P700" s="69"/>
      <c r="Q700" s="69"/>
    </row>
    <row r="701" spans="1:17">
      <c r="C701" s="151"/>
      <c r="D701" s="151" t="s">
        <v>380</v>
      </c>
      <c r="E701" s="151"/>
      <c r="F701" s="152"/>
      <c r="G701" s="152"/>
      <c r="H701" s="152"/>
      <c r="I701" s="152"/>
      <c r="J701" s="151"/>
      <c r="K701" s="151"/>
      <c r="L701" s="152"/>
      <c r="M701" s="151"/>
      <c r="O701" s="69"/>
      <c r="P701" s="69"/>
      <c r="Q701" s="69"/>
    </row>
    <row r="702" spans="1:17">
      <c r="C702" s="151"/>
      <c r="D702" s="151" t="s">
        <v>379</v>
      </c>
      <c r="E702" s="151"/>
      <c r="F702" s="152"/>
      <c r="G702" s="152"/>
      <c r="H702" s="152"/>
      <c r="I702" s="152"/>
      <c r="J702" s="151"/>
      <c r="K702" s="151"/>
      <c r="L702" s="152"/>
      <c r="M702" s="151"/>
      <c r="O702" s="69"/>
      <c r="P702" s="69"/>
      <c r="Q702" s="69"/>
    </row>
    <row r="703" spans="1:17">
      <c r="C703" s="151"/>
      <c r="D703" s="151" t="s">
        <v>381</v>
      </c>
      <c r="E703" s="151"/>
      <c r="F703" s="152"/>
      <c r="G703" s="152"/>
      <c r="H703" s="152"/>
      <c r="I703" s="152"/>
      <c r="J703" s="151"/>
      <c r="K703" s="151"/>
      <c r="L703" s="152"/>
      <c r="M703" s="151"/>
      <c r="O703" s="69"/>
      <c r="P703" s="69"/>
      <c r="Q703" s="69"/>
    </row>
    <row r="704" spans="1:17">
      <c r="C704" s="151"/>
      <c r="D704" s="151" t="s">
        <v>382</v>
      </c>
      <c r="E704" s="151"/>
      <c r="F704" s="152"/>
      <c r="G704" s="152"/>
      <c r="H704" s="152"/>
      <c r="I704" s="152"/>
      <c r="J704" s="151"/>
      <c r="K704" s="151"/>
      <c r="L704" s="152"/>
      <c r="M704" s="151"/>
      <c r="O704" s="69"/>
      <c r="P704" s="69"/>
      <c r="Q704" s="69"/>
    </row>
    <row r="705" spans="2:17">
      <c r="B705" s="144" t="str">
        <f>'Autoproducers Calculations'!$C$214</f>
        <v>CHPAUTOGENRFG00</v>
      </c>
      <c r="C705" s="151" t="s">
        <v>110</v>
      </c>
      <c r="D705" s="151"/>
      <c r="E705" s="151"/>
      <c r="F705" s="152">
        <v>31.536000000000001</v>
      </c>
      <c r="G705" s="152">
        <f>'Autoproducers Calculations'!T$209</f>
        <v>5.4782608695652171E-2</v>
      </c>
      <c r="H705" s="152">
        <f>'Autoproducers Calculations'!T$207</f>
        <v>13.412698412698413</v>
      </c>
      <c r="I705" s="152">
        <f>'Autoproducers Calculations'!T$206</f>
        <v>0.9</v>
      </c>
      <c r="J705" s="151">
        <v>20</v>
      </c>
      <c r="K705" s="151">
        <v>1</v>
      </c>
      <c r="L705" s="152">
        <f>'Autoproducers Calculations'!T$217</f>
        <v>0</v>
      </c>
      <c r="M705" s="151">
        <v>0</v>
      </c>
      <c r="O705" s="69">
        <f t="shared" ref="O705" si="166">L705*F705*I705</f>
        <v>0</v>
      </c>
      <c r="P705" s="69">
        <f t="shared" ref="P705" si="167">O705*H705</f>
        <v>0</v>
      </c>
      <c r="Q705" s="69">
        <f>O705/G705</f>
        <v>0</v>
      </c>
    </row>
    <row r="706" spans="2:17">
      <c r="C706" s="151"/>
      <c r="D706" s="151" t="s">
        <v>105</v>
      </c>
      <c r="E706" s="151"/>
      <c r="F706" s="152"/>
      <c r="G706" s="152"/>
      <c r="H706" s="152"/>
      <c r="I706" s="152"/>
      <c r="J706" s="151"/>
      <c r="K706" s="151"/>
      <c r="L706" s="152"/>
      <c r="M706" s="151"/>
      <c r="O706" s="69"/>
      <c r="P706" s="69"/>
      <c r="Q706" s="69"/>
    </row>
    <row r="707" spans="2:17">
      <c r="C707" s="151"/>
      <c r="D707" s="151" t="s">
        <v>106</v>
      </c>
      <c r="E707" s="151"/>
      <c r="F707" s="152"/>
      <c r="G707" s="152"/>
      <c r="H707" s="152"/>
      <c r="I707" s="152"/>
      <c r="J707" s="151"/>
      <c r="K707" s="151"/>
      <c r="L707" s="152"/>
      <c r="M707" s="151"/>
      <c r="O707" s="69"/>
      <c r="P707" s="69"/>
      <c r="Q707" s="69"/>
    </row>
    <row r="708" spans="2:17">
      <c r="C708" s="151"/>
      <c r="D708" s="151" t="s">
        <v>1342</v>
      </c>
      <c r="E708" s="151"/>
      <c r="F708" s="152"/>
      <c r="G708" s="152"/>
      <c r="H708" s="152"/>
      <c r="I708" s="152"/>
      <c r="J708" s="151"/>
      <c r="K708" s="151"/>
      <c r="L708" s="152"/>
      <c r="M708" s="151"/>
      <c r="O708" s="69"/>
      <c r="P708" s="69"/>
      <c r="Q708" s="69"/>
    </row>
    <row r="709" spans="2:17">
      <c r="C709" s="151"/>
      <c r="D709" s="151" t="s">
        <v>380</v>
      </c>
      <c r="E709" s="151"/>
      <c r="F709" s="152"/>
      <c r="G709" s="152"/>
      <c r="H709" s="152"/>
      <c r="I709" s="152"/>
      <c r="J709" s="151"/>
      <c r="K709" s="151"/>
      <c r="L709" s="152"/>
      <c r="M709" s="151"/>
      <c r="O709" s="69"/>
      <c r="P709" s="69"/>
      <c r="Q709" s="69"/>
    </row>
    <row r="710" spans="2:17">
      <c r="C710" s="151"/>
      <c r="D710" s="151" t="s">
        <v>379</v>
      </c>
      <c r="E710" s="151"/>
      <c r="F710" s="152"/>
      <c r="G710" s="152"/>
      <c r="H710" s="152"/>
      <c r="I710" s="152"/>
      <c r="J710" s="151"/>
      <c r="K710" s="151"/>
      <c r="L710" s="152"/>
      <c r="M710" s="151"/>
      <c r="O710" s="69"/>
      <c r="P710" s="69"/>
      <c r="Q710" s="69"/>
    </row>
    <row r="711" spans="2:17">
      <c r="B711" s="144" t="str">
        <f>'Autoproducers Calculations'!$C$223</f>
        <v>CHPAUTOGENOIL00</v>
      </c>
      <c r="C711" s="151" t="s">
        <v>111</v>
      </c>
      <c r="D711" s="151"/>
      <c r="E711" s="152">
        <f>'Eurostat Resume'!U13</f>
        <v>0</v>
      </c>
      <c r="F711" s="152">
        <v>31.536000000000001</v>
      </c>
      <c r="G711" s="152">
        <f>'Autoproducers Calculations'!T$209</f>
        <v>5.4782608695652171E-2</v>
      </c>
      <c r="H711" s="152">
        <f>'Autoproducers Calculations'!T$207</f>
        <v>13.412698412698413</v>
      </c>
      <c r="I711" s="152">
        <f>'Autoproducers Calculations'!T$206</f>
        <v>0.9</v>
      </c>
      <c r="J711" s="151">
        <v>20</v>
      </c>
      <c r="K711" s="151">
        <v>1</v>
      </c>
      <c r="L711" s="152">
        <f>'Autoproducers Calculations'!T$226</f>
        <v>0</v>
      </c>
      <c r="M711" s="151">
        <v>0</v>
      </c>
      <c r="O711" s="69">
        <f t="shared" ref="O711" si="168">L711*F711*I711</f>
        <v>0</v>
      </c>
      <c r="P711" s="69">
        <f t="shared" ref="P711" si="169">O711*H711</f>
        <v>0</v>
      </c>
      <c r="Q711" s="69">
        <f>O711/G711</f>
        <v>0</v>
      </c>
    </row>
    <row r="712" spans="2:17">
      <c r="C712" s="151" t="s">
        <v>112</v>
      </c>
      <c r="D712" s="151"/>
      <c r="E712" s="151"/>
      <c r="F712" s="152"/>
      <c r="G712" s="152"/>
      <c r="H712" s="152"/>
      <c r="I712" s="152"/>
      <c r="J712" s="151"/>
      <c r="K712" s="151"/>
      <c r="L712" s="152"/>
      <c r="M712" s="151"/>
      <c r="O712" s="69"/>
      <c r="P712" s="69"/>
      <c r="Q712" s="69"/>
    </row>
    <row r="713" spans="2:17">
      <c r="C713" s="151"/>
      <c r="D713" s="151" t="s">
        <v>105</v>
      </c>
      <c r="E713" s="151"/>
      <c r="F713" s="152"/>
      <c r="G713" s="152"/>
      <c r="H713" s="152"/>
      <c r="I713" s="152"/>
      <c r="J713" s="151"/>
      <c r="K713" s="151"/>
      <c r="L713" s="152"/>
      <c r="M713" s="151"/>
      <c r="O713" s="69"/>
      <c r="P713" s="69"/>
      <c r="Q713" s="69"/>
    </row>
    <row r="714" spans="2:17">
      <c r="C714" s="151"/>
      <c r="D714" s="151" t="s">
        <v>106</v>
      </c>
      <c r="E714" s="151"/>
      <c r="F714" s="152"/>
      <c r="G714" s="152"/>
      <c r="H714" s="152"/>
      <c r="I714" s="152"/>
      <c r="J714" s="151"/>
      <c r="K714" s="151"/>
      <c r="L714" s="152"/>
      <c r="M714" s="151"/>
      <c r="O714" s="69"/>
      <c r="P714" s="69"/>
      <c r="Q714" s="69"/>
    </row>
    <row r="715" spans="2:17">
      <c r="C715" s="151"/>
      <c r="D715" s="151" t="s">
        <v>380</v>
      </c>
      <c r="E715" s="151"/>
      <c r="F715" s="152"/>
      <c r="G715" s="152"/>
      <c r="H715" s="152"/>
      <c r="I715" s="152"/>
      <c r="J715" s="151"/>
      <c r="K715" s="151"/>
      <c r="L715" s="152"/>
      <c r="M715" s="151"/>
      <c r="O715" s="69"/>
      <c r="P715" s="69"/>
      <c r="Q715" s="69"/>
    </row>
    <row r="716" spans="2:17">
      <c r="C716" s="151"/>
      <c r="D716" s="151" t="s">
        <v>379</v>
      </c>
      <c r="E716" s="151"/>
      <c r="F716" s="152"/>
      <c r="G716" s="152"/>
      <c r="H716" s="152"/>
      <c r="I716" s="152"/>
      <c r="J716" s="151"/>
      <c r="K716" s="151"/>
      <c r="L716" s="152"/>
      <c r="M716" s="151"/>
      <c r="O716" s="69"/>
      <c r="P716" s="69"/>
      <c r="Q716" s="69"/>
    </row>
    <row r="717" spans="2:17">
      <c r="C717" s="151"/>
      <c r="D717" s="151" t="s">
        <v>1342</v>
      </c>
      <c r="E717" s="151"/>
      <c r="F717" s="152"/>
      <c r="G717" s="152"/>
      <c r="H717" s="152"/>
      <c r="I717" s="152"/>
      <c r="J717" s="151"/>
      <c r="K717" s="151"/>
      <c r="L717" s="152"/>
      <c r="M717" s="151"/>
      <c r="O717" s="69"/>
      <c r="P717" s="69"/>
      <c r="Q717" s="69"/>
    </row>
    <row r="718" spans="2:17">
      <c r="C718" s="151"/>
      <c r="D718" s="151" t="s">
        <v>382</v>
      </c>
      <c r="E718" s="151"/>
      <c r="F718" s="152"/>
      <c r="G718" s="152"/>
      <c r="H718" s="152"/>
      <c r="I718" s="152"/>
      <c r="J718" s="151"/>
      <c r="K718" s="151"/>
      <c r="L718" s="152"/>
      <c r="M718" s="151"/>
      <c r="O718" s="69"/>
      <c r="P718" s="69"/>
      <c r="Q718" s="69"/>
    </row>
    <row r="719" spans="2:17">
      <c r="B719" s="144" t="str">
        <f>'Autoproducers Calculations'!$C$232</f>
        <v>CHPAUTOGENGAS00</v>
      </c>
      <c r="C719" s="151" t="s">
        <v>113</v>
      </c>
      <c r="D719" s="151"/>
      <c r="E719" s="151"/>
      <c r="F719" s="152">
        <v>31.536000000000001</v>
      </c>
      <c r="G719" s="152">
        <f>'Autoproducers Calculations'!T$209</f>
        <v>5.4782608695652171E-2</v>
      </c>
      <c r="H719" s="152">
        <f>'Autoproducers Calculations'!T$207</f>
        <v>13.412698412698413</v>
      </c>
      <c r="I719" s="152">
        <f>'Autoproducers Calculations'!T$206</f>
        <v>0.9</v>
      </c>
      <c r="J719" s="151">
        <v>20</v>
      </c>
      <c r="K719" s="151">
        <v>1</v>
      </c>
      <c r="L719" s="152">
        <f>'Autoproducers Calculations'!T$235</f>
        <v>1.8877884399523641E-2</v>
      </c>
      <c r="M719" s="151">
        <v>0</v>
      </c>
      <c r="O719" s="69">
        <f t="shared" ref="O719" si="170">L719*F719*I719</f>
        <v>0.5357996661810398</v>
      </c>
      <c r="P719" s="69">
        <f t="shared" ref="P719" si="171">O719*H719</f>
        <v>7.1865193321107723</v>
      </c>
      <c r="Q719" s="69">
        <f>O719/G719</f>
        <v>9.7804700969554883</v>
      </c>
    </row>
    <row r="720" spans="2:17">
      <c r="C720" s="151"/>
      <c r="D720" s="151" t="s">
        <v>105</v>
      </c>
      <c r="E720" s="151"/>
      <c r="F720" s="152"/>
      <c r="G720" s="152"/>
      <c r="H720" s="152"/>
      <c r="I720" s="152"/>
      <c r="J720" s="151"/>
      <c r="K720" s="151"/>
      <c r="L720" s="152"/>
      <c r="M720" s="151"/>
      <c r="O720" s="69"/>
      <c r="P720" s="69"/>
      <c r="Q720" s="69"/>
    </row>
    <row r="721" spans="2:17">
      <c r="C721" s="151"/>
      <c r="D721" s="151" t="s">
        <v>106</v>
      </c>
      <c r="E721" s="151"/>
      <c r="F721" s="152"/>
      <c r="G721" s="152"/>
      <c r="H721" s="152"/>
      <c r="I721" s="152"/>
      <c r="J721" s="151"/>
      <c r="K721" s="151"/>
      <c r="L721" s="152"/>
      <c r="M721" s="151"/>
      <c r="O721" s="69"/>
      <c r="P721" s="69"/>
      <c r="Q721" s="69"/>
    </row>
    <row r="722" spans="2:17">
      <c r="C722" s="151"/>
      <c r="D722" s="151" t="s">
        <v>1342</v>
      </c>
      <c r="E722" s="151"/>
      <c r="F722" s="152"/>
      <c r="G722" s="152"/>
      <c r="H722" s="152"/>
      <c r="I722" s="152"/>
      <c r="J722" s="151"/>
      <c r="K722" s="151"/>
      <c r="L722" s="152"/>
      <c r="M722" s="151"/>
      <c r="O722" s="69"/>
      <c r="P722" s="69"/>
      <c r="Q722" s="69"/>
    </row>
    <row r="723" spans="2:17">
      <c r="C723" s="151"/>
      <c r="D723" s="151" t="s">
        <v>378</v>
      </c>
      <c r="E723" s="151"/>
      <c r="F723" s="152"/>
      <c r="G723" s="152"/>
      <c r="H723" s="152"/>
      <c r="I723" s="152"/>
      <c r="J723" s="151"/>
      <c r="K723" s="151"/>
      <c r="L723" s="152"/>
      <c r="M723" s="151"/>
      <c r="O723" s="69"/>
      <c r="P723" s="69"/>
      <c r="Q723" s="69"/>
    </row>
    <row r="724" spans="2:17">
      <c r="C724" s="151"/>
      <c r="D724" s="151" t="s">
        <v>421</v>
      </c>
      <c r="E724" s="151"/>
      <c r="F724" s="152"/>
      <c r="G724" s="152"/>
      <c r="H724" s="152"/>
      <c r="I724" s="152"/>
      <c r="J724" s="151"/>
      <c r="K724" s="151"/>
      <c r="L724" s="152"/>
      <c r="M724" s="151"/>
      <c r="O724" s="69"/>
      <c r="P724" s="69"/>
      <c r="Q724" s="69"/>
    </row>
    <row r="725" spans="2:17">
      <c r="C725" s="151"/>
      <c r="D725" s="151" t="s">
        <v>380</v>
      </c>
      <c r="E725" s="151"/>
      <c r="F725" s="152"/>
      <c r="G725" s="152"/>
      <c r="H725" s="152"/>
      <c r="I725" s="152"/>
      <c r="J725" s="151"/>
      <c r="K725" s="151"/>
      <c r="L725" s="152"/>
      <c r="M725" s="151"/>
      <c r="O725" s="69"/>
      <c r="P725" s="69"/>
      <c r="Q725" s="69"/>
    </row>
    <row r="726" spans="2:17">
      <c r="C726" s="151"/>
      <c r="D726" s="151" t="s">
        <v>379</v>
      </c>
      <c r="E726" s="151"/>
      <c r="F726" s="152"/>
      <c r="G726" s="152"/>
      <c r="H726" s="152"/>
      <c r="I726" s="152"/>
      <c r="J726" s="151"/>
      <c r="K726" s="151"/>
      <c r="L726" s="152"/>
      <c r="M726" s="151"/>
      <c r="O726" s="69"/>
      <c r="P726" s="69"/>
      <c r="Q726" s="69"/>
    </row>
    <row r="727" spans="2:17">
      <c r="C727" s="151"/>
      <c r="D727" s="151" t="s">
        <v>381</v>
      </c>
      <c r="E727" s="151"/>
      <c r="F727" s="152"/>
      <c r="G727" s="152"/>
      <c r="H727" s="152"/>
      <c r="I727" s="152"/>
      <c r="J727" s="151"/>
      <c r="K727" s="151"/>
      <c r="L727" s="152"/>
      <c r="M727" s="151"/>
      <c r="O727" s="69"/>
      <c r="P727" s="69"/>
      <c r="Q727" s="69"/>
    </row>
    <row r="728" spans="2:17">
      <c r="C728" s="151"/>
      <c r="D728" s="151" t="s">
        <v>382</v>
      </c>
      <c r="E728" s="151"/>
      <c r="F728" s="152"/>
      <c r="G728" s="152"/>
      <c r="H728" s="152"/>
      <c r="I728" s="152"/>
      <c r="J728" s="151"/>
      <c r="K728" s="151"/>
      <c r="L728" s="152"/>
      <c r="M728" s="151"/>
      <c r="O728" s="69"/>
      <c r="P728" s="69"/>
      <c r="Q728" s="69"/>
    </row>
    <row r="729" spans="2:17">
      <c r="B729" s="144" t="str">
        <f>'Autoproducers Calculations'!$C$241</f>
        <v>CHPAUTOGENBIO00</v>
      </c>
      <c r="C729" s="151" t="s">
        <v>116</v>
      </c>
      <c r="D729" s="151"/>
      <c r="E729" s="151"/>
      <c r="F729" s="152">
        <v>31.536000000000001</v>
      </c>
      <c r="G729" s="152">
        <f>'Autoproducers Calculations'!T$209</f>
        <v>5.4782608695652171E-2</v>
      </c>
      <c r="H729" s="152">
        <f>'Autoproducers Calculations'!T$207</f>
        <v>13.412698412698413</v>
      </c>
      <c r="I729" s="152">
        <f>'Autoproducers Calculations'!T$206</f>
        <v>0.9</v>
      </c>
      <c r="J729" s="151">
        <v>20</v>
      </c>
      <c r="K729" s="151">
        <v>1</v>
      </c>
      <c r="L729" s="152">
        <f>'Autoproducers Calculations'!T$244</f>
        <v>3.0765152903660547E-3</v>
      </c>
      <c r="M729" s="151">
        <v>0</v>
      </c>
      <c r="O729" s="69">
        <f t="shared" ref="O729" si="172">L729*F729*I729</f>
        <v>8.7318887577285523E-2</v>
      </c>
      <c r="P729" s="69">
        <f t="shared" ref="P729" si="173">O729*H729</f>
        <v>1.1711819048064487</v>
      </c>
      <c r="Q729" s="69">
        <f>O729/G729</f>
        <v>1.593916201807593</v>
      </c>
    </row>
    <row r="730" spans="2:17">
      <c r="C730" s="151"/>
      <c r="D730" s="151" t="s">
        <v>105</v>
      </c>
      <c r="E730" s="151"/>
      <c r="F730" s="152"/>
      <c r="G730" s="152"/>
      <c r="H730" s="152"/>
      <c r="I730" s="152"/>
      <c r="J730" s="151"/>
      <c r="K730" s="151"/>
      <c r="L730" s="152"/>
      <c r="M730" s="151"/>
      <c r="O730" s="69"/>
      <c r="P730" s="69"/>
      <c r="Q730" s="69"/>
    </row>
    <row r="731" spans="2:17">
      <c r="C731" s="151"/>
      <c r="D731" s="151" t="s">
        <v>106</v>
      </c>
      <c r="E731" s="151"/>
      <c r="F731" s="152"/>
      <c r="G731" s="152"/>
      <c r="H731" s="152"/>
      <c r="I731" s="152"/>
      <c r="J731" s="151"/>
      <c r="K731" s="151"/>
      <c r="L731" s="152"/>
      <c r="M731" s="151"/>
      <c r="O731" s="69"/>
      <c r="P731" s="69"/>
      <c r="Q731" s="69"/>
    </row>
    <row r="732" spans="2:17">
      <c r="C732" s="151"/>
      <c r="D732" s="151" t="s">
        <v>380</v>
      </c>
      <c r="E732" s="151"/>
      <c r="F732" s="152"/>
      <c r="G732" s="152"/>
      <c r="H732" s="152"/>
      <c r="I732" s="152"/>
      <c r="J732" s="151"/>
      <c r="K732" s="151"/>
      <c r="L732" s="151"/>
      <c r="M732" s="151"/>
      <c r="O732" s="69"/>
      <c r="P732" s="69"/>
      <c r="Q732" s="69"/>
    </row>
    <row r="733" spans="2:17">
      <c r="C733" s="151"/>
      <c r="D733" s="151" t="s">
        <v>379</v>
      </c>
      <c r="E733" s="151"/>
      <c r="F733" s="152"/>
      <c r="G733" s="152"/>
      <c r="H733" s="152"/>
      <c r="I733" s="152"/>
      <c r="J733" s="151"/>
      <c r="K733" s="151"/>
      <c r="L733" s="151"/>
      <c r="M733" s="151"/>
      <c r="O733" s="69"/>
      <c r="P733" s="69"/>
      <c r="Q733" s="69"/>
    </row>
    <row r="734" spans="2:17">
      <c r="C734" s="151"/>
      <c r="D734" s="151" t="s">
        <v>381</v>
      </c>
      <c r="E734" s="151"/>
      <c r="F734" s="152"/>
      <c r="G734" s="152"/>
      <c r="H734" s="152"/>
      <c r="I734" s="152"/>
      <c r="J734" s="151"/>
      <c r="K734" s="151"/>
      <c r="L734" s="151"/>
      <c r="M734" s="151"/>
      <c r="O734" s="69"/>
      <c r="P734" s="69"/>
      <c r="Q734" s="69"/>
    </row>
    <row r="735" spans="2:17">
      <c r="C735" s="151"/>
      <c r="D735" s="151" t="s">
        <v>382</v>
      </c>
      <c r="E735" s="151"/>
      <c r="F735" s="152"/>
      <c r="G735" s="152"/>
      <c r="H735" s="152"/>
      <c r="I735" s="152"/>
      <c r="J735" s="151"/>
      <c r="K735" s="151"/>
      <c r="L735" s="151"/>
      <c r="M735" s="151"/>
      <c r="O735" s="69"/>
      <c r="P735" s="69"/>
      <c r="Q735" s="69"/>
    </row>
    <row r="736" spans="2:17">
      <c r="B736" s="144" t="str">
        <f>'Autoproducers Calculations'!$C$250</f>
        <v>CHPAUTOGENWASTE00</v>
      </c>
      <c r="C736" s="151" t="s">
        <v>117</v>
      </c>
      <c r="D736" s="151"/>
      <c r="E736" s="151"/>
      <c r="F736" s="152">
        <v>31.536000000000001</v>
      </c>
      <c r="G736" s="152">
        <f>'Autoproducers Calculations'!T$209</f>
        <v>5.4782608695652171E-2</v>
      </c>
      <c r="H736" s="152">
        <f>'Autoproducers Calculations'!T$207</f>
        <v>13.412698412698413</v>
      </c>
      <c r="I736" s="152">
        <f>'Autoproducers Calculations'!T$206</f>
        <v>0.9</v>
      </c>
      <c r="J736" s="151">
        <v>20</v>
      </c>
      <c r="K736" s="151">
        <v>1</v>
      </c>
      <c r="L736" s="152">
        <f>'Autoproducers Calculations'!T$253</f>
        <v>0</v>
      </c>
      <c r="M736" s="151">
        <v>0</v>
      </c>
      <c r="O736" s="69">
        <f t="shared" ref="O736" si="174">L736*F736*I736</f>
        <v>0</v>
      </c>
      <c r="P736" s="69">
        <f t="shared" ref="P736" si="175">O736*H736</f>
        <v>0</v>
      </c>
      <c r="Q736" s="69">
        <f>O736/G736</f>
        <v>0</v>
      </c>
    </row>
    <row r="737" spans="1:17">
      <c r="C737" s="151" t="s">
        <v>118</v>
      </c>
      <c r="D737" s="151"/>
      <c r="E737" s="151"/>
      <c r="F737" s="152"/>
      <c r="G737" s="152"/>
      <c r="H737" s="152"/>
      <c r="I737" s="152"/>
      <c r="J737" s="151"/>
      <c r="K737" s="151"/>
      <c r="L737" s="151"/>
      <c r="M737" s="151"/>
      <c r="O737" s="69"/>
      <c r="P737" s="69"/>
      <c r="Q737" s="69"/>
    </row>
    <row r="738" spans="1:17">
      <c r="C738" s="151"/>
      <c r="D738" s="151" t="s">
        <v>105</v>
      </c>
      <c r="E738" s="151"/>
      <c r="F738" s="152"/>
      <c r="G738" s="152"/>
      <c r="H738" s="152"/>
      <c r="I738" s="152"/>
      <c r="J738" s="151"/>
      <c r="K738" s="151"/>
      <c r="L738" s="151"/>
      <c r="M738" s="151"/>
      <c r="O738" s="719">
        <f>SUM(O696:O736)</f>
        <v>0.62311855375832537</v>
      </c>
      <c r="P738" s="719">
        <f>SUM(P696:P736)</f>
        <v>8.3577012369172206</v>
      </c>
      <c r="Q738" s="719">
        <f>SUM(Q696:Q736)</f>
        <v>11.374386298763081</v>
      </c>
    </row>
    <row r="739" spans="1:17">
      <c r="C739" s="151"/>
      <c r="D739" s="151" t="s">
        <v>106</v>
      </c>
      <c r="E739" s="151"/>
      <c r="F739" s="152"/>
      <c r="G739" s="152"/>
      <c r="H739" s="152"/>
      <c r="I739" s="152"/>
      <c r="J739" s="151"/>
      <c r="K739" s="151"/>
      <c r="L739" s="151"/>
      <c r="M739" s="151"/>
    </row>
    <row r="740" spans="1:17">
      <c r="C740" s="151"/>
      <c r="D740" s="151" t="s">
        <v>381</v>
      </c>
      <c r="E740" s="151"/>
      <c r="F740" s="152"/>
      <c r="G740" s="152"/>
      <c r="H740" s="152"/>
      <c r="I740" s="152"/>
      <c r="J740" s="151"/>
      <c r="K740" s="151"/>
      <c r="L740" s="151"/>
      <c r="M740" s="151"/>
    </row>
    <row r="741" spans="1:17">
      <c r="C741" s="151"/>
      <c r="D741" s="151" t="s">
        <v>382</v>
      </c>
      <c r="E741" s="151"/>
      <c r="F741" s="151"/>
      <c r="G741" s="151"/>
      <c r="H741" s="151"/>
      <c r="I741" s="151"/>
      <c r="J741" s="151"/>
      <c r="K741" s="151"/>
      <c r="L741" s="151"/>
      <c r="M741" s="151"/>
      <c r="O741" s="677" t="s">
        <v>390</v>
      </c>
      <c r="P741" s="677" t="s">
        <v>406</v>
      </c>
      <c r="Q741" s="677" t="s">
        <v>1304</v>
      </c>
    </row>
    <row r="742" spans="1:17">
      <c r="A742" s="64" t="s">
        <v>52</v>
      </c>
      <c r="B742" s="144" t="str">
        <f>'Autoproducers Calculations'!$C$205</f>
        <v>CHPAUTOGENSOLID00</v>
      </c>
      <c r="C742" s="151" t="s">
        <v>107</v>
      </c>
      <c r="D742" s="151"/>
      <c r="E742" s="151"/>
      <c r="F742" s="152">
        <v>31.536000000000001</v>
      </c>
      <c r="G742" s="152">
        <f>'Autoproducers Calculations'!U$209</f>
        <v>0.2976627807790731</v>
      </c>
      <c r="H742" s="152">
        <f>'Autoproducers Calculations'!U$207</f>
        <v>2.0030949105914715</v>
      </c>
      <c r="I742" s="152">
        <f>'Autoproducers Calculations'!U$206</f>
        <v>0.41931981751201536</v>
      </c>
      <c r="J742" s="151">
        <v>20</v>
      </c>
      <c r="K742" s="151">
        <v>1</v>
      </c>
      <c r="L742" s="152">
        <f>'Autoproducers Calculations'!U$208</f>
        <v>0</v>
      </c>
      <c r="M742" s="151">
        <v>0</v>
      </c>
      <c r="O742" s="69">
        <f>L742*F742*I742</f>
        <v>0</v>
      </c>
      <c r="P742" s="69">
        <f t="shared" ref="P742" si="176">O742*H742</f>
        <v>0</v>
      </c>
      <c r="Q742" s="69">
        <f>O742/G742</f>
        <v>0</v>
      </c>
    </row>
    <row r="743" spans="1:17">
      <c r="C743" s="151" t="s">
        <v>108</v>
      </c>
      <c r="D743" s="151"/>
      <c r="E743" s="152">
        <f>'Eurostat Resume'!V10</f>
        <v>0</v>
      </c>
      <c r="F743" s="152"/>
      <c r="G743" s="152"/>
      <c r="H743" s="152"/>
      <c r="I743" s="152"/>
      <c r="J743" s="151"/>
      <c r="K743" s="151"/>
      <c r="L743" s="152"/>
      <c r="M743" s="151"/>
      <c r="O743" s="69"/>
      <c r="P743" s="69"/>
      <c r="Q743" s="69"/>
    </row>
    <row r="744" spans="1:17">
      <c r="C744" s="151"/>
      <c r="D744" s="151" t="s">
        <v>105</v>
      </c>
      <c r="E744" s="151"/>
      <c r="F744" s="152"/>
      <c r="G744" s="152"/>
      <c r="H744" s="152"/>
      <c r="I744" s="152"/>
      <c r="J744" s="151"/>
      <c r="K744" s="151"/>
      <c r="L744" s="152"/>
      <c r="M744" s="151"/>
      <c r="O744" s="69"/>
      <c r="P744" s="69"/>
      <c r="Q744" s="69"/>
    </row>
    <row r="745" spans="1:17">
      <c r="C745" s="151"/>
      <c r="D745" s="151" t="s">
        <v>106</v>
      </c>
      <c r="E745" s="151"/>
      <c r="F745" s="152"/>
      <c r="G745" s="152"/>
      <c r="H745" s="152"/>
      <c r="I745" s="152"/>
      <c r="J745" s="151"/>
      <c r="K745" s="151"/>
      <c r="L745" s="152"/>
      <c r="M745" s="151"/>
      <c r="O745" s="69"/>
      <c r="P745" s="69"/>
      <c r="Q745" s="69"/>
    </row>
    <row r="746" spans="1:17">
      <c r="C746" s="151"/>
      <c r="D746" s="151" t="s">
        <v>378</v>
      </c>
      <c r="E746" s="151"/>
      <c r="F746" s="152"/>
      <c r="G746" s="152"/>
      <c r="H746" s="152"/>
      <c r="I746" s="152"/>
      <c r="J746" s="151"/>
      <c r="K746" s="151"/>
      <c r="L746" s="152"/>
      <c r="M746" s="151"/>
      <c r="O746" s="69"/>
      <c r="P746" s="69"/>
      <c r="Q746" s="69"/>
    </row>
    <row r="747" spans="1:17">
      <c r="C747" s="151"/>
      <c r="D747" s="151" t="s">
        <v>380</v>
      </c>
      <c r="E747" s="151"/>
      <c r="F747" s="152"/>
      <c r="G747" s="152"/>
      <c r="H747" s="152"/>
      <c r="I747" s="152"/>
      <c r="J747" s="151"/>
      <c r="K747" s="151"/>
      <c r="L747" s="152"/>
      <c r="M747" s="151"/>
      <c r="O747" s="69"/>
      <c r="P747" s="69"/>
      <c r="Q747" s="69"/>
    </row>
    <row r="748" spans="1:17">
      <c r="C748" s="151"/>
      <c r="D748" s="151" t="s">
        <v>379</v>
      </c>
      <c r="E748" s="151"/>
      <c r="F748" s="152"/>
      <c r="G748" s="152"/>
      <c r="H748" s="152"/>
      <c r="I748" s="152"/>
      <c r="J748" s="151"/>
      <c r="K748" s="151"/>
      <c r="L748" s="152"/>
      <c r="M748" s="151"/>
      <c r="O748" s="69"/>
      <c r="P748" s="69"/>
      <c r="Q748" s="69"/>
    </row>
    <row r="749" spans="1:17">
      <c r="C749" s="151"/>
      <c r="D749" s="151" t="s">
        <v>381</v>
      </c>
      <c r="E749" s="151"/>
      <c r="F749" s="152"/>
      <c r="G749" s="152"/>
      <c r="H749" s="152"/>
      <c r="I749" s="152"/>
      <c r="J749" s="151"/>
      <c r="K749" s="151"/>
      <c r="L749" s="152"/>
      <c r="M749" s="151"/>
      <c r="O749" s="69"/>
      <c r="P749" s="69"/>
      <c r="Q749" s="69"/>
    </row>
    <row r="750" spans="1:17">
      <c r="C750" s="151"/>
      <c r="D750" s="151" t="s">
        <v>382</v>
      </c>
      <c r="E750" s="151"/>
      <c r="F750" s="152"/>
      <c r="G750" s="152"/>
      <c r="H750" s="152"/>
      <c r="I750" s="152"/>
      <c r="J750" s="151"/>
      <c r="K750" s="151"/>
      <c r="L750" s="152"/>
      <c r="M750" s="151"/>
      <c r="O750" s="69"/>
      <c r="P750" s="69"/>
      <c r="Q750" s="69"/>
    </row>
    <row r="751" spans="1:17">
      <c r="B751" s="144" t="str">
        <f>'Autoproducers Calculations'!$C$214</f>
        <v>CHPAUTOGENRFG00</v>
      </c>
      <c r="C751" s="151" t="s">
        <v>110</v>
      </c>
      <c r="D751" s="151"/>
      <c r="E751" s="151"/>
      <c r="F751" s="152">
        <v>31.536000000000001</v>
      </c>
      <c r="G751" s="152">
        <f>'Autoproducers Calculations'!U$209</f>
        <v>0.2976627807790731</v>
      </c>
      <c r="H751" s="152">
        <f>'Autoproducers Calculations'!U$207</f>
        <v>2.0030949105914715</v>
      </c>
      <c r="I751" s="152">
        <f>'Autoproducers Calculations'!U$206</f>
        <v>0.41931981751201536</v>
      </c>
      <c r="J751" s="151">
        <v>20</v>
      </c>
      <c r="K751" s="151">
        <v>1</v>
      </c>
      <c r="L751" s="152">
        <f>'Autoproducers Calculations'!U$217</f>
        <v>0</v>
      </c>
      <c r="M751" s="151">
        <v>0</v>
      </c>
      <c r="O751" s="69">
        <f t="shared" ref="O751" si="177">L751*F751*I751</f>
        <v>0</v>
      </c>
      <c r="P751" s="69">
        <f t="shared" ref="P751" si="178">O751*H751</f>
        <v>0</v>
      </c>
      <c r="Q751" s="69">
        <f>O751/G751</f>
        <v>0</v>
      </c>
    </row>
    <row r="752" spans="1:17">
      <c r="C752" s="151"/>
      <c r="D752" s="151" t="s">
        <v>105</v>
      </c>
      <c r="E752" s="151"/>
      <c r="F752" s="152"/>
      <c r="G752" s="152"/>
      <c r="H752" s="152"/>
      <c r="I752" s="152"/>
      <c r="J752" s="151"/>
      <c r="K752" s="151"/>
      <c r="L752" s="152"/>
      <c r="M752" s="151"/>
      <c r="O752" s="69"/>
      <c r="P752" s="69"/>
      <c r="Q752" s="69"/>
    </row>
    <row r="753" spans="2:17">
      <c r="C753" s="151"/>
      <c r="D753" s="151" t="s">
        <v>106</v>
      </c>
      <c r="E753" s="151"/>
      <c r="F753" s="152"/>
      <c r="G753" s="152"/>
      <c r="H753" s="152"/>
      <c r="I753" s="152"/>
      <c r="J753" s="151"/>
      <c r="K753" s="151"/>
      <c r="L753" s="152"/>
      <c r="M753" s="151"/>
      <c r="O753" s="69"/>
      <c r="P753" s="69"/>
      <c r="Q753" s="69"/>
    </row>
    <row r="754" spans="2:17">
      <c r="C754" s="151"/>
      <c r="D754" s="151" t="s">
        <v>1342</v>
      </c>
      <c r="E754" s="151"/>
      <c r="F754" s="152"/>
      <c r="G754" s="152"/>
      <c r="H754" s="152"/>
      <c r="I754" s="152"/>
      <c r="J754" s="151"/>
      <c r="K754" s="151"/>
      <c r="L754" s="152"/>
      <c r="M754" s="151"/>
      <c r="O754" s="69"/>
      <c r="P754" s="69"/>
      <c r="Q754" s="69"/>
    </row>
    <row r="755" spans="2:17">
      <c r="C755" s="151"/>
      <c r="D755" s="151" t="s">
        <v>380</v>
      </c>
      <c r="E755" s="151"/>
      <c r="F755" s="152"/>
      <c r="G755" s="152"/>
      <c r="H755" s="152"/>
      <c r="I755" s="152"/>
      <c r="J755" s="151"/>
      <c r="K755" s="151"/>
      <c r="L755" s="152"/>
      <c r="M755" s="151"/>
      <c r="O755" s="69"/>
      <c r="P755" s="69"/>
      <c r="Q755" s="69"/>
    </row>
    <row r="756" spans="2:17">
      <c r="C756" s="151"/>
      <c r="D756" s="151" t="s">
        <v>379</v>
      </c>
      <c r="E756" s="151"/>
      <c r="F756" s="152"/>
      <c r="G756" s="152"/>
      <c r="H756" s="152"/>
      <c r="I756" s="152"/>
      <c r="J756" s="151"/>
      <c r="K756" s="151"/>
      <c r="L756" s="152"/>
      <c r="M756" s="151"/>
      <c r="O756" s="69"/>
      <c r="P756" s="69"/>
      <c r="Q756" s="69"/>
    </row>
    <row r="757" spans="2:17">
      <c r="B757" s="144" t="str">
        <f>'Autoproducers Calculations'!$C$223</f>
        <v>CHPAUTOGENOIL00</v>
      </c>
      <c r="C757" s="151" t="s">
        <v>111</v>
      </c>
      <c r="D757" s="151"/>
      <c r="E757" s="151">
        <f>IF('Autoproducers Calculations'!U$181&gt;0,'Autoproducers Calculations'!#REF!/'Autoproducers Calculations'!U$181,0)</f>
        <v>0</v>
      </c>
      <c r="F757" s="152">
        <v>31.536000000000001</v>
      </c>
      <c r="G757" s="152">
        <f>'Autoproducers Calculations'!U$209</f>
        <v>0.2976627807790731</v>
      </c>
      <c r="H757" s="152">
        <f>'Autoproducers Calculations'!U$207</f>
        <v>2.0030949105914715</v>
      </c>
      <c r="I757" s="152">
        <f>'Autoproducers Calculations'!U$206</f>
        <v>0.41931981751201536</v>
      </c>
      <c r="J757" s="151">
        <v>20</v>
      </c>
      <c r="K757" s="151">
        <v>1</v>
      </c>
      <c r="L757" s="152">
        <f>'Autoproducers Calculations'!U$226</f>
        <v>0</v>
      </c>
      <c r="M757" s="151">
        <v>0</v>
      </c>
      <c r="O757" s="69">
        <f t="shared" ref="O757" si="179">L757*F757*I757</f>
        <v>0</v>
      </c>
      <c r="P757" s="69">
        <f t="shared" ref="P757" si="180">O757*H757</f>
        <v>0</v>
      </c>
      <c r="Q757" s="69">
        <f>O757/G757</f>
        <v>0</v>
      </c>
    </row>
    <row r="758" spans="2:17">
      <c r="C758" s="151" t="s">
        <v>112</v>
      </c>
      <c r="D758" s="151"/>
      <c r="E758" s="151"/>
      <c r="F758" s="152"/>
      <c r="G758" s="152"/>
      <c r="H758" s="152"/>
      <c r="I758" s="152"/>
      <c r="J758" s="151"/>
      <c r="K758" s="151"/>
      <c r="L758" s="152"/>
      <c r="M758" s="151"/>
      <c r="O758" s="69"/>
      <c r="P758" s="69"/>
      <c r="Q758" s="69"/>
    </row>
    <row r="759" spans="2:17">
      <c r="C759" s="151"/>
      <c r="D759" s="151" t="s">
        <v>105</v>
      </c>
      <c r="E759" s="151"/>
      <c r="F759" s="152"/>
      <c r="G759" s="152"/>
      <c r="H759" s="152"/>
      <c r="I759" s="152"/>
      <c r="J759" s="151"/>
      <c r="K759" s="151"/>
      <c r="L759" s="152"/>
      <c r="M759" s="151"/>
      <c r="O759" s="69"/>
      <c r="P759" s="69"/>
      <c r="Q759" s="69"/>
    </row>
    <row r="760" spans="2:17">
      <c r="C760" s="151"/>
      <c r="D760" s="151" t="s">
        <v>106</v>
      </c>
      <c r="E760" s="151"/>
      <c r="F760" s="152"/>
      <c r="G760" s="152"/>
      <c r="H760" s="152"/>
      <c r="I760" s="152"/>
      <c r="J760" s="151"/>
      <c r="K760" s="151"/>
      <c r="L760" s="152"/>
      <c r="M760" s="151"/>
      <c r="O760" s="69"/>
      <c r="P760" s="69"/>
      <c r="Q760" s="69"/>
    </row>
    <row r="761" spans="2:17">
      <c r="C761" s="151"/>
      <c r="D761" s="151" t="s">
        <v>380</v>
      </c>
      <c r="E761" s="151"/>
      <c r="F761" s="152"/>
      <c r="G761" s="152"/>
      <c r="H761" s="152"/>
      <c r="I761" s="152"/>
      <c r="J761" s="151"/>
      <c r="K761" s="151"/>
      <c r="L761" s="152"/>
      <c r="M761" s="151"/>
      <c r="O761" s="69"/>
      <c r="P761" s="69"/>
      <c r="Q761" s="69"/>
    </row>
    <row r="762" spans="2:17">
      <c r="C762" s="151"/>
      <c r="D762" s="151" t="s">
        <v>379</v>
      </c>
      <c r="E762" s="151"/>
      <c r="F762" s="152"/>
      <c r="G762" s="152"/>
      <c r="H762" s="152"/>
      <c r="I762" s="152"/>
      <c r="J762" s="151"/>
      <c r="K762" s="151"/>
      <c r="L762" s="152"/>
      <c r="M762" s="151"/>
      <c r="O762" s="69"/>
      <c r="P762" s="69"/>
      <c r="Q762" s="69"/>
    </row>
    <row r="763" spans="2:17">
      <c r="C763" s="151"/>
      <c r="D763" s="151" t="s">
        <v>1342</v>
      </c>
      <c r="E763" s="151"/>
      <c r="F763" s="152"/>
      <c r="G763" s="152"/>
      <c r="H763" s="152"/>
      <c r="I763" s="152"/>
      <c r="J763" s="151"/>
      <c r="K763" s="151"/>
      <c r="L763" s="152"/>
      <c r="M763" s="151"/>
      <c r="O763" s="69"/>
      <c r="P763" s="69"/>
      <c r="Q763" s="69"/>
    </row>
    <row r="764" spans="2:17">
      <c r="C764" s="151"/>
      <c r="D764" s="151" t="s">
        <v>382</v>
      </c>
      <c r="E764" s="151"/>
      <c r="F764" s="152"/>
      <c r="G764" s="152"/>
      <c r="H764" s="152"/>
      <c r="I764" s="152"/>
      <c r="J764" s="151"/>
      <c r="K764" s="151"/>
      <c r="L764" s="152"/>
      <c r="M764" s="151"/>
      <c r="O764" s="69"/>
      <c r="P764" s="69"/>
      <c r="Q764" s="69"/>
    </row>
    <row r="765" spans="2:17">
      <c r="B765" s="144" t="str">
        <f>'Autoproducers Calculations'!$C$232</f>
        <v>CHPAUTOGENGAS00</v>
      </c>
      <c r="C765" s="151" t="s">
        <v>113</v>
      </c>
      <c r="D765" s="151"/>
      <c r="E765" s="151"/>
      <c r="F765" s="152">
        <v>31.536000000000001</v>
      </c>
      <c r="G765" s="152">
        <f>'Autoproducers Calculations'!U$209</f>
        <v>0.2976627807790731</v>
      </c>
      <c r="H765" s="152">
        <f>'Autoproducers Calculations'!U$207</f>
        <v>2.0030949105914715</v>
      </c>
      <c r="I765" s="152">
        <f>'Autoproducers Calculations'!U$206</f>
        <v>0.41931981751201536</v>
      </c>
      <c r="J765" s="151">
        <v>20</v>
      </c>
      <c r="K765" s="151">
        <v>1</v>
      </c>
      <c r="L765" s="152">
        <f>'Autoproducers Calculations'!U$235</f>
        <v>9.1520000000000004E-2</v>
      </c>
      <c r="M765" s="151">
        <v>0</v>
      </c>
      <c r="O765" s="69">
        <f t="shared" ref="O765" si="181">L765*F765*I765</f>
        <v>1.210230256898192</v>
      </c>
      <c r="P765" s="69">
        <f t="shared" ref="P765" si="182">O765*H765</f>
        <v>2.4242060682365776</v>
      </c>
      <c r="Q765" s="69">
        <f>O765/G765</f>
        <v>4.065776224124007</v>
      </c>
    </row>
    <row r="766" spans="2:17">
      <c r="C766" s="151"/>
      <c r="D766" s="151" t="s">
        <v>105</v>
      </c>
      <c r="E766" s="151"/>
      <c r="F766" s="152"/>
      <c r="G766" s="152"/>
      <c r="H766" s="152"/>
      <c r="I766" s="152"/>
      <c r="J766" s="151"/>
      <c r="K766" s="151"/>
      <c r="L766" s="152"/>
      <c r="M766" s="151"/>
      <c r="O766" s="69"/>
      <c r="P766" s="69"/>
      <c r="Q766" s="69"/>
    </row>
    <row r="767" spans="2:17">
      <c r="C767" s="151"/>
      <c r="D767" s="151" t="s">
        <v>106</v>
      </c>
      <c r="E767" s="151"/>
      <c r="F767" s="152"/>
      <c r="G767" s="152"/>
      <c r="H767" s="152"/>
      <c r="I767" s="152"/>
      <c r="J767" s="151"/>
      <c r="K767" s="151"/>
      <c r="L767" s="152"/>
      <c r="M767" s="151"/>
      <c r="O767" s="69"/>
      <c r="P767" s="69"/>
      <c r="Q767" s="69"/>
    </row>
    <row r="768" spans="2:17">
      <c r="C768" s="151"/>
      <c r="D768" s="151" t="s">
        <v>1342</v>
      </c>
      <c r="E768" s="151"/>
      <c r="F768" s="152"/>
      <c r="G768" s="152"/>
      <c r="H768" s="152"/>
      <c r="I768" s="152"/>
      <c r="J768" s="151"/>
      <c r="K768" s="151"/>
      <c r="L768" s="152"/>
      <c r="M768" s="151"/>
      <c r="O768" s="69"/>
      <c r="P768" s="69"/>
      <c r="Q768" s="69"/>
    </row>
    <row r="769" spans="2:17">
      <c r="C769" s="151"/>
      <c r="D769" s="151" t="s">
        <v>378</v>
      </c>
      <c r="E769" s="151"/>
      <c r="F769" s="152"/>
      <c r="G769" s="152"/>
      <c r="H769" s="152"/>
      <c r="I769" s="152"/>
      <c r="J769" s="151"/>
      <c r="K769" s="151"/>
      <c r="L769" s="152"/>
      <c r="M769" s="151"/>
      <c r="O769" s="69"/>
      <c r="P769" s="69"/>
      <c r="Q769" s="69"/>
    </row>
    <row r="770" spans="2:17">
      <c r="C770" s="151"/>
      <c r="D770" s="151" t="s">
        <v>421</v>
      </c>
      <c r="E770" s="151"/>
      <c r="F770" s="152"/>
      <c r="G770" s="152"/>
      <c r="H770" s="152"/>
      <c r="I770" s="152"/>
      <c r="J770" s="151"/>
      <c r="K770" s="151"/>
      <c r="L770" s="152"/>
      <c r="M770" s="151"/>
      <c r="O770" s="69"/>
      <c r="P770" s="69"/>
      <c r="Q770" s="69"/>
    </row>
    <row r="771" spans="2:17">
      <c r="C771" s="151"/>
      <c r="D771" s="151" t="s">
        <v>380</v>
      </c>
      <c r="E771" s="151"/>
      <c r="F771" s="152"/>
      <c r="G771" s="152"/>
      <c r="H771" s="152"/>
      <c r="I771" s="152"/>
      <c r="J771" s="151"/>
      <c r="K771" s="151"/>
      <c r="L771" s="152"/>
      <c r="M771" s="151"/>
      <c r="O771" s="69"/>
      <c r="P771" s="69"/>
      <c r="Q771" s="69"/>
    </row>
    <row r="772" spans="2:17">
      <c r="C772" s="151"/>
      <c r="D772" s="151" t="s">
        <v>379</v>
      </c>
      <c r="E772" s="151"/>
      <c r="F772" s="152"/>
      <c r="G772" s="152"/>
      <c r="H772" s="152"/>
      <c r="I772" s="152"/>
      <c r="J772" s="151"/>
      <c r="K772" s="151"/>
      <c r="L772" s="152"/>
      <c r="M772" s="151"/>
      <c r="O772" s="69"/>
      <c r="P772" s="69"/>
      <c r="Q772" s="69"/>
    </row>
    <row r="773" spans="2:17">
      <c r="C773" s="151"/>
      <c r="D773" s="151" t="s">
        <v>381</v>
      </c>
      <c r="E773" s="151"/>
      <c r="F773" s="152"/>
      <c r="G773" s="152"/>
      <c r="H773" s="152"/>
      <c r="I773" s="152"/>
      <c r="J773" s="151"/>
      <c r="K773" s="151"/>
      <c r="L773" s="152"/>
      <c r="M773" s="151"/>
      <c r="O773" s="69"/>
      <c r="P773" s="69"/>
      <c r="Q773" s="69"/>
    </row>
    <row r="774" spans="2:17">
      <c r="C774" s="151"/>
      <c r="D774" s="151" t="s">
        <v>382</v>
      </c>
      <c r="E774" s="151"/>
      <c r="F774" s="152"/>
      <c r="G774" s="152"/>
      <c r="H774" s="152"/>
      <c r="I774" s="152"/>
      <c r="J774" s="151"/>
      <c r="K774" s="151"/>
      <c r="L774" s="152"/>
      <c r="M774" s="151"/>
      <c r="O774" s="69"/>
      <c r="P774" s="69"/>
      <c r="Q774" s="69"/>
    </row>
    <row r="775" spans="2:17">
      <c r="B775" s="144" t="str">
        <f>'Autoproducers Calculations'!$C$241</f>
        <v>CHPAUTOGENBIO00</v>
      </c>
      <c r="C775" s="151" t="s">
        <v>116</v>
      </c>
      <c r="D775" s="151"/>
      <c r="E775" s="151"/>
      <c r="F775" s="152">
        <v>31.536000000000001</v>
      </c>
      <c r="G775" s="152">
        <f>'Autoproducers Calculations'!U$209</f>
        <v>0.2976627807790731</v>
      </c>
      <c r="H775" s="152">
        <f>'Autoproducers Calculations'!U$207</f>
        <v>2.0030949105914715</v>
      </c>
      <c r="I775" s="152">
        <f>'Autoproducers Calculations'!U$206</f>
        <v>0.41931981751201536</v>
      </c>
      <c r="J775" s="151">
        <v>20</v>
      </c>
      <c r="K775" s="151">
        <v>1</v>
      </c>
      <c r="L775" s="152">
        <f>'Autoproducers Calculations'!U$244</f>
        <v>0</v>
      </c>
      <c r="M775" s="151">
        <v>0</v>
      </c>
      <c r="O775" s="69">
        <f t="shared" ref="O775" si="183">L775*F775*I775</f>
        <v>0</v>
      </c>
      <c r="P775" s="69">
        <f t="shared" ref="P775" si="184">O775*H775</f>
        <v>0</v>
      </c>
      <c r="Q775" s="69">
        <f>O775/G775</f>
        <v>0</v>
      </c>
    </row>
    <row r="776" spans="2:17">
      <c r="C776" s="151"/>
      <c r="D776" s="151" t="s">
        <v>105</v>
      </c>
      <c r="E776" s="151"/>
      <c r="F776" s="152"/>
      <c r="G776" s="152"/>
      <c r="H776" s="152"/>
      <c r="I776" s="152"/>
      <c r="J776" s="151"/>
      <c r="K776" s="151"/>
      <c r="L776" s="152"/>
      <c r="M776" s="151"/>
      <c r="O776" s="69"/>
      <c r="P776" s="69"/>
      <c r="Q776" s="69"/>
    </row>
    <row r="777" spans="2:17">
      <c r="C777" s="151"/>
      <c r="D777" s="151" t="s">
        <v>106</v>
      </c>
      <c r="E777" s="151"/>
      <c r="F777" s="152"/>
      <c r="G777" s="152"/>
      <c r="H777" s="152"/>
      <c r="I777" s="152"/>
      <c r="J777" s="151"/>
      <c r="K777" s="151"/>
      <c r="L777" s="152"/>
      <c r="M777" s="151"/>
      <c r="O777" s="69"/>
      <c r="P777" s="69"/>
      <c r="Q777" s="69"/>
    </row>
    <row r="778" spans="2:17">
      <c r="C778" s="151"/>
      <c r="D778" s="151" t="s">
        <v>380</v>
      </c>
      <c r="E778" s="151"/>
      <c r="F778" s="152"/>
      <c r="G778" s="152"/>
      <c r="H778" s="152"/>
      <c r="I778" s="152"/>
      <c r="J778" s="151"/>
      <c r="K778" s="151"/>
      <c r="L778" s="151"/>
      <c r="M778" s="151"/>
      <c r="O778" s="69"/>
      <c r="P778" s="69"/>
      <c r="Q778" s="69"/>
    </row>
    <row r="779" spans="2:17">
      <c r="C779" s="151"/>
      <c r="D779" s="151" t="s">
        <v>379</v>
      </c>
      <c r="E779" s="151"/>
      <c r="F779" s="152"/>
      <c r="G779" s="152"/>
      <c r="H779" s="152"/>
      <c r="I779" s="152"/>
      <c r="J779" s="151"/>
      <c r="K779" s="151"/>
      <c r="L779" s="151"/>
      <c r="M779" s="151"/>
      <c r="O779" s="69"/>
      <c r="P779" s="69"/>
      <c r="Q779" s="69"/>
    </row>
    <row r="780" spans="2:17">
      <c r="C780" s="151"/>
      <c r="D780" s="151" t="s">
        <v>381</v>
      </c>
      <c r="E780" s="151"/>
      <c r="F780" s="152"/>
      <c r="G780" s="152"/>
      <c r="H780" s="152"/>
      <c r="I780" s="152"/>
      <c r="J780" s="151"/>
      <c r="K780" s="151"/>
      <c r="L780" s="151"/>
      <c r="M780" s="151"/>
      <c r="O780" s="69"/>
      <c r="P780" s="69"/>
      <c r="Q780" s="69"/>
    </row>
    <row r="781" spans="2:17">
      <c r="C781" s="151"/>
      <c r="D781" s="151" t="s">
        <v>382</v>
      </c>
      <c r="E781" s="151"/>
      <c r="F781" s="152"/>
      <c r="G781" s="152"/>
      <c r="H781" s="152"/>
      <c r="I781" s="152"/>
      <c r="J781" s="151"/>
      <c r="K781" s="151"/>
      <c r="L781" s="151"/>
      <c r="M781" s="151"/>
      <c r="O781" s="69"/>
      <c r="P781" s="69"/>
      <c r="Q781" s="69"/>
    </row>
    <row r="782" spans="2:17">
      <c r="B782" s="144" t="str">
        <f>'Autoproducers Calculations'!$C$250</f>
        <v>CHPAUTOGENWASTE00</v>
      </c>
      <c r="C782" s="151" t="s">
        <v>117</v>
      </c>
      <c r="D782" s="151"/>
      <c r="E782" s="151"/>
      <c r="F782" s="152">
        <v>31.536000000000001</v>
      </c>
      <c r="G782" s="152">
        <f>'Autoproducers Calculations'!U$209</f>
        <v>0.2976627807790731</v>
      </c>
      <c r="H782" s="152">
        <f>'Autoproducers Calculations'!U$207</f>
        <v>2.0030949105914715</v>
      </c>
      <c r="I782" s="152">
        <f>'Autoproducers Calculations'!U$206</f>
        <v>0.41931981751201536</v>
      </c>
      <c r="J782" s="151">
        <v>20</v>
      </c>
      <c r="K782" s="151">
        <v>1</v>
      </c>
      <c r="L782" s="152">
        <f>'Autoproducers Calculations'!U$253</f>
        <v>0</v>
      </c>
      <c r="M782" s="151">
        <v>0</v>
      </c>
      <c r="O782" s="69">
        <f t="shared" ref="O782" si="185">L782*F782*I782</f>
        <v>0</v>
      </c>
      <c r="P782" s="69">
        <f t="shared" ref="P782" si="186">O782*H782</f>
        <v>0</v>
      </c>
      <c r="Q782" s="69">
        <f>O782/G782</f>
        <v>0</v>
      </c>
    </row>
    <row r="783" spans="2:17">
      <c r="C783" s="151" t="s">
        <v>118</v>
      </c>
      <c r="D783" s="151"/>
      <c r="E783" s="151"/>
      <c r="F783" s="152"/>
      <c r="G783" s="152"/>
      <c r="H783" s="152"/>
      <c r="I783" s="152"/>
      <c r="J783" s="151"/>
      <c r="K783" s="151"/>
      <c r="L783" s="151"/>
      <c r="M783" s="151"/>
      <c r="O783" s="69"/>
      <c r="P783" s="69"/>
      <c r="Q783" s="69"/>
    </row>
    <row r="784" spans="2:17">
      <c r="C784" s="151"/>
      <c r="D784" s="151" t="s">
        <v>105</v>
      </c>
      <c r="E784" s="151"/>
      <c r="F784" s="152"/>
      <c r="G784" s="152"/>
      <c r="H784" s="152"/>
      <c r="I784" s="152"/>
      <c r="J784" s="151"/>
      <c r="K784" s="151"/>
      <c r="L784" s="151"/>
      <c r="M784" s="151"/>
      <c r="O784" s="719">
        <f>SUM(O742:O782)</f>
        <v>1.210230256898192</v>
      </c>
      <c r="P784" s="719">
        <f>SUM(P742:P782)</f>
        <v>2.4242060682365776</v>
      </c>
      <c r="Q784" s="719">
        <f>SUM(Q742:Q782)</f>
        <v>4.065776224124007</v>
      </c>
    </row>
    <row r="785" spans="1:17">
      <c r="C785" s="151"/>
      <c r="D785" s="151" t="s">
        <v>106</v>
      </c>
      <c r="E785" s="151"/>
      <c r="F785" s="152"/>
      <c r="G785" s="152"/>
      <c r="H785" s="152"/>
      <c r="I785" s="152"/>
      <c r="J785" s="151"/>
      <c r="K785" s="151"/>
      <c r="L785" s="151"/>
      <c r="M785" s="151"/>
    </row>
    <row r="786" spans="1:17">
      <c r="C786" s="151"/>
      <c r="D786" s="151" t="s">
        <v>381</v>
      </c>
      <c r="E786" s="151"/>
      <c r="F786" s="152"/>
      <c r="G786" s="152"/>
      <c r="H786" s="152"/>
      <c r="I786" s="152"/>
      <c r="J786" s="151"/>
      <c r="K786" s="151"/>
      <c r="L786" s="151"/>
      <c r="M786" s="151"/>
    </row>
    <row r="787" spans="1:17">
      <c r="C787" s="151"/>
      <c r="D787" s="151" t="s">
        <v>382</v>
      </c>
      <c r="E787" s="151"/>
      <c r="F787" s="151"/>
      <c r="G787" s="151"/>
      <c r="H787" s="151"/>
      <c r="I787" s="151"/>
      <c r="J787" s="151"/>
      <c r="K787" s="151"/>
      <c r="L787" s="151"/>
      <c r="M787" s="151"/>
      <c r="O787" s="677" t="s">
        <v>390</v>
      </c>
      <c r="P787" s="677" t="s">
        <v>406</v>
      </c>
      <c r="Q787" s="677" t="s">
        <v>1304</v>
      </c>
    </row>
    <row r="788" spans="1:17">
      <c r="A788" s="64" t="s">
        <v>50</v>
      </c>
      <c r="B788" s="144" t="str">
        <f>'Autoproducers Calculations'!$C$205</f>
        <v>CHPAUTOGENSOLID00</v>
      </c>
      <c r="C788" s="151" t="s">
        <v>107</v>
      </c>
      <c r="D788" s="151"/>
      <c r="E788" s="151"/>
      <c r="F788" s="152">
        <v>31.536000000000001</v>
      </c>
      <c r="G788" s="152">
        <f>'Autoproducers Calculations'!V$209</f>
        <v>0.15085020242914979</v>
      </c>
      <c r="H788" s="152">
        <f>'Autoproducers Calculations'!V$207</f>
        <v>4.7101449275362315</v>
      </c>
      <c r="I788" s="152">
        <f>'Autoproducers Calculations'!V$206</f>
        <v>0.45101959318995727</v>
      </c>
      <c r="J788" s="151">
        <v>20</v>
      </c>
      <c r="K788" s="151">
        <v>1</v>
      </c>
      <c r="L788" s="152">
        <f>'Autoproducers Calculations'!V$208</f>
        <v>0</v>
      </c>
      <c r="M788" s="151">
        <v>0</v>
      </c>
      <c r="O788" s="69">
        <f>L788*F788*I788</f>
        <v>0</v>
      </c>
      <c r="P788" s="69">
        <f t="shared" ref="P788" si="187">O788*H788</f>
        <v>0</v>
      </c>
      <c r="Q788" s="69">
        <f>O788/G788</f>
        <v>0</v>
      </c>
    </row>
    <row r="789" spans="1:17">
      <c r="C789" s="151" t="s">
        <v>108</v>
      </c>
      <c r="D789" s="151"/>
      <c r="E789" s="152">
        <f>'Eurostat Resume'!W10</f>
        <v>0</v>
      </c>
      <c r="F789" s="152"/>
      <c r="G789" s="152"/>
      <c r="H789" s="152"/>
      <c r="I789" s="152"/>
      <c r="J789" s="151"/>
      <c r="K789" s="151"/>
      <c r="L789" s="152"/>
      <c r="M789" s="151"/>
      <c r="O789" s="69"/>
      <c r="P789" s="69"/>
      <c r="Q789" s="69"/>
    </row>
    <row r="790" spans="1:17">
      <c r="C790" s="151"/>
      <c r="D790" s="151" t="s">
        <v>105</v>
      </c>
      <c r="E790" s="151"/>
      <c r="F790" s="152"/>
      <c r="G790" s="152"/>
      <c r="H790" s="152"/>
      <c r="I790" s="152"/>
      <c r="J790" s="151"/>
      <c r="K790" s="151"/>
      <c r="L790" s="152"/>
      <c r="M790" s="151"/>
      <c r="O790" s="69"/>
      <c r="P790" s="69"/>
      <c r="Q790" s="69"/>
    </row>
    <row r="791" spans="1:17">
      <c r="C791" s="151"/>
      <c r="D791" s="151" t="s">
        <v>106</v>
      </c>
      <c r="E791" s="151"/>
      <c r="F791" s="152"/>
      <c r="G791" s="152"/>
      <c r="H791" s="152"/>
      <c r="I791" s="152"/>
      <c r="J791" s="151"/>
      <c r="K791" s="151"/>
      <c r="L791" s="152"/>
      <c r="M791" s="151"/>
      <c r="O791" s="69"/>
      <c r="P791" s="69"/>
      <c r="Q791" s="69"/>
    </row>
    <row r="792" spans="1:17">
      <c r="C792" s="151"/>
      <c r="D792" s="151" t="s">
        <v>378</v>
      </c>
      <c r="E792" s="151"/>
      <c r="F792" s="152"/>
      <c r="G792" s="152"/>
      <c r="H792" s="152"/>
      <c r="I792" s="152"/>
      <c r="J792" s="151"/>
      <c r="K792" s="151"/>
      <c r="L792" s="152"/>
      <c r="M792" s="151"/>
      <c r="O792" s="69"/>
      <c r="P792" s="69"/>
      <c r="Q792" s="69"/>
    </row>
    <row r="793" spans="1:17">
      <c r="C793" s="151"/>
      <c r="D793" s="151" t="s">
        <v>380</v>
      </c>
      <c r="E793" s="151"/>
      <c r="F793" s="152"/>
      <c r="G793" s="152"/>
      <c r="H793" s="152"/>
      <c r="I793" s="152"/>
      <c r="J793" s="151"/>
      <c r="K793" s="151"/>
      <c r="L793" s="152"/>
      <c r="M793" s="151"/>
      <c r="O793" s="69"/>
      <c r="P793" s="69"/>
      <c r="Q793" s="69"/>
    </row>
    <row r="794" spans="1:17">
      <c r="C794" s="151"/>
      <c r="D794" s="151" t="s">
        <v>379</v>
      </c>
      <c r="E794" s="151"/>
      <c r="F794" s="152"/>
      <c r="G794" s="152"/>
      <c r="H794" s="152"/>
      <c r="I794" s="152"/>
      <c r="J794" s="151"/>
      <c r="K794" s="151"/>
      <c r="L794" s="152"/>
      <c r="M794" s="151"/>
      <c r="O794" s="69"/>
      <c r="P794" s="69"/>
      <c r="Q794" s="69"/>
    </row>
    <row r="795" spans="1:17">
      <c r="C795" s="151"/>
      <c r="D795" s="151" t="s">
        <v>381</v>
      </c>
      <c r="E795" s="151"/>
      <c r="F795" s="152"/>
      <c r="G795" s="152"/>
      <c r="H795" s="152"/>
      <c r="I795" s="152"/>
      <c r="J795" s="151"/>
      <c r="K795" s="151"/>
      <c r="L795" s="152"/>
      <c r="M795" s="151"/>
      <c r="O795" s="69"/>
      <c r="P795" s="69"/>
      <c r="Q795" s="69"/>
    </row>
    <row r="796" spans="1:17">
      <c r="C796" s="151"/>
      <c r="D796" s="151" t="s">
        <v>382</v>
      </c>
      <c r="E796" s="151"/>
      <c r="F796" s="152"/>
      <c r="G796" s="152"/>
      <c r="H796" s="152"/>
      <c r="I796" s="152"/>
      <c r="J796" s="151"/>
      <c r="K796" s="151"/>
      <c r="L796" s="152"/>
      <c r="M796" s="151"/>
      <c r="O796" s="69"/>
      <c r="P796" s="69"/>
      <c r="Q796" s="69"/>
    </row>
    <row r="797" spans="1:17">
      <c r="B797" s="144" t="str">
        <f>'Autoproducers Calculations'!$C$214</f>
        <v>CHPAUTOGENRFG00</v>
      </c>
      <c r="C797" s="151" t="s">
        <v>110</v>
      </c>
      <c r="D797" s="151"/>
      <c r="E797" s="151"/>
      <c r="F797" s="152">
        <v>31.536000000000001</v>
      </c>
      <c r="G797" s="152">
        <f>'Autoproducers Calculations'!V$209</f>
        <v>0.15085020242914979</v>
      </c>
      <c r="H797" s="152">
        <f>'Autoproducers Calculations'!V$207</f>
        <v>4.7101449275362315</v>
      </c>
      <c r="I797" s="152">
        <f>'Autoproducers Calculations'!V$206</f>
        <v>0.45101959318995727</v>
      </c>
      <c r="J797" s="151">
        <v>20</v>
      </c>
      <c r="K797" s="151">
        <v>1</v>
      </c>
      <c r="L797" s="152">
        <f>'Autoproducers Calculations'!V$217</f>
        <v>0</v>
      </c>
      <c r="M797" s="151">
        <v>0</v>
      </c>
      <c r="O797" s="69">
        <f t="shared" ref="O797" si="188">L797*F797*I797</f>
        <v>0</v>
      </c>
      <c r="P797" s="69">
        <f t="shared" ref="P797" si="189">O797*H797</f>
        <v>0</v>
      </c>
      <c r="Q797" s="69">
        <f>O797/G797</f>
        <v>0</v>
      </c>
    </row>
    <row r="798" spans="1:17">
      <c r="C798" s="151"/>
      <c r="D798" s="151" t="s">
        <v>105</v>
      </c>
      <c r="E798" s="151"/>
      <c r="F798" s="152"/>
      <c r="G798" s="152"/>
      <c r="H798" s="152"/>
      <c r="I798" s="152"/>
      <c r="J798" s="151"/>
      <c r="K798" s="151"/>
      <c r="L798" s="152"/>
      <c r="M798" s="151"/>
      <c r="O798" s="69"/>
      <c r="P798" s="69"/>
      <c r="Q798" s="69"/>
    </row>
    <row r="799" spans="1:17">
      <c r="C799" s="151"/>
      <c r="D799" s="151" t="s">
        <v>106</v>
      </c>
      <c r="E799" s="151"/>
      <c r="F799" s="152"/>
      <c r="G799" s="152"/>
      <c r="H799" s="152"/>
      <c r="I799" s="152"/>
      <c r="J799" s="151"/>
      <c r="K799" s="151"/>
      <c r="L799" s="152"/>
      <c r="M799" s="151"/>
      <c r="O799" s="69"/>
      <c r="P799" s="69"/>
      <c r="Q799" s="69"/>
    </row>
    <row r="800" spans="1:17">
      <c r="C800" s="151"/>
      <c r="D800" s="151" t="s">
        <v>1342</v>
      </c>
      <c r="E800" s="151"/>
      <c r="F800" s="152"/>
      <c r="G800" s="152"/>
      <c r="H800" s="152"/>
      <c r="I800" s="152"/>
      <c r="J800" s="151"/>
      <c r="K800" s="151"/>
      <c r="L800" s="152"/>
      <c r="M800" s="151"/>
      <c r="O800" s="69"/>
      <c r="P800" s="69"/>
      <c r="Q800" s="69"/>
    </row>
    <row r="801" spans="2:17">
      <c r="C801" s="151"/>
      <c r="D801" s="151" t="s">
        <v>380</v>
      </c>
      <c r="E801" s="151"/>
      <c r="F801" s="152"/>
      <c r="G801" s="152"/>
      <c r="H801" s="152"/>
      <c r="I801" s="152"/>
      <c r="J801" s="151"/>
      <c r="K801" s="151"/>
      <c r="L801" s="152"/>
      <c r="M801" s="151"/>
      <c r="O801" s="69"/>
      <c r="P801" s="69"/>
      <c r="Q801" s="69"/>
    </row>
    <row r="802" spans="2:17">
      <c r="C802" s="151"/>
      <c r="D802" s="151" t="s">
        <v>379</v>
      </c>
      <c r="E802" s="151"/>
      <c r="F802" s="152"/>
      <c r="G802" s="152"/>
      <c r="H802" s="152"/>
      <c r="I802" s="152"/>
      <c r="J802" s="151"/>
      <c r="K802" s="151"/>
      <c r="L802" s="152"/>
      <c r="M802" s="151"/>
      <c r="O802" s="69"/>
      <c r="P802" s="69"/>
      <c r="Q802" s="69"/>
    </row>
    <row r="803" spans="2:17">
      <c r="B803" s="144" t="str">
        <f>'Autoproducers Calculations'!$C$223</f>
        <v>CHPAUTOGENOIL00</v>
      </c>
      <c r="C803" s="151" t="s">
        <v>111</v>
      </c>
      <c r="D803" s="151"/>
      <c r="E803" s="151">
        <v>0</v>
      </c>
      <c r="F803" s="152">
        <v>31.536000000000001</v>
      </c>
      <c r="G803" s="152">
        <f>'Autoproducers Calculations'!V$209</f>
        <v>0.15085020242914979</v>
      </c>
      <c r="H803" s="152">
        <f>'Autoproducers Calculations'!V$207</f>
        <v>4.7101449275362315</v>
      </c>
      <c r="I803" s="152">
        <f>'Autoproducers Calculations'!V$206</f>
        <v>0.45101959318995727</v>
      </c>
      <c r="J803" s="151">
        <v>20</v>
      </c>
      <c r="K803" s="151">
        <v>1</v>
      </c>
      <c r="L803" s="152">
        <f>'Autoproducers Calculations'!V$226</f>
        <v>0</v>
      </c>
      <c r="M803" s="151">
        <v>0</v>
      </c>
      <c r="O803" s="69">
        <f t="shared" ref="O803" si="190">L803*F803*I803</f>
        <v>0</v>
      </c>
      <c r="P803" s="69">
        <f t="shared" ref="P803" si="191">O803*H803</f>
        <v>0</v>
      </c>
      <c r="Q803" s="69">
        <f>O803/G803</f>
        <v>0</v>
      </c>
    </row>
    <row r="804" spans="2:17">
      <c r="C804" s="151" t="s">
        <v>112</v>
      </c>
      <c r="D804" s="151"/>
      <c r="E804" s="151"/>
      <c r="F804" s="152"/>
      <c r="G804" s="152"/>
      <c r="H804" s="152"/>
      <c r="I804" s="152"/>
      <c r="J804" s="151"/>
      <c r="K804" s="151"/>
      <c r="L804" s="152"/>
      <c r="M804" s="151"/>
      <c r="O804" s="69"/>
      <c r="P804" s="69"/>
      <c r="Q804" s="69"/>
    </row>
    <row r="805" spans="2:17">
      <c r="C805" s="151"/>
      <c r="D805" s="151" t="s">
        <v>105</v>
      </c>
      <c r="E805" s="151"/>
      <c r="F805" s="152"/>
      <c r="G805" s="152"/>
      <c r="H805" s="152"/>
      <c r="I805" s="152"/>
      <c r="J805" s="151"/>
      <c r="K805" s="151"/>
      <c r="L805" s="152"/>
      <c r="M805" s="151"/>
      <c r="O805" s="69"/>
      <c r="P805" s="69"/>
      <c r="Q805" s="69"/>
    </row>
    <row r="806" spans="2:17">
      <c r="C806" s="151"/>
      <c r="D806" s="151" t="s">
        <v>106</v>
      </c>
      <c r="E806" s="151"/>
      <c r="F806" s="152"/>
      <c r="G806" s="152"/>
      <c r="H806" s="152"/>
      <c r="I806" s="152"/>
      <c r="J806" s="151"/>
      <c r="K806" s="151"/>
      <c r="L806" s="152"/>
      <c r="M806" s="151"/>
      <c r="O806" s="69"/>
      <c r="P806" s="69"/>
      <c r="Q806" s="69"/>
    </row>
    <row r="807" spans="2:17">
      <c r="C807" s="151"/>
      <c r="D807" s="151" t="s">
        <v>380</v>
      </c>
      <c r="E807" s="151"/>
      <c r="F807" s="152"/>
      <c r="G807" s="152"/>
      <c r="H807" s="152"/>
      <c r="I807" s="152"/>
      <c r="J807" s="151"/>
      <c r="K807" s="151"/>
      <c r="L807" s="152"/>
      <c r="M807" s="151"/>
      <c r="O807" s="69"/>
      <c r="P807" s="69"/>
      <c r="Q807" s="69"/>
    </row>
    <row r="808" spans="2:17">
      <c r="C808" s="151"/>
      <c r="D808" s="151" t="s">
        <v>379</v>
      </c>
      <c r="E808" s="151"/>
      <c r="F808" s="152"/>
      <c r="G808" s="152"/>
      <c r="H808" s="152"/>
      <c r="I808" s="152"/>
      <c r="J808" s="151"/>
      <c r="K808" s="151"/>
      <c r="L808" s="152"/>
      <c r="M808" s="151"/>
      <c r="O808" s="69"/>
      <c r="P808" s="69"/>
      <c r="Q808" s="69"/>
    </row>
    <row r="809" spans="2:17">
      <c r="C809" s="151"/>
      <c r="D809" s="151" t="s">
        <v>1342</v>
      </c>
      <c r="E809" s="151"/>
      <c r="F809" s="152"/>
      <c r="G809" s="152"/>
      <c r="H809" s="152"/>
      <c r="I809" s="152"/>
      <c r="J809" s="151"/>
      <c r="K809" s="151"/>
      <c r="L809" s="152"/>
      <c r="M809" s="151"/>
      <c r="O809" s="69"/>
      <c r="P809" s="69"/>
      <c r="Q809" s="69"/>
    </row>
    <row r="810" spans="2:17">
      <c r="C810" s="151"/>
      <c r="D810" s="151" t="s">
        <v>382</v>
      </c>
      <c r="E810" s="151"/>
      <c r="F810" s="152"/>
      <c r="G810" s="152"/>
      <c r="H810" s="152"/>
      <c r="I810" s="152"/>
      <c r="J810" s="151"/>
      <c r="K810" s="151"/>
      <c r="L810" s="152"/>
      <c r="M810" s="151"/>
      <c r="O810" s="69"/>
      <c r="P810" s="69"/>
      <c r="Q810" s="69"/>
    </row>
    <row r="811" spans="2:17">
      <c r="B811" s="144" t="str">
        <f>'Autoproducers Calculations'!$C$232</f>
        <v>CHPAUTOGENGAS00</v>
      </c>
      <c r="C811" s="151" t="s">
        <v>113</v>
      </c>
      <c r="D811" s="151"/>
      <c r="E811" s="151"/>
      <c r="F811" s="152">
        <v>31.536000000000001</v>
      </c>
      <c r="G811" s="152">
        <f>'Autoproducers Calculations'!V$209</f>
        <v>0.15085020242914979</v>
      </c>
      <c r="H811" s="152">
        <f>'Autoproducers Calculations'!V$207</f>
        <v>4.7101449275362315</v>
      </c>
      <c r="I811" s="152">
        <f>'Autoproducers Calculations'!V$206</f>
        <v>0.45101959318995727</v>
      </c>
      <c r="J811" s="151">
        <v>20</v>
      </c>
      <c r="K811" s="151">
        <v>1</v>
      </c>
      <c r="L811" s="152">
        <f>'Autoproducers Calculations'!V$235</f>
        <v>1.9557073170731704E-2</v>
      </c>
      <c r="M811" s="151">
        <v>0</v>
      </c>
      <c r="O811" s="69">
        <f t="shared" ref="O811" si="192">L811*F811*I811</f>
        <v>0.2781671727763399</v>
      </c>
      <c r="P811" s="69">
        <f t="shared" ref="P811" si="193">O811*H811</f>
        <v>1.3102076978595718</v>
      </c>
      <c r="Q811" s="69">
        <f>O811/G811</f>
        <v>1.8439960192097682</v>
      </c>
    </row>
    <row r="812" spans="2:17">
      <c r="C812" s="151"/>
      <c r="D812" s="151" t="s">
        <v>105</v>
      </c>
      <c r="E812" s="151"/>
      <c r="F812" s="152"/>
      <c r="G812" s="152"/>
      <c r="H812" s="152"/>
      <c r="I812" s="152"/>
      <c r="J812" s="151"/>
      <c r="K812" s="151"/>
      <c r="L812" s="152"/>
      <c r="M812" s="151"/>
      <c r="O812" s="69"/>
      <c r="P812" s="69"/>
      <c r="Q812" s="69"/>
    </row>
    <row r="813" spans="2:17">
      <c r="C813" s="151"/>
      <c r="D813" s="151" t="s">
        <v>106</v>
      </c>
      <c r="E813" s="151"/>
      <c r="F813" s="152"/>
      <c r="G813" s="152"/>
      <c r="H813" s="152"/>
      <c r="I813" s="152"/>
      <c r="J813" s="151"/>
      <c r="K813" s="151"/>
      <c r="L813" s="152"/>
      <c r="M813" s="151"/>
      <c r="O813" s="69"/>
      <c r="P813" s="69"/>
      <c r="Q813" s="69"/>
    </row>
    <row r="814" spans="2:17">
      <c r="C814" s="151"/>
      <c r="D814" s="151" t="s">
        <v>1342</v>
      </c>
      <c r="E814" s="151"/>
      <c r="F814" s="152"/>
      <c r="G814" s="152"/>
      <c r="H814" s="152"/>
      <c r="I814" s="152"/>
      <c r="J814" s="151"/>
      <c r="K814" s="151"/>
      <c r="L814" s="152"/>
      <c r="M814" s="151"/>
      <c r="O814" s="69"/>
      <c r="P814" s="69"/>
      <c r="Q814" s="69"/>
    </row>
    <row r="815" spans="2:17">
      <c r="C815" s="151"/>
      <c r="D815" s="151" t="s">
        <v>378</v>
      </c>
      <c r="E815" s="151"/>
      <c r="F815" s="152"/>
      <c r="G815" s="152"/>
      <c r="H815" s="152"/>
      <c r="I815" s="152"/>
      <c r="J815" s="151"/>
      <c r="K815" s="151"/>
      <c r="L815" s="152"/>
      <c r="M815" s="151"/>
      <c r="O815" s="69"/>
      <c r="P815" s="69"/>
      <c r="Q815" s="69"/>
    </row>
    <row r="816" spans="2:17">
      <c r="C816" s="151"/>
      <c r="D816" s="151" t="s">
        <v>421</v>
      </c>
      <c r="E816" s="151"/>
      <c r="F816" s="152"/>
      <c r="G816" s="152"/>
      <c r="H816" s="152"/>
      <c r="I816" s="152"/>
      <c r="J816" s="151"/>
      <c r="K816" s="151"/>
      <c r="L816" s="152"/>
      <c r="M816" s="151"/>
      <c r="O816" s="69"/>
      <c r="P816" s="69"/>
      <c r="Q816" s="69"/>
    </row>
    <row r="817" spans="2:17">
      <c r="C817" s="151"/>
      <c r="D817" s="151" t="s">
        <v>380</v>
      </c>
      <c r="E817" s="151"/>
      <c r="F817" s="152"/>
      <c r="G817" s="152"/>
      <c r="H817" s="152"/>
      <c r="I817" s="152"/>
      <c r="J817" s="151"/>
      <c r="K817" s="151"/>
      <c r="L817" s="152"/>
      <c r="M817" s="151"/>
      <c r="O817" s="69"/>
      <c r="P817" s="69"/>
      <c r="Q817" s="69"/>
    </row>
    <row r="818" spans="2:17">
      <c r="C818" s="151"/>
      <c r="D818" s="151" t="s">
        <v>379</v>
      </c>
      <c r="E818" s="151"/>
      <c r="F818" s="152"/>
      <c r="G818" s="152"/>
      <c r="H818" s="152"/>
      <c r="I818" s="152"/>
      <c r="J818" s="151"/>
      <c r="K818" s="151"/>
      <c r="L818" s="152"/>
      <c r="M818" s="151"/>
      <c r="O818" s="69"/>
      <c r="P818" s="69"/>
      <c r="Q818" s="69"/>
    </row>
    <row r="819" spans="2:17">
      <c r="C819" s="151"/>
      <c r="D819" s="151" t="s">
        <v>381</v>
      </c>
      <c r="E819" s="151"/>
      <c r="F819" s="152"/>
      <c r="G819" s="152"/>
      <c r="H819" s="152"/>
      <c r="I819" s="152"/>
      <c r="J819" s="151"/>
      <c r="K819" s="151"/>
      <c r="L819" s="152"/>
      <c r="M819" s="151"/>
      <c r="O819" s="69"/>
      <c r="P819" s="69"/>
      <c r="Q819" s="69"/>
    </row>
    <row r="820" spans="2:17">
      <c r="C820" s="151"/>
      <c r="D820" s="151" t="s">
        <v>382</v>
      </c>
      <c r="E820" s="151"/>
      <c r="F820" s="152"/>
      <c r="G820" s="152"/>
      <c r="H820" s="152"/>
      <c r="I820" s="152"/>
      <c r="J820" s="151"/>
      <c r="K820" s="151"/>
      <c r="L820" s="152"/>
      <c r="M820" s="151"/>
      <c r="O820" s="69"/>
      <c r="P820" s="69"/>
      <c r="Q820" s="69"/>
    </row>
    <row r="821" spans="2:17">
      <c r="B821" s="144" t="str">
        <f>'Autoproducers Calculations'!$C$241</f>
        <v>CHPAUTOGENBIO00</v>
      </c>
      <c r="C821" s="151" t="s">
        <v>116</v>
      </c>
      <c r="D821" s="151"/>
      <c r="E821" s="151"/>
      <c r="F821" s="152">
        <v>31.536000000000001</v>
      </c>
      <c r="G821" s="152">
        <f>'Autoproducers Calculations'!V$209</f>
        <v>0.15085020242914979</v>
      </c>
      <c r="H821" s="152">
        <f>'Autoproducers Calculations'!V$207</f>
        <v>4.7101449275362315</v>
      </c>
      <c r="I821" s="152">
        <f>'Autoproducers Calculations'!V$206</f>
        <v>0.45101959318995727</v>
      </c>
      <c r="J821" s="151">
        <v>20</v>
      </c>
      <c r="K821" s="151">
        <v>1</v>
      </c>
      <c r="L821" s="152">
        <f>'Autoproducers Calculations'!V$244</f>
        <v>2.0292682926829265E-4</v>
      </c>
      <c r="M821" s="151">
        <v>0</v>
      </c>
      <c r="O821" s="69">
        <f t="shared" ref="O821" si="194">L821*F821*I821</f>
        <v>2.8863001066286886E-3</v>
      </c>
      <c r="P821" s="69">
        <f t="shared" ref="P821" si="195">O821*H821</f>
        <v>1.3594891806584401E-2</v>
      </c>
      <c r="Q821" s="69">
        <f>O821/G821</f>
        <v>1.9133551431489159E-2</v>
      </c>
    </row>
    <row r="822" spans="2:17">
      <c r="C822" s="151"/>
      <c r="D822" s="151" t="s">
        <v>105</v>
      </c>
      <c r="E822" s="151"/>
      <c r="F822" s="152"/>
      <c r="G822" s="152"/>
      <c r="H822" s="152"/>
      <c r="I822" s="152"/>
      <c r="J822" s="151"/>
      <c r="K822" s="151"/>
      <c r="L822" s="152"/>
      <c r="M822" s="151"/>
      <c r="O822" s="69"/>
      <c r="P822" s="69"/>
      <c r="Q822" s="69"/>
    </row>
    <row r="823" spans="2:17">
      <c r="C823" s="151"/>
      <c r="D823" s="151" t="s">
        <v>106</v>
      </c>
      <c r="E823" s="151"/>
      <c r="F823" s="152"/>
      <c r="G823" s="152"/>
      <c r="H823" s="152"/>
      <c r="I823" s="152"/>
      <c r="J823" s="151"/>
      <c r="K823" s="151"/>
      <c r="L823" s="152"/>
      <c r="M823" s="151"/>
      <c r="O823" s="69"/>
      <c r="P823" s="69"/>
      <c r="Q823" s="69"/>
    </row>
    <row r="824" spans="2:17">
      <c r="C824" s="151"/>
      <c r="D824" s="151" t="s">
        <v>380</v>
      </c>
      <c r="E824" s="151"/>
      <c r="F824" s="152"/>
      <c r="G824" s="152"/>
      <c r="H824" s="152"/>
      <c r="I824" s="152"/>
      <c r="J824" s="151"/>
      <c r="K824" s="151"/>
      <c r="L824" s="151"/>
      <c r="M824" s="151"/>
      <c r="O824" s="69"/>
      <c r="P824" s="69"/>
      <c r="Q824" s="69"/>
    </row>
    <row r="825" spans="2:17">
      <c r="C825" s="151"/>
      <c r="D825" s="151" t="s">
        <v>379</v>
      </c>
      <c r="E825" s="151"/>
      <c r="F825" s="152"/>
      <c r="G825" s="152"/>
      <c r="H825" s="152"/>
      <c r="I825" s="152"/>
      <c r="J825" s="151"/>
      <c r="K825" s="151"/>
      <c r="L825" s="151"/>
      <c r="M825" s="151"/>
      <c r="O825" s="69"/>
      <c r="P825" s="69"/>
      <c r="Q825" s="69"/>
    </row>
    <row r="826" spans="2:17">
      <c r="C826" s="151"/>
      <c r="D826" s="151" t="s">
        <v>381</v>
      </c>
      <c r="E826" s="151"/>
      <c r="F826" s="152"/>
      <c r="G826" s="152"/>
      <c r="H826" s="152"/>
      <c r="I826" s="152"/>
      <c r="J826" s="151"/>
      <c r="K826" s="151"/>
      <c r="L826" s="151"/>
      <c r="M826" s="151"/>
      <c r="O826" s="69"/>
      <c r="P826" s="69"/>
      <c r="Q826" s="69"/>
    </row>
    <row r="827" spans="2:17">
      <c r="C827" s="151"/>
      <c r="D827" s="151" t="s">
        <v>382</v>
      </c>
      <c r="E827" s="151"/>
      <c r="F827" s="152"/>
      <c r="G827" s="152"/>
      <c r="H827" s="152"/>
      <c r="I827" s="152"/>
      <c r="J827" s="151"/>
      <c r="K827" s="151"/>
      <c r="L827" s="151"/>
      <c r="M827" s="151"/>
      <c r="O827" s="69"/>
      <c r="P827" s="69"/>
      <c r="Q827" s="69"/>
    </row>
    <row r="828" spans="2:17">
      <c r="B828" s="144" t="str">
        <f>'Autoproducers Calculations'!$C$250</f>
        <v>CHPAUTOGENWASTE00</v>
      </c>
      <c r="C828" s="151" t="s">
        <v>117</v>
      </c>
      <c r="D828" s="151"/>
      <c r="E828" s="151"/>
      <c r="F828" s="152">
        <v>31.536000000000001</v>
      </c>
      <c r="G828" s="152">
        <f>'Autoproducers Calculations'!V$209</f>
        <v>0.15085020242914979</v>
      </c>
      <c r="H828" s="152">
        <f>'Autoproducers Calculations'!V$207</f>
        <v>4.7101449275362315</v>
      </c>
      <c r="I828" s="152">
        <f>'Autoproducers Calculations'!V$206</f>
        <v>0.45101959318995727</v>
      </c>
      <c r="J828" s="151">
        <v>20</v>
      </c>
      <c r="K828" s="151">
        <v>1</v>
      </c>
      <c r="L828" s="152">
        <f>'Autoproducers Calculations'!V$253</f>
        <v>0</v>
      </c>
      <c r="M828" s="151">
        <v>0</v>
      </c>
      <c r="O828" s="69">
        <f t="shared" ref="O828" si="196">L828*F828*I828</f>
        <v>0</v>
      </c>
      <c r="P828" s="69">
        <f t="shared" ref="P828" si="197">O828*H828</f>
        <v>0</v>
      </c>
      <c r="Q828" s="69">
        <f>O828/G828</f>
        <v>0</v>
      </c>
    </row>
    <row r="829" spans="2:17">
      <c r="C829" s="151" t="s">
        <v>118</v>
      </c>
      <c r="D829" s="151"/>
      <c r="E829" s="151"/>
      <c r="F829" s="152"/>
      <c r="G829" s="152"/>
      <c r="H829" s="152"/>
      <c r="I829" s="152"/>
      <c r="J829" s="151"/>
      <c r="K829" s="151"/>
      <c r="L829" s="151"/>
      <c r="M829" s="151"/>
      <c r="O829" s="69"/>
      <c r="P829" s="69"/>
      <c r="Q829" s="69"/>
    </row>
    <row r="830" spans="2:17">
      <c r="C830" s="151"/>
      <c r="D830" s="151" t="s">
        <v>105</v>
      </c>
      <c r="E830" s="151"/>
      <c r="F830" s="152"/>
      <c r="G830" s="152"/>
      <c r="H830" s="152"/>
      <c r="I830" s="152"/>
      <c r="J830" s="151"/>
      <c r="K830" s="151"/>
      <c r="L830" s="151"/>
      <c r="M830" s="151"/>
      <c r="O830" s="719">
        <f>SUM(O788:O828)</f>
        <v>0.28105347288296861</v>
      </c>
      <c r="P830" s="719">
        <f>SUM(P788:P828)</f>
        <v>1.3238025896661563</v>
      </c>
      <c r="Q830" s="719">
        <f>SUM(Q788:Q828)</f>
        <v>1.8631295706412574</v>
      </c>
    </row>
    <row r="831" spans="2:17">
      <c r="C831" s="151"/>
      <c r="D831" s="151" t="s">
        <v>106</v>
      </c>
      <c r="E831" s="151"/>
      <c r="F831" s="152"/>
      <c r="G831" s="152"/>
      <c r="H831" s="152"/>
      <c r="I831" s="152"/>
      <c r="J831" s="151"/>
      <c r="K831" s="151"/>
      <c r="L831" s="151"/>
      <c r="M831" s="151"/>
    </row>
    <row r="832" spans="2:17">
      <c r="C832" s="151"/>
      <c r="D832" s="151" t="s">
        <v>381</v>
      </c>
      <c r="E832" s="151"/>
      <c r="F832" s="152"/>
      <c r="G832" s="152"/>
      <c r="H832" s="152"/>
      <c r="I832" s="152"/>
      <c r="J832" s="151"/>
      <c r="K832" s="151"/>
      <c r="L832" s="151"/>
      <c r="M832" s="151"/>
    </row>
    <row r="833" spans="1:17">
      <c r="C833" s="151"/>
      <c r="D833" s="151" t="s">
        <v>382</v>
      </c>
      <c r="E833" s="151"/>
      <c r="F833" s="151"/>
      <c r="G833" s="151"/>
      <c r="H833" s="151"/>
      <c r="I833" s="151"/>
      <c r="J833" s="151"/>
      <c r="K833" s="151"/>
      <c r="L833" s="151"/>
      <c r="M833" s="151"/>
      <c r="O833" s="677" t="s">
        <v>390</v>
      </c>
      <c r="P833" s="677" t="s">
        <v>406</v>
      </c>
      <c r="Q833" s="677" t="s">
        <v>1304</v>
      </c>
    </row>
    <row r="834" spans="1:17">
      <c r="A834" s="64" t="s">
        <v>54</v>
      </c>
      <c r="B834" s="144" t="str">
        <f>'Autoproducers Calculations'!$C$205</f>
        <v>CHPAUTOGENSOLID00</v>
      </c>
      <c r="C834" s="151" t="s">
        <v>107</v>
      </c>
      <c r="D834" s="151"/>
      <c r="E834" s="151"/>
      <c r="F834" s="152">
        <v>31.536000000000001</v>
      </c>
      <c r="G834" s="152">
        <f>'Autoproducers Calculations'!W$209</f>
        <v>0</v>
      </c>
      <c r="H834" s="152">
        <f>'Autoproducers Calculations'!W$207</f>
        <v>0</v>
      </c>
      <c r="I834" s="152">
        <f>'Autoproducers Calculations'!W$206</f>
        <v>0</v>
      </c>
      <c r="J834" s="151">
        <v>20</v>
      </c>
      <c r="K834" s="151">
        <v>1</v>
      </c>
      <c r="L834" s="152">
        <f>'Autoproducers Calculations'!W$208</f>
        <v>0</v>
      </c>
      <c r="M834" s="151">
        <v>0</v>
      </c>
      <c r="O834" s="69">
        <f>L834*F834*I834</f>
        <v>0</v>
      </c>
      <c r="P834" s="69">
        <f t="shared" ref="P834" si="198">O834*H834</f>
        <v>0</v>
      </c>
      <c r="Q834" s="69" t="e">
        <f>O834/G834</f>
        <v>#DIV/0!</v>
      </c>
    </row>
    <row r="835" spans="1:17">
      <c r="C835" s="151" t="s">
        <v>108</v>
      </c>
      <c r="D835" s="151"/>
      <c r="E835" s="151">
        <f>IF('Autoproducers Calculations'!W$179&gt;0,'Autoproducers Calculations'!#REF!/'Autoproducers Calculations'!W$179,0)</f>
        <v>0</v>
      </c>
      <c r="F835" s="152"/>
      <c r="G835" s="152"/>
      <c r="H835" s="152"/>
      <c r="I835" s="152"/>
      <c r="J835" s="151"/>
      <c r="K835" s="151"/>
      <c r="L835" s="152"/>
      <c r="M835" s="151"/>
      <c r="O835" s="69"/>
      <c r="P835" s="69"/>
      <c r="Q835" s="69"/>
    </row>
    <row r="836" spans="1:17">
      <c r="C836" s="151"/>
      <c r="D836" s="151" t="s">
        <v>105</v>
      </c>
      <c r="E836" s="151"/>
      <c r="F836" s="152"/>
      <c r="G836" s="152"/>
      <c r="H836" s="152"/>
      <c r="I836" s="152"/>
      <c r="J836" s="151"/>
      <c r="K836" s="151"/>
      <c r="L836" s="152"/>
      <c r="M836" s="151"/>
      <c r="O836" s="69"/>
      <c r="P836" s="69"/>
      <c r="Q836" s="69"/>
    </row>
    <row r="837" spans="1:17">
      <c r="C837" s="151"/>
      <c r="D837" s="151" t="s">
        <v>106</v>
      </c>
      <c r="E837" s="151"/>
      <c r="F837" s="152"/>
      <c r="G837" s="152"/>
      <c r="H837" s="152"/>
      <c r="I837" s="152"/>
      <c r="J837" s="151"/>
      <c r="K837" s="151"/>
      <c r="L837" s="152"/>
      <c r="M837" s="151"/>
      <c r="O837" s="69"/>
      <c r="P837" s="69"/>
      <c r="Q837" s="69"/>
    </row>
    <row r="838" spans="1:17">
      <c r="C838" s="151"/>
      <c r="D838" s="151" t="s">
        <v>378</v>
      </c>
      <c r="E838" s="151"/>
      <c r="F838" s="152"/>
      <c r="G838" s="152"/>
      <c r="H838" s="152"/>
      <c r="I838" s="152"/>
      <c r="J838" s="151"/>
      <c r="K838" s="151"/>
      <c r="L838" s="152"/>
      <c r="M838" s="151"/>
      <c r="O838" s="69"/>
      <c r="P838" s="69"/>
      <c r="Q838" s="69"/>
    </row>
    <row r="839" spans="1:17">
      <c r="C839" s="151"/>
      <c r="D839" s="151" t="s">
        <v>380</v>
      </c>
      <c r="E839" s="151"/>
      <c r="F839" s="152"/>
      <c r="G839" s="152"/>
      <c r="H839" s="152"/>
      <c r="I839" s="152"/>
      <c r="J839" s="151"/>
      <c r="K839" s="151"/>
      <c r="L839" s="152"/>
      <c r="M839" s="151"/>
      <c r="O839" s="69"/>
      <c r="P839" s="69"/>
      <c r="Q839" s="69"/>
    </row>
    <row r="840" spans="1:17">
      <c r="C840" s="151"/>
      <c r="D840" s="151" t="s">
        <v>379</v>
      </c>
      <c r="E840" s="151"/>
      <c r="F840" s="152"/>
      <c r="G840" s="152"/>
      <c r="H840" s="152"/>
      <c r="I840" s="152"/>
      <c r="J840" s="151"/>
      <c r="K840" s="151"/>
      <c r="L840" s="152"/>
      <c r="M840" s="151"/>
      <c r="O840" s="69"/>
      <c r="P840" s="69"/>
      <c r="Q840" s="69"/>
    </row>
    <row r="841" spans="1:17">
      <c r="C841" s="151"/>
      <c r="D841" s="151" t="s">
        <v>381</v>
      </c>
      <c r="E841" s="151"/>
      <c r="F841" s="152"/>
      <c r="G841" s="152"/>
      <c r="H841" s="152"/>
      <c r="I841" s="152"/>
      <c r="J841" s="151"/>
      <c r="K841" s="151"/>
      <c r="L841" s="152"/>
      <c r="M841" s="151"/>
      <c r="O841" s="69"/>
      <c r="P841" s="69"/>
      <c r="Q841" s="69"/>
    </row>
    <row r="842" spans="1:17">
      <c r="C842" s="151"/>
      <c r="D842" s="151" t="s">
        <v>382</v>
      </c>
      <c r="E842" s="151"/>
      <c r="F842" s="152"/>
      <c r="G842" s="152"/>
      <c r="H842" s="152"/>
      <c r="I842" s="152"/>
      <c r="J842" s="151"/>
      <c r="K842" s="151"/>
      <c r="L842" s="152"/>
      <c r="M842" s="151"/>
      <c r="O842" s="69"/>
      <c r="P842" s="69"/>
      <c r="Q842" s="69"/>
    </row>
    <row r="843" spans="1:17">
      <c r="B843" s="144" t="str">
        <f>'Autoproducers Calculations'!$C$214</f>
        <v>CHPAUTOGENRFG00</v>
      </c>
      <c r="C843" s="151" t="s">
        <v>110</v>
      </c>
      <c r="D843" s="151"/>
      <c r="E843" s="151"/>
      <c r="F843" s="152">
        <v>31.536000000000001</v>
      </c>
      <c r="G843" s="152">
        <f>'Autoproducers Calculations'!W$209</f>
        <v>0</v>
      </c>
      <c r="H843" s="152">
        <f>'Autoproducers Calculations'!W$207</f>
        <v>0</v>
      </c>
      <c r="I843" s="152">
        <f>'Autoproducers Calculations'!W$206</f>
        <v>0</v>
      </c>
      <c r="J843" s="151">
        <v>20</v>
      </c>
      <c r="K843" s="151">
        <v>1</v>
      </c>
      <c r="L843" s="152">
        <f>'Autoproducers Calculations'!W$217</f>
        <v>0</v>
      </c>
      <c r="M843" s="151">
        <v>0</v>
      </c>
      <c r="O843" s="69">
        <f t="shared" ref="O843" si="199">L843*F843*I843</f>
        <v>0</v>
      </c>
      <c r="P843" s="69">
        <f t="shared" ref="P843" si="200">O843*H843</f>
        <v>0</v>
      </c>
      <c r="Q843" s="69" t="e">
        <f>O843/G843</f>
        <v>#DIV/0!</v>
      </c>
    </row>
    <row r="844" spans="1:17">
      <c r="C844" s="151"/>
      <c r="D844" s="151" t="s">
        <v>105</v>
      </c>
      <c r="E844" s="151"/>
      <c r="F844" s="152"/>
      <c r="G844" s="152"/>
      <c r="H844" s="152"/>
      <c r="I844" s="152"/>
      <c r="J844" s="151"/>
      <c r="K844" s="151"/>
      <c r="L844" s="152"/>
      <c r="M844" s="151"/>
      <c r="O844" s="69"/>
      <c r="P844" s="69"/>
      <c r="Q844" s="69"/>
    </row>
    <row r="845" spans="1:17">
      <c r="C845" s="151"/>
      <c r="D845" s="151" t="s">
        <v>106</v>
      </c>
      <c r="E845" s="151"/>
      <c r="F845" s="152"/>
      <c r="G845" s="152"/>
      <c r="H845" s="152"/>
      <c r="I845" s="152"/>
      <c r="J845" s="151"/>
      <c r="K845" s="151"/>
      <c r="L845" s="152"/>
      <c r="M845" s="151"/>
      <c r="O845" s="69"/>
      <c r="P845" s="69"/>
      <c r="Q845" s="69"/>
    </row>
    <row r="846" spans="1:17">
      <c r="C846" s="151"/>
      <c r="D846" s="151" t="s">
        <v>1342</v>
      </c>
      <c r="E846" s="151"/>
      <c r="F846" s="152"/>
      <c r="G846" s="152"/>
      <c r="H846" s="152"/>
      <c r="I846" s="152"/>
      <c r="J846" s="151"/>
      <c r="K846" s="151"/>
      <c r="L846" s="152"/>
      <c r="M846" s="151"/>
      <c r="O846" s="69"/>
      <c r="P846" s="69"/>
      <c r="Q846" s="69"/>
    </row>
    <row r="847" spans="1:17">
      <c r="C847" s="151"/>
      <c r="D847" s="151" t="s">
        <v>380</v>
      </c>
      <c r="E847" s="151"/>
      <c r="F847" s="152"/>
      <c r="G847" s="152"/>
      <c r="H847" s="152"/>
      <c r="I847" s="152"/>
      <c r="J847" s="151"/>
      <c r="K847" s="151"/>
      <c r="L847" s="152"/>
      <c r="M847" s="151"/>
      <c r="O847" s="69"/>
      <c r="P847" s="69"/>
      <c r="Q847" s="69"/>
    </row>
    <row r="848" spans="1:17">
      <c r="C848" s="151"/>
      <c r="D848" s="151" t="s">
        <v>379</v>
      </c>
      <c r="E848" s="151"/>
      <c r="F848" s="152"/>
      <c r="G848" s="152"/>
      <c r="H848" s="152"/>
      <c r="I848" s="152"/>
      <c r="J848" s="151"/>
      <c r="K848" s="151"/>
      <c r="L848" s="152"/>
      <c r="M848" s="151"/>
      <c r="O848" s="69"/>
      <c r="P848" s="69"/>
      <c r="Q848" s="69"/>
    </row>
    <row r="849" spans="2:17">
      <c r="B849" s="144" t="str">
        <f>'Autoproducers Calculations'!$C$223</f>
        <v>CHPAUTOGENOIL00</v>
      </c>
      <c r="C849" s="151" t="s">
        <v>111</v>
      </c>
      <c r="D849" s="151"/>
      <c r="E849" s="151">
        <f>IF('Autoproducers Calculations'!W$181&gt;0,'Autoproducers Calculations'!#REF!/'Autoproducers Calculations'!W$181,0)</f>
        <v>0</v>
      </c>
      <c r="F849" s="152">
        <v>31.536000000000001</v>
      </c>
      <c r="G849" s="152">
        <f>'Autoproducers Calculations'!W$209</f>
        <v>0</v>
      </c>
      <c r="H849" s="152">
        <f>'Autoproducers Calculations'!W$207</f>
        <v>0</v>
      </c>
      <c r="I849" s="152">
        <f>'Autoproducers Calculations'!W$206</f>
        <v>0</v>
      </c>
      <c r="J849" s="151">
        <v>20</v>
      </c>
      <c r="K849" s="151">
        <v>1</v>
      </c>
      <c r="L849" s="152">
        <f>'Autoproducers Calculations'!W$226</f>
        <v>0</v>
      </c>
      <c r="M849" s="151">
        <v>0</v>
      </c>
      <c r="O849" s="69">
        <f t="shared" ref="O849" si="201">L849*F849*I849</f>
        <v>0</v>
      </c>
      <c r="P849" s="69">
        <f t="shared" ref="P849" si="202">O849*H849</f>
        <v>0</v>
      </c>
      <c r="Q849" s="69" t="e">
        <f>O849/G849</f>
        <v>#DIV/0!</v>
      </c>
    </row>
    <row r="850" spans="2:17">
      <c r="C850" s="151" t="s">
        <v>112</v>
      </c>
      <c r="D850" s="151"/>
      <c r="E850" s="151"/>
      <c r="F850" s="152"/>
      <c r="G850" s="152"/>
      <c r="H850" s="152"/>
      <c r="I850" s="152"/>
      <c r="J850" s="151"/>
      <c r="K850" s="151"/>
      <c r="L850" s="152"/>
      <c r="M850" s="151"/>
      <c r="O850" s="69"/>
      <c r="P850" s="69"/>
      <c r="Q850" s="69"/>
    </row>
    <row r="851" spans="2:17">
      <c r="C851" s="151"/>
      <c r="D851" s="151" t="s">
        <v>105</v>
      </c>
      <c r="E851" s="151"/>
      <c r="F851" s="152"/>
      <c r="G851" s="152"/>
      <c r="H851" s="152"/>
      <c r="I851" s="152"/>
      <c r="J851" s="151"/>
      <c r="K851" s="151"/>
      <c r="L851" s="152"/>
      <c r="M851" s="151"/>
      <c r="O851" s="69"/>
      <c r="P851" s="69"/>
      <c r="Q851" s="69"/>
    </row>
    <row r="852" spans="2:17">
      <c r="C852" s="151"/>
      <c r="D852" s="151" t="s">
        <v>106</v>
      </c>
      <c r="E852" s="151"/>
      <c r="F852" s="152"/>
      <c r="G852" s="152"/>
      <c r="H852" s="152"/>
      <c r="I852" s="152"/>
      <c r="J852" s="151"/>
      <c r="K852" s="151"/>
      <c r="L852" s="152"/>
      <c r="M852" s="151"/>
      <c r="O852" s="69"/>
      <c r="P852" s="69"/>
      <c r="Q852" s="69"/>
    </row>
    <row r="853" spans="2:17">
      <c r="C853" s="151"/>
      <c r="D853" s="151" t="s">
        <v>380</v>
      </c>
      <c r="E853" s="151"/>
      <c r="F853" s="152"/>
      <c r="G853" s="152"/>
      <c r="H853" s="152"/>
      <c r="I853" s="152"/>
      <c r="J853" s="151"/>
      <c r="K853" s="151"/>
      <c r="L853" s="152"/>
      <c r="M853" s="151"/>
      <c r="O853" s="69"/>
      <c r="P853" s="69"/>
      <c r="Q853" s="69"/>
    </row>
    <row r="854" spans="2:17">
      <c r="C854" s="151"/>
      <c r="D854" s="151" t="s">
        <v>379</v>
      </c>
      <c r="E854" s="151"/>
      <c r="F854" s="152"/>
      <c r="G854" s="152"/>
      <c r="H854" s="152"/>
      <c r="I854" s="152"/>
      <c r="J854" s="151"/>
      <c r="K854" s="151"/>
      <c r="L854" s="152"/>
      <c r="M854" s="151"/>
      <c r="O854" s="69"/>
      <c r="P854" s="69"/>
      <c r="Q854" s="69"/>
    </row>
    <row r="855" spans="2:17">
      <c r="C855" s="151"/>
      <c r="D855" s="151" t="s">
        <v>1342</v>
      </c>
      <c r="E855" s="151"/>
      <c r="F855" s="152"/>
      <c r="G855" s="152"/>
      <c r="H855" s="152"/>
      <c r="I855" s="152"/>
      <c r="J855" s="151"/>
      <c r="K855" s="151"/>
      <c r="L855" s="152"/>
      <c r="M855" s="151"/>
      <c r="O855" s="69"/>
      <c r="P855" s="69"/>
      <c r="Q855" s="69"/>
    </row>
    <row r="856" spans="2:17">
      <c r="C856" s="151"/>
      <c r="D856" s="151" t="s">
        <v>382</v>
      </c>
      <c r="E856" s="151"/>
      <c r="F856" s="152"/>
      <c r="G856" s="152"/>
      <c r="H856" s="152"/>
      <c r="I856" s="152"/>
      <c r="J856" s="151"/>
      <c r="K856" s="151"/>
      <c r="L856" s="152"/>
      <c r="M856" s="151"/>
      <c r="O856" s="69"/>
      <c r="P856" s="69"/>
      <c r="Q856" s="69"/>
    </row>
    <row r="857" spans="2:17">
      <c r="B857" s="144" t="str">
        <f>'Autoproducers Calculations'!$C$232</f>
        <v>CHPAUTOGENGAS00</v>
      </c>
      <c r="C857" s="151" t="s">
        <v>113</v>
      </c>
      <c r="D857" s="151"/>
      <c r="E857" s="151"/>
      <c r="F857" s="152">
        <v>31.536000000000001</v>
      </c>
      <c r="G857" s="152">
        <f>'Autoproducers Calculations'!W$209</f>
        <v>0</v>
      </c>
      <c r="H857" s="152">
        <f>'Autoproducers Calculations'!W$207</f>
        <v>0</v>
      </c>
      <c r="I857" s="152">
        <f>'Autoproducers Calculations'!W$206</f>
        <v>0</v>
      </c>
      <c r="J857" s="151">
        <v>20</v>
      </c>
      <c r="K857" s="151">
        <v>1</v>
      </c>
      <c r="L857" s="152">
        <f>'Autoproducers Calculations'!W$235</f>
        <v>0</v>
      </c>
      <c r="M857" s="151">
        <v>0</v>
      </c>
      <c r="O857" s="69">
        <f t="shared" ref="O857" si="203">L857*F857*I857</f>
        <v>0</v>
      </c>
      <c r="P857" s="69">
        <f t="shared" ref="P857" si="204">O857*H857</f>
        <v>0</v>
      </c>
      <c r="Q857" s="69" t="e">
        <f>O857/G857</f>
        <v>#DIV/0!</v>
      </c>
    </row>
    <row r="858" spans="2:17">
      <c r="C858" s="151"/>
      <c r="D858" s="151" t="s">
        <v>105</v>
      </c>
      <c r="E858" s="151"/>
      <c r="F858" s="152"/>
      <c r="G858" s="152"/>
      <c r="H858" s="152"/>
      <c r="I858" s="152"/>
      <c r="J858" s="151"/>
      <c r="K858" s="151"/>
      <c r="L858" s="152"/>
      <c r="M858" s="151"/>
      <c r="O858" s="69"/>
      <c r="P858" s="69"/>
      <c r="Q858" s="69"/>
    </row>
    <row r="859" spans="2:17">
      <c r="C859" s="151"/>
      <c r="D859" s="151" t="s">
        <v>106</v>
      </c>
      <c r="E859" s="151"/>
      <c r="F859" s="152"/>
      <c r="G859" s="152"/>
      <c r="H859" s="152"/>
      <c r="I859" s="152"/>
      <c r="J859" s="151"/>
      <c r="K859" s="151"/>
      <c r="L859" s="152"/>
      <c r="M859" s="151"/>
      <c r="O859" s="69"/>
      <c r="P859" s="69"/>
      <c r="Q859" s="69"/>
    </row>
    <row r="860" spans="2:17">
      <c r="C860" s="151"/>
      <c r="D860" s="151" t="s">
        <v>1342</v>
      </c>
      <c r="E860" s="151"/>
      <c r="F860" s="152"/>
      <c r="G860" s="152"/>
      <c r="H860" s="152"/>
      <c r="I860" s="152"/>
      <c r="J860" s="151"/>
      <c r="K860" s="151"/>
      <c r="L860" s="152"/>
      <c r="M860" s="151"/>
      <c r="O860" s="69"/>
      <c r="P860" s="69"/>
      <c r="Q860" s="69"/>
    </row>
    <row r="861" spans="2:17">
      <c r="C861" s="151"/>
      <c r="D861" s="151" t="s">
        <v>378</v>
      </c>
      <c r="E861" s="151"/>
      <c r="F861" s="152"/>
      <c r="G861" s="152"/>
      <c r="H861" s="152"/>
      <c r="I861" s="152"/>
      <c r="J861" s="151"/>
      <c r="K861" s="151"/>
      <c r="L861" s="152"/>
      <c r="M861" s="151"/>
      <c r="O861" s="69"/>
      <c r="P861" s="69"/>
      <c r="Q861" s="69"/>
    </row>
    <row r="862" spans="2:17">
      <c r="C862" s="151"/>
      <c r="D862" s="151" t="s">
        <v>421</v>
      </c>
      <c r="E862" s="151"/>
      <c r="F862" s="152"/>
      <c r="G862" s="152"/>
      <c r="H862" s="152"/>
      <c r="I862" s="152"/>
      <c r="J862" s="151"/>
      <c r="K862" s="151"/>
      <c r="L862" s="152"/>
      <c r="M862" s="151"/>
      <c r="O862" s="69"/>
      <c r="P862" s="69"/>
      <c r="Q862" s="69"/>
    </row>
    <row r="863" spans="2:17">
      <c r="C863" s="151"/>
      <c r="D863" s="151" t="s">
        <v>380</v>
      </c>
      <c r="E863" s="151"/>
      <c r="F863" s="152"/>
      <c r="G863" s="152"/>
      <c r="H863" s="152"/>
      <c r="I863" s="152"/>
      <c r="J863" s="151"/>
      <c r="K863" s="151"/>
      <c r="L863" s="152"/>
      <c r="M863" s="151"/>
      <c r="O863" s="69"/>
      <c r="P863" s="69"/>
      <c r="Q863" s="69"/>
    </row>
    <row r="864" spans="2:17">
      <c r="C864" s="151"/>
      <c r="D864" s="151" t="s">
        <v>379</v>
      </c>
      <c r="E864" s="151"/>
      <c r="F864" s="152"/>
      <c r="G864" s="152"/>
      <c r="H864" s="152"/>
      <c r="I864" s="152"/>
      <c r="J864" s="151"/>
      <c r="K864" s="151"/>
      <c r="L864" s="152"/>
      <c r="M864" s="151"/>
      <c r="O864" s="69"/>
      <c r="P864" s="69"/>
      <c r="Q864" s="69"/>
    </row>
    <row r="865" spans="1:17">
      <c r="C865" s="151"/>
      <c r="D865" s="151" t="s">
        <v>381</v>
      </c>
      <c r="E865" s="151"/>
      <c r="F865" s="152"/>
      <c r="G865" s="152"/>
      <c r="H865" s="152"/>
      <c r="I865" s="152"/>
      <c r="J865" s="151"/>
      <c r="K865" s="151"/>
      <c r="L865" s="152"/>
      <c r="M865" s="151"/>
      <c r="O865" s="69"/>
      <c r="P865" s="69"/>
      <c r="Q865" s="69"/>
    </row>
    <row r="866" spans="1:17">
      <c r="C866" s="151"/>
      <c r="D866" s="151" t="s">
        <v>382</v>
      </c>
      <c r="E866" s="151"/>
      <c r="F866" s="152"/>
      <c r="G866" s="152"/>
      <c r="H866" s="152"/>
      <c r="I866" s="152"/>
      <c r="J866" s="151"/>
      <c r="K866" s="151"/>
      <c r="L866" s="152"/>
      <c r="M866" s="151"/>
      <c r="O866" s="69"/>
      <c r="P866" s="69"/>
      <c r="Q866" s="69"/>
    </row>
    <row r="867" spans="1:17">
      <c r="B867" s="144" t="str">
        <f>'Autoproducers Calculations'!$C$241</f>
        <v>CHPAUTOGENBIO00</v>
      </c>
      <c r="C867" s="151" t="s">
        <v>116</v>
      </c>
      <c r="D867" s="151"/>
      <c r="E867" s="151"/>
      <c r="F867" s="152">
        <v>31.536000000000001</v>
      </c>
      <c r="G867" s="152">
        <f>'Autoproducers Calculations'!W$209</f>
        <v>0</v>
      </c>
      <c r="H867" s="152">
        <f>'Autoproducers Calculations'!W$207</f>
        <v>0</v>
      </c>
      <c r="I867" s="152">
        <f>'Autoproducers Calculations'!W$206</f>
        <v>0</v>
      </c>
      <c r="J867" s="151">
        <v>20</v>
      </c>
      <c r="K867" s="151">
        <v>1</v>
      </c>
      <c r="L867" s="152">
        <f>'Autoproducers Calculations'!W$244</f>
        <v>0</v>
      </c>
      <c r="M867" s="151">
        <v>0</v>
      </c>
      <c r="O867" s="69">
        <f t="shared" ref="O867" si="205">L867*F867*I867</f>
        <v>0</v>
      </c>
      <c r="P867" s="69">
        <f t="shared" ref="P867" si="206">O867*H867</f>
        <v>0</v>
      </c>
      <c r="Q867" s="69" t="e">
        <f>O867/G867</f>
        <v>#DIV/0!</v>
      </c>
    </row>
    <row r="868" spans="1:17">
      <c r="C868" s="151"/>
      <c r="D868" s="151" t="s">
        <v>105</v>
      </c>
      <c r="E868" s="151"/>
      <c r="F868" s="152"/>
      <c r="G868" s="152"/>
      <c r="H868" s="152"/>
      <c r="I868" s="152"/>
      <c r="J868" s="151"/>
      <c r="K868" s="151"/>
      <c r="L868" s="152"/>
      <c r="M868" s="151"/>
      <c r="O868" s="69"/>
      <c r="P868" s="69"/>
      <c r="Q868" s="69"/>
    </row>
    <row r="869" spans="1:17">
      <c r="C869" s="151"/>
      <c r="D869" s="151" t="s">
        <v>106</v>
      </c>
      <c r="E869" s="151"/>
      <c r="F869" s="152"/>
      <c r="G869" s="152"/>
      <c r="H869" s="152"/>
      <c r="I869" s="152"/>
      <c r="J869" s="151"/>
      <c r="K869" s="151"/>
      <c r="L869" s="152"/>
      <c r="M869" s="151"/>
      <c r="O869" s="69"/>
      <c r="P869" s="69"/>
      <c r="Q869" s="69"/>
    </row>
    <row r="870" spans="1:17">
      <c r="C870" s="151"/>
      <c r="D870" s="151" t="s">
        <v>380</v>
      </c>
      <c r="E870" s="151"/>
      <c r="F870" s="152"/>
      <c r="G870" s="152"/>
      <c r="H870" s="152"/>
      <c r="I870" s="152"/>
      <c r="J870" s="151"/>
      <c r="K870" s="151"/>
      <c r="L870" s="151"/>
      <c r="M870" s="151"/>
      <c r="O870" s="69"/>
      <c r="P870" s="69"/>
      <c r="Q870" s="69"/>
    </row>
    <row r="871" spans="1:17">
      <c r="C871" s="151"/>
      <c r="D871" s="151" t="s">
        <v>379</v>
      </c>
      <c r="E871" s="151"/>
      <c r="F871" s="152"/>
      <c r="G871" s="152"/>
      <c r="H871" s="152"/>
      <c r="I871" s="152"/>
      <c r="J871" s="151"/>
      <c r="K871" s="151"/>
      <c r="L871" s="151"/>
      <c r="M871" s="151"/>
      <c r="O871" s="69"/>
      <c r="P871" s="69"/>
      <c r="Q871" s="69"/>
    </row>
    <row r="872" spans="1:17">
      <c r="C872" s="151"/>
      <c r="D872" s="151" t="s">
        <v>381</v>
      </c>
      <c r="E872" s="151"/>
      <c r="F872" s="152"/>
      <c r="G872" s="152"/>
      <c r="H872" s="152"/>
      <c r="I872" s="152"/>
      <c r="J872" s="151"/>
      <c r="K872" s="151"/>
      <c r="L872" s="151"/>
      <c r="M872" s="151"/>
      <c r="O872" s="69"/>
      <c r="P872" s="69"/>
      <c r="Q872" s="69"/>
    </row>
    <row r="873" spans="1:17">
      <c r="C873" s="151"/>
      <c r="D873" s="151" t="s">
        <v>382</v>
      </c>
      <c r="E873" s="151"/>
      <c r="F873" s="152"/>
      <c r="G873" s="152"/>
      <c r="H873" s="152"/>
      <c r="I873" s="152"/>
      <c r="J873" s="151"/>
      <c r="K873" s="151"/>
      <c r="L873" s="151"/>
      <c r="M873" s="151"/>
      <c r="O873" s="69"/>
      <c r="P873" s="69"/>
      <c r="Q873" s="69"/>
    </row>
    <row r="874" spans="1:17">
      <c r="B874" s="144" t="str">
        <f>'Autoproducers Calculations'!$C$250</f>
        <v>CHPAUTOGENWASTE00</v>
      </c>
      <c r="C874" s="151" t="s">
        <v>117</v>
      </c>
      <c r="D874" s="151"/>
      <c r="E874" s="151"/>
      <c r="F874" s="152">
        <v>31.536000000000001</v>
      </c>
      <c r="G874" s="152">
        <f>'Autoproducers Calculations'!W$209</f>
        <v>0</v>
      </c>
      <c r="H874" s="152">
        <f>'Autoproducers Calculations'!W$207</f>
        <v>0</v>
      </c>
      <c r="I874" s="152">
        <f>'Autoproducers Calculations'!W$206</f>
        <v>0</v>
      </c>
      <c r="J874" s="151">
        <v>20</v>
      </c>
      <c r="K874" s="151">
        <v>1</v>
      </c>
      <c r="L874" s="152">
        <f>'Autoproducers Calculations'!W$253</f>
        <v>0</v>
      </c>
      <c r="M874" s="151">
        <v>0</v>
      </c>
      <c r="O874" s="69">
        <f t="shared" ref="O874" si="207">L874*F874*I874</f>
        <v>0</v>
      </c>
      <c r="P874" s="69">
        <f t="shared" ref="P874" si="208">O874*H874</f>
        <v>0</v>
      </c>
      <c r="Q874" s="69" t="e">
        <f>O874/G874</f>
        <v>#DIV/0!</v>
      </c>
    </row>
    <row r="875" spans="1:17">
      <c r="C875" s="151" t="s">
        <v>118</v>
      </c>
      <c r="D875" s="151"/>
      <c r="E875" s="151"/>
      <c r="F875" s="152"/>
      <c r="G875" s="152"/>
      <c r="H875" s="152"/>
      <c r="I875" s="152"/>
      <c r="J875" s="151"/>
      <c r="K875" s="151"/>
      <c r="L875" s="151"/>
      <c r="M875" s="151"/>
      <c r="O875" s="69"/>
      <c r="P875" s="69"/>
      <c r="Q875" s="69"/>
    </row>
    <row r="876" spans="1:17">
      <c r="C876" s="151"/>
      <c r="D876" s="151" t="s">
        <v>105</v>
      </c>
      <c r="E876" s="151"/>
      <c r="F876" s="152"/>
      <c r="G876" s="152"/>
      <c r="H876" s="152"/>
      <c r="I876" s="152"/>
      <c r="J876" s="151"/>
      <c r="K876" s="151"/>
      <c r="L876" s="151"/>
      <c r="M876" s="151"/>
      <c r="O876" s="719">
        <f>SUM(O834:O874)</f>
        <v>0</v>
      </c>
      <c r="P876" s="719">
        <f>SUM(P834:P874)</f>
        <v>0</v>
      </c>
      <c r="Q876" s="719" t="e">
        <f>SUM(Q834:Q874)</f>
        <v>#DIV/0!</v>
      </c>
    </row>
    <row r="877" spans="1:17">
      <c r="C877" s="151"/>
      <c r="D877" s="151" t="s">
        <v>106</v>
      </c>
      <c r="E877" s="151"/>
      <c r="F877" s="152"/>
      <c r="G877" s="152"/>
      <c r="H877" s="152"/>
      <c r="I877" s="152"/>
      <c r="J877" s="151"/>
      <c r="K877" s="151"/>
      <c r="L877" s="151"/>
      <c r="M877" s="151"/>
    </row>
    <row r="878" spans="1:17">
      <c r="C878" s="151"/>
      <c r="D878" s="151" t="s">
        <v>381</v>
      </c>
      <c r="E878" s="151"/>
      <c r="F878" s="152"/>
      <c r="G878" s="152"/>
      <c r="H878" s="152"/>
      <c r="I878" s="152"/>
      <c r="J878" s="151"/>
      <c r="K878" s="151"/>
      <c r="L878" s="151"/>
      <c r="M878" s="151"/>
    </row>
    <row r="879" spans="1:17">
      <c r="C879" s="151"/>
      <c r="D879" s="151" t="s">
        <v>382</v>
      </c>
      <c r="E879" s="151"/>
      <c r="F879" s="151"/>
      <c r="G879" s="151"/>
      <c r="H879" s="151"/>
      <c r="I879" s="151"/>
      <c r="J879" s="151"/>
      <c r="K879" s="151"/>
      <c r="L879" s="151"/>
      <c r="M879" s="151"/>
      <c r="O879" s="677" t="s">
        <v>390</v>
      </c>
      <c r="P879" s="677" t="s">
        <v>406</v>
      </c>
      <c r="Q879" s="677" t="s">
        <v>1304</v>
      </c>
    </row>
    <row r="880" spans="1:17">
      <c r="A880" s="64" t="s">
        <v>55</v>
      </c>
      <c r="B880" s="144" t="str">
        <f>'Autoproducers Calculations'!$C$205</f>
        <v>CHPAUTOGENSOLID00</v>
      </c>
      <c r="C880" s="151" t="s">
        <v>107</v>
      </c>
      <c r="D880" s="151"/>
      <c r="E880" s="151"/>
      <c r="F880" s="152">
        <v>31.536000000000001</v>
      </c>
      <c r="G880" s="152">
        <f>'Autoproducers Calculations'!X$209</f>
        <v>0.19762031010990475</v>
      </c>
      <c r="H880" s="152">
        <f>'Autoproducers Calculations'!X$207</f>
        <v>3.208182402068958</v>
      </c>
      <c r="I880" s="152">
        <f>'Autoproducers Calculations'!X$206</f>
        <v>0.87876645230225914</v>
      </c>
      <c r="J880" s="151">
        <v>20</v>
      </c>
      <c r="K880" s="151">
        <v>1</v>
      </c>
      <c r="L880" s="152">
        <f>'Autoproducers Calculations'!X$208</f>
        <v>0</v>
      </c>
      <c r="M880" s="151">
        <v>0</v>
      </c>
      <c r="O880" s="69">
        <f>L880*F880*I880</f>
        <v>0</v>
      </c>
      <c r="P880" s="69">
        <f t="shared" ref="P880" si="209">O880*H880</f>
        <v>0</v>
      </c>
      <c r="Q880" s="69">
        <f>O880/G880</f>
        <v>0</v>
      </c>
    </row>
    <row r="881" spans="2:17">
      <c r="C881" s="151" t="s">
        <v>108</v>
      </c>
      <c r="D881" s="151"/>
      <c r="E881" s="151">
        <f>IF('Autoproducers Calculations'!X$179&gt;0,'Autoproducers Calculations'!#REF!/'Autoproducers Calculations'!X$179,0)</f>
        <v>0</v>
      </c>
      <c r="F881" s="152"/>
      <c r="G881" s="152"/>
      <c r="H881" s="152"/>
      <c r="I881" s="152"/>
      <c r="J881" s="151"/>
      <c r="K881" s="151"/>
      <c r="L881" s="152"/>
      <c r="M881" s="151"/>
      <c r="O881" s="69"/>
      <c r="P881" s="69"/>
      <c r="Q881" s="69"/>
    </row>
    <row r="882" spans="2:17">
      <c r="C882" s="151"/>
      <c r="D882" s="151" t="s">
        <v>105</v>
      </c>
      <c r="E882" s="151"/>
      <c r="F882" s="152"/>
      <c r="G882" s="152"/>
      <c r="H882" s="152"/>
      <c r="I882" s="152"/>
      <c r="J882" s="151"/>
      <c r="K882" s="151"/>
      <c r="L882" s="152"/>
      <c r="M882" s="151"/>
      <c r="O882" s="69"/>
      <c r="P882" s="69"/>
      <c r="Q882" s="69"/>
    </row>
    <row r="883" spans="2:17">
      <c r="C883" s="151"/>
      <c r="D883" s="151" t="s">
        <v>106</v>
      </c>
      <c r="E883" s="151"/>
      <c r="F883" s="152"/>
      <c r="G883" s="152"/>
      <c r="H883" s="152"/>
      <c r="I883" s="152"/>
      <c r="J883" s="151"/>
      <c r="K883" s="151"/>
      <c r="L883" s="152"/>
      <c r="M883" s="151"/>
      <c r="O883" s="69"/>
      <c r="P883" s="69"/>
      <c r="Q883" s="69"/>
    </row>
    <row r="884" spans="2:17">
      <c r="C884" s="151"/>
      <c r="D884" s="151" t="s">
        <v>378</v>
      </c>
      <c r="E884" s="151"/>
      <c r="F884" s="152"/>
      <c r="G884" s="152"/>
      <c r="H884" s="152"/>
      <c r="I884" s="152"/>
      <c r="J884" s="151"/>
      <c r="K884" s="151"/>
      <c r="L884" s="152"/>
      <c r="M884" s="151"/>
      <c r="O884" s="69"/>
      <c r="P884" s="69"/>
      <c r="Q884" s="69"/>
    </row>
    <row r="885" spans="2:17">
      <c r="C885" s="151"/>
      <c r="D885" s="151" t="s">
        <v>380</v>
      </c>
      <c r="E885" s="151"/>
      <c r="F885" s="152"/>
      <c r="G885" s="152"/>
      <c r="H885" s="152"/>
      <c r="I885" s="152"/>
      <c r="J885" s="151"/>
      <c r="K885" s="151"/>
      <c r="L885" s="152"/>
      <c r="M885" s="151"/>
      <c r="O885" s="69"/>
      <c r="P885" s="69"/>
      <c r="Q885" s="69"/>
    </row>
    <row r="886" spans="2:17">
      <c r="C886" s="151"/>
      <c r="D886" s="151" t="s">
        <v>379</v>
      </c>
      <c r="E886" s="151"/>
      <c r="F886" s="152"/>
      <c r="G886" s="152"/>
      <c r="H886" s="152"/>
      <c r="I886" s="152"/>
      <c r="J886" s="151"/>
      <c r="K886" s="151"/>
      <c r="L886" s="152"/>
      <c r="M886" s="151"/>
      <c r="O886" s="69"/>
      <c r="P886" s="69"/>
      <c r="Q886" s="69"/>
    </row>
    <row r="887" spans="2:17">
      <c r="C887" s="151"/>
      <c r="D887" s="151" t="s">
        <v>381</v>
      </c>
      <c r="E887" s="151"/>
      <c r="F887" s="152"/>
      <c r="G887" s="152"/>
      <c r="H887" s="152"/>
      <c r="I887" s="152"/>
      <c r="J887" s="151"/>
      <c r="K887" s="151"/>
      <c r="L887" s="152"/>
      <c r="M887" s="151"/>
      <c r="O887" s="69"/>
      <c r="P887" s="69"/>
      <c r="Q887" s="69"/>
    </row>
    <row r="888" spans="2:17">
      <c r="C888" s="151"/>
      <c r="D888" s="151" t="s">
        <v>382</v>
      </c>
      <c r="E888" s="151"/>
      <c r="F888" s="152"/>
      <c r="G888" s="152"/>
      <c r="H888" s="152"/>
      <c r="I888" s="152"/>
      <c r="J888" s="151"/>
      <c r="K888" s="151"/>
      <c r="L888" s="152"/>
      <c r="M888" s="151"/>
      <c r="O888" s="69"/>
      <c r="P888" s="69"/>
      <c r="Q888" s="69"/>
    </row>
    <row r="889" spans="2:17">
      <c r="B889" s="144" t="str">
        <f>'Autoproducers Calculations'!$C$214</f>
        <v>CHPAUTOGENRFG00</v>
      </c>
      <c r="C889" s="151" t="s">
        <v>110</v>
      </c>
      <c r="D889" s="151"/>
      <c r="E889" s="151"/>
      <c r="F889" s="152">
        <v>31.536000000000001</v>
      </c>
      <c r="G889" s="152">
        <f>'Autoproducers Calculations'!X$209</f>
        <v>0.19762031010990475</v>
      </c>
      <c r="H889" s="152">
        <f>'Autoproducers Calculations'!X$207</f>
        <v>3.208182402068958</v>
      </c>
      <c r="I889" s="152">
        <f>'Autoproducers Calculations'!X$206</f>
        <v>0.87876645230225914</v>
      </c>
      <c r="J889" s="151">
        <v>20</v>
      </c>
      <c r="K889" s="151">
        <v>1</v>
      </c>
      <c r="L889" s="152">
        <f>'Autoproducers Calculations'!X$217</f>
        <v>0.2818067590014558</v>
      </c>
      <c r="M889" s="151">
        <v>0</v>
      </c>
      <c r="O889" s="69">
        <f t="shared" ref="O889" si="210">L889*F889*I889</f>
        <v>7.8096483877693013</v>
      </c>
      <c r="P889" s="69">
        <f t="shared" ref="P889" si="211">O889*H889</f>
        <v>25.05477652398768</v>
      </c>
      <c r="Q889" s="69">
        <f>O889/G889</f>
        <v>39.518450221164194</v>
      </c>
    </row>
    <row r="890" spans="2:17">
      <c r="C890" s="151"/>
      <c r="D890" s="151" t="s">
        <v>105</v>
      </c>
      <c r="E890" s="151"/>
      <c r="F890" s="152"/>
      <c r="G890" s="152"/>
      <c r="H890" s="152"/>
      <c r="I890" s="152"/>
      <c r="J890" s="151"/>
      <c r="K890" s="151"/>
      <c r="L890" s="152"/>
      <c r="M890" s="151"/>
      <c r="O890" s="69"/>
      <c r="P890" s="69"/>
      <c r="Q890" s="69"/>
    </row>
    <row r="891" spans="2:17">
      <c r="C891" s="151"/>
      <c r="D891" s="151" t="s">
        <v>106</v>
      </c>
      <c r="E891" s="151"/>
      <c r="F891" s="152"/>
      <c r="G891" s="152"/>
      <c r="H891" s="152"/>
      <c r="I891" s="152"/>
      <c r="J891" s="151"/>
      <c r="K891" s="151"/>
      <c r="L891" s="152"/>
      <c r="M891" s="151"/>
      <c r="O891" s="69"/>
      <c r="P891" s="69"/>
      <c r="Q891" s="69"/>
    </row>
    <row r="892" spans="2:17">
      <c r="C892" s="151"/>
      <c r="D892" s="151" t="s">
        <v>1342</v>
      </c>
      <c r="E892" s="151"/>
      <c r="F892" s="152"/>
      <c r="G892" s="152"/>
      <c r="H892" s="152"/>
      <c r="I892" s="152"/>
      <c r="J892" s="151"/>
      <c r="K892" s="151"/>
      <c r="L892" s="152"/>
      <c r="M892" s="151"/>
      <c r="O892" s="69"/>
      <c r="P892" s="69"/>
      <c r="Q892" s="69"/>
    </row>
    <row r="893" spans="2:17">
      <c r="C893" s="151"/>
      <c r="D893" s="151" t="s">
        <v>380</v>
      </c>
      <c r="E893" s="151"/>
      <c r="F893" s="152"/>
      <c r="G893" s="152"/>
      <c r="H893" s="152"/>
      <c r="I893" s="152"/>
      <c r="J893" s="151"/>
      <c r="K893" s="151"/>
      <c r="L893" s="152"/>
      <c r="M893" s="151"/>
      <c r="O893" s="69"/>
      <c r="P893" s="69"/>
      <c r="Q893" s="69"/>
    </row>
    <row r="894" spans="2:17">
      <c r="C894" s="151"/>
      <c r="D894" s="151" t="s">
        <v>379</v>
      </c>
      <c r="E894" s="151"/>
      <c r="F894" s="152"/>
      <c r="G894" s="152"/>
      <c r="H894" s="152"/>
      <c r="I894" s="152"/>
      <c r="J894" s="151"/>
      <c r="K894" s="151"/>
      <c r="L894" s="152"/>
      <c r="M894" s="151"/>
      <c r="O894" s="69"/>
      <c r="P894" s="69"/>
      <c r="Q894" s="69"/>
    </row>
    <row r="895" spans="2:17">
      <c r="B895" s="144" t="str">
        <f>'Autoproducers Calculations'!$C$223</f>
        <v>CHPAUTOGENOIL00</v>
      </c>
      <c r="C895" s="151" t="s">
        <v>111</v>
      </c>
      <c r="D895" s="151"/>
      <c r="E895" s="152">
        <f>'Eurostat Resume'!Y13/'Eurostat Resume'!Y11</f>
        <v>1.3449237329834345E-2</v>
      </c>
      <c r="F895" s="152">
        <v>31.536000000000001</v>
      </c>
      <c r="G895" s="152">
        <f>'Autoproducers Calculations'!X$209</f>
        <v>0.19762031010990475</v>
      </c>
      <c r="H895" s="152">
        <f>'Autoproducers Calculations'!X$207</f>
        <v>3.208182402068958</v>
      </c>
      <c r="I895" s="152">
        <f>'Autoproducers Calculations'!X$206</f>
        <v>0.87876645230225914</v>
      </c>
      <c r="J895" s="151">
        <v>20</v>
      </c>
      <c r="K895" s="151">
        <v>1</v>
      </c>
      <c r="L895" s="152">
        <f>'Autoproducers Calculations'!X$226</f>
        <v>0.11835840122644796</v>
      </c>
      <c r="M895" s="151">
        <v>0</v>
      </c>
      <c r="O895" s="69">
        <f t="shared" ref="O895" si="212">L895*F895*I895</f>
        <v>3.2800401970213442</v>
      </c>
      <c r="P895" s="69">
        <f t="shared" ref="P895" si="213">O895*H895</f>
        <v>10.522967238162675</v>
      </c>
      <c r="Q895" s="69">
        <f>O895/G895</f>
        <v>16.597687733599749</v>
      </c>
    </row>
    <row r="896" spans="2:17">
      <c r="C896" s="151" t="s">
        <v>112</v>
      </c>
      <c r="D896" s="151"/>
      <c r="E896" s="151"/>
      <c r="F896" s="152"/>
      <c r="G896" s="152"/>
      <c r="H896" s="152"/>
      <c r="I896" s="152"/>
      <c r="J896" s="151"/>
      <c r="K896" s="151"/>
      <c r="L896" s="152"/>
      <c r="M896" s="151"/>
      <c r="O896" s="69"/>
      <c r="P896" s="69"/>
      <c r="Q896" s="69"/>
    </row>
    <row r="897" spans="2:17">
      <c r="C897" s="151"/>
      <c r="D897" s="151" t="s">
        <v>105</v>
      </c>
      <c r="E897" s="151"/>
      <c r="F897" s="152"/>
      <c r="G897" s="152"/>
      <c r="H897" s="152"/>
      <c r="I897" s="152"/>
      <c r="J897" s="151"/>
      <c r="K897" s="151"/>
      <c r="L897" s="152"/>
      <c r="M897" s="151"/>
      <c r="O897" s="69"/>
      <c r="P897" s="69"/>
      <c r="Q897" s="69"/>
    </row>
    <row r="898" spans="2:17">
      <c r="C898" s="151"/>
      <c r="D898" s="151" t="s">
        <v>106</v>
      </c>
      <c r="E898" s="151"/>
      <c r="F898" s="152"/>
      <c r="G898" s="152"/>
      <c r="H898" s="152"/>
      <c r="I898" s="152"/>
      <c r="J898" s="151"/>
      <c r="K898" s="151"/>
      <c r="L898" s="152"/>
      <c r="M898" s="151"/>
      <c r="O898" s="69"/>
      <c r="P898" s="69"/>
      <c r="Q898" s="69"/>
    </row>
    <row r="899" spans="2:17">
      <c r="C899" s="151"/>
      <c r="D899" s="151" t="s">
        <v>380</v>
      </c>
      <c r="E899" s="151"/>
      <c r="F899" s="152"/>
      <c r="G899" s="152"/>
      <c r="H899" s="152"/>
      <c r="I899" s="152"/>
      <c r="J899" s="151"/>
      <c r="K899" s="151"/>
      <c r="L899" s="152"/>
      <c r="M899" s="151"/>
      <c r="O899" s="69"/>
      <c r="P899" s="69"/>
      <c r="Q899" s="69"/>
    </row>
    <row r="900" spans="2:17">
      <c r="C900" s="151"/>
      <c r="D900" s="151" t="s">
        <v>379</v>
      </c>
      <c r="E900" s="151"/>
      <c r="F900" s="152"/>
      <c r="G900" s="152"/>
      <c r="H900" s="152"/>
      <c r="I900" s="152"/>
      <c r="J900" s="151"/>
      <c r="K900" s="151"/>
      <c r="L900" s="152"/>
      <c r="M900" s="151"/>
      <c r="O900" s="69"/>
      <c r="P900" s="69"/>
      <c r="Q900" s="69"/>
    </row>
    <row r="901" spans="2:17">
      <c r="C901" s="151"/>
      <c r="D901" s="151" t="s">
        <v>1342</v>
      </c>
      <c r="E901" s="151"/>
      <c r="F901" s="152"/>
      <c r="G901" s="152"/>
      <c r="H901" s="152"/>
      <c r="I901" s="152"/>
      <c r="J901" s="151"/>
      <c r="K901" s="151"/>
      <c r="L901" s="152"/>
      <c r="M901" s="151"/>
      <c r="O901" s="69"/>
      <c r="P901" s="69"/>
      <c r="Q901" s="69"/>
    </row>
    <row r="902" spans="2:17">
      <c r="C902" s="151"/>
      <c r="D902" s="151" t="s">
        <v>382</v>
      </c>
      <c r="E902" s="151"/>
      <c r="F902" s="152"/>
      <c r="G902" s="152"/>
      <c r="H902" s="152"/>
      <c r="I902" s="152"/>
      <c r="J902" s="151"/>
      <c r="K902" s="151"/>
      <c r="L902" s="152"/>
      <c r="M902" s="151"/>
      <c r="O902" s="69"/>
      <c r="P902" s="69"/>
      <c r="Q902" s="69"/>
    </row>
    <row r="903" spans="2:17">
      <c r="B903" s="144" t="str">
        <f>'Autoproducers Calculations'!$C$232</f>
        <v>CHPAUTOGENGAS00</v>
      </c>
      <c r="C903" s="151" t="s">
        <v>113</v>
      </c>
      <c r="D903" s="151"/>
      <c r="E903" s="151"/>
      <c r="F903" s="152">
        <v>31.536000000000001</v>
      </c>
      <c r="G903" s="152">
        <f>'Autoproducers Calculations'!X$209</f>
        <v>0.19762031010990475</v>
      </c>
      <c r="H903" s="152">
        <f>'Autoproducers Calculations'!X$207</f>
        <v>3.208182402068958</v>
      </c>
      <c r="I903" s="152">
        <f>'Autoproducers Calculations'!X$206</f>
        <v>0.87876645230225914</v>
      </c>
      <c r="J903" s="151">
        <v>20</v>
      </c>
      <c r="K903" s="151">
        <v>1</v>
      </c>
      <c r="L903" s="152">
        <f>'Autoproducers Calculations'!X$235</f>
        <v>1.2496765686609856</v>
      </c>
      <c r="M903" s="151">
        <v>0</v>
      </c>
      <c r="O903" s="69">
        <f t="shared" ref="O903" si="214">L903*F903*I903</f>
        <v>34.632010368587089</v>
      </c>
      <c r="P903" s="69">
        <f t="shared" ref="P903" si="215">O903*H903</f>
        <v>111.10580621277079</v>
      </c>
      <c r="Q903" s="69">
        <f>O903/G903</f>
        <v>175.24519797244935</v>
      </c>
    </row>
    <row r="904" spans="2:17">
      <c r="C904" s="151"/>
      <c r="D904" s="151" t="s">
        <v>105</v>
      </c>
      <c r="E904" s="151"/>
      <c r="F904" s="152"/>
      <c r="G904" s="152"/>
      <c r="H904" s="152"/>
      <c r="I904" s="152"/>
      <c r="J904" s="151"/>
      <c r="K904" s="151"/>
      <c r="L904" s="152"/>
      <c r="M904" s="151"/>
      <c r="O904" s="69"/>
      <c r="P904" s="69"/>
      <c r="Q904" s="69"/>
    </row>
    <row r="905" spans="2:17">
      <c r="C905" s="151"/>
      <c r="D905" s="151" t="s">
        <v>106</v>
      </c>
      <c r="E905" s="151"/>
      <c r="F905" s="152"/>
      <c r="G905" s="152"/>
      <c r="H905" s="152"/>
      <c r="I905" s="152"/>
      <c r="J905" s="151"/>
      <c r="K905" s="151"/>
      <c r="L905" s="152"/>
      <c r="M905" s="151"/>
      <c r="O905" s="69"/>
      <c r="P905" s="69"/>
      <c r="Q905" s="69"/>
    </row>
    <row r="906" spans="2:17">
      <c r="C906" s="151"/>
      <c r="D906" s="151" t="s">
        <v>1342</v>
      </c>
      <c r="E906" s="151"/>
      <c r="F906" s="152"/>
      <c r="G906" s="152"/>
      <c r="H906" s="152"/>
      <c r="I906" s="152"/>
      <c r="J906" s="151"/>
      <c r="K906" s="151"/>
      <c r="L906" s="152"/>
      <c r="M906" s="151"/>
      <c r="O906" s="69"/>
      <c r="P906" s="69"/>
      <c r="Q906" s="69"/>
    </row>
    <row r="907" spans="2:17">
      <c r="C907" s="151"/>
      <c r="D907" s="151" t="s">
        <v>378</v>
      </c>
      <c r="E907" s="151"/>
      <c r="F907" s="152"/>
      <c r="G907" s="152"/>
      <c r="H907" s="152"/>
      <c r="I907" s="152"/>
      <c r="J907" s="151"/>
      <c r="K907" s="151"/>
      <c r="L907" s="152"/>
      <c r="M907" s="151"/>
      <c r="O907" s="69"/>
      <c r="P907" s="69"/>
      <c r="Q907" s="69"/>
    </row>
    <row r="908" spans="2:17">
      <c r="C908" s="151"/>
      <c r="D908" s="151" t="s">
        <v>421</v>
      </c>
      <c r="E908" s="151"/>
      <c r="F908" s="152"/>
      <c r="G908" s="152"/>
      <c r="H908" s="152"/>
      <c r="I908" s="152"/>
      <c r="J908" s="151"/>
      <c r="K908" s="151"/>
      <c r="L908" s="152"/>
      <c r="M908" s="151"/>
      <c r="O908" s="69"/>
      <c r="P908" s="69"/>
      <c r="Q908" s="69"/>
    </row>
    <row r="909" spans="2:17">
      <c r="C909" s="151"/>
      <c r="D909" s="151" t="s">
        <v>380</v>
      </c>
      <c r="E909" s="151"/>
      <c r="F909" s="152"/>
      <c r="G909" s="152"/>
      <c r="H909" s="152"/>
      <c r="I909" s="152"/>
      <c r="J909" s="151"/>
      <c r="K909" s="151"/>
      <c r="L909" s="152"/>
      <c r="M909" s="151"/>
      <c r="O909" s="69"/>
      <c r="P909" s="69"/>
      <c r="Q909" s="69"/>
    </row>
    <row r="910" spans="2:17">
      <c r="C910" s="151"/>
      <c r="D910" s="151" t="s">
        <v>379</v>
      </c>
      <c r="E910" s="151"/>
      <c r="F910" s="152"/>
      <c r="G910" s="152"/>
      <c r="H910" s="152"/>
      <c r="I910" s="152"/>
      <c r="J910" s="151"/>
      <c r="K910" s="151"/>
      <c r="L910" s="152"/>
      <c r="M910" s="151"/>
      <c r="O910" s="69"/>
      <c r="P910" s="69"/>
      <c r="Q910" s="69"/>
    </row>
    <row r="911" spans="2:17">
      <c r="C911" s="151"/>
      <c r="D911" s="151" t="s">
        <v>381</v>
      </c>
      <c r="E911" s="151"/>
      <c r="F911" s="152"/>
      <c r="G911" s="152"/>
      <c r="H911" s="152"/>
      <c r="I911" s="152"/>
      <c r="J911" s="151"/>
      <c r="K911" s="151"/>
      <c r="L911" s="152"/>
      <c r="M911" s="151"/>
      <c r="O911" s="69"/>
      <c r="P911" s="69"/>
      <c r="Q911" s="69"/>
    </row>
    <row r="912" spans="2:17">
      <c r="C912" s="151"/>
      <c r="D912" s="151" t="s">
        <v>382</v>
      </c>
      <c r="E912" s="151"/>
      <c r="F912" s="152"/>
      <c r="G912" s="152"/>
      <c r="H912" s="152"/>
      <c r="I912" s="152"/>
      <c r="J912" s="151"/>
      <c r="K912" s="151"/>
      <c r="L912" s="152"/>
      <c r="M912" s="151"/>
      <c r="O912" s="69"/>
      <c r="P912" s="69"/>
      <c r="Q912" s="69"/>
    </row>
    <row r="913" spans="1:17">
      <c r="B913" s="144" t="str">
        <f>'Autoproducers Calculations'!$C$241</f>
        <v>CHPAUTOGENBIO00</v>
      </c>
      <c r="C913" s="151" t="s">
        <v>116</v>
      </c>
      <c r="D913" s="151"/>
      <c r="E913" s="151"/>
      <c r="F913" s="152">
        <v>31.536000000000001</v>
      </c>
      <c r="G913" s="152">
        <f>'Autoproducers Calculations'!X$209</f>
        <v>0.19762031010990475</v>
      </c>
      <c r="H913" s="152">
        <f>'Autoproducers Calculations'!X$207</f>
        <v>3.208182402068958</v>
      </c>
      <c r="I913" s="152">
        <f>'Autoproducers Calculations'!X$206</f>
        <v>0.87876645230225914</v>
      </c>
      <c r="J913" s="151">
        <v>20</v>
      </c>
      <c r="K913" s="151">
        <v>1</v>
      </c>
      <c r="L913" s="152">
        <f>'Autoproducers Calculations'!X$244</f>
        <v>0</v>
      </c>
      <c r="M913" s="151">
        <v>0</v>
      </c>
      <c r="O913" s="69">
        <f t="shared" ref="O913" si="216">L913*F913*I913</f>
        <v>0</v>
      </c>
      <c r="P913" s="69">
        <f t="shared" ref="P913" si="217">O913*H913</f>
        <v>0</v>
      </c>
      <c r="Q913" s="69">
        <f>O913/G913</f>
        <v>0</v>
      </c>
    </row>
    <row r="914" spans="1:17">
      <c r="C914" s="151"/>
      <c r="D914" s="151" t="s">
        <v>105</v>
      </c>
      <c r="E914" s="151"/>
      <c r="F914" s="152"/>
      <c r="G914" s="152"/>
      <c r="H914" s="152"/>
      <c r="I914" s="152"/>
      <c r="J914" s="151"/>
      <c r="K914" s="151"/>
      <c r="L914" s="152"/>
      <c r="M914" s="151"/>
      <c r="O914" s="69"/>
      <c r="P914" s="69"/>
      <c r="Q914" s="69"/>
    </row>
    <row r="915" spans="1:17">
      <c r="C915" s="151"/>
      <c r="D915" s="151" t="s">
        <v>106</v>
      </c>
      <c r="E915" s="151"/>
      <c r="F915" s="152"/>
      <c r="G915" s="152"/>
      <c r="H915" s="152"/>
      <c r="I915" s="152"/>
      <c r="J915" s="151"/>
      <c r="K915" s="151"/>
      <c r="L915" s="152"/>
      <c r="M915" s="151"/>
      <c r="O915" s="69"/>
      <c r="P915" s="69"/>
      <c r="Q915" s="69"/>
    </row>
    <row r="916" spans="1:17">
      <c r="C916" s="151"/>
      <c r="D916" s="151" t="s">
        <v>380</v>
      </c>
      <c r="E916" s="151"/>
      <c r="F916" s="152"/>
      <c r="G916" s="152"/>
      <c r="H916" s="152"/>
      <c r="I916" s="152"/>
      <c r="J916" s="151"/>
      <c r="K916" s="151"/>
      <c r="L916" s="151"/>
      <c r="M916" s="151"/>
      <c r="O916" s="69"/>
      <c r="P916" s="69"/>
      <c r="Q916" s="69"/>
    </row>
    <row r="917" spans="1:17">
      <c r="C917" s="151"/>
      <c r="D917" s="151" t="s">
        <v>379</v>
      </c>
      <c r="E917" s="151"/>
      <c r="F917" s="152"/>
      <c r="G917" s="152"/>
      <c r="H917" s="152"/>
      <c r="I917" s="152"/>
      <c r="J917" s="151"/>
      <c r="K917" s="151"/>
      <c r="L917" s="151"/>
      <c r="M917" s="151"/>
      <c r="O917" s="69"/>
      <c r="P917" s="69"/>
      <c r="Q917" s="69"/>
    </row>
    <row r="918" spans="1:17">
      <c r="C918" s="151"/>
      <c r="D918" s="151" t="s">
        <v>381</v>
      </c>
      <c r="E918" s="151"/>
      <c r="F918" s="152"/>
      <c r="G918" s="152"/>
      <c r="H918" s="152"/>
      <c r="I918" s="152"/>
      <c r="J918" s="151"/>
      <c r="K918" s="151"/>
      <c r="L918" s="151"/>
      <c r="M918" s="151"/>
      <c r="O918" s="69"/>
      <c r="P918" s="69"/>
      <c r="Q918" s="69"/>
    </row>
    <row r="919" spans="1:17">
      <c r="C919" s="151"/>
      <c r="D919" s="151" t="s">
        <v>382</v>
      </c>
      <c r="E919" s="151"/>
      <c r="F919" s="152"/>
      <c r="G919" s="152"/>
      <c r="H919" s="152"/>
      <c r="I919" s="152"/>
      <c r="J919" s="151"/>
      <c r="K919" s="151"/>
      <c r="L919" s="151"/>
      <c r="M919" s="151"/>
      <c r="O919" s="69"/>
      <c r="P919" s="69"/>
      <c r="Q919" s="69"/>
    </row>
    <row r="920" spans="1:17">
      <c r="B920" s="144" t="str">
        <f>'Autoproducers Calculations'!$C$250</f>
        <v>CHPAUTOGENWASTE00</v>
      </c>
      <c r="C920" s="151" t="s">
        <v>117</v>
      </c>
      <c r="D920" s="151"/>
      <c r="E920" s="151"/>
      <c r="F920" s="152">
        <v>31.536000000000001</v>
      </c>
      <c r="G920" s="152">
        <f>'Autoproducers Calculations'!X$209</f>
        <v>0.19762031010990475</v>
      </c>
      <c r="H920" s="152">
        <f>'Autoproducers Calculations'!X$207</f>
        <v>3.208182402068958</v>
      </c>
      <c r="I920" s="152">
        <f>'Autoproducers Calculations'!X$206</f>
        <v>0.87876645230225914</v>
      </c>
      <c r="J920" s="151">
        <v>20</v>
      </c>
      <c r="K920" s="151">
        <v>1</v>
      </c>
      <c r="L920" s="152">
        <f>'Autoproducers Calculations'!X$253</f>
        <v>0</v>
      </c>
      <c r="M920" s="151">
        <v>0</v>
      </c>
      <c r="O920" s="69">
        <f t="shared" ref="O920" si="218">L920*F920*I920</f>
        <v>0</v>
      </c>
      <c r="P920" s="69">
        <f t="shared" ref="P920" si="219">O920*H920</f>
        <v>0</v>
      </c>
      <c r="Q920" s="69">
        <f>O920/G920</f>
        <v>0</v>
      </c>
    </row>
    <row r="921" spans="1:17">
      <c r="C921" s="151" t="s">
        <v>118</v>
      </c>
      <c r="D921" s="151"/>
      <c r="E921" s="151"/>
      <c r="F921" s="152"/>
      <c r="G921" s="152"/>
      <c r="H921" s="152"/>
      <c r="I921" s="152"/>
      <c r="J921" s="151"/>
      <c r="K921" s="151"/>
      <c r="L921" s="151"/>
      <c r="M921" s="151"/>
      <c r="O921" s="69"/>
      <c r="P921" s="69"/>
      <c r="Q921" s="69"/>
    </row>
    <row r="922" spans="1:17">
      <c r="C922" s="151"/>
      <c r="D922" s="151" t="s">
        <v>105</v>
      </c>
      <c r="E922" s="151"/>
      <c r="F922" s="152"/>
      <c r="G922" s="152"/>
      <c r="H922" s="152"/>
      <c r="I922" s="152"/>
      <c r="J922" s="151"/>
      <c r="K922" s="151"/>
      <c r="L922" s="151"/>
      <c r="M922" s="151"/>
      <c r="O922" s="719">
        <f>SUM(O880:O920)</f>
        <v>45.721698953377732</v>
      </c>
      <c r="P922" s="719">
        <f>SUM(P880:P920)</f>
        <v>146.68354997492114</v>
      </c>
      <c r="Q922" s="719">
        <f>SUM(Q880:Q920)</f>
        <v>231.3613359272133</v>
      </c>
    </row>
    <row r="923" spans="1:17">
      <c r="C923" s="151"/>
      <c r="D923" s="151" t="s">
        <v>106</v>
      </c>
      <c r="E923" s="151"/>
      <c r="F923" s="152"/>
      <c r="G923" s="152"/>
      <c r="H923" s="152"/>
      <c r="I923" s="152"/>
      <c r="J923" s="151"/>
      <c r="K923" s="151"/>
      <c r="L923" s="151"/>
      <c r="M923" s="151"/>
    </row>
    <row r="924" spans="1:17">
      <c r="C924" s="151"/>
      <c r="D924" s="151" t="s">
        <v>381</v>
      </c>
      <c r="E924" s="151"/>
      <c r="F924" s="152"/>
      <c r="G924" s="152"/>
      <c r="H924" s="152"/>
      <c r="I924" s="152"/>
      <c r="J924" s="151"/>
      <c r="K924" s="151"/>
      <c r="L924" s="151"/>
      <c r="M924" s="151"/>
    </row>
    <row r="925" spans="1:17">
      <c r="C925" s="151"/>
      <c r="D925" s="151" t="s">
        <v>382</v>
      </c>
      <c r="E925" s="151"/>
      <c r="F925" s="151"/>
      <c r="G925" s="151"/>
      <c r="H925" s="151"/>
      <c r="I925" s="151"/>
      <c r="J925" s="151"/>
      <c r="K925" s="151"/>
      <c r="L925" s="151"/>
      <c r="M925" s="151"/>
      <c r="O925" s="677" t="s">
        <v>390</v>
      </c>
      <c r="P925" s="677" t="s">
        <v>406</v>
      </c>
      <c r="Q925" s="677" t="s">
        <v>1304</v>
      </c>
    </row>
    <row r="926" spans="1:17">
      <c r="A926" s="64" t="s">
        <v>57</v>
      </c>
      <c r="B926" s="144" t="str">
        <f>'Autoproducers Calculations'!$C$205</f>
        <v>CHPAUTOGENSOLID00</v>
      </c>
      <c r="C926" s="151" t="s">
        <v>107</v>
      </c>
      <c r="D926" s="151"/>
      <c r="E926" s="151"/>
      <c r="F926" s="152">
        <v>31.536000000000001</v>
      </c>
      <c r="G926" s="152">
        <f>'Autoproducers Calculations'!Y$209</f>
        <v>0.11029467560389529</v>
      </c>
      <c r="H926" s="152">
        <f>'Autoproducers Calculations'!Y$207</f>
        <v>6.0828030042426322</v>
      </c>
      <c r="I926" s="152">
        <f>'Autoproducers Calculations'!Y$206</f>
        <v>0.45180762443518252</v>
      </c>
      <c r="J926" s="151">
        <v>20</v>
      </c>
      <c r="K926" s="151">
        <v>1</v>
      </c>
      <c r="L926" s="152">
        <f>'Autoproducers Calculations'!Y$208</f>
        <v>1.5069765941181761</v>
      </c>
      <c r="M926" s="151">
        <v>0</v>
      </c>
      <c r="O926" s="69">
        <f>L926*F926*I926</f>
        <v>21.471711811183042</v>
      </c>
      <c r="P926" s="69">
        <f t="shared" ref="P926" si="220">O926*H926</f>
        <v>130.6081931112962</v>
      </c>
      <c r="Q926" s="69">
        <f>O926/G926</f>
        <v>194.67586892675644</v>
      </c>
    </row>
    <row r="927" spans="1:17">
      <c r="C927" s="151" t="s">
        <v>108</v>
      </c>
      <c r="D927" s="151"/>
      <c r="E927" s="151">
        <f>'Eurostat Resume'!Z10/'Eurostat Resume'!Z9</f>
        <v>1</v>
      </c>
      <c r="F927" s="152"/>
      <c r="G927" s="152"/>
      <c r="H927" s="152"/>
      <c r="I927" s="152"/>
      <c r="J927" s="151"/>
      <c r="K927" s="151"/>
      <c r="L927" s="152"/>
      <c r="M927" s="151"/>
      <c r="O927" s="69"/>
      <c r="P927" s="69"/>
      <c r="Q927" s="69"/>
    </row>
    <row r="928" spans="1:17">
      <c r="C928" s="151"/>
      <c r="D928" s="151" t="s">
        <v>105</v>
      </c>
      <c r="E928" s="151"/>
      <c r="F928" s="152"/>
      <c r="G928" s="152"/>
      <c r="H928" s="152"/>
      <c r="I928" s="152"/>
      <c r="J928" s="151"/>
      <c r="K928" s="151"/>
      <c r="L928" s="152"/>
      <c r="M928" s="151"/>
      <c r="O928" s="69"/>
      <c r="P928" s="69"/>
      <c r="Q928" s="69"/>
    </row>
    <row r="929" spans="2:17">
      <c r="C929" s="151"/>
      <c r="D929" s="151" t="s">
        <v>106</v>
      </c>
      <c r="E929" s="151"/>
      <c r="F929" s="152"/>
      <c r="G929" s="152"/>
      <c r="H929" s="152"/>
      <c r="I929" s="152"/>
      <c r="J929" s="151"/>
      <c r="K929" s="151"/>
      <c r="L929" s="152"/>
      <c r="M929" s="151"/>
      <c r="O929" s="69"/>
      <c r="P929" s="69"/>
      <c r="Q929" s="69"/>
    </row>
    <row r="930" spans="2:17">
      <c r="C930" s="151"/>
      <c r="D930" s="151" t="s">
        <v>378</v>
      </c>
      <c r="E930" s="151"/>
      <c r="F930" s="152"/>
      <c r="G930" s="152"/>
      <c r="H930" s="152"/>
      <c r="I930" s="152"/>
      <c r="J930" s="151"/>
      <c r="K930" s="151"/>
      <c r="L930" s="152"/>
      <c r="M930" s="151"/>
      <c r="O930" s="69"/>
      <c r="P930" s="69"/>
      <c r="Q930" s="69"/>
    </row>
    <row r="931" spans="2:17">
      <c r="C931" s="151"/>
      <c r="D931" s="151" t="s">
        <v>380</v>
      </c>
      <c r="E931" s="151"/>
      <c r="F931" s="152"/>
      <c r="G931" s="152"/>
      <c r="H931" s="152"/>
      <c r="I931" s="152"/>
      <c r="J931" s="151"/>
      <c r="K931" s="151"/>
      <c r="L931" s="152"/>
      <c r="M931" s="151"/>
      <c r="O931" s="69"/>
      <c r="P931" s="69"/>
      <c r="Q931" s="69"/>
    </row>
    <row r="932" spans="2:17">
      <c r="C932" s="151"/>
      <c r="D932" s="151" t="s">
        <v>379</v>
      </c>
      <c r="E932" s="151"/>
      <c r="F932" s="152"/>
      <c r="G932" s="152"/>
      <c r="H932" s="152"/>
      <c r="I932" s="152"/>
      <c r="J932" s="151"/>
      <c r="K932" s="151"/>
      <c r="L932" s="152"/>
      <c r="M932" s="151"/>
      <c r="O932" s="69"/>
      <c r="P932" s="69"/>
      <c r="Q932" s="69"/>
    </row>
    <row r="933" spans="2:17">
      <c r="C933" s="151"/>
      <c r="D933" s="151" t="s">
        <v>381</v>
      </c>
      <c r="E933" s="151"/>
      <c r="F933" s="152"/>
      <c r="G933" s="152"/>
      <c r="H933" s="152"/>
      <c r="I933" s="152"/>
      <c r="J933" s="151"/>
      <c r="K933" s="151"/>
      <c r="L933" s="152"/>
      <c r="M933" s="151"/>
      <c r="O933" s="69"/>
      <c r="P933" s="69"/>
      <c r="Q933" s="69"/>
    </row>
    <row r="934" spans="2:17">
      <c r="C934" s="151"/>
      <c r="D934" s="151" t="s">
        <v>382</v>
      </c>
      <c r="E934" s="151"/>
      <c r="F934" s="152"/>
      <c r="G934" s="152"/>
      <c r="H934" s="152"/>
      <c r="I934" s="152"/>
      <c r="J934" s="151"/>
      <c r="K934" s="151"/>
      <c r="L934" s="152"/>
      <c r="M934" s="151"/>
      <c r="O934" s="69"/>
      <c r="P934" s="69"/>
      <c r="Q934" s="69"/>
    </row>
    <row r="935" spans="2:17">
      <c r="B935" s="144" t="str">
        <f>'Autoproducers Calculations'!$C$214</f>
        <v>CHPAUTOGENRFG00</v>
      </c>
      <c r="C935" s="151" t="s">
        <v>110</v>
      </c>
      <c r="D935" s="151"/>
      <c r="E935" s="151"/>
      <c r="F935" s="152">
        <v>31.536000000000001</v>
      </c>
      <c r="G935" s="152">
        <f>'Autoproducers Calculations'!Y$209</f>
        <v>0.11029467560389529</v>
      </c>
      <c r="H935" s="152">
        <f>'Autoproducers Calculations'!Y$207</f>
        <v>6.0828030042426322</v>
      </c>
      <c r="I935" s="152">
        <f>'Autoproducers Calculations'!Y$206</f>
        <v>0.45180762443518252</v>
      </c>
      <c r="J935" s="151">
        <v>20</v>
      </c>
      <c r="K935" s="151">
        <v>1</v>
      </c>
      <c r="L935" s="152">
        <f>'Autoproducers Calculations'!Y$217</f>
        <v>0</v>
      </c>
      <c r="M935" s="151">
        <v>0</v>
      </c>
      <c r="O935" s="69">
        <f t="shared" ref="O935" si="221">L935*F935*I935</f>
        <v>0</v>
      </c>
      <c r="P935" s="69">
        <f t="shared" ref="P935" si="222">O935*H935</f>
        <v>0</v>
      </c>
      <c r="Q935" s="69">
        <f>O935/G935</f>
        <v>0</v>
      </c>
    </row>
    <row r="936" spans="2:17">
      <c r="C936" s="151"/>
      <c r="D936" s="151" t="s">
        <v>105</v>
      </c>
      <c r="E936" s="151"/>
      <c r="F936" s="152"/>
      <c r="G936" s="152"/>
      <c r="H936" s="152"/>
      <c r="I936" s="152"/>
      <c r="J936" s="151"/>
      <c r="K936" s="151"/>
      <c r="L936" s="152"/>
      <c r="M936" s="151"/>
      <c r="O936" s="69"/>
      <c r="P936" s="69"/>
      <c r="Q936" s="69"/>
    </row>
    <row r="937" spans="2:17">
      <c r="C937" s="151"/>
      <c r="D937" s="151" t="s">
        <v>106</v>
      </c>
      <c r="E937" s="151"/>
      <c r="F937" s="152"/>
      <c r="G937" s="152"/>
      <c r="H937" s="152"/>
      <c r="I937" s="152"/>
      <c r="J937" s="151"/>
      <c r="K937" s="151"/>
      <c r="L937" s="152"/>
      <c r="M937" s="151"/>
      <c r="O937" s="69"/>
      <c r="P937" s="69"/>
      <c r="Q937" s="69"/>
    </row>
    <row r="938" spans="2:17">
      <c r="C938" s="151"/>
      <c r="D938" s="151" t="s">
        <v>1342</v>
      </c>
      <c r="E938" s="151"/>
      <c r="F938" s="152"/>
      <c r="G938" s="152"/>
      <c r="H938" s="152"/>
      <c r="I938" s="152"/>
      <c r="J938" s="151"/>
      <c r="K938" s="151"/>
      <c r="L938" s="152"/>
      <c r="M938" s="151"/>
      <c r="O938" s="69"/>
      <c r="P938" s="69"/>
      <c r="Q938" s="69"/>
    </row>
    <row r="939" spans="2:17">
      <c r="C939" s="151"/>
      <c r="D939" s="151" t="s">
        <v>380</v>
      </c>
      <c r="E939" s="151"/>
      <c r="F939" s="152"/>
      <c r="G939" s="152"/>
      <c r="H939" s="152"/>
      <c r="I939" s="152"/>
      <c r="J939" s="151"/>
      <c r="K939" s="151"/>
      <c r="L939" s="152"/>
      <c r="M939" s="151"/>
      <c r="O939" s="69"/>
      <c r="P939" s="69"/>
      <c r="Q939" s="69"/>
    </row>
    <row r="940" spans="2:17">
      <c r="C940" s="151"/>
      <c r="D940" s="151" t="s">
        <v>379</v>
      </c>
      <c r="E940" s="151"/>
      <c r="F940" s="152"/>
      <c r="G940" s="152"/>
      <c r="H940" s="152"/>
      <c r="I940" s="152"/>
      <c r="J940" s="151"/>
      <c r="K940" s="151"/>
      <c r="L940" s="152"/>
      <c r="M940" s="151"/>
      <c r="O940" s="69"/>
      <c r="P940" s="69"/>
      <c r="Q940" s="69"/>
    </row>
    <row r="941" spans="2:17">
      <c r="B941" s="144" t="str">
        <f>'Autoproducers Calculations'!$C$223</f>
        <v>CHPAUTOGENOIL00</v>
      </c>
      <c r="C941" s="151" t="s">
        <v>111</v>
      </c>
      <c r="D941" s="151"/>
      <c r="E941" s="152">
        <f>'Eurostat Resume'!Z13/'Eurostat Resume'!Z11</f>
        <v>0.33333333333333331</v>
      </c>
      <c r="F941" s="152">
        <v>31.536000000000001</v>
      </c>
      <c r="G941" s="152">
        <f>'Autoproducers Calculations'!Y$209</f>
        <v>0.11029467560389529</v>
      </c>
      <c r="H941" s="152">
        <f>'Autoproducers Calculations'!Y$207</f>
        <v>6.0828030042426322</v>
      </c>
      <c r="I941" s="152">
        <f>'Autoproducers Calculations'!Y$206</f>
        <v>0.45180762443518252</v>
      </c>
      <c r="J941" s="151">
        <v>20</v>
      </c>
      <c r="K941" s="151">
        <v>1</v>
      </c>
      <c r="L941" s="152">
        <f>'Autoproducers Calculations'!Y$226</f>
        <v>2.4926252360823818E-2</v>
      </c>
      <c r="M941" s="151">
        <v>0</v>
      </c>
      <c r="O941" s="69">
        <f t="shared" ref="O941" si="223">L941*F941*I941</f>
        <v>0.35515435960544139</v>
      </c>
      <c r="P941" s="69">
        <f t="shared" ref="P941" si="224">O941*H941</f>
        <v>2.1603340055778473</v>
      </c>
      <c r="Q941" s="69">
        <f>O941/G941</f>
        <v>3.2200499041396915</v>
      </c>
    </row>
    <row r="942" spans="2:17">
      <c r="C942" s="151" t="s">
        <v>112</v>
      </c>
      <c r="D942" s="151"/>
      <c r="E942" s="151"/>
      <c r="F942" s="152"/>
      <c r="G942" s="152"/>
      <c r="H942" s="152"/>
      <c r="I942" s="152"/>
      <c r="J942" s="151"/>
      <c r="K942" s="151"/>
      <c r="L942" s="152"/>
      <c r="M942" s="151"/>
      <c r="O942" s="69"/>
      <c r="P942" s="69"/>
      <c r="Q942" s="69"/>
    </row>
    <row r="943" spans="2:17">
      <c r="C943" s="151"/>
      <c r="D943" s="151" t="s">
        <v>105</v>
      </c>
      <c r="E943" s="151"/>
      <c r="F943" s="152"/>
      <c r="G943" s="152"/>
      <c r="H943" s="152"/>
      <c r="I943" s="152"/>
      <c r="J943" s="151"/>
      <c r="K943" s="151"/>
      <c r="L943" s="152"/>
      <c r="M943" s="151"/>
      <c r="O943" s="69"/>
      <c r="P943" s="69"/>
      <c r="Q943" s="69"/>
    </row>
    <row r="944" spans="2:17">
      <c r="C944" s="151"/>
      <c r="D944" s="151" t="s">
        <v>106</v>
      </c>
      <c r="E944" s="151"/>
      <c r="F944" s="152"/>
      <c r="G944" s="152"/>
      <c r="H944" s="152"/>
      <c r="I944" s="152"/>
      <c r="J944" s="151"/>
      <c r="K944" s="151"/>
      <c r="L944" s="152"/>
      <c r="M944" s="151"/>
      <c r="O944" s="69"/>
      <c r="P944" s="69"/>
      <c r="Q944" s="69"/>
    </row>
    <row r="945" spans="2:17">
      <c r="C945" s="151"/>
      <c r="D945" s="151" t="s">
        <v>380</v>
      </c>
      <c r="E945" s="151"/>
      <c r="F945" s="152"/>
      <c r="G945" s="152"/>
      <c r="H945" s="152"/>
      <c r="I945" s="152"/>
      <c r="J945" s="151"/>
      <c r="K945" s="151"/>
      <c r="L945" s="152"/>
      <c r="M945" s="151"/>
      <c r="O945" s="69"/>
      <c r="P945" s="69"/>
      <c r="Q945" s="69"/>
    </row>
    <row r="946" spans="2:17">
      <c r="C946" s="151"/>
      <c r="D946" s="151" t="s">
        <v>379</v>
      </c>
      <c r="E946" s="151"/>
      <c r="F946" s="152"/>
      <c r="G946" s="152"/>
      <c r="H946" s="152"/>
      <c r="I946" s="152"/>
      <c r="J946" s="151"/>
      <c r="K946" s="151"/>
      <c r="L946" s="152"/>
      <c r="M946" s="151"/>
      <c r="O946" s="69"/>
      <c r="P946" s="69"/>
      <c r="Q946" s="69"/>
    </row>
    <row r="947" spans="2:17">
      <c r="C947" s="151"/>
      <c r="D947" s="151" t="s">
        <v>1342</v>
      </c>
      <c r="E947" s="151"/>
      <c r="F947" s="152"/>
      <c r="G947" s="152"/>
      <c r="H947" s="152"/>
      <c r="I947" s="152"/>
      <c r="J947" s="151"/>
      <c r="K947" s="151"/>
      <c r="L947" s="152"/>
      <c r="M947" s="151"/>
      <c r="O947" s="69"/>
      <c r="P947" s="69"/>
      <c r="Q947" s="69"/>
    </row>
    <row r="948" spans="2:17">
      <c r="C948" s="151"/>
      <c r="D948" s="151" t="s">
        <v>382</v>
      </c>
      <c r="E948" s="151"/>
      <c r="F948" s="152"/>
      <c r="G948" s="152"/>
      <c r="H948" s="152"/>
      <c r="I948" s="152"/>
      <c r="J948" s="151"/>
      <c r="K948" s="151"/>
      <c r="L948" s="152"/>
      <c r="M948" s="151"/>
      <c r="O948" s="69"/>
      <c r="P948" s="69"/>
      <c r="Q948" s="69"/>
    </row>
    <row r="949" spans="2:17">
      <c r="B949" s="144" t="str">
        <f>'Autoproducers Calculations'!$C$232</f>
        <v>CHPAUTOGENGAS00</v>
      </c>
      <c r="C949" s="151" t="s">
        <v>113</v>
      </c>
      <c r="D949" s="151"/>
      <c r="E949" s="151"/>
      <c r="F949" s="152">
        <v>31.536000000000001</v>
      </c>
      <c r="G949" s="152">
        <f>'Autoproducers Calculations'!Y$209</f>
        <v>0.11029467560389529</v>
      </c>
      <c r="H949" s="152">
        <f>'Autoproducers Calculations'!Y$207</f>
        <v>6.0828030042426322</v>
      </c>
      <c r="I949" s="152">
        <f>'Autoproducers Calculations'!Y$206</f>
        <v>0.45180762443518252</v>
      </c>
      <c r="J949" s="151">
        <v>20</v>
      </c>
      <c r="K949" s="151">
        <v>1</v>
      </c>
      <c r="L949" s="152">
        <f>'Autoproducers Calculations'!Y$235</f>
        <v>0.33664288605090387</v>
      </c>
      <c r="M949" s="151">
        <v>0</v>
      </c>
      <c r="O949" s="69">
        <f t="shared" ref="O949" si="225">L949*F949*I949</f>
        <v>4.7965569344490433</v>
      </c>
      <c r="P949" s="69">
        <f t="shared" ref="P949" si="226">O949*H949</f>
        <v>29.176510930887471</v>
      </c>
      <c r="Q949" s="69">
        <f>O949/G949</f>
        <v>43.488562872019934</v>
      </c>
    </row>
    <row r="950" spans="2:17">
      <c r="C950" s="151"/>
      <c r="D950" s="151" t="s">
        <v>105</v>
      </c>
      <c r="E950" s="151"/>
      <c r="F950" s="152"/>
      <c r="G950" s="152"/>
      <c r="H950" s="152"/>
      <c r="I950" s="152"/>
      <c r="J950" s="151"/>
      <c r="K950" s="151"/>
      <c r="L950" s="152"/>
      <c r="M950" s="151"/>
      <c r="O950" s="69"/>
      <c r="P950" s="69"/>
      <c r="Q950" s="69"/>
    </row>
    <row r="951" spans="2:17">
      <c r="C951" s="151"/>
      <c r="D951" s="151" t="s">
        <v>106</v>
      </c>
      <c r="E951" s="151"/>
      <c r="F951" s="152"/>
      <c r="G951" s="152"/>
      <c r="H951" s="152"/>
      <c r="I951" s="152"/>
      <c r="J951" s="151"/>
      <c r="K951" s="151"/>
      <c r="L951" s="152"/>
      <c r="M951" s="151"/>
      <c r="O951" s="69"/>
      <c r="P951" s="69"/>
      <c r="Q951" s="69"/>
    </row>
    <row r="952" spans="2:17">
      <c r="C952" s="151"/>
      <c r="D952" s="151" t="s">
        <v>1342</v>
      </c>
      <c r="E952" s="151"/>
      <c r="F952" s="152"/>
      <c r="G952" s="152"/>
      <c r="H952" s="152"/>
      <c r="I952" s="152"/>
      <c r="J952" s="151"/>
      <c r="K952" s="151"/>
      <c r="L952" s="152"/>
      <c r="M952" s="151"/>
      <c r="O952" s="69"/>
      <c r="P952" s="69"/>
      <c r="Q952" s="69"/>
    </row>
    <row r="953" spans="2:17">
      <c r="C953" s="151"/>
      <c r="D953" s="151" t="s">
        <v>378</v>
      </c>
      <c r="E953" s="151"/>
      <c r="F953" s="152"/>
      <c r="G953" s="152"/>
      <c r="H953" s="152"/>
      <c r="I953" s="152"/>
      <c r="J953" s="151"/>
      <c r="K953" s="151"/>
      <c r="L953" s="152"/>
      <c r="M953" s="151"/>
      <c r="O953" s="69"/>
      <c r="P953" s="69"/>
      <c r="Q953" s="69"/>
    </row>
    <row r="954" spans="2:17">
      <c r="C954" s="151"/>
      <c r="D954" s="151" t="s">
        <v>421</v>
      </c>
      <c r="E954" s="151"/>
      <c r="F954" s="152"/>
      <c r="G954" s="152"/>
      <c r="H954" s="152"/>
      <c r="I954" s="152"/>
      <c r="J954" s="151"/>
      <c r="K954" s="151"/>
      <c r="L954" s="152"/>
      <c r="M954" s="151"/>
      <c r="O954" s="69"/>
      <c r="P954" s="69"/>
      <c r="Q954" s="69"/>
    </row>
    <row r="955" spans="2:17">
      <c r="C955" s="151"/>
      <c r="D955" s="151" t="s">
        <v>380</v>
      </c>
      <c r="E955" s="151"/>
      <c r="F955" s="152"/>
      <c r="G955" s="152"/>
      <c r="H955" s="152"/>
      <c r="I955" s="152"/>
      <c r="J955" s="151"/>
      <c r="K955" s="151"/>
      <c r="L955" s="152"/>
      <c r="M955" s="151"/>
      <c r="O955" s="69"/>
      <c r="P955" s="69"/>
      <c r="Q955" s="69"/>
    </row>
    <row r="956" spans="2:17">
      <c r="C956" s="151"/>
      <c r="D956" s="151" t="s">
        <v>379</v>
      </c>
      <c r="E956" s="151"/>
      <c r="F956" s="152"/>
      <c r="G956" s="152"/>
      <c r="H956" s="152"/>
      <c r="I956" s="152"/>
      <c r="J956" s="151"/>
      <c r="K956" s="151"/>
      <c r="L956" s="152"/>
      <c r="M956" s="151"/>
      <c r="O956" s="69"/>
      <c r="P956" s="69"/>
      <c r="Q956" s="69"/>
    </row>
    <row r="957" spans="2:17">
      <c r="C957" s="151"/>
      <c r="D957" s="151" t="s">
        <v>381</v>
      </c>
      <c r="E957" s="151"/>
      <c r="F957" s="152"/>
      <c r="G957" s="152"/>
      <c r="H957" s="152"/>
      <c r="I957" s="152"/>
      <c r="J957" s="151"/>
      <c r="K957" s="151"/>
      <c r="L957" s="152"/>
      <c r="M957" s="151"/>
      <c r="O957" s="69"/>
      <c r="P957" s="69"/>
      <c r="Q957" s="69"/>
    </row>
    <row r="958" spans="2:17">
      <c r="C958" s="151"/>
      <c r="D958" s="151" t="s">
        <v>382</v>
      </c>
      <c r="E958" s="151"/>
      <c r="F958" s="152"/>
      <c r="G958" s="152"/>
      <c r="H958" s="152"/>
      <c r="I958" s="152"/>
      <c r="J958" s="151"/>
      <c r="K958" s="151"/>
      <c r="L958" s="152"/>
      <c r="M958" s="151"/>
      <c r="O958" s="69"/>
      <c r="P958" s="69"/>
      <c r="Q958" s="69"/>
    </row>
    <row r="959" spans="2:17">
      <c r="B959" s="144" t="str">
        <f>'Autoproducers Calculations'!$C$241</f>
        <v>CHPAUTOGENBIO00</v>
      </c>
      <c r="C959" s="151" t="s">
        <v>116</v>
      </c>
      <c r="D959" s="151"/>
      <c r="E959" s="151"/>
      <c r="F959" s="152">
        <v>31.536000000000001</v>
      </c>
      <c r="G959" s="152">
        <f>'Autoproducers Calculations'!Y$209</f>
        <v>0.11029467560389529</v>
      </c>
      <c r="H959" s="152">
        <f>'Autoproducers Calculations'!Y$207</f>
        <v>6.0828030042426322</v>
      </c>
      <c r="I959" s="152">
        <f>'Autoproducers Calculations'!Y$206</f>
        <v>0.45180762443518252</v>
      </c>
      <c r="J959" s="151">
        <v>20</v>
      </c>
      <c r="K959" s="151">
        <v>1</v>
      </c>
      <c r="L959" s="152">
        <f>'Autoproducers Calculations'!Y$244</f>
        <v>0.14295667326198397</v>
      </c>
      <c r="M959" s="151">
        <v>0</v>
      </c>
      <c r="O959" s="69">
        <f t="shared" ref="O959" si="227">L959*F959*I959</f>
        <v>2.0368760216630584</v>
      </c>
      <c r="P959" s="69">
        <f t="shared" ref="P959" si="228">O959*H959</f>
        <v>12.389915583841832</v>
      </c>
      <c r="Q959" s="69">
        <f>O959/G959</f>
        <v>18.467582505778925</v>
      </c>
    </row>
    <row r="960" spans="2:17">
      <c r="C960" s="151"/>
      <c r="D960" s="151" t="s">
        <v>105</v>
      </c>
      <c r="E960" s="151"/>
      <c r="F960" s="152"/>
      <c r="G960" s="152"/>
      <c r="H960" s="152"/>
      <c r="I960" s="152"/>
      <c r="J960" s="151"/>
      <c r="K960" s="151"/>
      <c r="L960" s="152"/>
      <c r="M960" s="151"/>
      <c r="O960" s="69"/>
      <c r="P960" s="69"/>
      <c r="Q960" s="69"/>
    </row>
    <row r="961" spans="1:17">
      <c r="C961" s="151"/>
      <c r="D961" s="151" t="s">
        <v>106</v>
      </c>
      <c r="E961" s="151"/>
      <c r="F961" s="152"/>
      <c r="G961" s="152"/>
      <c r="H961" s="152"/>
      <c r="I961" s="152"/>
      <c r="J961" s="151"/>
      <c r="K961" s="151"/>
      <c r="L961" s="152"/>
      <c r="M961" s="151"/>
      <c r="O961" s="69"/>
      <c r="P961" s="69"/>
      <c r="Q961" s="69"/>
    </row>
    <row r="962" spans="1:17">
      <c r="C962" s="151"/>
      <c r="D962" s="151" t="s">
        <v>380</v>
      </c>
      <c r="E962" s="151"/>
      <c r="F962" s="152"/>
      <c r="G962" s="152"/>
      <c r="H962" s="152"/>
      <c r="I962" s="152"/>
      <c r="J962" s="151"/>
      <c r="K962" s="151"/>
      <c r="L962" s="151"/>
      <c r="M962" s="151"/>
      <c r="O962" s="69"/>
      <c r="P962" s="69"/>
      <c r="Q962" s="69"/>
    </row>
    <row r="963" spans="1:17">
      <c r="C963" s="151"/>
      <c r="D963" s="151" t="s">
        <v>379</v>
      </c>
      <c r="E963" s="151"/>
      <c r="F963" s="152"/>
      <c r="G963" s="152"/>
      <c r="H963" s="152"/>
      <c r="I963" s="152"/>
      <c r="J963" s="151"/>
      <c r="K963" s="151"/>
      <c r="L963" s="151"/>
      <c r="M963" s="151"/>
      <c r="O963" s="69"/>
      <c r="P963" s="69"/>
      <c r="Q963" s="69"/>
    </row>
    <row r="964" spans="1:17">
      <c r="C964" s="151"/>
      <c r="D964" s="151" t="s">
        <v>381</v>
      </c>
      <c r="E964" s="151"/>
      <c r="F964" s="152"/>
      <c r="G964" s="152"/>
      <c r="H964" s="152"/>
      <c r="I964" s="152"/>
      <c r="J964" s="151"/>
      <c r="K964" s="151"/>
      <c r="L964" s="151"/>
      <c r="M964" s="151"/>
      <c r="O964" s="69"/>
      <c r="P964" s="69"/>
      <c r="Q964" s="69"/>
    </row>
    <row r="965" spans="1:17">
      <c r="C965" s="151"/>
      <c r="D965" s="151" t="s">
        <v>382</v>
      </c>
      <c r="E965" s="151"/>
      <c r="F965" s="152"/>
      <c r="G965" s="152"/>
      <c r="H965" s="152"/>
      <c r="I965" s="152"/>
      <c r="J965" s="151"/>
      <c r="K965" s="151"/>
      <c r="L965" s="151"/>
      <c r="M965" s="151"/>
      <c r="O965" s="69"/>
      <c r="P965" s="69"/>
      <c r="Q965" s="69"/>
    </row>
    <row r="966" spans="1:17">
      <c r="B966" s="144" t="str">
        <f>'Autoproducers Calculations'!$C$250</f>
        <v>CHPAUTOGENWASTE00</v>
      </c>
      <c r="C966" s="151" t="s">
        <v>117</v>
      </c>
      <c r="D966" s="151"/>
      <c r="E966" s="151"/>
      <c r="F966" s="152">
        <v>31.536000000000001</v>
      </c>
      <c r="G966" s="152">
        <f>'Autoproducers Calculations'!Y$209</f>
        <v>0.11029467560389529</v>
      </c>
      <c r="H966" s="152">
        <f>'Autoproducers Calculations'!Y$207</f>
        <v>6.0828030042426322</v>
      </c>
      <c r="I966" s="152">
        <f>'Autoproducers Calculations'!Y$206</f>
        <v>0.45180762443518252</v>
      </c>
      <c r="J966" s="151">
        <v>20</v>
      </c>
      <c r="K966" s="151">
        <v>1</v>
      </c>
      <c r="L966" s="152">
        <f>'Autoproducers Calculations'!Y$253</f>
        <v>4.1497594208112241E-2</v>
      </c>
      <c r="M966" s="151">
        <v>0</v>
      </c>
      <c r="O966" s="69">
        <f t="shared" ref="O966" si="229">L966*F966*I966</f>
        <v>0.59126623941720691</v>
      </c>
      <c r="P966" s="69">
        <f t="shared" ref="P966" si="230">O966*H966</f>
        <v>3.5965560574342295</v>
      </c>
      <c r="Q966" s="69">
        <f>O966/G966</f>
        <v>5.3607867848547812</v>
      </c>
    </row>
    <row r="967" spans="1:17">
      <c r="C967" s="151" t="s">
        <v>118</v>
      </c>
      <c r="D967" s="151"/>
      <c r="E967" s="151"/>
      <c r="F967" s="152"/>
      <c r="G967" s="152"/>
      <c r="H967" s="152"/>
      <c r="I967" s="152"/>
      <c r="J967" s="151"/>
      <c r="K967" s="151"/>
      <c r="L967" s="151"/>
      <c r="M967" s="151"/>
      <c r="O967" s="69"/>
      <c r="P967" s="69"/>
      <c r="Q967" s="69"/>
    </row>
    <row r="968" spans="1:17">
      <c r="C968" s="151"/>
      <c r="D968" s="151" t="s">
        <v>105</v>
      </c>
      <c r="E968" s="151"/>
      <c r="F968" s="152"/>
      <c r="G968" s="152"/>
      <c r="H968" s="152"/>
      <c r="I968" s="152"/>
      <c r="J968" s="151"/>
      <c r="K968" s="151"/>
      <c r="L968" s="151"/>
      <c r="M968" s="151"/>
      <c r="O968" s="719">
        <f>SUM(O926:O966)</f>
        <v>29.251565366317791</v>
      </c>
      <c r="P968" s="719">
        <f>SUM(P926:P966)</f>
        <v>177.9315096890376</v>
      </c>
      <c r="Q968" s="719">
        <f>SUM(Q926:Q966)</f>
        <v>265.21285099354981</v>
      </c>
    </row>
    <row r="969" spans="1:17">
      <c r="C969" s="151"/>
      <c r="D969" s="151" t="s">
        <v>106</v>
      </c>
      <c r="E969" s="151"/>
      <c r="F969" s="152"/>
      <c r="G969" s="152"/>
      <c r="H969" s="152"/>
      <c r="I969" s="152"/>
      <c r="J969" s="151"/>
      <c r="K969" s="151"/>
      <c r="L969" s="151"/>
      <c r="M969" s="151"/>
    </row>
    <row r="970" spans="1:17">
      <c r="C970" s="151"/>
      <c r="D970" s="151" t="s">
        <v>381</v>
      </c>
      <c r="E970" s="151"/>
      <c r="F970" s="152"/>
      <c r="G970" s="152"/>
      <c r="H970" s="152"/>
      <c r="I970" s="152"/>
      <c r="J970" s="151"/>
      <c r="K970" s="151"/>
      <c r="L970" s="151"/>
      <c r="M970" s="151"/>
    </row>
    <row r="971" spans="1:17">
      <c r="C971" s="151"/>
      <c r="D971" s="151" t="s">
        <v>382</v>
      </c>
      <c r="E971" s="151"/>
      <c r="F971" s="151"/>
      <c r="G971" s="151"/>
      <c r="H971" s="151"/>
      <c r="I971" s="151"/>
      <c r="J971" s="151"/>
      <c r="K971" s="151"/>
      <c r="L971" s="151"/>
      <c r="M971" s="151"/>
      <c r="O971" s="677" t="s">
        <v>390</v>
      </c>
      <c r="P971" s="677" t="s">
        <v>406</v>
      </c>
      <c r="Q971" s="677" t="s">
        <v>1304</v>
      </c>
    </row>
    <row r="972" spans="1:17">
      <c r="A972" s="64" t="s">
        <v>58</v>
      </c>
      <c r="B972" s="144" t="str">
        <f>'Autoproducers Calculations'!$C$205</f>
        <v>CHPAUTOGENSOLID00</v>
      </c>
      <c r="C972" s="151" t="s">
        <v>107</v>
      </c>
      <c r="D972" s="151"/>
      <c r="E972" s="151"/>
      <c r="F972" s="152">
        <v>31.536000000000001</v>
      </c>
      <c r="G972" s="152">
        <f>'Autoproducers Calculations'!Z$209</f>
        <v>0.28058760738791144</v>
      </c>
      <c r="H972" s="152">
        <f>'Autoproducers Calculations'!Z$207</f>
        <v>2.247780353839572</v>
      </c>
      <c r="I972" s="152">
        <f>'Autoproducers Calculations'!Z$206</f>
        <v>0.9</v>
      </c>
      <c r="J972" s="151">
        <v>20</v>
      </c>
      <c r="K972" s="151">
        <v>1</v>
      </c>
      <c r="L972" s="152">
        <f>'Autoproducers Calculations'!Z$208</f>
        <v>0</v>
      </c>
      <c r="M972" s="151">
        <v>0</v>
      </c>
      <c r="O972" s="69">
        <f>L972*F972*I972</f>
        <v>0</v>
      </c>
      <c r="P972" s="69">
        <f t="shared" ref="P972" si="231">O972*H972</f>
        <v>0</v>
      </c>
      <c r="Q972" s="69">
        <f>O972/G972</f>
        <v>0</v>
      </c>
    </row>
    <row r="973" spans="1:17">
      <c r="C973" s="151" t="s">
        <v>108</v>
      </c>
      <c r="D973" s="151"/>
      <c r="E973" s="152">
        <f>'Eurostat Resume'!AA10</f>
        <v>0</v>
      </c>
      <c r="F973" s="152"/>
      <c r="G973" s="152"/>
      <c r="H973" s="152"/>
      <c r="I973" s="152"/>
      <c r="J973" s="151"/>
      <c r="K973" s="151"/>
      <c r="L973" s="152"/>
      <c r="M973" s="151"/>
      <c r="O973" s="69"/>
      <c r="P973" s="69"/>
      <c r="Q973" s="69"/>
    </row>
    <row r="974" spans="1:17">
      <c r="C974" s="151"/>
      <c r="D974" s="151" t="s">
        <v>105</v>
      </c>
      <c r="E974" s="151"/>
      <c r="F974" s="152"/>
      <c r="G974" s="152"/>
      <c r="H974" s="152"/>
      <c r="I974" s="152"/>
      <c r="J974" s="151"/>
      <c r="K974" s="151"/>
      <c r="L974" s="152"/>
      <c r="M974" s="151"/>
      <c r="O974" s="69"/>
      <c r="P974" s="69"/>
      <c r="Q974" s="69"/>
    </row>
    <row r="975" spans="1:17">
      <c r="C975" s="151"/>
      <c r="D975" s="151" t="s">
        <v>106</v>
      </c>
      <c r="E975" s="151"/>
      <c r="F975" s="152"/>
      <c r="G975" s="152"/>
      <c r="H975" s="152"/>
      <c r="I975" s="152"/>
      <c r="J975" s="151"/>
      <c r="K975" s="151"/>
      <c r="L975" s="152"/>
      <c r="M975" s="151"/>
      <c r="O975" s="69"/>
      <c r="P975" s="69"/>
      <c r="Q975" s="69"/>
    </row>
    <row r="976" spans="1:17">
      <c r="C976" s="151"/>
      <c r="D976" s="151" t="s">
        <v>378</v>
      </c>
      <c r="E976" s="151"/>
      <c r="F976" s="152"/>
      <c r="G976" s="152"/>
      <c r="H976" s="152"/>
      <c r="I976" s="152"/>
      <c r="J976" s="151"/>
      <c r="K976" s="151"/>
      <c r="L976" s="152"/>
      <c r="M976" s="151"/>
      <c r="O976" s="69"/>
      <c r="P976" s="69"/>
      <c r="Q976" s="69"/>
    </row>
    <row r="977" spans="2:17">
      <c r="C977" s="151"/>
      <c r="D977" s="151" t="s">
        <v>380</v>
      </c>
      <c r="E977" s="151"/>
      <c r="F977" s="152"/>
      <c r="G977" s="152"/>
      <c r="H977" s="152"/>
      <c r="I977" s="152"/>
      <c r="J977" s="151"/>
      <c r="K977" s="151"/>
      <c r="L977" s="152"/>
      <c r="M977" s="151"/>
      <c r="O977" s="69"/>
      <c r="P977" s="69"/>
      <c r="Q977" s="69"/>
    </row>
    <row r="978" spans="2:17">
      <c r="C978" s="151"/>
      <c r="D978" s="151" t="s">
        <v>379</v>
      </c>
      <c r="E978" s="151"/>
      <c r="F978" s="152"/>
      <c r="G978" s="152"/>
      <c r="H978" s="152"/>
      <c r="I978" s="152"/>
      <c r="J978" s="151"/>
      <c r="K978" s="151"/>
      <c r="L978" s="152"/>
      <c r="M978" s="151"/>
      <c r="O978" s="69"/>
      <c r="P978" s="69"/>
      <c r="Q978" s="69"/>
    </row>
    <row r="979" spans="2:17">
      <c r="C979" s="151"/>
      <c r="D979" s="151" t="s">
        <v>381</v>
      </c>
      <c r="E979" s="151"/>
      <c r="F979" s="152"/>
      <c r="G979" s="152"/>
      <c r="H979" s="152"/>
      <c r="I979" s="152"/>
      <c r="J979" s="151"/>
      <c r="K979" s="151"/>
      <c r="L979" s="152"/>
      <c r="M979" s="151"/>
      <c r="O979" s="69"/>
      <c r="P979" s="69"/>
      <c r="Q979" s="69"/>
    </row>
    <row r="980" spans="2:17">
      <c r="C980" s="151"/>
      <c r="D980" s="151" t="s">
        <v>382</v>
      </c>
      <c r="E980" s="151"/>
      <c r="F980" s="152"/>
      <c r="G980" s="152"/>
      <c r="H980" s="152"/>
      <c r="I980" s="152"/>
      <c r="J980" s="151"/>
      <c r="K980" s="151"/>
      <c r="L980" s="152"/>
      <c r="M980" s="151"/>
      <c r="O980" s="69"/>
      <c r="P980" s="69"/>
      <c r="Q980" s="69"/>
    </row>
    <row r="981" spans="2:17">
      <c r="B981" s="144" t="str">
        <f>'Autoproducers Calculations'!$C$214</f>
        <v>CHPAUTOGENRFG00</v>
      </c>
      <c r="C981" s="151" t="s">
        <v>110</v>
      </c>
      <c r="D981" s="151"/>
      <c r="E981" s="151"/>
      <c r="F981" s="152">
        <v>31.536000000000001</v>
      </c>
      <c r="G981" s="152">
        <f>'Autoproducers Calculations'!Z$209</f>
        <v>0.28058760738791144</v>
      </c>
      <c r="H981" s="152">
        <f>'Autoproducers Calculations'!Z$207</f>
        <v>2.247780353839572</v>
      </c>
      <c r="I981" s="152">
        <f>'Autoproducers Calculations'!Z$206</f>
        <v>0.9</v>
      </c>
      <c r="J981" s="151">
        <v>20</v>
      </c>
      <c r="K981" s="151">
        <v>1</v>
      </c>
      <c r="L981" s="152">
        <f>'Autoproducers Calculations'!Z$217</f>
        <v>0</v>
      </c>
      <c r="M981" s="151">
        <v>0</v>
      </c>
      <c r="O981" s="69">
        <f t="shared" ref="O981" si="232">L981*F981*I981</f>
        <v>0</v>
      </c>
      <c r="P981" s="69">
        <f t="shared" ref="P981" si="233">O981*H981</f>
        <v>0</v>
      </c>
      <c r="Q981" s="69">
        <f>O981/G981</f>
        <v>0</v>
      </c>
    </row>
    <row r="982" spans="2:17">
      <c r="C982" s="151"/>
      <c r="D982" s="151" t="s">
        <v>105</v>
      </c>
      <c r="E982" s="151"/>
      <c r="F982" s="152"/>
      <c r="G982" s="152"/>
      <c r="H982" s="152"/>
      <c r="I982" s="152"/>
      <c r="J982" s="151"/>
      <c r="K982" s="151"/>
      <c r="L982" s="152"/>
      <c r="M982" s="151"/>
      <c r="O982" s="69"/>
      <c r="P982" s="69"/>
      <c r="Q982" s="69"/>
    </row>
    <row r="983" spans="2:17">
      <c r="C983" s="151"/>
      <c r="D983" s="151" t="s">
        <v>106</v>
      </c>
      <c r="E983" s="151"/>
      <c r="F983" s="152"/>
      <c r="G983" s="152"/>
      <c r="H983" s="152"/>
      <c r="I983" s="152"/>
      <c r="J983" s="151"/>
      <c r="K983" s="151"/>
      <c r="L983" s="152"/>
      <c r="M983" s="151"/>
      <c r="O983" s="69"/>
      <c r="P983" s="69"/>
      <c r="Q983" s="69"/>
    </row>
    <row r="984" spans="2:17">
      <c r="C984" s="151"/>
      <c r="D984" s="151" t="s">
        <v>1342</v>
      </c>
      <c r="E984" s="151"/>
      <c r="F984" s="152"/>
      <c r="G984" s="152"/>
      <c r="H984" s="152"/>
      <c r="I984" s="152"/>
      <c r="J984" s="151"/>
      <c r="K984" s="151"/>
      <c r="L984" s="152"/>
      <c r="M984" s="151"/>
      <c r="O984" s="69"/>
      <c r="P984" s="69"/>
      <c r="Q984" s="69"/>
    </row>
    <row r="985" spans="2:17">
      <c r="C985" s="151"/>
      <c r="D985" s="151" t="s">
        <v>380</v>
      </c>
      <c r="E985" s="151"/>
      <c r="F985" s="152"/>
      <c r="G985" s="152"/>
      <c r="H985" s="152"/>
      <c r="I985" s="152"/>
      <c r="J985" s="151"/>
      <c r="K985" s="151"/>
      <c r="L985" s="152"/>
      <c r="M985" s="151"/>
      <c r="O985" s="69"/>
      <c r="P985" s="69"/>
      <c r="Q985" s="69"/>
    </row>
    <row r="986" spans="2:17">
      <c r="C986" s="151"/>
      <c r="D986" s="151" t="s">
        <v>379</v>
      </c>
      <c r="E986" s="151"/>
      <c r="F986" s="152"/>
      <c r="G986" s="152"/>
      <c r="H986" s="152"/>
      <c r="I986" s="152"/>
      <c r="J986" s="151"/>
      <c r="K986" s="151"/>
      <c r="L986" s="152"/>
      <c r="M986" s="151"/>
      <c r="O986" s="69"/>
      <c r="P986" s="69"/>
      <c r="Q986" s="69"/>
    </row>
    <row r="987" spans="2:17">
      <c r="B987" s="144" t="str">
        <f>'Autoproducers Calculations'!$C$223</f>
        <v>CHPAUTOGENOIL00</v>
      </c>
      <c r="C987" s="151" t="s">
        <v>111</v>
      </c>
      <c r="D987" s="151"/>
      <c r="E987" s="695">
        <f>'Eurostat Resume'!AA13/'Eurostat Resume'!AA11</f>
        <v>1.0006652095410054</v>
      </c>
      <c r="F987" s="152">
        <v>31.536000000000001</v>
      </c>
      <c r="G987" s="152">
        <f>'Autoproducers Calculations'!Z$209</f>
        <v>0.28058760738791144</v>
      </c>
      <c r="H987" s="152">
        <f>'Autoproducers Calculations'!Z$207</f>
        <v>2.247780353839572</v>
      </c>
      <c r="I987" s="152">
        <f>'Autoproducers Calculations'!Z$206</f>
        <v>0.9</v>
      </c>
      <c r="J987" s="151">
        <v>20</v>
      </c>
      <c r="K987" s="151">
        <v>1</v>
      </c>
      <c r="L987" s="152">
        <f>'Autoproducers Calculations'!Z$226</f>
        <v>0.18146133394103611</v>
      </c>
      <c r="M987" s="151">
        <v>0</v>
      </c>
      <c r="O987" s="69">
        <f t="shared" ref="O987" si="234">L987*F987*I987</f>
        <v>5.1503081644480639</v>
      </c>
      <c r="P987" s="69">
        <f t="shared" ref="P987" si="235">O987*H987</f>
        <v>11.576761508265905</v>
      </c>
      <c r="Q987" s="69">
        <f>O987/G987</f>
        <v>18.355437050103856</v>
      </c>
    </row>
    <row r="988" spans="2:17">
      <c r="C988" s="151" t="s">
        <v>112</v>
      </c>
      <c r="D988" s="151"/>
      <c r="E988" s="151"/>
      <c r="F988" s="152"/>
      <c r="G988" s="152"/>
      <c r="H988" s="152"/>
      <c r="I988" s="152"/>
      <c r="J988" s="151"/>
      <c r="K988" s="151"/>
      <c r="L988" s="152"/>
      <c r="M988" s="151"/>
      <c r="O988" s="69"/>
      <c r="P988" s="69"/>
      <c r="Q988" s="69"/>
    </row>
    <row r="989" spans="2:17">
      <c r="C989" s="151"/>
      <c r="D989" s="151" t="s">
        <v>105</v>
      </c>
      <c r="E989" s="151"/>
      <c r="F989" s="152"/>
      <c r="G989" s="152"/>
      <c r="H989" s="152"/>
      <c r="I989" s="152"/>
      <c r="J989" s="151"/>
      <c r="K989" s="151"/>
      <c r="L989" s="152"/>
      <c r="M989" s="151"/>
      <c r="O989" s="69"/>
      <c r="P989" s="69"/>
      <c r="Q989" s="69"/>
    </row>
    <row r="990" spans="2:17">
      <c r="C990" s="151"/>
      <c r="D990" s="151" t="s">
        <v>106</v>
      </c>
      <c r="E990" s="151"/>
      <c r="F990" s="152"/>
      <c r="G990" s="152"/>
      <c r="H990" s="152"/>
      <c r="I990" s="152"/>
      <c r="J990" s="151"/>
      <c r="K990" s="151"/>
      <c r="L990" s="152"/>
      <c r="M990" s="151"/>
      <c r="O990" s="69"/>
      <c r="P990" s="69"/>
      <c r="Q990" s="69"/>
    </row>
    <row r="991" spans="2:17">
      <c r="C991" s="151"/>
      <c r="D991" s="151" t="s">
        <v>380</v>
      </c>
      <c r="E991" s="151"/>
      <c r="F991" s="152"/>
      <c r="G991" s="152"/>
      <c r="H991" s="152"/>
      <c r="I991" s="152"/>
      <c r="J991" s="151"/>
      <c r="K991" s="151"/>
      <c r="L991" s="152"/>
      <c r="M991" s="151"/>
      <c r="O991" s="69"/>
      <c r="P991" s="69"/>
      <c r="Q991" s="69"/>
    </row>
    <row r="992" spans="2:17">
      <c r="C992" s="151"/>
      <c r="D992" s="151" t="s">
        <v>379</v>
      </c>
      <c r="E992" s="151"/>
      <c r="F992" s="152"/>
      <c r="G992" s="152"/>
      <c r="H992" s="152"/>
      <c r="I992" s="152"/>
      <c r="J992" s="151"/>
      <c r="K992" s="151"/>
      <c r="L992" s="152"/>
      <c r="M992" s="151"/>
      <c r="O992" s="69"/>
      <c r="P992" s="69"/>
      <c r="Q992" s="69"/>
    </row>
    <row r="993" spans="2:17">
      <c r="C993" s="151"/>
      <c r="D993" s="151" t="s">
        <v>1342</v>
      </c>
      <c r="E993" s="151"/>
      <c r="F993" s="152"/>
      <c r="G993" s="152"/>
      <c r="H993" s="152"/>
      <c r="I993" s="152"/>
      <c r="J993" s="151"/>
      <c r="K993" s="151"/>
      <c r="L993" s="152"/>
      <c r="M993" s="151"/>
      <c r="O993" s="69"/>
      <c r="P993" s="69"/>
      <c r="Q993" s="69"/>
    </row>
    <row r="994" spans="2:17">
      <c r="C994" s="151"/>
      <c r="D994" s="151" t="s">
        <v>382</v>
      </c>
      <c r="E994" s="151"/>
      <c r="F994" s="152"/>
      <c r="G994" s="152"/>
      <c r="H994" s="152"/>
      <c r="I994" s="152"/>
      <c r="J994" s="151"/>
      <c r="K994" s="151"/>
      <c r="L994" s="152"/>
      <c r="M994" s="151"/>
      <c r="O994" s="69"/>
      <c r="P994" s="69"/>
      <c r="Q994" s="69"/>
    </row>
    <row r="995" spans="2:17">
      <c r="B995" s="144" t="str">
        <f>'Autoproducers Calculations'!$C$232</f>
        <v>CHPAUTOGENGAS00</v>
      </c>
      <c r="C995" s="151" t="s">
        <v>113</v>
      </c>
      <c r="D995" s="151"/>
      <c r="E995" s="151"/>
      <c r="F995" s="152">
        <v>31.536000000000001</v>
      </c>
      <c r="G995" s="152">
        <f>'Autoproducers Calculations'!Z$209</f>
        <v>0.28058760738791144</v>
      </c>
      <c r="H995" s="152">
        <f>'Autoproducers Calculations'!Z$207</f>
        <v>2.247780353839572</v>
      </c>
      <c r="I995" s="152">
        <f>'Autoproducers Calculations'!Z$206</f>
        <v>0.9</v>
      </c>
      <c r="J995" s="151">
        <v>20</v>
      </c>
      <c r="K995" s="151">
        <v>1</v>
      </c>
      <c r="L995" s="152">
        <f>'Autoproducers Calculations'!Z$235</f>
        <v>0.30575795040468612</v>
      </c>
      <c r="M995" s="151">
        <v>0</v>
      </c>
      <c r="O995" s="69">
        <f t="shared" ref="O995" si="236">L995*F995*I995</f>
        <v>8.6781444515659647</v>
      </c>
      <c r="P995" s="69">
        <f t="shared" ref="P995" si="237">O995*H995</f>
        <v>19.506562606011862</v>
      </c>
      <c r="Q995" s="69">
        <f>O995/G995</f>
        <v>30.928466628850284</v>
      </c>
    </row>
    <row r="996" spans="2:17">
      <c r="C996" s="151"/>
      <c r="D996" s="151" t="s">
        <v>105</v>
      </c>
      <c r="E996" s="151"/>
      <c r="F996" s="152"/>
      <c r="G996" s="152"/>
      <c r="H996" s="152"/>
      <c r="I996" s="152"/>
      <c r="J996" s="151"/>
      <c r="K996" s="151"/>
      <c r="L996" s="152"/>
      <c r="M996" s="151"/>
      <c r="O996" s="69"/>
      <c r="P996" s="69"/>
      <c r="Q996" s="69"/>
    </row>
    <row r="997" spans="2:17">
      <c r="C997" s="151"/>
      <c r="D997" s="151" t="s">
        <v>106</v>
      </c>
      <c r="E997" s="151"/>
      <c r="F997" s="152"/>
      <c r="G997" s="152"/>
      <c r="H997" s="152"/>
      <c r="I997" s="152"/>
      <c r="J997" s="151"/>
      <c r="K997" s="151"/>
      <c r="L997" s="152"/>
      <c r="M997" s="151"/>
      <c r="O997" s="69"/>
      <c r="P997" s="69"/>
      <c r="Q997" s="69"/>
    </row>
    <row r="998" spans="2:17">
      <c r="C998" s="151"/>
      <c r="D998" s="151" t="s">
        <v>1342</v>
      </c>
      <c r="E998" s="151"/>
      <c r="F998" s="152"/>
      <c r="G998" s="152"/>
      <c r="H998" s="152"/>
      <c r="I998" s="152"/>
      <c r="J998" s="151"/>
      <c r="K998" s="151"/>
      <c r="L998" s="152"/>
      <c r="M998" s="151"/>
      <c r="O998" s="69"/>
      <c r="P998" s="69"/>
      <c r="Q998" s="69"/>
    </row>
    <row r="999" spans="2:17">
      <c r="C999" s="151"/>
      <c r="D999" s="151" t="s">
        <v>378</v>
      </c>
      <c r="E999" s="151"/>
      <c r="F999" s="152"/>
      <c r="G999" s="152"/>
      <c r="H999" s="152"/>
      <c r="I999" s="152"/>
      <c r="J999" s="151"/>
      <c r="K999" s="151"/>
      <c r="L999" s="152"/>
      <c r="M999" s="151"/>
      <c r="O999" s="69"/>
      <c r="P999" s="69"/>
      <c r="Q999" s="69"/>
    </row>
    <row r="1000" spans="2:17">
      <c r="C1000" s="151"/>
      <c r="D1000" s="151" t="s">
        <v>421</v>
      </c>
      <c r="E1000" s="151"/>
      <c r="F1000" s="152"/>
      <c r="G1000" s="152"/>
      <c r="H1000" s="152"/>
      <c r="I1000" s="152"/>
      <c r="J1000" s="151"/>
      <c r="K1000" s="151"/>
      <c r="L1000" s="152"/>
      <c r="M1000" s="151"/>
      <c r="O1000" s="69"/>
      <c r="P1000" s="69"/>
      <c r="Q1000" s="69"/>
    </row>
    <row r="1001" spans="2:17">
      <c r="C1001" s="151"/>
      <c r="D1001" s="151" t="s">
        <v>380</v>
      </c>
      <c r="E1001" s="151"/>
      <c r="F1001" s="152"/>
      <c r="G1001" s="152"/>
      <c r="H1001" s="152"/>
      <c r="I1001" s="152"/>
      <c r="J1001" s="151"/>
      <c r="K1001" s="151"/>
      <c r="L1001" s="152"/>
      <c r="M1001" s="151"/>
      <c r="O1001" s="69"/>
      <c r="P1001" s="69"/>
      <c r="Q1001" s="69"/>
    </row>
    <row r="1002" spans="2:17">
      <c r="C1002" s="151"/>
      <c r="D1002" s="151" t="s">
        <v>379</v>
      </c>
      <c r="E1002" s="151"/>
      <c r="F1002" s="152"/>
      <c r="G1002" s="152"/>
      <c r="H1002" s="152"/>
      <c r="I1002" s="152"/>
      <c r="J1002" s="151"/>
      <c r="K1002" s="151"/>
      <c r="L1002" s="152"/>
      <c r="M1002" s="151"/>
      <c r="O1002" s="69"/>
      <c r="P1002" s="69"/>
      <c r="Q1002" s="69"/>
    </row>
    <row r="1003" spans="2:17">
      <c r="C1003" s="151"/>
      <c r="D1003" s="151" t="s">
        <v>381</v>
      </c>
      <c r="E1003" s="151"/>
      <c r="F1003" s="152"/>
      <c r="G1003" s="152"/>
      <c r="H1003" s="152"/>
      <c r="I1003" s="152"/>
      <c r="J1003" s="151"/>
      <c r="K1003" s="151"/>
      <c r="L1003" s="152"/>
      <c r="M1003" s="151"/>
      <c r="O1003" s="69"/>
      <c r="P1003" s="69"/>
      <c r="Q1003" s="69"/>
    </row>
    <row r="1004" spans="2:17">
      <c r="C1004" s="151"/>
      <c r="D1004" s="151" t="s">
        <v>382</v>
      </c>
      <c r="E1004" s="151"/>
      <c r="F1004" s="152"/>
      <c r="G1004" s="152"/>
      <c r="H1004" s="152"/>
      <c r="I1004" s="152"/>
      <c r="J1004" s="151"/>
      <c r="K1004" s="151"/>
      <c r="L1004" s="152"/>
      <c r="M1004" s="151"/>
      <c r="O1004" s="69"/>
      <c r="P1004" s="69"/>
      <c r="Q1004" s="69"/>
    </row>
    <row r="1005" spans="2:17">
      <c r="B1005" s="144" t="str">
        <f>'Autoproducers Calculations'!$C$241</f>
        <v>CHPAUTOGENBIO00</v>
      </c>
      <c r="C1005" s="151" t="s">
        <v>116</v>
      </c>
      <c r="D1005" s="151"/>
      <c r="E1005" s="151"/>
      <c r="F1005" s="152">
        <v>31.536000000000001</v>
      </c>
      <c r="G1005" s="152">
        <f>'Autoproducers Calculations'!Z$209</f>
        <v>0.28058760738791144</v>
      </c>
      <c r="H1005" s="152">
        <f>'Autoproducers Calculations'!Z$207</f>
        <v>2.247780353839572</v>
      </c>
      <c r="I1005" s="152">
        <f>'Autoproducers Calculations'!Z$206</f>
        <v>0.9</v>
      </c>
      <c r="J1005" s="151">
        <v>20</v>
      </c>
      <c r="K1005" s="151">
        <v>1</v>
      </c>
      <c r="L1005" s="152">
        <f>'Autoproducers Calculations'!Z$244</f>
        <v>0.13074596920468837</v>
      </c>
      <c r="M1005" s="151">
        <v>0</v>
      </c>
      <c r="O1005" s="69">
        <f t="shared" ref="O1005" si="238">L1005*F1005*I1005</f>
        <v>3.710884396355147</v>
      </c>
      <c r="P1005" s="69">
        <f t="shared" ref="P1005" si="239">O1005*H1005</f>
        <v>8.3412530414969179</v>
      </c>
      <c r="Q1005" s="69">
        <f>O1005/G1005</f>
        <v>13.225403755002128</v>
      </c>
    </row>
    <row r="1006" spans="2:17">
      <c r="C1006" s="151"/>
      <c r="D1006" s="151" t="s">
        <v>105</v>
      </c>
      <c r="E1006" s="151"/>
      <c r="F1006" s="152"/>
      <c r="G1006" s="152"/>
      <c r="H1006" s="152"/>
      <c r="I1006" s="152"/>
      <c r="J1006" s="151"/>
      <c r="K1006" s="151"/>
      <c r="L1006" s="152"/>
      <c r="M1006" s="151"/>
      <c r="O1006" s="69"/>
      <c r="P1006" s="69"/>
      <c r="Q1006" s="69"/>
    </row>
    <row r="1007" spans="2:17">
      <c r="C1007" s="151"/>
      <c r="D1007" s="151" t="s">
        <v>106</v>
      </c>
      <c r="E1007" s="151"/>
      <c r="F1007" s="152"/>
      <c r="G1007" s="152"/>
      <c r="H1007" s="152"/>
      <c r="I1007" s="152"/>
      <c r="J1007" s="151"/>
      <c r="K1007" s="151"/>
      <c r="L1007" s="152"/>
      <c r="M1007" s="151"/>
      <c r="O1007" s="69"/>
      <c r="P1007" s="69"/>
      <c r="Q1007" s="69"/>
    </row>
    <row r="1008" spans="2:17">
      <c r="C1008" s="151"/>
      <c r="D1008" s="151" t="s">
        <v>380</v>
      </c>
      <c r="E1008" s="151"/>
      <c r="F1008" s="152"/>
      <c r="G1008" s="152"/>
      <c r="H1008" s="152"/>
      <c r="I1008" s="152"/>
      <c r="J1008" s="151"/>
      <c r="K1008" s="151"/>
      <c r="L1008" s="151"/>
      <c r="M1008" s="151"/>
      <c r="O1008" s="69"/>
      <c r="P1008" s="69"/>
      <c r="Q1008" s="69"/>
    </row>
    <row r="1009" spans="1:17">
      <c r="C1009" s="151"/>
      <c r="D1009" s="151" t="s">
        <v>379</v>
      </c>
      <c r="E1009" s="151"/>
      <c r="F1009" s="152"/>
      <c r="G1009" s="152"/>
      <c r="H1009" s="152"/>
      <c r="I1009" s="152"/>
      <c r="J1009" s="151"/>
      <c r="K1009" s="151"/>
      <c r="L1009" s="151"/>
      <c r="M1009" s="151"/>
      <c r="O1009" s="69"/>
      <c r="P1009" s="69"/>
      <c r="Q1009" s="69"/>
    </row>
    <row r="1010" spans="1:17">
      <c r="C1010" s="151"/>
      <c r="D1010" s="151" t="s">
        <v>381</v>
      </c>
      <c r="E1010" s="151"/>
      <c r="F1010" s="152"/>
      <c r="G1010" s="152"/>
      <c r="H1010" s="152"/>
      <c r="I1010" s="152"/>
      <c r="J1010" s="151"/>
      <c r="K1010" s="151"/>
      <c r="L1010" s="151"/>
      <c r="M1010" s="151"/>
      <c r="O1010" s="69"/>
      <c r="P1010" s="69"/>
      <c r="Q1010" s="69"/>
    </row>
    <row r="1011" spans="1:17">
      <c r="C1011" s="151"/>
      <c r="D1011" s="151" t="s">
        <v>382</v>
      </c>
      <c r="E1011" s="151"/>
      <c r="F1011" s="152"/>
      <c r="G1011" s="152"/>
      <c r="H1011" s="152"/>
      <c r="I1011" s="152"/>
      <c r="J1011" s="151"/>
      <c r="K1011" s="151"/>
      <c r="L1011" s="151"/>
      <c r="M1011" s="151"/>
      <c r="O1011" s="69"/>
      <c r="P1011" s="69"/>
      <c r="Q1011" s="69"/>
    </row>
    <row r="1012" spans="1:17">
      <c r="B1012" s="144" t="str">
        <f>'Autoproducers Calculations'!$C$250</f>
        <v>CHPAUTOGENWASTE00</v>
      </c>
      <c r="C1012" s="151" t="s">
        <v>117</v>
      </c>
      <c r="D1012" s="151"/>
      <c r="E1012" s="151"/>
      <c r="F1012" s="152">
        <v>31.536000000000001</v>
      </c>
      <c r="G1012" s="152">
        <f>'Autoproducers Calculations'!Z$209</f>
        <v>0.28058760738791144</v>
      </c>
      <c r="H1012" s="152">
        <f>'Autoproducers Calculations'!Z$207</f>
        <v>2.247780353839572</v>
      </c>
      <c r="I1012" s="152">
        <f>'Autoproducers Calculations'!Z$206</f>
        <v>0.9</v>
      </c>
      <c r="J1012" s="151">
        <v>20</v>
      </c>
      <c r="K1012" s="151">
        <v>1</v>
      </c>
      <c r="L1012" s="152">
        <f>'Autoproducers Calculations'!Z$253</f>
        <v>0</v>
      </c>
      <c r="M1012" s="151">
        <v>0</v>
      </c>
      <c r="O1012" s="69">
        <f t="shared" ref="O1012" si="240">L1012*F1012*I1012</f>
        <v>0</v>
      </c>
      <c r="P1012" s="69">
        <f t="shared" ref="P1012" si="241">O1012*H1012</f>
        <v>0</v>
      </c>
      <c r="Q1012" s="69">
        <f>O1012/G1012</f>
        <v>0</v>
      </c>
    </row>
    <row r="1013" spans="1:17">
      <c r="C1013" s="151" t="s">
        <v>118</v>
      </c>
      <c r="D1013" s="151"/>
      <c r="E1013" s="151"/>
      <c r="F1013" s="152"/>
      <c r="G1013" s="152"/>
      <c r="H1013" s="152"/>
      <c r="I1013" s="152"/>
      <c r="J1013" s="151"/>
      <c r="K1013" s="151"/>
      <c r="L1013" s="151"/>
      <c r="M1013" s="151"/>
      <c r="O1013" s="69"/>
      <c r="P1013" s="69"/>
      <c r="Q1013" s="69"/>
    </row>
    <row r="1014" spans="1:17">
      <c r="C1014" s="151"/>
      <c r="D1014" s="151" t="s">
        <v>105</v>
      </c>
      <c r="E1014" s="151"/>
      <c r="F1014" s="152"/>
      <c r="G1014" s="152"/>
      <c r="H1014" s="152"/>
      <c r="I1014" s="152"/>
      <c r="J1014" s="151"/>
      <c r="K1014" s="151"/>
      <c r="L1014" s="151"/>
      <c r="M1014" s="151"/>
      <c r="O1014" s="719">
        <f>SUM(O972:O1012)</f>
        <v>17.539337012369177</v>
      </c>
      <c r="P1014" s="719">
        <f>SUM(P972:P1012)</f>
        <v>39.424577155774685</v>
      </c>
      <c r="Q1014" s="719">
        <f>SUM(Q972:Q1012)</f>
        <v>62.509307433956266</v>
      </c>
    </row>
    <row r="1015" spans="1:17">
      <c r="C1015" s="151"/>
      <c r="D1015" s="151" t="s">
        <v>106</v>
      </c>
      <c r="E1015" s="151"/>
      <c r="F1015" s="152"/>
      <c r="G1015" s="152"/>
      <c r="H1015" s="152"/>
      <c r="I1015" s="152"/>
      <c r="J1015" s="151"/>
      <c r="K1015" s="151"/>
      <c r="L1015" s="151"/>
      <c r="M1015" s="151"/>
    </row>
    <row r="1016" spans="1:17">
      <c r="C1016" s="151"/>
      <c r="D1016" s="151" t="s">
        <v>381</v>
      </c>
      <c r="E1016" s="151"/>
      <c r="F1016" s="152"/>
      <c r="G1016" s="152"/>
      <c r="H1016" s="152"/>
      <c r="I1016" s="152"/>
      <c r="J1016" s="151"/>
      <c r="K1016" s="151"/>
      <c r="L1016" s="151"/>
      <c r="M1016" s="151"/>
    </row>
    <row r="1017" spans="1:17">
      <c r="C1017" s="151"/>
      <c r="D1017" s="151" t="s">
        <v>382</v>
      </c>
      <c r="E1017" s="151"/>
      <c r="F1017" s="151"/>
      <c r="G1017" s="151"/>
      <c r="H1017" s="151"/>
      <c r="I1017" s="151"/>
      <c r="J1017" s="151"/>
      <c r="K1017" s="151"/>
      <c r="L1017" s="151"/>
      <c r="M1017" s="151"/>
      <c r="O1017" s="677" t="s">
        <v>390</v>
      </c>
      <c r="P1017" s="677" t="s">
        <v>406</v>
      </c>
      <c r="Q1017" s="677" t="s">
        <v>1304</v>
      </c>
    </row>
    <row r="1018" spans="1:17">
      <c r="A1018" s="64" t="s">
        <v>59</v>
      </c>
      <c r="B1018" s="144" t="str">
        <f>'Autoproducers Calculations'!$C$205</f>
        <v>CHPAUTOGENSOLID00</v>
      </c>
      <c r="C1018" s="151" t="s">
        <v>107</v>
      </c>
      <c r="D1018" s="151"/>
      <c r="E1018" s="151"/>
      <c r="F1018" s="152">
        <v>31.536000000000001</v>
      </c>
      <c r="G1018" s="152">
        <f>'Autoproducers Calculations'!AA$209</f>
        <v>0.24468085106382984</v>
      </c>
      <c r="H1018" s="152">
        <f>'Autoproducers Calculations'!AA$207</f>
        <v>2.7646811594202902</v>
      </c>
      <c r="I1018" s="152">
        <f>'Autoproducers Calculations'!AA$206</f>
        <v>0.8999999999999998</v>
      </c>
      <c r="J1018" s="151">
        <v>20</v>
      </c>
      <c r="K1018" s="151">
        <v>1</v>
      </c>
      <c r="L1018" s="152">
        <f>'Autoproducers Calculations'!AA$208</f>
        <v>0.20153343786154926</v>
      </c>
      <c r="M1018" s="151">
        <v>0</v>
      </c>
      <c r="O1018" s="69">
        <f>L1018*F1018*I1018</f>
        <v>5.7200026467616345</v>
      </c>
      <c r="P1018" s="69">
        <f t="shared" ref="P1018" si="242">O1018*H1018</f>
        <v>15.813983549336085</v>
      </c>
      <c r="Q1018" s="69">
        <f>O1018/G1018</f>
        <v>23.377402121547544</v>
      </c>
    </row>
    <row r="1019" spans="1:17">
      <c r="C1019" s="151" t="s">
        <v>108</v>
      </c>
      <c r="D1019" s="151"/>
      <c r="E1019" s="152">
        <f>'Eurostat Resume'!AB10</f>
        <v>0</v>
      </c>
      <c r="F1019" s="152"/>
      <c r="G1019" s="152"/>
      <c r="H1019" s="152"/>
      <c r="I1019" s="152"/>
      <c r="J1019" s="151"/>
      <c r="K1019" s="151"/>
      <c r="L1019" s="152"/>
      <c r="M1019" s="151"/>
      <c r="O1019" s="69"/>
      <c r="P1019" s="69"/>
      <c r="Q1019" s="69"/>
    </row>
    <row r="1020" spans="1:17">
      <c r="C1020" s="151"/>
      <c r="D1020" s="151" t="s">
        <v>105</v>
      </c>
      <c r="E1020" s="151"/>
      <c r="F1020" s="152"/>
      <c r="G1020" s="152"/>
      <c r="H1020" s="152"/>
      <c r="I1020" s="152"/>
      <c r="J1020" s="151"/>
      <c r="K1020" s="151"/>
      <c r="L1020" s="152"/>
      <c r="M1020" s="151"/>
      <c r="O1020" s="69"/>
      <c r="P1020" s="69"/>
      <c r="Q1020" s="69"/>
    </row>
    <row r="1021" spans="1:17">
      <c r="C1021" s="151"/>
      <c r="D1021" s="151" t="s">
        <v>106</v>
      </c>
      <c r="E1021" s="151"/>
      <c r="F1021" s="152"/>
      <c r="G1021" s="152"/>
      <c r="H1021" s="152"/>
      <c r="I1021" s="152"/>
      <c r="J1021" s="151"/>
      <c r="K1021" s="151"/>
      <c r="L1021" s="152"/>
      <c r="M1021" s="151"/>
      <c r="O1021" s="69"/>
      <c r="P1021" s="69"/>
      <c r="Q1021" s="69"/>
    </row>
    <row r="1022" spans="1:17">
      <c r="C1022" s="151"/>
      <c r="D1022" s="151" t="s">
        <v>378</v>
      </c>
      <c r="E1022" s="151"/>
      <c r="F1022" s="152"/>
      <c r="G1022" s="152"/>
      <c r="H1022" s="152"/>
      <c r="I1022" s="152"/>
      <c r="J1022" s="151"/>
      <c r="K1022" s="151"/>
      <c r="L1022" s="152"/>
      <c r="M1022" s="151"/>
      <c r="O1022" s="69"/>
      <c r="P1022" s="69"/>
      <c r="Q1022" s="69"/>
    </row>
    <row r="1023" spans="1:17">
      <c r="C1023" s="151"/>
      <c r="D1023" s="151" t="s">
        <v>380</v>
      </c>
      <c r="E1023" s="151"/>
      <c r="F1023" s="152"/>
      <c r="G1023" s="152"/>
      <c r="H1023" s="152"/>
      <c r="I1023" s="152"/>
      <c r="J1023" s="151"/>
      <c r="K1023" s="151"/>
      <c r="L1023" s="152"/>
      <c r="M1023" s="151"/>
      <c r="O1023" s="69"/>
      <c r="P1023" s="69"/>
      <c r="Q1023" s="69"/>
    </row>
    <row r="1024" spans="1:17">
      <c r="C1024" s="151"/>
      <c r="D1024" s="151" t="s">
        <v>379</v>
      </c>
      <c r="E1024" s="151"/>
      <c r="F1024" s="152"/>
      <c r="G1024" s="152"/>
      <c r="H1024" s="152"/>
      <c r="I1024" s="152"/>
      <c r="J1024" s="151"/>
      <c r="K1024" s="151"/>
      <c r="L1024" s="152"/>
      <c r="M1024" s="151"/>
      <c r="O1024" s="69"/>
      <c r="P1024" s="69"/>
      <c r="Q1024" s="69"/>
    </row>
    <row r="1025" spans="2:17">
      <c r="C1025" s="151"/>
      <c r="D1025" s="151" t="s">
        <v>381</v>
      </c>
      <c r="E1025" s="151"/>
      <c r="F1025" s="152"/>
      <c r="G1025" s="152"/>
      <c r="H1025" s="152"/>
      <c r="I1025" s="152"/>
      <c r="J1025" s="151"/>
      <c r="K1025" s="151"/>
      <c r="L1025" s="152"/>
      <c r="M1025" s="151"/>
      <c r="O1025" s="69"/>
      <c r="P1025" s="69"/>
      <c r="Q1025" s="69"/>
    </row>
    <row r="1026" spans="2:17">
      <c r="C1026" s="151"/>
      <c r="D1026" s="151" t="s">
        <v>382</v>
      </c>
      <c r="E1026" s="151"/>
      <c r="F1026" s="152"/>
      <c r="G1026" s="152"/>
      <c r="H1026" s="152"/>
      <c r="I1026" s="152"/>
      <c r="J1026" s="151"/>
      <c r="K1026" s="151"/>
      <c r="L1026" s="152"/>
      <c r="M1026" s="151"/>
      <c r="O1026" s="69"/>
      <c r="P1026" s="69"/>
      <c r="Q1026" s="69"/>
    </row>
    <row r="1027" spans="2:17">
      <c r="B1027" s="144" t="str">
        <f>'Autoproducers Calculations'!$C$214</f>
        <v>CHPAUTOGENRFG00</v>
      </c>
      <c r="C1027" s="151" t="s">
        <v>110</v>
      </c>
      <c r="D1027" s="151"/>
      <c r="E1027" s="151"/>
      <c r="F1027" s="152">
        <v>31.536000000000001</v>
      </c>
      <c r="G1027" s="152">
        <f>'Autoproducers Calculations'!AA$209</f>
        <v>0.24468085106382984</v>
      </c>
      <c r="H1027" s="152">
        <f>'Autoproducers Calculations'!AA$207</f>
        <v>2.7646811594202902</v>
      </c>
      <c r="I1027" s="152">
        <f>'Autoproducers Calculations'!AA$206</f>
        <v>0.8999999999999998</v>
      </c>
      <c r="J1027" s="151">
        <v>20</v>
      </c>
      <c r="K1027" s="151">
        <v>1</v>
      </c>
      <c r="L1027" s="152">
        <f>'Autoproducers Calculations'!AA$217</f>
        <v>3.7591613748459681E-3</v>
      </c>
      <c r="M1027" s="151">
        <v>0</v>
      </c>
      <c r="O1027" s="69">
        <f t="shared" ref="O1027" si="243">L1027*F1027*I1027</f>
        <v>0.10669402180542818</v>
      </c>
      <c r="P1027" s="69">
        <f t="shared" ref="P1027" si="244">O1027*H1027</f>
        <v>0.29497495190824491</v>
      </c>
      <c r="Q1027" s="69">
        <f>O1027/G1027</f>
        <v>0.4360538282482716</v>
      </c>
    </row>
    <row r="1028" spans="2:17">
      <c r="C1028" s="151"/>
      <c r="D1028" s="151" t="s">
        <v>105</v>
      </c>
      <c r="E1028" s="151"/>
      <c r="F1028" s="152"/>
      <c r="G1028" s="152"/>
      <c r="H1028" s="152"/>
      <c r="I1028" s="152"/>
      <c r="J1028" s="151"/>
      <c r="K1028" s="151"/>
      <c r="L1028" s="152"/>
      <c r="M1028" s="151"/>
      <c r="O1028" s="69"/>
      <c r="P1028" s="69"/>
      <c r="Q1028" s="69"/>
    </row>
    <row r="1029" spans="2:17">
      <c r="C1029" s="151"/>
      <c r="D1029" s="151" t="s">
        <v>106</v>
      </c>
      <c r="E1029" s="151"/>
      <c r="F1029" s="152"/>
      <c r="G1029" s="152"/>
      <c r="H1029" s="152"/>
      <c r="I1029" s="152"/>
      <c r="J1029" s="151"/>
      <c r="K1029" s="151"/>
      <c r="L1029" s="152"/>
      <c r="M1029" s="151"/>
      <c r="O1029" s="69"/>
      <c r="P1029" s="69"/>
      <c r="Q1029" s="69"/>
    </row>
    <row r="1030" spans="2:17">
      <c r="C1030" s="151"/>
      <c r="D1030" s="151" t="s">
        <v>1342</v>
      </c>
      <c r="E1030" s="151"/>
      <c r="F1030" s="152"/>
      <c r="G1030" s="152"/>
      <c r="H1030" s="152"/>
      <c r="I1030" s="152"/>
      <c r="J1030" s="151"/>
      <c r="K1030" s="151"/>
      <c r="L1030" s="152"/>
      <c r="M1030" s="151"/>
      <c r="O1030" s="69"/>
      <c r="P1030" s="69"/>
      <c r="Q1030" s="69"/>
    </row>
    <row r="1031" spans="2:17">
      <c r="C1031" s="151"/>
      <c r="D1031" s="151" t="s">
        <v>380</v>
      </c>
      <c r="E1031" s="151"/>
      <c r="F1031" s="152"/>
      <c r="G1031" s="152"/>
      <c r="H1031" s="152"/>
      <c r="I1031" s="152"/>
      <c r="J1031" s="151"/>
      <c r="K1031" s="151"/>
      <c r="L1031" s="152"/>
      <c r="M1031" s="151"/>
      <c r="O1031" s="69"/>
      <c r="P1031" s="69"/>
      <c r="Q1031" s="69"/>
    </row>
    <row r="1032" spans="2:17">
      <c r="C1032" s="151"/>
      <c r="D1032" s="151" t="s">
        <v>379</v>
      </c>
      <c r="E1032" s="151"/>
      <c r="F1032" s="152"/>
      <c r="G1032" s="152"/>
      <c r="H1032" s="152"/>
      <c r="I1032" s="152"/>
      <c r="J1032" s="151"/>
      <c r="K1032" s="151"/>
      <c r="L1032" s="152"/>
      <c r="M1032" s="151"/>
      <c r="O1032" s="69"/>
      <c r="P1032" s="69"/>
      <c r="Q1032" s="69"/>
    </row>
    <row r="1033" spans="2:17">
      <c r="B1033" s="144" t="str">
        <f>'Autoproducers Calculations'!$C$223</f>
        <v>CHPAUTOGENOIL00</v>
      </c>
      <c r="C1033" s="151" t="s">
        <v>111</v>
      </c>
      <c r="D1033" s="151"/>
      <c r="E1033" s="152">
        <f>'Eurostat Resume'!AB13/'Eurostat Resume'!AB11</f>
        <v>0.34672537149146948</v>
      </c>
      <c r="F1033" s="152">
        <v>31.536000000000001</v>
      </c>
      <c r="G1033" s="152">
        <f>'Autoproducers Calculations'!AA$209</f>
        <v>0.24468085106382984</v>
      </c>
      <c r="H1033" s="152">
        <f>'Autoproducers Calculations'!AA$207</f>
        <v>2.7646811594202902</v>
      </c>
      <c r="I1033" s="152">
        <f>'Autoproducers Calculations'!AA$206</f>
        <v>0.8999999999999998</v>
      </c>
      <c r="J1033" s="151">
        <v>20</v>
      </c>
      <c r="K1033" s="151">
        <v>1</v>
      </c>
      <c r="L1033" s="152">
        <f>'Autoproducers Calculations'!AA$226</f>
        <v>1.6509076661044605E-2</v>
      </c>
      <c r="M1033" s="151">
        <v>0</v>
      </c>
      <c r="O1033" s="69">
        <f t="shared" ref="O1033" si="245">L1033*F1033*I1033</f>
        <v>0.4685672174244323</v>
      </c>
      <c r="P1033" s="69">
        <f t="shared" ref="P1033" si="246">O1033*H1033</f>
        <v>1.2954389579353187</v>
      </c>
      <c r="Q1033" s="69">
        <f>O1033/G1033</f>
        <v>1.9150138451259404</v>
      </c>
    </row>
    <row r="1034" spans="2:17">
      <c r="C1034" s="151" t="s">
        <v>112</v>
      </c>
      <c r="D1034" s="151"/>
      <c r="E1034" s="151"/>
      <c r="F1034" s="152"/>
      <c r="G1034" s="152"/>
      <c r="H1034" s="152"/>
      <c r="I1034" s="152"/>
      <c r="J1034" s="151"/>
      <c r="K1034" s="151"/>
      <c r="L1034" s="152"/>
      <c r="M1034" s="151"/>
      <c r="O1034" s="69"/>
      <c r="P1034" s="69"/>
      <c r="Q1034" s="69"/>
    </row>
    <row r="1035" spans="2:17">
      <c r="C1035" s="151"/>
      <c r="D1035" s="151" t="s">
        <v>105</v>
      </c>
      <c r="E1035" s="151"/>
      <c r="F1035" s="152"/>
      <c r="G1035" s="152"/>
      <c r="H1035" s="152"/>
      <c r="I1035" s="152"/>
      <c r="J1035" s="151"/>
      <c r="K1035" s="151"/>
      <c r="L1035" s="152"/>
      <c r="M1035" s="151"/>
      <c r="O1035" s="69"/>
      <c r="P1035" s="69"/>
      <c r="Q1035" s="69"/>
    </row>
    <row r="1036" spans="2:17">
      <c r="C1036" s="151"/>
      <c r="D1036" s="151" t="s">
        <v>106</v>
      </c>
      <c r="E1036" s="151"/>
      <c r="F1036" s="152"/>
      <c r="G1036" s="152"/>
      <c r="H1036" s="152"/>
      <c r="I1036" s="152"/>
      <c r="J1036" s="151"/>
      <c r="K1036" s="151"/>
      <c r="L1036" s="152"/>
      <c r="M1036" s="151"/>
      <c r="O1036" s="69"/>
      <c r="P1036" s="69"/>
      <c r="Q1036" s="69"/>
    </row>
    <row r="1037" spans="2:17">
      <c r="C1037" s="151"/>
      <c r="D1037" s="151" t="s">
        <v>380</v>
      </c>
      <c r="E1037" s="151"/>
      <c r="F1037" s="152"/>
      <c r="G1037" s="152"/>
      <c r="H1037" s="152"/>
      <c r="I1037" s="152"/>
      <c r="J1037" s="151"/>
      <c r="K1037" s="151"/>
      <c r="L1037" s="152"/>
      <c r="M1037" s="151"/>
      <c r="O1037" s="69"/>
      <c r="P1037" s="69"/>
      <c r="Q1037" s="69"/>
    </row>
    <row r="1038" spans="2:17">
      <c r="C1038" s="151"/>
      <c r="D1038" s="151" t="s">
        <v>379</v>
      </c>
      <c r="E1038" s="151"/>
      <c r="F1038" s="152"/>
      <c r="G1038" s="152"/>
      <c r="H1038" s="152"/>
      <c r="I1038" s="152"/>
      <c r="J1038" s="151"/>
      <c r="K1038" s="151"/>
      <c r="L1038" s="152"/>
      <c r="M1038" s="151"/>
      <c r="O1038" s="69"/>
      <c r="P1038" s="69"/>
      <c r="Q1038" s="69"/>
    </row>
    <row r="1039" spans="2:17">
      <c r="C1039" s="151"/>
      <c r="D1039" s="151" t="s">
        <v>1342</v>
      </c>
      <c r="E1039" s="151"/>
      <c r="F1039" s="152"/>
      <c r="G1039" s="152"/>
      <c r="H1039" s="152"/>
      <c r="I1039" s="152"/>
      <c r="J1039" s="151"/>
      <c r="K1039" s="151"/>
      <c r="L1039" s="152"/>
      <c r="M1039" s="151"/>
      <c r="O1039" s="69"/>
      <c r="P1039" s="69"/>
      <c r="Q1039" s="69"/>
    </row>
    <row r="1040" spans="2:17">
      <c r="C1040" s="151"/>
      <c r="D1040" s="151" t="s">
        <v>382</v>
      </c>
      <c r="E1040" s="151"/>
      <c r="F1040" s="152"/>
      <c r="G1040" s="152"/>
      <c r="H1040" s="152"/>
      <c r="I1040" s="152"/>
      <c r="J1040" s="151"/>
      <c r="K1040" s="151"/>
      <c r="L1040" s="152"/>
      <c r="M1040" s="151"/>
      <c r="O1040" s="69"/>
      <c r="P1040" s="69"/>
      <c r="Q1040" s="69"/>
    </row>
    <row r="1041" spans="2:17">
      <c r="B1041" s="144" t="str">
        <f>'Autoproducers Calculations'!$C$232</f>
        <v>CHPAUTOGENGAS00</v>
      </c>
      <c r="C1041" s="151" t="s">
        <v>113</v>
      </c>
      <c r="D1041" s="151"/>
      <c r="E1041" s="151"/>
      <c r="F1041" s="152">
        <v>31.536000000000001</v>
      </c>
      <c r="G1041" s="152">
        <f>'Autoproducers Calculations'!AA$209</f>
        <v>0.24468085106382984</v>
      </c>
      <c r="H1041" s="152">
        <f>'Autoproducers Calculations'!AA$207</f>
        <v>2.7646811594202902</v>
      </c>
      <c r="I1041" s="152">
        <f>'Autoproducers Calculations'!AA$206</f>
        <v>0.8999999999999998</v>
      </c>
      <c r="J1041" s="151">
        <v>20</v>
      </c>
      <c r="K1041" s="151">
        <v>1</v>
      </c>
      <c r="L1041" s="152">
        <f>'Autoproducers Calculations'!AA$235</f>
        <v>5.501538249477838E-2</v>
      </c>
      <c r="M1041" s="151">
        <v>0</v>
      </c>
      <c r="O1041" s="69">
        <f t="shared" ref="O1041" si="247">L1041*F1041*I1041</f>
        <v>1.5614685921197975</v>
      </c>
      <c r="P1041" s="69">
        <f t="shared" ref="P1041" si="248">O1041*H1041</f>
        <v>4.3169627976601301</v>
      </c>
      <c r="Q1041" s="69">
        <f>O1041/G1041</f>
        <v>6.3816542460548229</v>
      </c>
    </row>
    <row r="1042" spans="2:17">
      <c r="C1042" s="151"/>
      <c r="D1042" s="151" t="s">
        <v>105</v>
      </c>
      <c r="E1042" s="151"/>
      <c r="F1042" s="152"/>
      <c r="G1042" s="152"/>
      <c r="H1042" s="152"/>
      <c r="I1042" s="152"/>
      <c r="J1042" s="151"/>
      <c r="K1042" s="151"/>
      <c r="L1042" s="152"/>
      <c r="M1042" s="151"/>
      <c r="O1042" s="69"/>
      <c r="P1042" s="69"/>
      <c r="Q1042" s="69"/>
    </row>
    <row r="1043" spans="2:17">
      <c r="C1043" s="151"/>
      <c r="D1043" s="151" t="s">
        <v>106</v>
      </c>
      <c r="E1043" s="151"/>
      <c r="F1043" s="152"/>
      <c r="G1043" s="152"/>
      <c r="H1043" s="152"/>
      <c r="I1043" s="152"/>
      <c r="J1043" s="151"/>
      <c r="K1043" s="151"/>
      <c r="L1043" s="152"/>
      <c r="M1043" s="151"/>
      <c r="O1043" s="69"/>
      <c r="P1043" s="69"/>
      <c r="Q1043" s="69"/>
    </row>
    <row r="1044" spans="2:17">
      <c r="C1044" s="151"/>
      <c r="D1044" s="151" t="s">
        <v>1342</v>
      </c>
      <c r="E1044" s="151"/>
      <c r="F1044" s="152"/>
      <c r="G1044" s="152"/>
      <c r="H1044" s="152"/>
      <c r="I1044" s="152"/>
      <c r="J1044" s="151"/>
      <c r="K1044" s="151"/>
      <c r="L1044" s="152"/>
      <c r="M1044" s="151"/>
      <c r="O1044" s="69"/>
      <c r="P1044" s="69"/>
      <c r="Q1044" s="69"/>
    </row>
    <row r="1045" spans="2:17">
      <c r="C1045" s="151"/>
      <c r="D1045" s="151" t="s">
        <v>378</v>
      </c>
      <c r="E1045" s="151"/>
      <c r="F1045" s="152"/>
      <c r="G1045" s="152"/>
      <c r="H1045" s="152"/>
      <c r="I1045" s="152"/>
      <c r="J1045" s="151"/>
      <c r="K1045" s="151"/>
      <c r="L1045" s="152"/>
      <c r="M1045" s="151"/>
      <c r="O1045" s="69"/>
      <c r="P1045" s="69"/>
      <c r="Q1045" s="69"/>
    </row>
    <row r="1046" spans="2:17">
      <c r="C1046" s="151"/>
      <c r="D1046" s="151" t="s">
        <v>421</v>
      </c>
      <c r="E1046" s="151"/>
      <c r="F1046" s="152"/>
      <c r="G1046" s="152"/>
      <c r="H1046" s="152"/>
      <c r="I1046" s="152"/>
      <c r="J1046" s="151"/>
      <c r="K1046" s="151"/>
      <c r="L1046" s="152"/>
      <c r="M1046" s="151"/>
      <c r="O1046" s="69"/>
      <c r="P1046" s="69"/>
      <c r="Q1046" s="69"/>
    </row>
    <row r="1047" spans="2:17">
      <c r="C1047" s="151"/>
      <c r="D1047" s="151" t="s">
        <v>380</v>
      </c>
      <c r="E1047" s="151"/>
      <c r="F1047" s="152"/>
      <c r="G1047" s="152"/>
      <c r="H1047" s="152"/>
      <c r="I1047" s="152"/>
      <c r="J1047" s="151"/>
      <c r="K1047" s="151"/>
      <c r="L1047" s="152"/>
      <c r="M1047" s="151"/>
      <c r="O1047" s="69"/>
      <c r="P1047" s="69"/>
      <c r="Q1047" s="69"/>
    </row>
    <row r="1048" spans="2:17">
      <c r="C1048" s="151"/>
      <c r="D1048" s="151" t="s">
        <v>379</v>
      </c>
      <c r="E1048" s="151"/>
      <c r="F1048" s="152"/>
      <c r="G1048" s="152"/>
      <c r="H1048" s="152"/>
      <c r="I1048" s="152"/>
      <c r="J1048" s="151"/>
      <c r="K1048" s="151"/>
      <c r="L1048" s="152"/>
      <c r="M1048" s="151"/>
      <c r="O1048" s="69"/>
      <c r="P1048" s="69"/>
      <c r="Q1048" s="69"/>
    </row>
    <row r="1049" spans="2:17">
      <c r="C1049" s="151"/>
      <c r="D1049" s="151" t="s">
        <v>381</v>
      </c>
      <c r="E1049" s="151"/>
      <c r="F1049" s="152"/>
      <c r="G1049" s="152"/>
      <c r="H1049" s="152"/>
      <c r="I1049" s="152"/>
      <c r="J1049" s="151"/>
      <c r="K1049" s="151"/>
      <c r="L1049" s="152"/>
      <c r="M1049" s="151"/>
      <c r="O1049" s="69"/>
      <c r="P1049" s="69"/>
      <c r="Q1049" s="69"/>
    </row>
    <row r="1050" spans="2:17">
      <c r="C1050" s="151"/>
      <c r="D1050" s="151" t="s">
        <v>382</v>
      </c>
      <c r="E1050" s="151"/>
      <c r="F1050" s="152"/>
      <c r="G1050" s="152"/>
      <c r="H1050" s="152"/>
      <c r="I1050" s="152"/>
      <c r="J1050" s="151"/>
      <c r="K1050" s="151"/>
      <c r="L1050" s="152"/>
      <c r="M1050" s="151"/>
      <c r="O1050" s="69"/>
      <c r="P1050" s="69"/>
      <c r="Q1050" s="69"/>
    </row>
    <row r="1051" spans="2:17">
      <c r="B1051" s="144" t="str">
        <f>'Autoproducers Calculations'!$C$241</f>
        <v>CHPAUTOGENBIO00</v>
      </c>
      <c r="C1051" s="151" t="s">
        <v>116</v>
      </c>
      <c r="D1051" s="151"/>
      <c r="E1051" s="151"/>
      <c r="F1051" s="152">
        <v>31.536000000000001</v>
      </c>
      <c r="G1051" s="152">
        <f>'Autoproducers Calculations'!AA$209</f>
        <v>0.24468085106382984</v>
      </c>
      <c r="H1051" s="152">
        <f>'Autoproducers Calculations'!AA$207</f>
        <v>2.7646811594202902</v>
      </c>
      <c r="I1051" s="152">
        <f>'Autoproducers Calculations'!AA$206</f>
        <v>0.8999999999999998</v>
      </c>
      <c r="J1051" s="151">
        <v>20</v>
      </c>
      <c r="K1051" s="151">
        <v>1</v>
      </c>
      <c r="L1051" s="152">
        <f>'Autoproducers Calculations'!AA$244</f>
        <v>3.7926257194291664E-4</v>
      </c>
      <c r="M1051" s="151">
        <v>0</v>
      </c>
      <c r="O1051" s="69">
        <f t="shared" ref="O1051" si="249">L1051*F1051*I1051</f>
        <v>1.0764382021912636E-2</v>
      </c>
      <c r="P1051" s="69">
        <f t="shared" ref="P1051" si="250">O1051*H1051</f>
        <v>2.9760084168784354E-2</v>
      </c>
      <c r="Q1051" s="69">
        <f>O1051/G1051</f>
        <v>4.3993561306947288E-2</v>
      </c>
    </row>
    <row r="1052" spans="2:17">
      <c r="C1052" s="151"/>
      <c r="D1052" s="151" t="s">
        <v>105</v>
      </c>
      <c r="E1052" s="151"/>
      <c r="F1052" s="152"/>
      <c r="G1052" s="152"/>
      <c r="H1052" s="152"/>
      <c r="I1052" s="152"/>
      <c r="J1052" s="151"/>
      <c r="K1052" s="151"/>
      <c r="L1052" s="152"/>
      <c r="M1052" s="151"/>
      <c r="O1052" s="69"/>
      <c r="P1052" s="69"/>
      <c r="Q1052" s="69"/>
    </row>
    <row r="1053" spans="2:17">
      <c r="C1053" s="151"/>
      <c r="D1053" s="151" t="s">
        <v>106</v>
      </c>
      <c r="E1053" s="151"/>
      <c r="F1053" s="152"/>
      <c r="G1053" s="152"/>
      <c r="H1053" s="152"/>
      <c r="I1053" s="152"/>
      <c r="J1053" s="151"/>
      <c r="K1053" s="151"/>
      <c r="L1053" s="152"/>
      <c r="M1053" s="151"/>
      <c r="O1053" s="69"/>
      <c r="P1053" s="69"/>
      <c r="Q1053" s="69"/>
    </row>
    <row r="1054" spans="2:17">
      <c r="C1054" s="151"/>
      <c r="D1054" s="151" t="s">
        <v>380</v>
      </c>
      <c r="E1054" s="151"/>
      <c r="F1054" s="152"/>
      <c r="G1054" s="152"/>
      <c r="H1054" s="152"/>
      <c r="I1054" s="152"/>
      <c r="J1054" s="151"/>
      <c r="K1054" s="151"/>
      <c r="L1054" s="151"/>
      <c r="M1054" s="151"/>
      <c r="O1054" s="69"/>
      <c r="P1054" s="69"/>
      <c r="Q1054" s="69"/>
    </row>
    <row r="1055" spans="2:17">
      <c r="C1055" s="151"/>
      <c r="D1055" s="151" t="s">
        <v>379</v>
      </c>
      <c r="E1055" s="151"/>
      <c r="F1055" s="152"/>
      <c r="G1055" s="152"/>
      <c r="H1055" s="152"/>
      <c r="I1055" s="152"/>
      <c r="J1055" s="151"/>
      <c r="K1055" s="151"/>
      <c r="L1055" s="151"/>
      <c r="M1055" s="151"/>
      <c r="O1055" s="69"/>
      <c r="P1055" s="69"/>
      <c r="Q1055" s="69"/>
    </row>
    <row r="1056" spans="2:17">
      <c r="C1056" s="151"/>
      <c r="D1056" s="151" t="s">
        <v>381</v>
      </c>
      <c r="E1056" s="151"/>
      <c r="F1056" s="152"/>
      <c r="G1056" s="152"/>
      <c r="H1056" s="152"/>
      <c r="I1056" s="152"/>
      <c r="J1056" s="151"/>
      <c r="K1056" s="151"/>
      <c r="L1056" s="151"/>
      <c r="M1056" s="151"/>
      <c r="O1056" s="69"/>
      <c r="P1056" s="69"/>
      <c r="Q1056" s="69"/>
    </row>
    <row r="1057" spans="1:17">
      <c r="C1057" s="151"/>
      <c r="D1057" s="151" t="s">
        <v>382</v>
      </c>
      <c r="E1057" s="151"/>
      <c r="F1057" s="152"/>
      <c r="G1057" s="152"/>
      <c r="H1057" s="152"/>
      <c r="I1057" s="152"/>
      <c r="J1057" s="151"/>
      <c r="K1057" s="151"/>
      <c r="L1057" s="151"/>
      <c r="M1057" s="151"/>
      <c r="O1057" s="69"/>
      <c r="P1057" s="69"/>
      <c r="Q1057" s="69"/>
    </row>
    <row r="1058" spans="1:17">
      <c r="B1058" s="144" t="str">
        <f>'Autoproducers Calculations'!$C$250</f>
        <v>CHPAUTOGENWASTE00</v>
      </c>
      <c r="C1058" s="151" t="s">
        <v>117</v>
      </c>
      <c r="D1058" s="151"/>
      <c r="E1058" s="151"/>
      <c r="F1058" s="152">
        <v>31.536000000000001</v>
      </c>
      <c r="G1058" s="152">
        <f>'Autoproducers Calculations'!AA$209</f>
        <v>0.24468085106382984</v>
      </c>
      <c r="H1058" s="152">
        <f>'Autoproducers Calculations'!AA$207</f>
        <v>2.7646811594202902</v>
      </c>
      <c r="I1058" s="152">
        <f>'Autoproducers Calculations'!AA$206</f>
        <v>0.8999999999999998</v>
      </c>
      <c r="J1058" s="151">
        <v>20</v>
      </c>
      <c r="K1058" s="151">
        <v>1</v>
      </c>
      <c r="L1058" s="152">
        <f>'Autoproducers Calculations'!AA$253</f>
        <v>0</v>
      </c>
      <c r="M1058" s="151">
        <v>0</v>
      </c>
      <c r="O1058" s="69">
        <f t="shared" ref="O1058" si="251">L1058*F1058*I1058</f>
        <v>0</v>
      </c>
      <c r="P1058" s="69">
        <f t="shared" ref="P1058" si="252">O1058*H1058</f>
        <v>0</v>
      </c>
      <c r="Q1058" s="69">
        <f>O1058/G1058</f>
        <v>0</v>
      </c>
    </row>
    <row r="1059" spans="1:17">
      <c r="C1059" s="151" t="s">
        <v>118</v>
      </c>
      <c r="D1059" s="151"/>
      <c r="E1059" s="151"/>
      <c r="F1059" s="152"/>
      <c r="G1059" s="152"/>
      <c r="H1059" s="152"/>
      <c r="I1059" s="152"/>
      <c r="J1059" s="151"/>
      <c r="K1059" s="151"/>
      <c r="L1059" s="151"/>
      <c r="M1059" s="151"/>
      <c r="O1059" s="69"/>
      <c r="P1059" s="69"/>
      <c r="Q1059" s="69"/>
    </row>
    <row r="1060" spans="1:17">
      <c r="C1060" s="151"/>
      <c r="D1060" s="151" t="s">
        <v>105</v>
      </c>
      <c r="E1060" s="151"/>
      <c r="F1060" s="152"/>
      <c r="G1060" s="152"/>
      <c r="H1060" s="152"/>
      <c r="I1060" s="152"/>
      <c r="J1060" s="151"/>
      <c r="K1060" s="151"/>
      <c r="L1060" s="151"/>
      <c r="M1060" s="151"/>
      <c r="O1060" s="719">
        <f>SUM(O1018:O1058)</f>
        <v>7.8674968601332047</v>
      </c>
      <c r="P1060" s="719">
        <f>SUM(P1018:P1058)</f>
        <v>21.751120341008566</v>
      </c>
      <c r="Q1060" s="719">
        <f>SUM(Q1018:Q1058)</f>
        <v>32.154117602283527</v>
      </c>
    </row>
    <row r="1061" spans="1:17">
      <c r="C1061" s="151"/>
      <c r="D1061" s="151" t="s">
        <v>106</v>
      </c>
      <c r="E1061" s="151"/>
      <c r="F1061" s="152"/>
      <c r="G1061" s="152"/>
      <c r="H1061" s="152"/>
      <c r="I1061" s="152"/>
      <c r="J1061" s="151"/>
      <c r="K1061" s="151"/>
      <c r="L1061" s="151"/>
      <c r="M1061" s="151"/>
    </row>
    <row r="1062" spans="1:17">
      <c r="C1062" s="151"/>
      <c r="D1062" s="151" t="s">
        <v>381</v>
      </c>
      <c r="E1062" s="151"/>
      <c r="F1062" s="152"/>
      <c r="G1062" s="152"/>
      <c r="H1062" s="152"/>
      <c r="I1062" s="152"/>
      <c r="J1062" s="151"/>
      <c r="K1062" s="151"/>
      <c r="L1062" s="151"/>
      <c r="M1062" s="151"/>
    </row>
    <row r="1063" spans="1:17">
      <c r="C1063" s="151"/>
      <c r="D1063" s="151" t="s">
        <v>382</v>
      </c>
      <c r="E1063" s="151"/>
      <c r="F1063" s="151"/>
      <c r="G1063" s="151"/>
      <c r="H1063" s="151"/>
      <c r="I1063" s="151"/>
      <c r="J1063" s="151"/>
      <c r="K1063" s="151"/>
      <c r="L1063" s="151"/>
      <c r="M1063" s="151"/>
      <c r="O1063" s="677" t="s">
        <v>390</v>
      </c>
      <c r="P1063" s="677" t="s">
        <v>406</v>
      </c>
      <c r="Q1063" s="677" t="s">
        <v>1304</v>
      </c>
    </row>
    <row r="1064" spans="1:17">
      <c r="A1064" s="64" t="s">
        <v>63</v>
      </c>
      <c r="B1064" s="144" t="str">
        <f>'Autoproducers Calculations'!$C$205</f>
        <v>CHPAUTOGENSOLID00</v>
      </c>
      <c r="C1064" s="151" t="s">
        <v>107</v>
      </c>
      <c r="D1064" s="151"/>
      <c r="E1064" s="151"/>
      <c r="F1064" s="152">
        <v>31.536000000000001</v>
      </c>
      <c r="G1064" s="152">
        <f>'Autoproducers Calculations'!AB$209</f>
        <v>0.15639193901305865</v>
      </c>
      <c r="H1064" s="152">
        <f>'Autoproducers Calculations'!AB$207</f>
        <v>4.0000511090667477</v>
      </c>
      <c r="I1064" s="152">
        <f>'Autoproducers Calculations'!AB$206</f>
        <v>0.56749344973014737</v>
      </c>
      <c r="J1064" s="151">
        <v>20</v>
      </c>
      <c r="K1064" s="151">
        <v>1</v>
      </c>
      <c r="L1064" s="152">
        <f>'Autoproducers Calculations'!AB$208</f>
        <v>2.74719457666234E-3</v>
      </c>
      <c r="M1064" s="151">
        <v>0</v>
      </c>
      <c r="O1064" s="69">
        <f>L1064*F1064*I1064</f>
        <v>4.9165094750173034E-2</v>
      </c>
      <c r="P1064" s="69">
        <f t="shared" ref="P1064" si="253">O1064*H1064</f>
        <v>0.19666289178280139</v>
      </c>
      <c r="Q1064" s="69">
        <f>O1064/G1064</f>
        <v>0.31437102871438771</v>
      </c>
    </row>
    <row r="1065" spans="1:17">
      <c r="C1065" s="151" t="s">
        <v>108</v>
      </c>
      <c r="D1065" s="151"/>
      <c r="E1065" s="152">
        <f>'Eurostat Resume'!AC10/'Eurostat Resume'!AC9</f>
        <v>0.66459627329192539</v>
      </c>
      <c r="F1065" s="152"/>
      <c r="G1065" s="152"/>
      <c r="H1065" s="152"/>
      <c r="I1065" s="152"/>
      <c r="J1065" s="151"/>
      <c r="K1065" s="151"/>
      <c r="L1065" s="152"/>
      <c r="M1065" s="151"/>
      <c r="O1065" s="69"/>
      <c r="P1065" s="69"/>
      <c r="Q1065" s="69"/>
    </row>
    <row r="1066" spans="1:17">
      <c r="C1066" s="151"/>
      <c r="D1066" s="151" t="s">
        <v>105</v>
      </c>
      <c r="E1066" s="151"/>
      <c r="F1066" s="152"/>
      <c r="G1066" s="152"/>
      <c r="H1066" s="152"/>
      <c r="I1066" s="152"/>
      <c r="J1066" s="151"/>
      <c r="K1066" s="151"/>
      <c r="L1066" s="152"/>
      <c r="M1066" s="151"/>
      <c r="O1066" s="69"/>
      <c r="P1066" s="69"/>
      <c r="Q1066" s="69"/>
    </row>
    <row r="1067" spans="1:17">
      <c r="C1067" s="151"/>
      <c r="D1067" s="151" t="s">
        <v>106</v>
      </c>
      <c r="E1067" s="151"/>
      <c r="F1067" s="152"/>
      <c r="G1067" s="152"/>
      <c r="H1067" s="152"/>
      <c r="I1067" s="152"/>
      <c r="J1067" s="151"/>
      <c r="K1067" s="151"/>
      <c r="L1067" s="152"/>
      <c r="M1067" s="151"/>
      <c r="O1067" s="69"/>
      <c r="P1067" s="69"/>
      <c r="Q1067" s="69"/>
    </row>
    <row r="1068" spans="1:17">
      <c r="C1068" s="151"/>
      <c r="D1068" s="151" t="s">
        <v>378</v>
      </c>
      <c r="E1068" s="151"/>
      <c r="F1068" s="152"/>
      <c r="G1068" s="152"/>
      <c r="H1068" s="152"/>
      <c r="I1068" s="152"/>
      <c r="J1068" s="151"/>
      <c r="K1068" s="151"/>
      <c r="L1068" s="152"/>
      <c r="M1068" s="151"/>
      <c r="O1068" s="69"/>
      <c r="P1068" s="69"/>
      <c r="Q1068" s="69"/>
    </row>
    <row r="1069" spans="1:17">
      <c r="C1069" s="151"/>
      <c r="D1069" s="151" t="s">
        <v>380</v>
      </c>
      <c r="E1069" s="151"/>
      <c r="F1069" s="152"/>
      <c r="G1069" s="152"/>
      <c r="H1069" s="152"/>
      <c r="I1069" s="152"/>
      <c r="J1069" s="151"/>
      <c r="K1069" s="151"/>
      <c r="L1069" s="152"/>
      <c r="M1069" s="151"/>
      <c r="O1069" s="69"/>
      <c r="P1069" s="69"/>
      <c r="Q1069" s="69"/>
    </row>
    <row r="1070" spans="1:17">
      <c r="C1070" s="151"/>
      <c r="D1070" s="151" t="s">
        <v>379</v>
      </c>
      <c r="E1070" s="151"/>
      <c r="F1070" s="152"/>
      <c r="G1070" s="152"/>
      <c r="H1070" s="152"/>
      <c r="I1070" s="152"/>
      <c r="J1070" s="151"/>
      <c r="K1070" s="151"/>
      <c r="L1070" s="152"/>
      <c r="M1070" s="151"/>
      <c r="O1070" s="69"/>
      <c r="P1070" s="69"/>
      <c r="Q1070" s="69"/>
    </row>
    <row r="1071" spans="1:17">
      <c r="C1071" s="151"/>
      <c r="D1071" s="151" t="s">
        <v>381</v>
      </c>
      <c r="E1071" s="151"/>
      <c r="F1071" s="152"/>
      <c r="G1071" s="152"/>
      <c r="H1071" s="152"/>
      <c r="I1071" s="152"/>
      <c r="J1071" s="151"/>
      <c r="K1071" s="151"/>
      <c r="L1071" s="152"/>
      <c r="M1071" s="151"/>
      <c r="O1071" s="69"/>
      <c r="P1071" s="69"/>
      <c r="Q1071" s="69"/>
    </row>
    <row r="1072" spans="1:17">
      <c r="C1072" s="151"/>
      <c r="D1072" s="151" t="s">
        <v>382</v>
      </c>
      <c r="E1072" s="151"/>
      <c r="F1072" s="152"/>
      <c r="G1072" s="152"/>
      <c r="H1072" s="152"/>
      <c r="I1072" s="152"/>
      <c r="J1072" s="151"/>
      <c r="K1072" s="151"/>
      <c r="L1072" s="152"/>
      <c r="M1072" s="151"/>
      <c r="O1072" s="69"/>
      <c r="P1072" s="69"/>
      <c r="Q1072" s="69"/>
    </row>
    <row r="1073" spans="2:17">
      <c r="B1073" s="144" t="str">
        <f>'Autoproducers Calculations'!$C$214</f>
        <v>CHPAUTOGENRFG00</v>
      </c>
      <c r="C1073" s="151" t="s">
        <v>110</v>
      </c>
      <c r="D1073" s="151"/>
      <c r="E1073" s="151"/>
      <c r="F1073" s="152">
        <v>31.536000000000001</v>
      </c>
      <c r="G1073" s="152">
        <f>'Autoproducers Calculations'!AB$209</f>
        <v>0.15639193901305865</v>
      </c>
      <c r="H1073" s="152">
        <f>'Autoproducers Calculations'!AB$207</f>
        <v>4.0000511090667477</v>
      </c>
      <c r="I1073" s="152">
        <f>'Autoproducers Calculations'!AB$206</f>
        <v>0.56749344973014737</v>
      </c>
      <c r="J1073" s="151">
        <v>20</v>
      </c>
      <c r="K1073" s="151">
        <v>1</v>
      </c>
      <c r="L1073" s="152">
        <f>'Autoproducers Calculations'!AB$217</f>
        <v>0</v>
      </c>
      <c r="M1073" s="151">
        <v>0</v>
      </c>
      <c r="O1073" s="69">
        <f t="shared" ref="O1073" si="254">L1073*F1073*I1073</f>
        <v>0</v>
      </c>
      <c r="P1073" s="69">
        <f t="shared" ref="P1073" si="255">O1073*H1073</f>
        <v>0</v>
      </c>
      <c r="Q1073" s="69">
        <f>O1073/G1073</f>
        <v>0</v>
      </c>
    </row>
    <row r="1074" spans="2:17">
      <c r="C1074" s="151"/>
      <c r="D1074" s="151" t="s">
        <v>105</v>
      </c>
      <c r="E1074" s="151"/>
      <c r="F1074" s="152"/>
      <c r="G1074" s="152"/>
      <c r="H1074" s="152"/>
      <c r="I1074" s="152"/>
      <c r="J1074" s="151"/>
      <c r="K1074" s="151"/>
      <c r="L1074" s="152"/>
      <c r="M1074" s="151"/>
      <c r="O1074" s="69"/>
      <c r="P1074" s="69"/>
      <c r="Q1074" s="69"/>
    </row>
    <row r="1075" spans="2:17">
      <c r="C1075" s="151"/>
      <c r="D1075" s="151" t="s">
        <v>106</v>
      </c>
      <c r="E1075" s="151"/>
      <c r="F1075" s="152"/>
      <c r="G1075" s="152"/>
      <c r="H1075" s="152"/>
      <c r="I1075" s="152"/>
      <c r="J1075" s="151"/>
      <c r="K1075" s="151"/>
      <c r="L1075" s="152"/>
      <c r="M1075" s="151"/>
      <c r="O1075" s="69"/>
      <c r="P1075" s="69"/>
      <c r="Q1075" s="69"/>
    </row>
    <row r="1076" spans="2:17">
      <c r="C1076" s="151"/>
      <c r="D1076" s="151" t="s">
        <v>1342</v>
      </c>
      <c r="E1076" s="151"/>
      <c r="F1076" s="152"/>
      <c r="G1076" s="152"/>
      <c r="H1076" s="152"/>
      <c r="I1076" s="152"/>
      <c r="J1076" s="151"/>
      <c r="K1076" s="151"/>
      <c r="L1076" s="152"/>
      <c r="M1076" s="151"/>
      <c r="O1076" s="69"/>
      <c r="P1076" s="69"/>
      <c r="Q1076" s="69"/>
    </row>
    <row r="1077" spans="2:17">
      <c r="C1077" s="151"/>
      <c r="D1077" s="151" t="s">
        <v>380</v>
      </c>
      <c r="E1077" s="151"/>
      <c r="F1077" s="152"/>
      <c r="G1077" s="152"/>
      <c r="H1077" s="152"/>
      <c r="I1077" s="152"/>
      <c r="J1077" s="151"/>
      <c r="K1077" s="151"/>
      <c r="L1077" s="152"/>
      <c r="M1077" s="151"/>
      <c r="O1077" s="69"/>
      <c r="P1077" s="69"/>
      <c r="Q1077" s="69"/>
    </row>
    <row r="1078" spans="2:17">
      <c r="C1078" s="151"/>
      <c r="D1078" s="151" t="s">
        <v>379</v>
      </c>
      <c r="E1078" s="151"/>
      <c r="F1078" s="152"/>
      <c r="G1078" s="152"/>
      <c r="H1078" s="152"/>
      <c r="I1078" s="152"/>
      <c r="J1078" s="151"/>
      <c r="K1078" s="151"/>
      <c r="L1078" s="152"/>
      <c r="M1078" s="151"/>
      <c r="O1078" s="69"/>
      <c r="P1078" s="69"/>
      <c r="Q1078" s="69"/>
    </row>
    <row r="1079" spans="2:17">
      <c r="B1079" s="144" t="str">
        <f>'Autoproducers Calculations'!$C$223</f>
        <v>CHPAUTOGENOIL00</v>
      </c>
      <c r="C1079" s="151" t="s">
        <v>111</v>
      </c>
      <c r="D1079" s="151"/>
      <c r="E1079" s="151" t="e">
        <f>IF('Autoproducers Calculations'!AB$181&gt;0,'Autoproducers Calculations'!#REF!/'Autoproducers Calculations'!AB$181,0)</f>
        <v>#REF!</v>
      </c>
      <c r="F1079" s="152">
        <v>31.536000000000001</v>
      </c>
      <c r="G1079" s="152">
        <f>'Autoproducers Calculations'!AB$209</f>
        <v>0.15639193901305865</v>
      </c>
      <c r="H1079" s="152">
        <f>'Autoproducers Calculations'!AB$207</f>
        <v>4.0000511090667477</v>
      </c>
      <c r="I1079" s="152">
        <f>'Autoproducers Calculations'!AB$206</f>
        <v>0.56749344973014737</v>
      </c>
      <c r="J1079" s="151">
        <v>20</v>
      </c>
      <c r="K1079" s="151">
        <v>1</v>
      </c>
      <c r="L1079" s="152">
        <f>'Autoproducers Calculations'!AB$226</f>
        <v>5.3920092312130394E-2</v>
      </c>
      <c r="M1079" s="151">
        <v>0</v>
      </c>
      <c r="O1079" s="69">
        <f t="shared" ref="O1079" si="256">L1079*F1079*I1079</f>
        <v>0.96497949944438988</v>
      </c>
      <c r="P1079" s="69">
        <f t="shared" ref="P1079" si="257">O1079*H1079</f>
        <v>3.8599673169792066</v>
      </c>
      <c r="Q1079" s="69">
        <f>O1079/G1079</f>
        <v>6.1702636691768022</v>
      </c>
    </row>
    <row r="1080" spans="2:17">
      <c r="C1080" s="151" t="s">
        <v>112</v>
      </c>
      <c r="D1080" s="151"/>
      <c r="E1080" s="151"/>
      <c r="F1080" s="152"/>
      <c r="G1080" s="152"/>
      <c r="H1080" s="152"/>
      <c r="I1080" s="152"/>
      <c r="J1080" s="151"/>
      <c r="K1080" s="151"/>
      <c r="L1080" s="152"/>
      <c r="M1080" s="151"/>
      <c r="O1080" s="69"/>
      <c r="P1080" s="69"/>
      <c r="Q1080" s="69"/>
    </row>
    <row r="1081" spans="2:17">
      <c r="C1081" s="151"/>
      <c r="D1081" s="151" t="s">
        <v>105</v>
      </c>
      <c r="E1081" s="151"/>
      <c r="F1081" s="152"/>
      <c r="G1081" s="152"/>
      <c r="H1081" s="152"/>
      <c r="I1081" s="152"/>
      <c r="J1081" s="151"/>
      <c r="K1081" s="151"/>
      <c r="L1081" s="152"/>
      <c r="M1081" s="151"/>
      <c r="O1081" s="69"/>
      <c r="P1081" s="69"/>
      <c r="Q1081" s="69"/>
    </row>
    <row r="1082" spans="2:17">
      <c r="C1082" s="151"/>
      <c r="D1082" s="151" t="s">
        <v>106</v>
      </c>
      <c r="E1082" s="151"/>
      <c r="F1082" s="152"/>
      <c r="G1082" s="152"/>
      <c r="H1082" s="152"/>
      <c r="I1082" s="152"/>
      <c r="J1082" s="151"/>
      <c r="K1082" s="151"/>
      <c r="L1082" s="152"/>
      <c r="M1082" s="151"/>
      <c r="O1082" s="69"/>
      <c r="P1082" s="69"/>
      <c r="Q1082" s="69"/>
    </row>
    <row r="1083" spans="2:17">
      <c r="C1083" s="151"/>
      <c r="D1083" s="151" t="s">
        <v>380</v>
      </c>
      <c r="E1083" s="151"/>
      <c r="F1083" s="152"/>
      <c r="G1083" s="152"/>
      <c r="H1083" s="152"/>
      <c r="I1083" s="152"/>
      <c r="J1083" s="151"/>
      <c r="K1083" s="151"/>
      <c r="L1083" s="152"/>
      <c r="M1083" s="151"/>
      <c r="O1083" s="69"/>
      <c r="P1083" s="69"/>
      <c r="Q1083" s="69"/>
    </row>
    <row r="1084" spans="2:17">
      <c r="C1084" s="151"/>
      <c r="D1084" s="151" t="s">
        <v>379</v>
      </c>
      <c r="E1084" s="151"/>
      <c r="F1084" s="152"/>
      <c r="G1084" s="152"/>
      <c r="H1084" s="152"/>
      <c r="I1084" s="152"/>
      <c r="J1084" s="151"/>
      <c r="K1084" s="151"/>
      <c r="L1084" s="152"/>
      <c r="M1084" s="151"/>
      <c r="O1084" s="69"/>
      <c r="P1084" s="69"/>
      <c r="Q1084" s="69"/>
    </row>
    <row r="1085" spans="2:17">
      <c r="C1085" s="151"/>
      <c r="D1085" s="151" t="s">
        <v>1342</v>
      </c>
      <c r="E1085" s="151"/>
      <c r="F1085" s="152"/>
      <c r="G1085" s="152"/>
      <c r="H1085" s="152"/>
      <c r="I1085" s="152"/>
      <c r="J1085" s="151"/>
      <c r="K1085" s="151"/>
      <c r="L1085" s="152"/>
      <c r="M1085" s="151"/>
      <c r="O1085" s="69"/>
      <c r="P1085" s="69"/>
      <c r="Q1085" s="69"/>
    </row>
    <row r="1086" spans="2:17">
      <c r="C1086" s="151"/>
      <c r="D1086" s="151" t="s">
        <v>382</v>
      </c>
      <c r="E1086" s="151"/>
      <c r="F1086" s="152"/>
      <c r="G1086" s="152"/>
      <c r="H1086" s="152"/>
      <c r="I1086" s="152"/>
      <c r="J1086" s="151"/>
      <c r="K1086" s="151"/>
      <c r="L1086" s="152"/>
      <c r="M1086" s="151"/>
      <c r="O1086" s="69"/>
      <c r="P1086" s="69"/>
      <c r="Q1086" s="69"/>
    </row>
    <row r="1087" spans="2:17">
      <c r="B1087" s="144" t="str">
        <f>'Autoproducers Calculations'!$C$232</f>
        <v>CHPAUTOGENGAS00</v>
      </c>
      <c r="C1087" s="151" t="s">
        <v>113</v>
      </c>
      <c r="D1087" s="151"/>
      <c r="E1087" s="151"/>
      <c r="F1087" s="152">
        <v>31.536000000000001</v>
      </c>
      <c r="G1087" s="152">
        <f>'Autoproducers Calculations'!AB$209</f>
        <v>0.15639193901305865</v>
      </c>
      <c r="H1087" s="152">
        <f>'Autoproducers Calculations'!AB$207</f>
        <v>4.0000511090667477</v>
      </c>
      <c r="I1087" s="152">
        <f>'Autoproducers Calculations'!AB$206</f>
        <v>0.56749344973014737</v>
      </c>
      <c r="J1087" s="151">
        <v>20</v>
      </c>
      <c r="K1087" s="151">
        <v>1</v>
      </c>
      <c r="L1087" s="152">
        <f>'Autoproducers Calculations'!AB$235</f>
        <v>7.166594547814798E-3</v>
      </c>
      <c r="M1087" s="151">
        <v>0</v>
      </c>
      <c r="O1087" s="69">
        <f t="shared" ref="O1087" si="258">L1087*F1087*I1087</f>
        <v>0.12825676891349483</v>
      </c>
      <c r="P1087" s="69">
        <f t="shared" ref="P1087" si="259">O1087*H1087</f>
        <v>0.51303363073774255</v>
      </c>
      <c r="Q1087" s="69">
        <f>O1087/G1087</f>
        <v>0.82009833577666336</v>
      </c>
    </row>
    <row r="1088" spans="2:17">
      <c r="C1088" s="151"/>
      <c r="D1088" s="151" t="s">
        <v>105</v>
      </c>
      <c r="E1088" s="151"/>
      <c r="F1088" s="152"/>
      <c r="G1088" s="152"/>
      <c r="H1088" s="152"/>
      <c r="I1088" s="152"/>
      <c r="J1088" s="151"/>
      <c r="K1088" s="151"/>
      <c r="L1088" s="152"/>
      <c r="M1088" s="151"/>
      <c r="O1088" s="69"/>
      <c r="P1088" s="69"/>
      <c r="Q1088" s="69"/>
    </row>
    <row r="1089" spans="2:17">
      <c r="C1089" s="151"/>
      <c r="D1089" s="151" t="s">
        <v>106</v>
      </c>
      <c r="E1089" s="151"/>
      <c r="F1089" s="152"/>
      <c r="G1089" s="152"/>
      <c r="H1089" s="152"/>
      <c r="I1089" s="152"/>
      <c r="J1089" s="151"/>
      <c r="K1089" s="151"/>
      <c r="L1089" s="152"/>
      <c r="M1089" s="151"/>
      <c r="O1089" s="69"/>
      <c r="P1089" s="69"/>
      <c r="Q1089" s="69"/>
    </row>
    <row r="1090" spans="2:17">
      <c r="C1090" s="151"/>
      <c r="D1090" s="151" t="s">
        <v>1342</v>
      </c>
      <c r="E1090" s="151"/>
      <c r="F1090" s="152"/>
      <c r="G1090" s="152"/>
      <c r="H1090" s="152"/>
      <c r="I1090" s="152"/>
      <c r="J1090" s="151"/>
      <c r="K1090" s="151"/>
      <c r="L1090" s="152"/>
      <c r="M1090" s="151"/>
      <c r="O1090" s="69"/>
      <c r="P1090" s="69"/>
      <c r="Q1090" s="69"/>
    </row>
    <row r="1091" spans="2:17">
      <c r="C1091" s="151"/>
      <c r="D1091" s="151" t="s">
        <v>378</v>
      </c>
      <c r="E1091" s="151"/>
      <c r="F1091" s="152"/>
      <c r="G1091" s="152"/>
      <c r="H1091" s="152"/>
      <c r="I1091" s="152"/>
      <c r="J1091" s="151"/>
      <c r="K1091" s="151"/>
      <c r="L1091" s="152"/>
      <c r="M1091" s="151"/>
      <c r="O1091" s="69"/>
      <c r="P1091" s="69"/>
      <c r="Q1091" s="69"/>
    </row>
    <row r="1092" spans="2:17">
      <c r="C1092" s="151"/>
      <c r="D1092" s="151" t="s">
        <v>421</v>
      </c>
      <c r="E1092" s="151"/>
      <c r="F1092" s="152"/>
      <c r="G1092" s="152"/>
      <c r="H1092" s="152"/>
      <c r="I1092" s="152"/>
      <c r="J1092" s="151"/>
      <c r="K1092" s="151"/>
      <c r="L1092" s="152"/>
      <c r="M1092" s="151"/>
      <c r="O1092" s="69"/>
      <c r="P1092" s="69"/>
      <c r="Q1092" s="69"/>
    </row>
    <row r="1093" spans="2:17">
      <c r="C1093" s="151"/>
      <c r="D1093" s="151" t="s">
        <v>380</v>
      </c>
      <c r="E1093" s="151"/>
      <c r="F1093" s="152"/>
      <c r="G1093" s="152"/>
      <c r="H1093" s="152"/>
      <c r="I1093" s="152"/>
      <c r="J1093" s="151"/>
      <c r="K1093" s="151"/>
      <c r="L1093" s="152"/>
      <c r="M1093" s="151"/>
      <c r="O1093" s="69"/>
      <c r="P1093" s="69"/>
      <c r="Q1093" s="69"/>
    </row>
    <row r="1094" spans="2:17">
      <c r="C1094" s="151"/>
      <c r="D1094" s="151" t="s">
        <v>379</v>
      </c>
      <c r="E1094" s="151"/>
      <c r="F1094" s="152"/>
      <c r="G1094" s="152"/>
      <c r="H1094" s="152"/>
      <c r="I1094" s="152"/>
      <c r="J1094" s="151"/>
      <c r="K1094" s="151"/>
      <c r="L1094" s="152"/>
      <c r="M1094" s="151"/>
      <c r="O1094" s="69"/>
      <c r="P1094" s="69"/>
      <c r="Q1094" s="69"/>
    </row>
    <row r="1095" spans="2:17">
      <c r="C1095" s="151"/>
      <c r="D1095" s="151" t="s">
        <v>381</v>
      </c>
      <c r="E1095" s="151"/>
      <c r="F1095" s="152"/>
      <c r="G1095" s="152"/>
      <c r="H1095" s="152"/>
      <c r="I1095" s="152"/>
      <c r="J1095" s="151"/>
      <c r="K1095" s="151"/>
      <c r="L1095" s="152"/>
      <c r="M1095" s="151"/>
      <c r="O1095" s="69"/>
      <c r="P1095" s="69"/>
      <c r="Q1095" s="69"/>
    </row>
    <row r="1096" spans="2:17">
      <c r="C1096" s="151"/>
      <c r="D1096" s="151" t="s">
        <v>382</v>
      </c>
      <c r="E1096" s="151"/>
      <c r="F1096" s="152"/>
      <c r="G1096" s="152"/>
      <c r="H1096" s="152"/>
      <c r="I1096" s="152"/>
      <c r="J1096" s="151"/>
      <c r="K1096" s="151"/>
      <c r="L1096" s="152"/>
      <c r="M1096" s="151"/>
      <c r="O1096" s="69"/>
      <c r="P1096" s="69"/>
      <c r="Q1096" s="69"/>
    </row>
    <row r="1097" spans="2:17">
      <c r="B1097" s="144" t="str">
        <f>'Autoproducers Calculations'!$C$241</f>
        <v>CHPAUTOGENBIO00</v>
      </c>
      <c r="C1097" s="151" t="s">
        <v>116</v>
      </c>
      <c r="D1097" s="151"/>
      <c r="E1097" s="151"/>
      <c r="F1097" s="152">
        <v>31.536000000000001</v>
      </c>
      <c r="G1097" s="152">
        <f>'Autoproducers Calculations'!AB$209</f>
        <v>0.15639193901305865</v>
      </c>
      <c r="H1097" s="152">
        <f>'Autoproducers Calculations'!AB$207</f>
        <v>4.0000511090667477</v>
      </c>
      <c r="I1097" s="152">
        <f>'Autoproducers Calculations'!AB$206</f>
        <v>0.56749344973014737</v>
      </c>
      <c r="J1097" s="151">
        <v>20</v>
      </c>
      <c r="K1097" s="151">
        <v>1</v>
      </c>
      <c r="L1097" s="152">
        <f>'Autoproducers Calculations'!AB$244</f>
        <v>0.88256611856339251</v>
      </c>
      <c r="M1097" s="151">
        <v>0</v>
      </c>
      <c r="O1097" s="69">
        <f t="shared" ref="O1097" si="260">L1097*F1097*I1097</f>
        <v>15.794821091696893</v>
      </c>
      <c r="P1097" s="69">
        <f t="shared" ref="P1097" si="261">O1097*H1097</f>
        <v>63.180091625353015</v>
      </c>
      <c r="Q1097" s="69">
        <f>O1097/G1097</f>
        <v>100.99511005089612</v>
      </c>
    </row>
    <row r="1098" spans="2:17">
      <c r="C1098" s="151"/>
      <c r="D1098" s="151" t="s">
        <v>105</v>
      </c>
      <c r="E1098" s="151"/>
      <c r="F1098" s="152"/>
      <c r="G1098" s="152"/>
      <c r="H1098" s="152"/>
      <c r="I1098" s="152"/>
      <c r="J1098" s="151"/>
      <c r="K1098" s="151"/>
      <c r="L1098" s="152"/>
      <c r="M1098" s="151"/>
      <c r="O1098" s="69"/>
      <c r="P1098" s="69"/>
      <c r="Q1098" s="69"/>
    </row>
    <row r="1099" spans="2:17">
      <c r="C1099" s="151"/>
      <c r="D1099" s="151" t="s">
        <v>106</v>
      </c>
      <c r="E1099" s="151"/>
      <c r="F1099" s="152"/>
      <c r="G1099" s="152"/>
      <c r="H1099" s="152"/>
      <c r="I1099" s="152"/>
      <c r="J1099" s="151"/>
      <c r="K1099" s="151"/>
      <c r="L1099" s="152"/>
      <c r="M1099" s="151"/>
      <c r="O1099" s="69"/>
      <c r="P1099" s="69"/>
      <c r="Q1099" s="69"/>
    </row>
    <row r="1100" spans="2:17">
      <c r="C1100" s="151"/>
      <c r="D1100" s="151" t="s">
        <v>380</v>
      </c>
      <c r="E1100" s="151"/>
      <c r="F1100" s="152"/>
      <c r="G1100" s="152"/>
      <c r="H1100" s="152"/>
      <c r="I1100" s="152"/>
      <c r="J1100" s="151"/>
      <c r="K1100" s="151"/>
      <c r="L1100" s="151"/>
      <c r="M1100" s="151"/>
      <c r="O1100" s="69"/>
      <c r="P1100" s="69"/>
      <c r="Q1100" s="69"/>
    </row>
    <row r="1101" spans="2:17">
      <c r="C1101" s="151"/>
      <c r="D1101" s="151" t="s">
        <v>379</v>
      </c>
      <c r="E1101" s="151"/>
      <c r="F1101" s="152"/>
      <c r="G1101" s="152"/>
      <c r="H1101" s="152"/>
      <c r="I1101" s="152"/>
      <c r="J1101" s="151"/>
      <c r="K1101" s="151"/>
      <c r="L1101" s="151"/>
      <c r="M1101" s="151"/>
      <c r="O1101" s="69"/>
      <c r="P1101" s="69"/>
      <c r="Q1101" s="69"/>
    </row>
    <row r="1102" spans="2:17">
      <c r="C1102" s="151"/>
      <c r="D1102" s="151" t="s">
        <v>381</v>
      </c>
      <c r="E1102" s="151"/>
      <c r="F1102" s="152"/>
      <c r="G1102" s="152"/>
      <c r="H1102" s="152"/>
      <c r="I1102" s="152"/>
      <c r="J1102" s="151"/>
      <c r="K1102" s="151"/>
      <c r="L1102" s="151"/>
      <c r="M1102" s="151"/>
      <c r="O1102" s="69"/>
      <c r="P1102" s="69"/>
      <c r="Q1102" s="69"/>
    </row>
    <row r="1103" spans="2:17">
      <c r="C1103" s="151"/>
      <c r="D1103" s="151" t="s">
        <v>382</v>
      </c>
      <c r="E1103" s="151"/>
      <c r="F1103" s="152"/>
      <c r="G1103" s="152"/>
      <c r="H1103" s="152"/>
      <c r="I1103" s="152"/>
      <c r="J1103" s="151"/>
      <c r="K1103" s="151"/>
      <c r="L1103" s="151"/>
      <c r="M1103" s="151"/>
      <c r="O1103" s="69"/>
      <c r="P1103" s="69"/>
      <c r="Q1103" s="69"/>
    </row>
    <row r="1104" spans="2:17">
      <c r="B1104" s="144" t="str">
        <f>'Autoproducers Calculations'!$C$250</f>
        <v>CHPAUTOGENWASTE00</v>
      </c>
      <c r="C1104" s="151" t="s">
        <v>117</v>
      </c>
      <c r="D1104" s="151"/>
      <c r="E1104" s="151"/>
      <c r="F1104" s="152">
        <v>31.536000000000001</v>
      </c>
      <c r="G1104" s="152">
        <f>'Autoproducers Calculations'!AB$209</f>
        <v>0.15639193901305865</v>
      </c>
      <c r="H1104" s="152">
        <f>'Autoproducers Calculations'!AB$207</f>
        <v>4.0000511090667477</v>
      </c>
      <c r="I1104" s="152">
        <f>'Autoproducers Calculations'!AB$206</f>
        <v>0.56749344973014737</v>
      </c>
      <c r="J1104" s="151">
        <v>20</v>
      </c>
      <c r="K1104" s="151">
        <v>1</v>
      </c>
      <c r="L1104" s="152">
        <f>'Autoproducers Calculations'!AB$253</f>
        <v>0</v>
      </c>
      <c r="M1104" s="151">
        <v>0</v>
      </c>
      <c r="O1104" s="69">
        <f t="shared" ref="O1104" si="262">L1104*F1104*I1104</f>
        <v>0</v>
      </c>
      <c r="P1104" s="69">
        <f t="shared" ref="P1104" si="263">O1104*H1104</f>
        <v>0</v>
      </c>
      <c r="Q1104" s="69">
        <f>O1104/G1104</f>
        <v>0</v>
      </c>
    </row>
    <row r="1105" spans="1:17">
      <c r="C1105" s="151" t="s">
        <v>118</v>
      </c>
      <c r="D1105" s="151"/>
      <c r="E1105" s="151"/>
      <c r="F1105" s="152"/>
      <c r="G1105" s="152"/>
      <c r="H1105" s="152"/>
      <c r="I1105" s="152"/>
      <c r="J1105" s="151"/>
      <c r="K1105" s="151"/>
      <c r="L1105" s="151"/>
      <c r="M1105" s="151"/>
      <c r="O1105" s="69"/>
      <c r="P1105" s="69"/>
      <c r="Q1105" s="69"/>
    </row>
    <row r="1106" spans="1:17">
      <c r="C1106" s="151"/>
      <c r="D1106" s="151" t="s">
        <v>105</v>
      </c>
      <c r="E1106" s="151"/>
      <c r="F1106" s="152"/>
      <c r="G1106" s="152"/>
      <c r="H1106" s="152"/>
      <c r="I1106" s="152"/>
      <c r="J1106" s="151"/>
      <c r="K1106" s="151"/>
      <c r="L1106" s="151"/>
      <c r="M1106" s="151"/>
      <c r="O1106" s="719">
        <f>SUM(O1064:O1104)</f>
        <v>16.937222454804949</v>
      </c>
      <c r="P1106" s="719">
        <f>SUM(P1064:P1104)</f>
        <v>67.749755464852768</v>
      </c>
      <c r="Q1106" s="719">
        <f>SUM(Q1064:Q1104)</f>
        <v>108.29984308456397</v>
      </c>
    </row>
    <row r="1107" spans="1:17">
      <c r="C1107" s="151"/>
      <c r="D1107" s="151" t="s">
        <v>106</v>
      </c>
      <c r="E1107" s="151"/>
      <c r="F1107" s="152"/>
      <c r="G1107" s="152"/>
      <c r="H1107" s="152"/>
      <c r="I1107" s="152"/>
      <c r="J1107" s="151"/>
      <c r="K1107" s="151"/>
      <c r="L1107" s="151"/>
      <c r="M1107" s="151"/>
    </row>
    <row r="1108" spans="1:17">
      <c r="C1108" s="151"/>
      <c r="D1108" s="151" t="s">
        <v>381</v>
      </c>
      <c r="E1108" s="151"/>
      <c r="F1108" s="152"/>
      <c r="G1108" s="152"/>
      <c r="H1108" s="152"/>
      <c r="I1108" s="152"/>
      <c r="J1108" s="151"/>
      <c r="K1108" s="151"/>
      <c r="L1108" s="151"/>
      <c r="M1108" s="151"/>
    </row>
    <row r="1109" spans="1:17">
      <c r="C1109" s="151"/>
      <c r="D1109" s="151" t="s">
        <v>382</v>
      </c>
      <c r="E1109" s="151"/>
      <c r="F1109" s="151"/>
      <c r="G1109" s="151"/>
      <c r="H1109" s="151"/>
      <c r="I1109" s="151"/>
      <c r="J1109" s="151"/>
      <c r="K1109" s="151"/>
      <c r="L1109" s="151"/>
      <c r="M1109" s="151"/>
      <c r="O1109" s="677" t="s">
        <v>390</v>
      </c>
      <c r="P1109" s="677" t="s">
        <v>406</v>
      </c>
      <c r="Q1109" s="677" t="s">
        <v>1304</v>
      </c>
    </row>
    <row r="1110" spans="1:17">
      <c r="A1110" s="64" t="s">
        <v>60</v>
      </c>
      <c r="B1110" s="144" t="str">
        <f>'Autoproducers Calculations'!$C$205</f>
        <v>CHPAUTOGENSOLID00</v>
      </c>
      <c r="C1110" s="151" t="s">
        <v>107</v>
      </c>
      <c r="D1110" s="151"/>
      <c r="E1110" s="151"/>
      <c r="F1110" s="152">
        <v>31.536000000000001</v>
      </c>
      <c r="G1110" s="152">
        <f>'Autoproducers Calculations'!AC$209</f>
        <v>0.10522976216858211</v>
      </c>
      <c r="H1110" s="152">
        <f>'Autoproducers Calculations'!AC$207</f>
        <v>7.5211930534227243</v>
      </c>
      <c r="I1110" s="152">
        <f>'Autoproducers Calculations'!AC$206</f>
        <v>0.52727461096192085</v>
      </c>
      <c r="J1110" s="151">
        <v>20</v>
      </c>
      <c r="K1110" s="151">
        <v>1</v>
      </c>
      <c r="L1110" s="152">
        <f>'Autoproducers Calculations'!AC$208</f>
        <v>1.1054423614718452E-2</v>
      </c>
      <c r="M1110" s="151">
        <v>0</v>
      </c>
      <c r="O1110" s="69">
        <f>L1110*F1110*I1110</f>
        <v>0.18381441650084762</v>
      </c>
      <c r="P1110" s="69">
        <f t="shared" ref="P1110" si="264">O1110*H1110</f>
        <v>1.3825037125051265</v>
      </c>
      <c r="Q1110" s="69">
        <f>O1110/G1110</f>
        <v>1.7467911426652269</v>
      </c>
    </row>
    <row r="1111" spans="1:17">
      <c r="C1111" s="151" t="s">
        <v>108</v>
      </c>
      <c r="D1111" s="151"/>
      <c r="E1111" s="151">
        <f>'Eurostat Resume'!AD10/'Eurostat Resume'!AD9</f>
        <v>1</v>
      </c>
      <c r="F1111" s="152"/>
      <c r="G1111" s="152"/>
      <c r="H1111" s="152"/>
      <c r="I1111" s="152"/>
      <c r="J1111" s="151"/>
      <c r="K1111" s="151"/>
      <c r="L1111" s="152"/>
      <c r="M1111" s="151"/>
      <c r="O1111" s="69"/>
      <c r="P1111" s="69"/>
      <c r="Q1111" s="69"/>
    </row>
    <row r="1112" spans="1:17">
      <c r="C1112" s="151"/>
      <c r="D1112" s="151" t="s">
        <v>105</v>
      </c>
      <c r="E1112" s="151"/>
      <c r="F1112" s="152"/>
      <c r="G1112" s="152"/>
      <c r="H1112" s="152"/>
      <c r="I1112" s="152"/>
      <c r="J1112" s="151"/>
      <c r="K1112" s="151"/>
      <c r="L1112" s="152"/>
      <c r="M1112" s="151"/>
      <c r="O1112" s="69"/>
      <c r="P1112" s="69"/>
      <c r="Q1112" s="69"/>
    </row>
    <row r="1113" spans="1:17">
      <c r="C1113" s="151"/>
      <c r="D1113" s="151" t="s">
        <v>106</v>
      </c>
      <c r="E1113" s="151"/>
      <c r="F1113" s="152"/>
      <c r="G1113" s="152"/>
      <c r="H1113" s="152"/>
      <c r="I1113" s="152"/>
      <c r="J1113" s="151"/>
      <c r="K1113" s="151"/>
      <c r="L1113" s="152"/>
      <c r="M1113" s="151"/>
      <c r="O1113" s="69"/>
      <c r="P1113" s="69"/>
      <c r="Q1113" s="69"/>
    </row>
    <row r="1114" spans="1:17">
      <c r="C1114" s="151"/>
      <c r="D1114" s="151" t="s">
        <v>378</v>
      </c>
      <c r="E1114" s="151"/>
      <c r="F1114" s="152"/>
      <c r="G1114" s="152"/>
      <c r="H1114" s="152"/>
      <c r="I1114" s="152"/>
      <c r="J1114" s="151"/>
      <c r="K1114" s="151"/>
      <c r="L1114" s="152"/>
      <c r="M1114" s="151"/>
      <c r="O1114" s="69"/>
      <c r="P1114" s="69"/>
      <c r="Q1114" s="69"/>
    </row>
    <row r="1115" spans="1:17">
      <c r="C1115" s="151"/>
      <c r="D1115" s="151" t="s">
        <v>380</v>
      </c>
      <c r="E1115" s="151"/>
      <c r="F1115" s="152"/>
      <c r="G1115" s="152"/>
      <c r="H1115" s="152"/>
      <c r="I1115" s="152"/>
      <c r="J1115" s="151"/>
      <c r="K1115" s="151"/>
      <c r="L1115" s="152"/>
      <c r="M1115" s="151"/>
      <c r="O1115" s="69"/>
      <c r="P1115" s="69"/>
      <c r="Q1115" s="69"/>
    </row>
    <row r="1116" spans="1:17">
      <c r="C1116" s="151"/>
      <c r="D1116" s="151" t="s">
        <v>379</v>
      </c>
      <c r="E1116" s="151"/>
      <c r="F1116" s="152"/>
      <c r="G1116" s="152"/>
      <c r="H1116" s="152"/>
      <c r="I1116" s="152"/>
      <c r="J1116" s="151"/>
      <c r="K1116" s="151"/>
      <c r="L1116" s="152"/>
      <c r="M1116" s="151"/>
      <c r="O1116" s="69"/>
      <c r="P1116" s="69"/>
      <c r="Q1116" s="69"/>
    </row>
    <row r="1117" spans="1:17">
      <c r="C1117" s="151"/>
      <c r="D1117" s="151" t="s">
        <v>381</v>
      </c>
      <c r="E1117" s="151"/>
      <c r="F1117" s="152"/>
      <c r="G1117" s="152"/>
      <c r="H1117" s="152"/>
      <c r="I1117" s="152"/>
      <c r="J1117" s="151"/>
      <c r="K1117" s="151"/>
      <c r="L1117" s="152"/>
      <c r="M1117" s="151"/>
      <c r="O1117" s="69"/>
      <c r="P1117" s="69"/>
      <c r="Q1117" s="69"/>
    </row>
    <row r="1118" spans="1:17">
      <c r="C1118" s="151"/>
      <c r="D1118" s="151" t="s">
        <v>382</v>
      </c>
      <c r="E1118" s="151"/>
      <c r="F1118" s="152"/>
      <c r="G1118" s="152"/>
      <c r="H1118" s="152"/>
      <c r="I1118" s="152"/>
      <c r="J1118" s="151"/>
      <c r="K1118" s="151"/>
      <c r="L1118" s="152"/>
      <c r="M1118" s="151"/>
      <c r="O1118" s="69"/>
      <c r="P1118" s="69"/>
      <c r="Q1118" s="69"/>
    </row>
    <row r="1119" spans="1:17">
      <c r="B1119" s="144" t="str">
        <f>'Autoproducers Calculations'!$C$214</f>
        <v>CHPAUTOGENRFG00</v>
      </c>
      <c r="C1119" s="151" t="s">
        <v>110</v>
      </c>
      <c r="D1119" s="151"/>
      <c r="E1119" s="151"/>
      <c r="F1119" s="152">
        <v>31.536000000000001</v>
      </c>
      <c r="G1119" s="152">
        <f>'Autoproducers Calculations'!AC$209</f>
        <v>0.10522976216858211</v>
      </c>
      <c r="H1119" s="152">
        <f>'Autoproducers Calculations'!AC$207</f>
        <v>7.5211930534227243</v>
      </c>
      <c r="I1119" s="152">
        <f>'Autoproducers Calculations'!AC$206</f>
        <v>0.52727461096192085</v>
      </c>
      <c r="J1119" s="151">
        <v>20</v>
      </c>
      <c r="K1119" s="151">
        <v>1</v>
      </c>
      <c r="L1119" s="152">
        <f>'Autoproducers Calculations'!AC$217</f>
        <v>0</v>
      </c>
      <c r="M1119" s="151">
        <v>0</v>
      </c>
      <c r="O1119" s="69">
        <f t="shared" ref="O1119" si="265">L1119*F1119*I1119</f>
        <v>0</v>
      </c>
      <c r="P1119" s="69">
        <f t="shared" ref="P1119" si="266">O1119*H1119</f>
        <v>0</v>
      </c>
      <c r="Q1119" s="69">
        <f>O1119/G1119</f>
        <v>0</v>
      </c>
    </row>
    <row r="1120" spans="1:17">
      <c r="C1120" s="151"/>
      <c r="D1120" s="151" t="s">
        <v>105</v>
      </c>
      <c r="E1120" s="151"/>
      <c r="F1120" s="152"/>
      <c r="G1120" s="152"/>
      <c r="H1120" s="152"/>
      <c r="I1120" s="152"/>
      <c r="J1120" s="151"/>
      <c r="K1120" s="151"/>
      <c r="L1120" s="152"/>
      <c r="M1120" s="151"/>
      <c r="O1120" s="69"/>
      <c r="P1120" s="69"/>
      <c r="Q1120" s="69"/>
    </row>
    <row r="1121" spans="2:17">
      <c r="C1121" s="151"/>
      <c r="D1121" s="151" t="s">
        <v>106</v>
      </c>
      <c r="E1121" s="151"/>
      <c r="F1121" s="152"/>
      <c r="G1121" s="152"/>
      <c r="H1121" s="152"/>
      <c r="I1121" s="152"/>
      <c r="J1121" s="151"/>
      <c r="K1121" s="151"/>
      <c r="L1121" s="152"/>
      <c r="M1121" s="151"/>
      <c r="O1121" s="69"/>
      <c r="P1121" s="69"/>
      <c r="Q1121" s="69"/>
    </row>
    <row r="1122" spans="2:17">
      <c r="C1122" s="151"/>
      <c r="D1122" s="151" t="s">
        <v>1342</v>
      </c>
      <c r="E1122" s="151"/>
      <c r="F1122" s="152"/>
      <c r="G1122" s="152"/>
      <c r="H1122" s="152"/>
      <c r="I1122" s="152"/>
      <c r="J1122" s="151"/>
      <c r="K1122" s="151"/>
      <c r="L1122" s="152"/>
      <c r="M1122" s="151"/>
      <c r="O1122" s="69"/>
      <c r="P1122" s="69"/>
      <c r="Q1122" s="69"/>
    </row>
    <row r="1123" spans="2:17">
      <c r="C1123" s="151"/>
      <c r="D1123" s="151" t="s">
        <v>380</v>
      </c>
      <c r="E1123" s="151"/>
      <c r="F1123" s="152"/>
      <c r="G1123" s="152"/>
      <c r="H1123" s="152"/>
      <c r="I1123" s="152"/>
      <c r="J1123" s="151"/>
      <c r="K1123" s="151"/>
      <c r="L1123" s="152"/>
      <c r="M1123" s="151"/>
      <c r="O1123" s="69"/>
      <c r="P1123" s="69"/>
      <c r="Q1123" s="69"/>
    </row>
    <row r="1124" spans="2:17">
      <c r="C1124" s="151"/>
      <c r="D1124" s="151" t="s">
        <v>379</v>
      </c>
      <c r="E1124" s="151"/>
      <c r="F1124" s="152"/>
      <c r="G1124" s="152"/>
      <c r="H1124" s="152"/>
      <c r="I1124" s="152"/>
      <c r="J1124" s="151"/>
      <c r="K1124" s="151"/>
      <c r="L1124" s="152"/>
      <c r="M1124" s="151"/>
      <c r="O1124" s="69"/>
      <c r="P1124" s="69"/>
      <c r="Q1124" s="69"/>
    </row>
    <row r="1125" spans="2:17">
      <c r="B1125" s="144" t="str">
        <f>'Autoproducers Calculations'!$C$223</f>
        <v>CHPAUTOGENOIL00</v>
      </c>
      <c r="C1125" s="151" t="s">
        <v>111</v>
      </c>
      <c r="D1125" s="151"/>
      <c r="E1125" s="151">
        <f>'Eurostat Resume'!AD13/'Eurostat Resume'!AD11</f>
        <v>1</v>
      </c>
      <c r="F1125" s="152">
        <v>31.536000000000001</v>
      </c>
      <c r="G1125" s="152">
        <f>'Autoproducers Calculations'!AC$209</f>
        <v>0.10522976216858211</v>
      </c>
      <c r="H1125" s="152">
        <f>'Autoproducers Calculations'!AC$207</f>
        <v>7.5211930534227243</v>
      </c>
      <c r="I1125" s="152">
        <f>'Autoproducers Calculations'!AC$206</f>
        <v>0.52727461096192085</v>
      </c>
      <c r="J1125" s="151">
        <v>20</v>
      </c>
      <c r="K1125" s="151">
        <v>1</v>
      </c>
      <c r="L1125" s="152">
        <f>'Autoproducers Calculations'!AC$226</f>
        <v>5.4254839826839022E-3</v>
      </c>
      <c r="M1125" s="151">
        <v>0</v>
      </c>
      <c r="O1125" s="69">
        <f t="shared" ref="O1125" si="267">L1125*F1125*I1125</f>
        <v>9.0215664540293297E-2</v>
      </c>
      <c r="P1125" s="69">
        <f t="shared" ref="P1125" si="268">O1125*H1125</f>
        <v>0.67852942945036876</v>
      </c>
      <c r="Q1125" s="69">
        <f>O1125/G1125</f>
        <v>0.85732080621606221</v>
      </c>
    </row>
    <row r="1126" spans="2:17">
      <c r="C1126" s="151" t="s">
        <v>112</v>
      </c>
      <c r="D1126" s="151"/>
      <c r="E1126" s="151"/>
      <c r="F1126" s="152"/>
      <c r="G1126" s="152"/>
      <c r="H1126" s="152"/>
      <c r="I1126" s="152"/>
      <c r="J1126" s="151"/>
      <c r="K1126" s="151"/>
      <c r="L1126" s="152"/>
      <c r="M1126" s="151"/>
      <c r="O1126" s="69"/>
      <c r="P1126" s="69"/>
      <c r="Q1126" s="69"/>
    </row>
    <row r="1127" spans="2:17">
      <c r="C1127" s="151"/>
      <c r="D1127" s="151" t="s">
        <v>105</v>
      </c>
      <c r="E1127" s="151"/>
      <c r="F1127" s="152"/>
      <c r="G1127" s="152"/>
      <c r="H1127" s="152"/>
      <c r="I1127" s="152"/>
      <c r="J1127" s="151"/>
      <c r="K1127" s="151"/>
      <c r="L1127" s="152"/>
      <c r="M1127" s="151"/>
      <c r="O1127" s="69"/>
      <c r="P1127" s="69"/>
      <c r="Q1127" s="69"/>
    </row>
    <row r="1128" spans="2:17">
      <c r="C1128" s="151"/>
      <c r="D1128" s="151" t="s">
        <v>106</v>
      </c>
      <c r="E1128" s="151"/>
      <c r="F1128" s="152"/>
      <c r="G1128" s="152"/>
      <c r="H1128" s="152"/>
      <c r="I1128" s="152"/>
      <c r="J1128" s="151"/>
      <c r="K1128" s="151"/>
      <c r="L1128" s="152"/>
      <c r="M1128" s="151"/>
      <c r="O1128" s="69"/>
      <c r="P1128" s="69"/>
      <c r="Q1128" s="69"/>
    </row>
    <row r="1129" spans="2:17">
      <c r="C1129" s="151"/>
      <c r="D1129" s="151" t="s">
        <v>380</v>
      </c>
      <c r="E1129" s="151"/>
      <c r="F1129" s="152"/>
      <c r="G1129" s="152"/>
      <c r="H1129" s="152"/>
      <c r="I1129" s="152"/>
      <c r="J1129" s="151"/>
      <c r="K1129" s="151"/>
      <c r="L1129" s="152"/>
      <c r="M1129" s="151"/>
      <c r="O1129" s="69"/>
      <c r="P1129" s="69"/>
      <c r="Q1129" s="69"/>
    </row>
    <row r="1130" spans="2:17">
      <c r="C1130" s="151"/>
      <c r="D1130" s="151" t="s">
        <v>379</v>
      </c>
      <c r="E1130" s="151"/>
      <c r="F1130" s="152"/>
      <c r="G1130" s="152"/>
      <c r="H1130" s="152"/>
      <c r="I1130" s="152"/>
      <c r="J1130" s="151"/>
      <c r="K1130" s="151"/>
      <c r="L1130" s="152"/>
      <c r="M1130" s="151"/>
      <c r="O1130" s="69"/>
      <c r="P1130" s="69"/>
      <c r="Q1130" s="69"/>
    </row>
    <row r="1131" spans="2:17">
      <c r="C1131" s="151"/>
      <c r="D1131" s="151" t="s">
        <v>1342</v>
      </c>
      <c r="E1131" s="151"/>
      <c r="F1131" s="152"/>
      <c r="G1131" s="152"/>
      <c r="H1131" s="152"/>
      <c r="I1131" s="152"/>
      <c r="J1131" s="151"/>
      <c r="K1131" s="151"/>
      <c r="L1131" s="152"/>
      <c r="M1131" s="151"/>
      <c r="O1131" s="69"/>
      <c r="P1131" s="69"/>
      <c r="Q1131" s="69"/>
    </row>
    <row r="1132" spans="2:17">
      <c r="C1132" s="151"/>
      <c r="D1132" s="151" t="s">
        <v>382</v>
      </c>
      <c r="E1132" s="151"/>
      <c r="F1132" s="152"/>
      <c r="G1132" s="152"/>
      <c r="H1132" s="152"/>
      <c r="I1132" s="152"/>
      <c r="J1132" s="151"/>
      <c r="K1132" s="151"/>
      <c r="L1132" s="152"/>
      <c r="M1132" s="151"/>
      <c r="O1132" s="69"/>
      <c r="P1132" s="69"/>
      <c r="Q1132" s="69"/>
    </row>
    <row r="1133" spans="2:17">
      <c r="B1133" s="144" t="str">
        <f>'Autoproducers Calculations'!$C$232</f>
        <v>CHPAUTOGENGAS00</v>
      </c>
      <c r="C1133" s="151" t="s">
        <v>113</v>
      </c>
      <c r="D1133" s="151"/>
      <c r="E1133" s="151"/>
      <c r="F1133" s="152">
        <v>31.536000000000001</v>
      </c>
      <c r="G1133" s="152">
        <f>'Autoproducers Calculations'!AC$209</f>
        <v>0.10522976216858211</v>
      </c>
      <c r="H1133" s="152">
        <f>'Autoproducers Calculations'!AC$207</f>
        <v>7.5211930534227243</v>
      </c>
      <c r="I1133" s="152">
        <f>'Autoproducers Calculations'!AC$206</f>
        <v>0.52727461096192085</v>
      </c>
      <c r="J1133" s="151">
        <v>20</v>
      </c>
      <c r="K1133" s="151">
        <v>1</v>
      </c>
      <c r="L1133" s="152">
        <f>'Autoproducers Calculations'!AC$235</f>
        <v>2.8856792932900006E-2</v>
      </c>
      <c r="M1133" s="151">
        <v>0</v>
      </c>
      <c r="O1133" s="69">
        <f t="shared" ref="O1133" si="269">L1133*F1133*I1133</f>
        <v>0.47983456577368505</v>
      </c>
      <c r="P1133" s="69">
        <f t="shared" ref="P1133" si="270">O1133*H1133</f>
        <v>3.6089284028891493</v>
      </c>
      <c r="Q1133" s="69">
        <f>O1133/G1133</f>
        <v>4.5598750380616817</v>
      </c>
    </row>
    <row r="1134" spans="2:17">
      <c r="C1134" s="151"/>
      <c r="D1134" s="151" t="s">
        <v>105</v>
      </c>
      <c r="E1134" s="151"/>
      <c r="F1134" s="152"/>
      <c r="G1134" s="152"/>
      <c r="H1134" s="152"/>
      <c r="I1134" s="152"/>
      <c r="J1134" s="151"/>
      <c r="K1134" s="151"/>
      <c r="L1134" s="152"/>
      <c r="M1134" s="151"/>
      <c r="O1134" s="69"/>
      <c r="P1134" s="69"/>
      <c r="Q1134" s="69"/>
    </row>
    <row r="1135" spans="2:17">
      <c r="C1135" s="151"/>
      <c r="D1135" s="151" t="s">
        <v>106</v>
      </c>
      <c r="E1135" s="151"/>
      <c r="F1135" s="152"/>
      <c r="G1135" s="152"/>
      <c r="H1135" s="152"/>
      <c r="I1135" s="152"/>
      <c r="J1135" s="151"/>
      <c r="K1135" s="151"/>
      <c r="L1135" s="152"/>
      <c r="M1135" s="151"/>
      <c r="O1135" s="69"/>
      <c r="P1135" s="69"/>
      <c r="Q1135" s="69"/>
    </row>
    <row r="1136" spans="2:17">
      <c r="C1136" s="151"/>
      <c r="D1136" s="151" t="s">
        <v>1342</v>
      </c>
      <c r="E1136" s="151"/>
      <c r="F1136" s="152"/>
      <c r="G1136" s="152"/>
      <c r="H1136" s="152"/>
      <c r="I1136" s="152"/>
      <c r="J1136" s="151"/>
      <c r="K1136" s="151"/>
      <c r="L1136" s="152"/>
      <c r="M1136" s="151"/>
      <c r="O1136" s="69"/>
      <c r="P1136" s="69"/>
      <c r="Q1136" s="69"/>
    </row>
    <row r="1137" spans="2:17">
      <c r="C1137" s="151"/>
      <c r="D1137" s="151" t="s">
        <v>378</v>
      </c>
      <c r="E1137" s="151"/>
      <c r="F1137" s="152"/>
      <c r="G1137" s="152"/>
      <c r="H1137" s="152"/>
      <c r="I1137" s="152"/>
      <c r="J1137" s="151"/>
      <c r="K1137" s="151"/>
      <c r="L1137" s="152"/>
      <c r="M1137" s="151"/>
      <c r="O1137" s="69"/>
      <c r="P1137" s="69"/>
      <c r="Q1137" s="69"/>
    </row>
    <row r="1138" spans="2:17">
      <c r="C1138" s="151"/>
      <c r="D1138" s="151" t="s">
        <v>421</v>
      </c>
      <c r="E1138" s="151"/>
      <c r="F1138" s="152"/>
      <c r="G1138" s="152"/>
      <c r="H1138" s="152"/>
      <c r="I1138" s="152"/>
      <c r="J1138" s="151"/>
      <c r="K1138" s="151"/>
      <c r="L1138" s="152"/>
      <c r="M1138" s="151"/>
      <c r="O1138" s="69"/>
      <c r="P1138" s="69"/>
      <c r="Q1138" s="69"/>
    </row>
    <row r="1139" spans="2:17">
      <c r="C1139" s="151"/>
      <c r="D1139" s="151" t="s">
        <v>380</v>
      </c>
      <c r="E1139" s="151"/>
      <c r="F1139" s="152"/>
      <c r="G1139" s="152"/>
      <c r="H1139" s="152"/>
      <c r="I1139" s="152"/>
      <c r="J1139" s="151"/>
      <c r="K1139" s="151"/>
      <c r="L1139" s="152"/>
      <c r="M1139" s="151"/>
      <c r="O1139" s="69"/>
      <c r="P1139" s="69"/>
      <c r="Q1139" s="69"/>
    </row>
    <row r="1140" spans="2:17">
      <c r="C1140" s="151"/>
      <c r="D1140" s="151" t="s">
        <v>379</v>
      </c>
      <c r="E1140" s="151"/>
      <c r="F1140" s="152"/>
      <c r="G1140" s="152"/>
      <c r="H1140" s="152"/>
      <c r="I1140" s="152"/>
      <c r="J1140" s="151"/>
      <c r="K1140" s="151"/>
      <c r="L1140" s="152"/>
      <c r="M1140" s="151"/>
      <c r="O1140" s="69"/>
      <c r="P1140" s="69"/>
      <c r="Q1140" s="69"/>
    </row>
    <row r="1141" spans="2:17">
      <c r="C1141" s="151"/>
      <c r="D1141" s="151" t="s">
        <v>381</v>
      </c>
      <c r="E1141" s="151"/>
      <c r="F1141" s="152"/>
      <c r="G1141" s="152"/>
      <c r="H1141" s="152"/>
      <c r="I1141" s="152"/>
      <c r="J1141" s="151"/>
      <c r="K1141" s="151"/>
      <c r="L1141" s="152"/>
      <c r="M1141" s="151"/>
      <c r="O1141" s="69"/>
      <c r="P1141" s="69"/>
      <c r="Q1141" s="69"/>
    </row>
    <row r="1142" spans="2:17">
      <c r="C1142" s="151"/>
      <c r="D1142" s="151" t="s">
        <v>382</v>
      </c>
      <c r="E1142" s="151"/>
      <c r="F1142" s="152"/>
      <c r="G1142" s="152"/>
      <c r="H1142" s="152"/>
      <c r="I1142" s="152"/>
      <c r="J1142" s="151"/>
      <c r="K1142" s="151"/>
      <c r="L1142" s="152"/>
      <c r="M1142" s="151"/>
      <c r="O1142" s="69"/>
      <c r="P1142" s="69"/>
      <c r="Q1142" s="69"/>
    </row>
    <row r="1143" spans="2:17">
      <c r="B1143" s="144" t="str">
        <f>'Autoproducers Calculations'!$C$241</f>
        <v>CHPAUTOGENBIO00</v>
      </c>
      <c r="C1143" s="151" t="s">
        <v>116</v>
      </c>
      <c r="D1143" s="151"/>
      <c r="E1143" s="151"/>
      <c r="F1143" s="152">
        <v>31.536000000000001</v>
      </c>
      <c r="G1143" s="152">
        <f>'Autoproducers Calculations'!AC$209</f>
        <v>0.10522976216858211</v>
      </c>
      <c r="H1143" s="152">
        <f>'Autoproducers Calculations'!AC$207</f>
        <v>7.5211930534227243</v>
      </c>
      <c r="I1143" s="152">
        <f>'Autoproducers Calculations'!AC$206</f>
        <v>0.52727461096192085</v>
      </c>
      <c r="J1143" s="151">
        <v>20</v>
      </c>
      <c r="K1143" s="151">
        <v>1</v>
      </c>
      <c r="L1143" s="152">
        <f>'Autoproducers Calculations'!AC$244</f>
        <v>2.8415972359306936E-2</v>
      </c>
      <c r="M1143" s="151">
        <v>0</v>
      </c>
      <c r="O1143" s="69">
        <f t="shared" ref="O1143" si="271">L1143*F1143*I1143</f>
        <v>0.47250454302978612</v>
      </c>
      <c r="P1143" s="69">
        <f t="shared" ref="P1143" si="272">O1143*H1143</f>
        <v>3.553797886746306</v>
      </c>
      <c r="Q1143" s="69">
        <f>O1143/G1143</f>
        <v>4.4902177225566255</v>
      </c>
    </row>
    <row r="1144" spans="2:17">
      <c r="C1144" s="151"/>
      <c r="D1144" s="151" t="s">
        <v>105</v>
      </c>
      <c r="E1144" s="151"/>
      <c r="F1144" s="152"/>
      <c r="G1144" s="152"/>
      <c r="H1144" s="152"/>
      <c r="I1144" s="152"/>
      <c r="J1144" s="151"/>
      <c r="K1144" s="151"/>
      <c r="L1144" s="152"/>
      <c r="M1144" s="151"/>
      <c r="O1144" s="69"/>
      <c r="P1144" s="69"/>
      <c r="Q1144" s="69"/>
    </row>
    <row r="1145" spans="2:17">
      <c r="C1145" s="151"/>
      <c r="D1145" s="151" t="s">
        <v>106</v>
      </c>
      <c r="E1145" s="151"/>
      <c r="F1145" s="152"/>
      <c r="G1145" s="152"/>
      <c r="H1145" s="152"/>
      <c r="I1145" s="152"/>
      <c r="J1145" s="151"/>
      <c r="K1145" s="151"/>
      <c r="L1145" s="152"/>
      <c r="M1145" s="151"/>
      <c r="O1145" s="69"/>
      <c r="P1145" s="69"/>
      <c r="Q1145" s="69"/>
    </row>
    <row r="1146" spans="2:17">
      <c r="C1146" s="151"/>
      <c r="D1146" s="151" t="s">
        <v>380</v>
      </c>
      <c r="E1146" s="151"/>
      <c r="F1146" s="152"/>
      <c r="G1146" s="152"/>
      <c r="H1146" s="152"/>
      <c r="I1146" s="152"/>
      <c r="J1146" s="151"/>
      <c r="K1146" s="151"/>
      <c r="L1146" s="151"/>
      <c r="M1146" s="151"/>
      <c r="O1146" s="69"/>
      <c r="P1146" s="69"/>
      <c r="Q1146" s="69"/>
    </row>
    <row r="1147" spans="2:17">
      <c r="C1147" s="151"/>
      <c r="D1147" s="151" t="s">
        <v>379</v>
      </c>
      <c r="E1147" s="151"/>
      <c r="F1147" s="152"/>
      <c r="G1147" s="152"/>
      <c r="H1147" s="152"/>
      <c r="I1147" s="152"/>
      <c r="J1147" s="151"/>
      <c r="K1147" s="151"/>
      <c r="L1147" s="151"/>
      <c r="M1147" s="151"/>
      <c r="O1147" s="69"/>
      <c r="P1147" s="69"/>
      <c r="Q1147" s="69"/>
    </row>
    <row r="1148" spans="2:17">
      <c r="C1148" s="151"/>
      <c r="D1148" s="151" t="s">
        <v>381</v>
      </c>
      <c r="E1148" s="151"/>
      <c r="F1148" s="152"/>
      <c r="G1148" s="152"/>
      <c r="H1148" s="152"/>
      <c r="I1148" s="152"/>
      <c r="J1148" s="151"/>
      <c r="K1148" s="151"/>
      <c r="L1148" s="151"/>
      <c r="M1148" s="151"/>
      <c r="O1148" s="69"/>
      <c r="P1148" s="69"/>
      <c r="Q1148" s="69"/>
    </row>
    <row r="1149" spans="2:17">
      <c r="C1149" s="151"/>
      <c r="D1149" s="151" t="s">
        <v>382</v>
      </c>
      <c r="E1149" s="151"/>
      <c r="F1149" s="152"/>
      <c r="G1149" s="152"/>
      <c r="H1149" s="152"/>
      <c r="I1149" s="152"/>
      <c r="J1149" s="151"/>
      <c r="K1149" s="151"/>
      <c r="L1149" s="151"/>
      <c r="M1149" s="151"/>
      <c r="O1149" s="69"/>
      <c r="P1149" s="69"/>
      <c r="Q1149" s="69"/>
    </row>
    <row r="1150" spans="2:17">
      <c r="B1150" s="144" t="str">
        <f>'Autoproducers Calculations'!$C$250</f>
        <v>CHPAUTOGENWASTE00</v>
      </c>
      <c r="C1150" s="151" t="s">
        <v>117</v>
      </c>
      <c r="D1150" s="151"/>
      <c r="E1150" s="151"/>
      <c r="F1150" s="152">
        <v>31.536000000000001</v>
      </c>
      <c r="G1150" s="152">
        <f>'Autoproducers Calculations'!AC$209</f>
        <v>0.10522976216858211</v>
      </c>
      <c r="H1150" s="152">
        <f>'Autoproducers Calculations'!AC$207</f>
        <v>7.5211930534227243</v>
      </c>
      <c r="I1150" s="152">
        <f>'Autoproducers Calculations'!AC$206</f>
        <v>0.52727461096192085</v>
      </c>
      <c r="J1150" s="151">
        <v>20</v>
      </c>
      <c r="K1150" s="151">
        <v>1</v>
      </c>
      <c r="L1150" s="152">
        <f>'Autoproducers Calculations'!AC$253</f>
        <v>3.1196532900432438E-3</v>
      </c>
      <c r="M1150" s="151">
        <v>0</v>
      </c>
      <c r="O1150" s="69">
        <f t="shared" ref="O1150" si="273">L1150*F1150*I1150</f>
        <v>5.1874007110668648E-2</v>
      </c>
      <c r="P1150" s="69">
        <f t="shared" ref="P1150" si="274">O1150*H1150</f>
        <v>0.39015442193396205</v>
      </c>
      <c r="Q1150" s="69">
        <f>O1150/G1150</f>
        <v>0.49295946357423576</v>
      </c>
    </row>
    <row r="1151" spans="2:17">
      <c r="C1151" s="151" t="s">
        <v>118</v>
      </c>
      <c r="D1151" s="151"/>
      <c r="E1151" s="151"/>
      <c r="F1151" s="152"/>
      <c r="G1151" s="152"/>
      <c r="H1151" s="152"/>
      <c r="I1151" s="152"/>
      <c r="J1151" s="151"/>
      <c r="K1151" s="151"/>
      <c r="L1151" s="151"/>
      <c r="M1151" s="151"/>
      <c r="O1151" s="69"/>
      <c r="P1151" s="69"/>
      <c r="Q1151" s="69"/>
    </row>
    <row r="1152" spans="2:17">
      <c r="C1152" s="151"/>
      <c r="D1152" s="151" t="s">
        <v>105</v>
      </c>
      <c r="E1152" s="151"/>
      <c r="F1152" s="152"/>
      <c r="G1152" s="152"/>
      <c r="H1152" s="152"/>
      <c r="I1152" s="152"/>
      <c r="J1152" s="151"/>
      <c r="K1152" s="151"/>
      <c r="L1152" s="151"/>
      <c r="M1152" s="151"/>
      <c r="O1152" s="719">
        <f>SUM(O1110:O1150)</f>
        <v>1.2782431969552808</v>
      </c>
      <c r="P1152" s="719">
        <f>SUM(P1110:P1150)</f>
        <v>9.6139138535249131</v>
      </c>
      <c r="Q1152" s="719">
        <f>SUM(Q1110:Q1150)</f>
        <v>12.147164173073833</v>
      </c>
    </row>
    <row r="1153" spans="1:17">
      <c r="C1153" s="151"/>
      <c r="D1153" s="151" t="s">
        <v>106</v>
      </c>
      <c r="E1153" s="151"/>
      <c r="F1153" s="152"/>
      <c r="G1153" s="152"/>
      <c r="H1153" s="152"/>
      <c r="I1153" s="152"/>
      <c r="J1153" s="151"/>
      <c r="K1153" s="151"/>
      <c r="L1153" s="151"/>
      <c r="M1153" s="151"/>
    </row>
    <row r="1154" spans="1:17">
      <c r="C1154" s="151"/>
      <c r="D1154" s="151" t="s">
        <v>381</v>
      </c>
      <c r="E1154" s="151"/>
      <c r="F1154" s="152"/>
      <c r="G1154" s="152"/>
      <c r="H1154" s="152"/>
      <c r="I1154" s="152"/>
      <c r="J1154" s="151"/>
      <c r="K1154" s="151"/>
      <c r="L1154" s="151"/>
      <c r="M1154" s="151"/>
    </row>
    <row r="1155" spans="1:17">
      <c r="C1155" s="151"/>
      <c r="D1155" s="151" t="s">
        <v>382</v>
      </c>
      <c r="E1155" s="151"/>
      <c r="F1155" s="151"/>
      <c r="G1155" s="151"/>
      <c r="H1155" s="151"/>
      <c r="I1155" s="151"/>
      <c r="J1155" s="151"/>
      <c r="K1155" s="151"/>
      <c r="L1155" s="151"/>
      <c r="M1155" s="151"/>
      <c r="O1155" s="677" t="s">
        <v>390</v>
      </c>
      <c r="P1155" s="677" t="s">
        <v>406</v>
      </c>
      <c r="Q1155" s="677" t="s">
        <v>1304</v>
      </c>
    </row>
    <row r="1156" spans="1:17">
      <c r="A1156" s="64" t="s">
        <v>61</v>
      </c>
      <c r="B1156" s="144" t="str">
        <f>'Autoproducers Calculations'!$C$205</f>
        <v>CHPAUTOGENSOLID00</v>
      </c>
      <c r="C1156" s="151" t="s">
        <v>107</v>
      </c>
      <c r="D1156" s="151"/>
      <c r="E1156" s="151"/>
      <c r="F1156" s="152">
        <v>31.536000000000001</v>
      </c>
      <c r="G1156" s="152">
        <f>'Autoproducers Calculations'!AD$209</f>
        <v>0.25960330629778389</v>
      </c>
      <c r="H1156" s="152">
        <f>'Autoproducers Calculations'!AD$207</f>
        <v>0.29892473118279572</v>
      </c>
      <c r="I1156" s="152">
        <f>'Autoproducers Calculations'!AD$206</f>
        <v>0.55731748671307157</v>
      </c>
      <c r="J1156" s="151">
        <v>20</v>
      </c>
      <c r="K1156" s="151">
        <v>1</v>
      </c>
      <c r="L1156" s="152">
        <f>'Autoproducers Calculations'!AD$208</f>
        <v>0.18074051635111879</v>
      </c>
      <c r="M1156" s="151">
        <v>0</v>
      </c>
      <c r="O1156" s="69">
        <f>L1156*F1156*I1156</f>
        <v>3.1766165596924139</v>
      </c>
      <c r="P1156" s="69">
        <f t="shared" ref="P1156" si="275">O1156*H1156</f>
        <v>0.94956925117687219</v>
      </c>
      <c r="Q1156" s="69">
        <f>O1156/G1156</f>
        <v>12.236425664196293</v>
      </c>
    </row>
    <row r="1157" spans="1:17">
      <c r="C1157" s="151" t="s">
        <v>108</v>
      </c>
      <c r="D1157" s="151"/>
      <c r="E1157" s="151">
        <f>'Eurostat Resume'!AE10/'Eurostat Resume'!AE9</f>
        <v>0.95062805303558962</v>
      </c>
      <c r="F1157" s="152"/>
      <c r="G1157" s="152"/>
      <c r="H1157" s="152"/>
      <c r="I1157" s="152"/>
      <c r="J1157" s="151"/>
      <c r="K1157" s="151"/>
      <c r="L1157" s="152"/>
      <c r="M1157" s="151"/>
      <c r="O1157" s="69"/>
      <c r="P1157" s="69"/>
      <c r="Q1157" s="69"/>
    </row>
    <row r="1158" spans="1:17">
      <c r="C1158" s="151"/>
      <c r="D1158" s="151" t="s">
        <v>105</v>
      </c>
      <c r="E1158" s="151"/>
      <c r="F1158" s="152"/>
      <c r="G1158" s="152"/>
      <c r="H1158" s="152"/>
      <c r="I1158" s="152"/>
      <c r="J1158" s="151"/>
      <c r="K1158" s="151"/>
      <c r="L1158" s="152"/>
      <c r="M1158" s="151"/>
      <c r="O1158" s="69"/>
      <c r="P1158" s="69"/>
      <c r="Q1158" s="69"/>
    </row>
    <row r="1159" spans="1:17">
      <c r="C1159" s="151"/>
      <c r="D1159" s="151" t="s">
        <v>106</v>
      </c>
      <c r="E1159" s="151"/>
      <c r="F1159" s="152"/>
      <c r="G1159" s="152"/>
      <c r="H1159" s="152"/>
      <c r="I1159" s="152"/>
      <c r="J1159" s="151"/>
      <c r="K1159" s="151"/>
      <c r="L1159" s="152"/>
      <c r="M1159" s="151"/>
      <c r="O1159" s="69"/>
      <c r="P1159" s="69"/>
      <c r="Q1159" s="69"/>
    </row>
    <row r="1160" spans="1:17">
      <c r="C1160" s="151"/>
      <c r="D1160" s="151" t="s">
        <v>378</v>
      </c>
      <c r="E1160" s="151"/>
      <c r="F1160" s="152"/>
      <c r="G1160" s="152"/>
      <c r="H1160" s="152"/>
      <c r="I1160" s="152"/>
      <c r="J1160" s="151"/>
      <c r="K1160" s="151"/>
      <c r="L1160" s="152"/>
      <c r="M1160" s="151"/>
      <c r="O1160" s="69"/>
      <c r="P1160" s="69"/>
      <c r="Q1160" s="69"/>
    </row>
    <row r="1161" spans="1:17">
      <c r="C1161" s="151"/>
      <c r="D1161" s="151" t="s">
        <v>380</v>
      </c>
      <c r="E1161" s="151"/>
      <c r="F1161" s="152"/>
      <c r="G1161" s="152"/>
      <c r="H1161" s="152"/>
      <c r="I1161" s="152"/>
      <c r="J1161" s="151"/>
      <c r="K1161" s="151"/>
      <c r="L1161" s="152"/>
      <c r="M1161" s="151"/>
      <c r="O1161" s="69"/>
      <c r="P1161" s="69"/>
      <c r="Q1161" s="69"/>
    </row>
    <row r="1162" spans="1:17">
      <c r="C1162" s="151"/>
      <c r="D1162" s="151" t="s">
        <v>379</v>
      </c>
      <c r="E1162" s="151"/>
      <c r="F1162" s="152"/>
      <c r="G1162" s="152"/>
      <c r="H1162" s="152"/>
      <c r="I1162" s="152"/>
      <c r="J1162" s="151"/>
      <c r="K1162" s="151"/>
      <c r="L1162" s="152"/>
      <c r="M1162" s="151"/>
      <c r="O1162" s="69"/>
      <c r="P1162" s="69"/>
      <c r="Q1162" s="69"/>
    </row>
    <row r="1163" spans="1:17">
      <c r="C1163" s="151"/>
      <c r="D1163" s="151" t="s">
        <v>381</v>
      </c>
      <c r="E1163" s="151"/>
      <c r="F1163" s="152"/>
      <c r="G1163" s="152"/>
      <c r="H1163" s="152"/>
      <c r="I1163" s="152"/>
      <c r="J1163" s="151"/>
      <c r="K1163" s="151"/>
      <c r="L1163" s="152"/>
      <c r="M1163" s="151"/>
      <c r="O1163" s="69"/>
      <c r="P1163" s="69"/>
      <c r="Q1163" s="69"/>
    </row>
    <row r="1164" spans="1:17">
      <c r="C1164" s="151"/>
      <c r="D1164" s="151" t="s">
        <v>382</v>
      </c>
      <c r="E1164" s="151"/>
      <c r="F1164" s="152"/>
      <c r="G1164" s="152"/>
      <c r="H1164" s="152"/>
      <c r="I1164" s="152"/>
      <c r="J1164" s="151"/>
      <c r="K1164" s="151"/>
      <c r="L1164" s="152"/>
      <c r="M1164" s="151"/>
      <c r="O1164" s="69"/>
      <c r="P1164" s="69"/>
      <c r="Q1164" s="69"/>
    </row>
    <row r="1165" spans="1:17">
      <c r="B1165" s="144" t="str">
        <f>'Autoproducers Calculations'!$C$214</f>
        <v>CHPAUTOGENRFG00</v>
      </c>
      <c r="C1165" s="151" t="s">
        <v>110</v>
      </c>
      <c r="D1165" s="151"/>
      <c r="E1165" s="151"/>
      <c r="F1165" s="152">
        <v>31.536000000000001</v>
      </c>
      <c r="G1165" s="152">
        <f>'Autoproducers Calculations'!AD$209</f>
        <v>0.25960330629778389</v>
      </c>
      <c r="H1165" s="152">
        <f>'Autoproducers Calculations'!AD$207</f>
        <v>0.29892473118279572</v>
      </c>
      <c r="I1165" s="152">
        <f>'Autoproducers Calculations'!AD$206</f>
        <v>0.55731748671307157</v>
      </c>
      <c r="J1165" s="151">
        <v>20</v>
      </c>
      <c r="K1165" s="151">
        <v>1</v>
      </c>
      <c r="L1165" s="152">
        <f>'Autoproducers Calculations'!AD$217</f>
        <v>3.1216523235800347E-3</v>
      </c>
      <c r="M1165" s="151">
        <v>0</v>
      </c>
      <c r="O1165" s="69">
        <f t="shared" ref="O1165" si="276">L1165*F1165*I1165</f>
        <v>5.4864801013529127E-2</v>
      </c>
      <c r="P1165" s="69">
        <f t="shared" ref="P1165" si="277">O1165*H1165</f>
        <v>1.6400445894366771E-2</v>
      </c>
      <c r="Q1165" s="69">
        <f>O1165/G1165</f>
        <v>0.21134091778706088</v>
      </c>
    </row>
    <row r="1166" spans="1:17">
      <c r="C1166" s="151"/>
      <c r="D1166" s="151" t="s">
        <v>105</v>
      </c>
      <c r="E1166" s="151"/>
      <c r="F1166" s="152"/>
      <c r="G1166" s="152"/>
      <c r="H1166" s="152"/>
      <c r="I1166" s="152"/>
      <c r="J1166" s="151"/>
      <c r="K1166" s="151"/>
      <c r="L1166" s="152"/>
      <c r="M1166" s="151"/>
      <c r="O1166" s="69"/>
      <c r="P1166" s="69"/>
      <c r="Q1166" s="69"/>
    </row>
    <row r="1167" spans="1:17">
      <c r="C1167" s="151"/>
      <c r="D1167" s="151" t="s">
        <v>106</v>
      </c>
      <c r="E1167" s="151"/>
      <c r="F1167" s="152"/>
      <c r="G1167" s="152"/>
      <c r="H1167" s="152"/>
      <c r="I1167" s="152"/>
      <c r="J1167" s="151"/>
      <c r="K1167" s="151"/>
      <c r="L1167" s="152"/>
      <c r="M1167" s="151"/>
      <c r="O1167" s="69"/>
      <c r="P1167" s="69"/>
      <c r="Q1167" s="69"/>
    </row>
    <row r="1168" spans="1:17">
      <c r="C1168" s="151"/>
      <c r="D1168" s="151" t="s">
        <v>1342</v>
      </c>
      <c r="E1168" s="151"/>
      <c r="F1168" s="152"/>
      <c r="G1168" s="152"/>
      <c r="H1168" s="152"/>
      <c r="I1168" s="152"/>
      <c r="J1168" s="151"/>
      <c r="K1168" s="151"/>
      <c r="L1168" s="152"/>
      <c r="M1168" s="151"/>
      <c r="O1168" s="69"/>
      <c r="P1168" s="69"/>
      <c r="Q1168" s="69"/>
    </row>
    <row r="1169" spans="2:17">
      <c r="C1169" s="151"/>
      <c r="D1169" s="151" t="s">
        <v>380</v>
      </c>
      <c r="E1169" s="151"/>
      <c r="F1169" s="152"/>
      <c r="G1169" s="152"/>
      <c r="H1169" s="152"/>
      <c r="I1169" s="152"/>
      <c r="J1169" s="151"/>
      <c r="K1169" s="151"/>
      <c r="L1169" s="152"/>
      <c r="M1169" s="151"/>
      <c r="O1169" s="69"/>
      <c r="P1169" s="69"/>
      <c r="Q1169" s="69"/>
    </row>
    <row r="1170" spans="2:17">
      <c r="C1170" s="151"/>
      <c r="D1170" s="151" t="s">
        <v>379</v>
      </c>
      <c r="E1170" s="151"/>
      <c r="F1170" s="152"/>
      <c r="G1170" s="152"/>
      <c r="H1170" s="152"/>
      <c r="I1170" s="152"/>
      <c r="J1170" s="151"/>
      <c r="K1170" s="151"/>
      <c r="L1170" s="152"/>
      <c r="M1170" s="151"/>
      <c r="O1170" s="69"/>
      <c r="P1170" s="69"/>
      <c r="Q1170" s="69"/>
    </row>
    <row r="1171" spans="2:17">
      <c r="B1171" s="144" t="str">
        <f>'Autoproducers Calculations'!$C$223</f>
        <v>CHPAUTOGENOIL00</v>
      </c>
      <c r="C1171" s="151" t="s">
        <v>111</v>
      </c>
      <c r="D1171" s="151"/>
      <c r="E1171" s="151">
        <f>'Eurostat Resume'!AE13/'Eurostat Resume'!AE11</f>
        <v>0.98350353495679488</v>
      </c>
      <c r="F1171" s="152">
        <v>31.536000000000001</v>
      </c>
      <c r="G1171" s="152">
        <f>'Autoproducers Calculations'!AD$209</f>
        <v>0.25960330629778389</v>
      </c>
      <c r="H1171" s="152">
        <f>'Autoproducers Calculations'!AD$207</f>
        <v>0.29892473118279572</v>
      </c>
      <c r="I1171" s="152">
        <f>'Autoproducers Calculations'!AD$206</f>
        <v>0.55731748671307157</v>
      </c>
      <c r="J1171" s="151">
        <v>20</v>
      </c>
      <c r="K1171" s="151">
        <v>1</v>
      </c>
      <c r="L1171" s="152">
        <f>'Autoproducers Calculations'!AD$226</f>
        <v>0.11729845094664372</v>
      </c>
      <c r="M1171" s="151">
        <v>0</v>
      </c>
      <c r="O1171" s="69">
        <f t="shared" ref="O1171" si="278">L1171*F1171*I1171</f>
        <v>2.0615864623265487</v>
      </c>
      <c r="P1171" s="69">
        <f t="shared" ref="P1171" si="279">O1171*H1171</f>
        <v>0.61625917906105443</v>
      </c>
      <c r="Q1171" s="69">
        <f>O1171/G1171</f>
        <v>7.9412950926047108</v>
      </c>
    </row>
    <row r="1172" spans="2:17">
      <c r="C1172" s="151" t="s">
        <v>112</v>
      </c>
      <c r="D1172" s="151"/>
      <c r="E1172" s="151"/>
      <c r="F1172" s="152"/>
      <c r="G1172" s="152"/>
      <c r="H1172" s="152"/>
      <c r="I1172" s="152"/>
      <c r="J1172" s="151"/>
      <c r="K1172" s="151"/>
      <c r="L1172" s="152"/>
      <c r="M1172" s="151"/>
      <c r="O1172" s="69"/>
      <c r="P1172" s="69"/>
      <c r="Q1172" s="69"/>
    </row>
    <row r="1173" spans="2:17">
      <c r="C1173" s="151"/>
      <c r="D1173" s="151" t="s">
        <v>105</v>
      </c>
      <c r="E1173" s="151"/>
      <c r="F1173" s="152"/>
      <c r="G1173" s="152"/>
      <c r="H1173" s="152"/>
      <c r="I1173" s="152"/>
      <c r="J1173" s="151"/>
      <c r="K1173" s="151"/>
      <c r="L1173" s="152"/>
      <c r="M1173" s="151"/>
      <c r="O1173" s="69"/>
      <c r="P1173" s="69"/>
      <c r="Q1173" s="69"/>
    </row>
    <row r="1174" spans="2:17">
      <c r="C1174" s="151"/>
      <c r="D1174" s="151" t="s">
        <v>106</v>
      </c>
      <c r="E1174" s="151"/>
      <c r="F1174" s="152"/>
      <c r="G1174" s="152"/>
      <c r="H1174" s="152"/>
      <c r="I1174" s="152"/>
      <c r="J1174" s="151"/>
      <c r="K1174" s="151"/>
      <c r="L1174" s="152"/>
      <c r="M1174" s="151"/>
      <c r="O1174" s="69"/>
      <c r="P1174" s="69"/>
      <c r="Q1174" s="69"/>
    </row>
    <row r="1175" spans="2:17">
      <c r="C1175" s="151"/>
      <c r="D1175" s="151" t="s">
        <v>380</v>
      </c>
      <c r="E1175" s="151"/>
      <c r="F1175" s="152"/>
      <c r="G1175" s="152"/>
      <c r="H1175" s="152"/>
      <c r="I1175" s="152"/>
      <c r="J1175" s="151"/>
      <c r="K1175" s="151"/>
      <c r="L1175" s="152"/>
      <c r="M1175" s="151"/>
      <c r="O1175" s="69"/>
      <c r="P1175" s="69"/>
      <c r="Q1175" s="69"/>
    </row>
    <row r="1176" spans="2:17">
      <c r="C1176" s="151"/>
      <c r="D1176" s="151" t="s">
        <v>379</v>
      </c>
      <c r="E1176" s="151"/>
      <c r="F1176" s="152"/>
      <c r="G1176" s="152"/>
      <c r="H1176" s="152"/>
      <c r="I1176" s="152"/>
      <c r="J1176" s="151"/>
      <c r="K1176" s="151"/>
      <c r="L1176" s="152"/>
      <c r="M1176" s="151"/>
      <c r="O1176" s="69"/>
      <c r="P1176" s="69"/>
      <c r="Q1176" s="69"/>
    </row>
    <row r="1177" spans="2:17">
      <c r="C1177" s="151"/>
      <c r="D1177" s="151" t="s">
        <v>1342</v>
      </c>
      <c r="E1177" s="151"/>
      <c r="F1177" s="152"/>
      <c r="G1177" s="152"/>
      <c r="H1177" s="152"/>
      <c r="I1177" s="152"/>
      <c r="J1177" s="151"/>
      <c r="K1177" s="151"/>
      <c r="L1177" s="152"/>
      <c r="M1177" s="151"/>
      <c r="O1177" s="69"/>
      <c r="P1177" s="69"/>
      <c r="Q1177" s="69"/>
    </row>
    <row r="1178" spans="2:17">
      <c r="C1178" s="151"/>
      <c r="D1178" s="151" t="s">
        <v>382</v>
      </c>
      <c r="E1178" s="151"/>
      <c r="F1178" s="152"/>
      <c r="G1178" s="152"/>
      <c r="H1178" s="152"/>
      <c r="I1178" s="152"/>
      <c r="J1178" s="151"/>
      <c r="K1178" s="151"/>
      <c r="L1178" s="152"/>
      <c r="M1178" s="151"/>
      <c r="O1178" s="69"/>
      <c r="P1178" s="69"/>
      <c r="Q1178" s="69"/>
    </row>
    <row r="1179" spans="2:17">
      <c r="B1179" s="144" t="str">
        <f>'Autoproducers Calculations'!$C$232</f>
        <v>CHPAUTOGENGAS00</v>
      </c>
      <c r="C1179" s="151" t="s">
        <v>113</v>
      </c>
      <c r="D1179" s="151"/>
      <c r="E1179" s="151"/>
      <c r="F1179" s="152">
        <v>31.536000000000001</v>
      </c>
      <c r="G1179" s="152">
        <f>'Autoproducers Calculations'!AD$209</f>
        <v>0.25960330629778389</v>
      </c>
      <c r="H1179" s="152">
        <f>'Autoproducers Calculations'!AD$207</f>
        <v>0.29892473118279572</v>
      </c>
      <c r="I1179" s="152">
        <f>'Autoproducers Calculations'!AD$206</f>
        <v>0.55731748671307157</v>
      </c>
      <c r="J1179" s="151">
        <v>20</v>
      </c>
      <c r="K1179" s="151">
        <v>1</v>
      </c>
      <c r="L1179" s="152">
        <f>'Autoproducers Calculations'!AD$235</f>
        <v>0.14728523235800345</v>
      </c>
      <c r="M1179" s="151">
        <v>0</v>
      </c>
      <c r="O1179" s="69">
        <f t="shared" ref="O1179" si="280">L1179*F1179*I1179</f>
        <v>2.5886210660019651</v>
      </c>
      <c r="P1179" s="69">
        <f t="shared" ref="P1179" si="281">O1179*H1179</f>
        <v>0.77380285628875956</v>
      </c>
      <c r="Q1179" s="69">
        <f>O1179/G1179</f>
        <v>9.9714487574076891</v>
      </c>
    </row>
    <row r="1180" spans="2:17">
      <c r="C1180" s="151"/>
      <c r="D1180" s="151" t="s">
        <v>105</v>
      </c>
      <c r="E1180" s="151"/>
      <c r="F1180" s="152"/>
      <c r="G1180" s="152"/>
      <c r="H1180" s="152"/>
      <c r="I1180" s="152"/>
      <c r="J1180" s="151"/>
      <c r="K1180" s="151"/>
      <c r="L1180" s="152"/>
      <c r="M1180" s="151"/>
      <c r="O1180" s="69"/>
      <c r="P1180" s="69"/>
      <c r="Q1180" s="69"/>
    </row>
    <row r="1181" spans="2:17">
      <c r="C1181" s="151"/>
      <c r="D1181" s="151" t="s">
        <v>106</v>
      </c>
      <c r="E1181" s="151"/>
      <c r="F1181" s="152"/>
      <c r="G1181" s="152"/>
      <c r="H1181" s="152"/>
      <c r="I1181" s="152"/>
      <c r="J1181" s="151"/>
      <c r="K1181" s="151"/>
      <c r="L1181" s="152"/>
      <c r="M1181" s="151"/>
      <c r="O1181" s="69"/>
      <c r="P1181" s="69"/>
      <c r="Q1181" s="69"/>
    </row>
    <row r="1182" spans="2:17">
      <c r="C1182" s="151"/>
      <c r="D1182" s="151" t="s">
        <v>1342</v>
      </c>
      <c r="E1182" s="151"/>
      <c r="F1182" s="152"/>
      <c r="G1182" s="152"/>
      <c r="H1182" s="152"/>
      <c r="I1182" s="152"/>
      <c r="J1182" s="151"/>
      <c r="K1182" s="151"/>
      <c r="L1182" s="152"/>
      <c r="M1182" s="151"/>
      <c r="O1182" s="69"/>
      <c r="P1182" s="69"/>
      <c r="Q1182" s="69"/>
    </row>
    <row r="1183" spans="2:17">
      <c r="C1183" s="151"/>
      <c r="D1183" s="151" t="s">
        <v>378</v>
      </c>
      <c r="E1183" s="151"/>
      <c r="F1183" s="152"/>
      <c r="G1183" s="152"/>
      <c r="H1183" s="152"/>
      <c r="I1183" s="152"/>
      <c r="J1183" s="151"/>
      <c r="K1183" s="151"/>
      <c r="L1183" s="152"/>
      <c r="M1183" s="151"/>
      <c r="O1183" s="69"/>
      <c r="P1183" s="69"/>
      <c r="Q1183" s="69"/>
    </row>
    <row r="1184" spans="2:17">
      <c r="C1184" s="151"/>
      <c r="D1184" s="151" t="s">
        <v>421</v>
      </c>
      <c r="E1184" s="151"/>
      <c r="F1184" s="152"/>
      <c r="G1184" s="152"/>
      <c r="H1184" s="152"/>
      <c r="I1184" s="152"/>
      <c r="J1184" s="151"/>
      <c r="K1184" s="151"/>
      <c r="L1184" s="152"/>
      <c r="M1184" s="151"/>
      <c r="O1184" s="69"/>
      <c r="P1184" s="69"/>
      <c r="Q1184" s="69"/>
    </row>
    <row r="1185" spans="2:17">
      <c r="C1185" s="151"/>
      <c r="D1185" s="151" t="s">
        <v>380</v>
      </c>
      <c r="E1185" s="151"/>
      <c r="F1185" s="152"/>
      <c r="G1185" s="152"/>
      <c r="H1185" s="152"/>
      <c r="I1185" s="152"/>
      <c r="J1185" s="151"/>
      <c r="K1185" s="151"/>
      <c r="L1185" s="152"/>
      <c r="M1185" s="151"/>
      <c r="O1185" s="69"/>
      <c r="P1185" s="69"/>
      <c r="Q1185" s="69"/>
    </row>
    <row r="1186" spans="2:17">
      <c r="C1186" s="151"/>
      <c r="D1186" s="151" t="s">
        <v>379</v>
      </c>
      <c r="E1186" s="151"/>
      <c r="F1186" s="152"/>
      <c r="G1186" s="152"/>
      <c r="H1186" s="152"/>
      <c r="I1186" s="152"/>
      <c r="J1186" s="151"/>
      <c r="K1186" s="151"/>
      <c r="L1186" s="152"/>
      <c r="M1186" s="151"/>
      <c r="O1186" s="69"/>
      <c r="P1186" s="69"/>
      <c r="Q1186" s="69"/>
    </row>
    <row r="1187" spans="2:17">
      <c r="C1187" s="151"/>
      <c r="D1187" s="151" t="s">
        <v>381</v>
      </c>
      <c r="E1187" s="151"/>
      <c r="F1187" s="152"/>
      <c r="G1187" s="152"/>
      <c r="H1187" s="152"/>
      <c r="I1187" s="152"/>
      <c r="J1187" s="151"/>
      <c r="K1187" s="151"/>
      <c r="L1187" s="152"/>
      <c r="M1187" s="151"/>
      <c r="O1187" s="69"/>
      <c r="P1187" s="69"/>
      <c r="Q1187" s="69"/>
    </row>
    <row r="1188" spans="2:17">
      <c r="C1188" s="151"/>
      <c r="D1188" s="151" t="s">
        <v>382</v>
      </c>
      <c r="E1188" s="151"/>
      <c r="F1188" s="152"/>
      <c r="G1188" s="152"/>
      <c r="H1188" s="152"/>
      <c r="I1188" s="152"/>
      <c r="J1188" s="151"/>
      <c r="K1188" s="151"/>
      <c r="L1188" s="152"/>
      <c r="M1188" s="151"/>
      <c r="O1188" s="69"/>
      <c r="P1188" s="69"/>
      <c r="Q1188" s="69"/>
    </row>
    <row r="1189" spans="2:17">
      <c r="B1189" s="144" t="str">
        <f>'Autoproducers Calculations'!$C$241</f>
        <v>CHPAUTOGENBIO00</v>
      </c>
      <c r="C1189" s="151" t="s">
        <v>116</v>
      </c>
      <c r="D1189" s="151"/>
      <c r="E1189" s="151"/>
      <c r="F1189" s="152">
        <v>31.536000000000001</v>
      </c>
      <c r="G1189" s="152">
        <f>'Autoproducers Calculations'!AD$209</f>
        <v>0.25960330629778389</v>
      </c>
      <c r="H1189" s="152">
        <f>'Autoproducers Calculations'!AD$207</f>
        <v>0.29892473118279572</v>
      </c>
      <c r="I1189" s="152">
        <f>'Autoproducers Calculations'!AD$206</f>
        <v>0.55731748671307157</v>
      </c>
      <c r="J1189" s="151">
        <v>20</v>
      </c>
      <c r="K1189" s="151">
        <v>1</v>
      </c>
      <c r="L1189" s="152">
        <f>'Autoproducers Calculations'!AD$244</f>
        <v>7.063132530120482E-3</v>
      </c>
      <c r="M1189" s="151">
        <v>0</v>
      </c>
      <c r="O1189" s="69">
        <f t="shared" ref="O1189" si="282">L1189*F1189*I1189</f>
        <v>0.12413853966697498</v>
      </c>
      <c r="P1189" s="69">
        <f t="shared" ref="P1189" si="283">O1189*H1189</f>
        <v>3.7108079599375322E-2</v>
      </c>
      <c r="Q1189" s="69">
        <f>O1189/G1189</f>
        <v>0.47818551095254175</v>
      </c>
    </row>
    <row r="1190" spans="2:17">
      <c r="C1190" s="151"/>
      <c r="D1190" s="151" t="s">
        <v>105</v>
      </c>
      <c r="E1190" s="151"/>
      <c r="F1190" s="152"/>
      <c r="G1190" s="152"/>
      <c r="H1190" s="152"/>
      <c r="I1190" s="152"/>
      <c r="J1190" s="151"/>
      <c r="K1190" s="151"/>
      <c r="L1190" s="152"/>
      <c r="M1190" s="151"/>
      <c r="O1190" s="69"/>
      <c r="P1190" s="69"/>
      <c r="Q1190" s="69"/>
    </row>
    <row r="1191" spans="2:17">
      <c r="C1191" s="151"/>
      <c r="D1191" s="151" t="s">
        <v>106</v>
      </c>
      <c r="E1191" s="151"/>
      <c r="F1191" s="152"/>
      <c r="G1191" s="152"/>
      <c r="H1191" s="152"/>
      <c r="I1191" s="152"/>
      <c r="J1191" s="151"/>
      <c r="K1191" s="151"/>
      <c r="L1191" s="152"/>
      <c r="M1191" s="151"/>
      <c r="O1191" s="69"/>
      <c r="P1191" s="69"/>
      <c r="Q1191" s="69"/>
    </row>
    <row r="1192" spans="2:17">
      <c r="C1192" s="151"/>
      <c r="D1192" s="151" t="s">
        <v>380</v>
      </c>
      <c r="E1192" s="151"/>
      <c r="F1192" s="152"/>
      <c r="G1192" s="152"/>
      <c r="H1192" s="152"/>
      <c r="I1192" s="152"/>
      <c r="J1192" s="151"/>
      <c r="K1192" s="151"/>
      <c r="L1192" s="151"/>
      <c r="M1192" s="151"/>
      <c r="O1192" s="69"/>
      <c r="P1192" s="69"/>
      <c r="Q1192" s="69"/>
    </row>
    <row r="1193" spans="2:17">
      <c r="C1193" s="151"/>
      <c r="D1193" s="151" t="s">
        <v>379</v>
      </c>
      <c r="E1193" s="151"/>
      <c r="F1193" s="152"/>
      <c r="G1193" s="152"/>
      <c r="H1193" s="152"/>
      <c r="I1193" s="152"/>
      <c r="J1193" s="151"/>
      <c r="K1193" s="151"/>
      <c r="L1193" s="151"/>
      <c r="M1193" s="151"/>
      <c r="O1193" s="69"/>
      <c r="P1193" s="69"/>
      <c r="Q1193" s="69"/>
    </row>
    <row r="1194" spans="2:17">
      <c r="C1194" s="151"/>
      <c r="D1194" s="151" t="s">
        <v>381</v>
      </c>
      <c r="E1194" s="151"/>
      <c r="F1194" s="152"/>
      <c r="G1194" s="152"/>
      <c r="H1194" s="152"/>
      <c r="I1194" s="152"/>
      <c r="J1194" s="151"/>
      <c r="K1194" s="151"/>
      <c r="L1194" s="151"/>
      <c r="M1194" s="151"/>
      <c r="O1194" s="69"/>
      <c r="P1194" s="69"/>
      <c r="Q1194" s="69"/>
    </row>
    <row r="1195" spans="2:17">
      <c r="C1195" s="151"/>
      <c r="D1195" s="151" t="s">
        <v>382</v>
      </c>
      <c r="E1195" s="151"/>
      <c r="F1195" s="152"/>
      <c r="G1195" s="152"/>
      <c r="H1195" s="152"/>
      <c r="I1195" s="152"/>
      <c r="J1195" s="151"/>
      <c r="K1195" s="151"/>
      <c r="L1195" s="151"/>
      <c r="M1195" s="151"/>
      <c r="O1195" s="69"/>
      <c r="P1195" s="69"/>
      <c r="Q1195" s="69"/>
    </row>
    <row r="1196" spans="2:17">
      <c r="B1196" s="144" t="str">
        <f>'Autoproducers Calculations'!$C$250</f>
        <v>CHPAUTOGENWASTE00</v>
      </c>
      <c r="C1196" s="151" t="s">
        <v>117</v>
      </c>
      <c r="D1196" s="151"/>
      <c r="E1196" s="151"/>
      <c r="F1196" s="152">
        <v>31.536000000000001</v>
      </c>
      <c r="G1196" s="152">
        <f>'Autoproducers Calculations'!AD$209</f>
        <v>0.25960330629778389</v>
      </c>
      <c r="H1196" s="152">
        <f>'Autoproducers Calculations'!AD$207</f>
        <v>0.29892473118279572</v>
      </c>
      <c r="I1196" s="152">
        <f>'Autoproducers Calculations'!AD$206</f>
        <v>0.55731748671307157</v>
      </c>
      <c r="J1196" s="151">
        <v>20</v>
      </c>
      <c r="K1196" s="151">
        <v>1</v>
      </c>
      <c r="L1196" s="152">
        <f>'Autoproducers Calculations'!AD$253</f>
        <v>2.0811015490533567E-2</v>
      </c>
      <c r="M1196" s="151">
        <v>0</v>
      </c>
      <c r="O1196" s="69">
        <f t="shared" ref="O1196" si="284">L1196*F1196*I1196</f>
        <v>0.36576534009019424</v>
      </c>
      <c r="P1196" s="69">
        <f t="shared" ref="P1196" si="285">O1196*H1196</f>
        <v>0.10933630596244517</v>
      </c>
      <c r="Q1196" s="69">
        <f>O1196/G1196</f>
        <v>1.4089394519137395</v>
      </c>
    </row>
    <row r="1197" spans="2:17">
      <c r="C1197" s="151" t="s">
        <v>118</v>
      </c>
      <c r="D1197" s="151"/>
      <c r="E1197" s="151"/>
      <c r="F1197" s="152"/>
      <c r="G1197" s="152"/>
      <c r="H1197" s="152"/>
      <c r="I1197" s="152"/>
      <c r="J1197" s="151"/>
      <c r="K1197" s="151"/>
      <c r="L1197" s="151"/>
      <c r="M1197" s="151"/>
      <c r="O1197" s="69"/>
      <c r="P1197" s="69"/>
      <c r="Q1197" s="69"/>
    </row>
    <row r="1198" spans="2:17">
      <c r="C1198" s="151"/>
      <c r="D1198" s="151" t="s">
        <v>105</v>
      </c>
      <c r="E1198" s="151"/>
      <c r="F1198" s="152"/>
      <c r="G1198" s="152"/>
      <c r="H1198" s="152"/>
      <c r="I1198" s="152"/>
      <c r="J1198" s="151"/>
      <c r="K1198" s="151"/>
      <c r="L1198" s="151"/>
      <c r="M1198" s="151"/>
      <c r="O1198" s="719">
        <f>SUM(O1156:O1196)</f>
        <v>8.3715927687916256</v>
      </c>
      <c r="P1198" s="719">
        <f>SUM(P1156:P1196)</f>
        <v>2.5024761179828734</v>
      </c>
      <c r="Q1198" s="719">
        <f>SUM(Q1156:Q1196)</f>
        <v>32.247635394862037</v>
      </c>
    </row>
    <row r="1199" spans="2:17">
      <c r="C1199" s="151"/>
      <c r="D1199" s="151" t="s">
        <v>106</v>
      </c>
      <c r="E1199" s="151"/>
      <c r="F1199" s="152"/>
      <c r="G1199" s="152"/>
      <c r="H1199" s="152"/>
      <c r="I1199" s="152"/>
      <c r="J1199" s="151"/>
      <c r="K1199" s="151"/>
      <c r="L1199" s="151"/>
      <c r="M1199" s="151"/>
    </row>
    <row r="1200" spans="2:17">
      <c r="C1200" s="151"/>
      <c r="D1200" s="151" t="s">
        <v>381</v>
      </c>
      <c r="E1200" s="151"/>
      <c r="F1200" s="152"/>
      <c r="G1200" s="152"/>
      <c r="H1200" s="152"/>
      <c r="I1200" s="152"/>
      <c r="J1200" s="151"/>
      <c r="K1200" s="151"/>
      <c r="L1200" s="151"/>
      <c r="M1200" s="151"/>
    </row>
    <row r="1201" spans="1:17">
      <c r="C1201" s="151"/>
      <c r="D1201" s="151" t="s">
        <v>382</v>
      </c>
      <c r="E1201" s="151"/>
      <c r="F1201" s="151"/>
      <c r="G1201" s="151"/>
      <c r="H1201" s="151"/>
      <c r="I1201" s="151"/>
      <c r="J1201" s="151"/>
      <c r="K1201" s="151"/>
      <c r="L1201" s="151"/>
      <c r="M1201" s="151"/>
      <c r="O1201" s="677" t="s">
        <v>390</v>
      </c>
      <c r="P1201" s="677" t="s">
        <v>406</v>
      </c>
      <c r="Q1201" s="677" t="s">
        <v>1304</v>
      </c>
    </row>
    <row r="1202" spans="1:17">
      <c r="A1202" s="64" t="s">
        <v>64</v>
      </c>
      <c r="B1202" s="144" t="str">
        <f>'Autoproducers Calculations'!$C$205</f>
        <v>CHPAUTOGENSOLID00</v>
      </c>
      <c r="C1202" s="151" t="s">
        <v>107</v>
      </c>
      <c r="D1202" s="151"/>
      <c r="E1202" s="151"/>
      <c r="F1202" s="152">
        <v>31.536000000000001</v>
      </c>
      <c r="G1202" s="152">
        <f>'Autoproducers Calculations'!AE$209</f>
        <v>0.33254158981555149</v>
      </c>
      <c r="H1202" s="152">
        <f>'Autoproducers Calculations'!AE$207</f>
        <v>1.2287391748752095</v>
      </c>
      <c r="I1202" s="152">
        <f>'Autoproducers Calculations'!AE$206</f>
        <v>0.82690862310043178</v>
      </c>
      <c r="J1202" s="151">
        <v>20</v>
      </c>
      <c r="K1202" s="151">
        <v>1</v>
      </c>
      <c r="L1202" s="152">
        <f>'Autoproducers Calculations'!AE$208</f>
        <v>0.11808391954198678</v>
      </c>
      <c r="M1202" s="151">
        <v>0</v>
      </c>
      <c r="O1202" s="69">
        <f>L1202*F1202*I1202</f>
        <v>3.0793204625486195</v>
      </c>
      <c r="P1202" s="69">
        <f t="shared" ref="P1202" si="286">O1202*H1202</f>
        <v>3.783681684328339</v>
      </c>
      <c r="Q1202" s="69">
        <f>O1202/G1202</f>
        <v>9.2599559178646036</v>
      </c>
    </row>
    <row r="1203" spans="1:17">
      <c r="C1203" s="151" t="s">
        <v>108</v>
      </c>
      <c r="D1203" s="151"/>
      <c r="E1203" s="151">
        <f>'Eurostat Resume'!AF10/'Eurostat Resume'!AF9</f>
        <v>1</v>
      </c>
      <c r="F1203" s="152"/>
      <c r="G1203" s="152"/>
      <c r="H1203" s="152"/>
      <c r="I1203" s="152"/>
      <c r="J1203" s="151"/>
      <c r="K1203" s="151"/>
      <c r="L1203" s="152"/>
      <c r="M1203" s="151"/>
      <c r="O1203" s="69"/>
      <c r="P1203" s="69"/>
      <c r="Q1203" s="69"/>
    </row>
    <row r="1204" spans="1:17">
      <c r="C1204" s="151"/>
      <c r="D1204" s="151" t="s">
        <v>105</v>
      </c>
      <c r="E1204" s="151"/>
      <c r="F1204" s="152"/>
      <c r="G1204" s="152"/>
      <c r="H1204" s="152"/>
      <c r="I1204" s="152"/>
      <c r="J1204" s="151"/>
      <c r="K1204" s="151"/>
      <c r="L1204" s="152"/>
      <c r="M1204" s="151"/>
      <c r="O1204" s="69"/>
      <c r="P1204" s="69"/>
      <c r="Q1204" s="69"/>
    </row>
    <row r="1205" spans="1:17">
      <c r="C1205" s="151"/>
      <c r="D1205" s="151" t="s">
        <v>106</v>
      </c>
      <c r="E1205" s="151"/>
      <c r="F1205" s="152"/>
      <c r="G1205" s="152"/>
      <c r="H1205" s="152"/>
      <c r="I1205" s="152"/>
      <c r="J1205" s="151"/>
      <c r="K1205" s="151"/>
      <c r="L1205" s="152"/>
      <c r="M1205" s="151"/>
      <c r="O1205" s="69"/>
      <c r="P1205" s="69"/>
      <c r="Q1205" s="69"/>
    </row>
    <row r="1206" spans="1:17">
      <c r="C1206" s="151"/>
      <c r="D1206" s="151" t="s">
        <v>378</v>
      </c>
      <c r="E1206" s="151"/>
      <c r="F1206" s="152"/>
      <c r="G1206" s="152"/>
      <c r="H1206" s="152"/>
      <c r="I1206" s="152"/>
      <c r="J1206" s="151"/>
      <c r="K1206" s="151"/>
      <c r="L1206" s="152"/>
      <c r="M1206" s="151"/>
      <c r="O1206" s="69"/>
      <c r="P1206" s="69"/>
      <c r="Q1206" s="69"/>
    </row>
    <row r="1207" spans="1:17">
      <c r="C1207" s="151"/>
      <c r="D1207" s="151" t="s">
        <v>380</v>
      </c>
      <c r="E1207" s="151"/>
      <c r="F1207" s="152"/>
      <c r="G1207" s="152"/>
      <c r="H1207" s="152"/>
      <c r="I1207" s="152"/>
      <c r="J1207" s="151"/>
      <c r="K1207" s="151"/>
      <c r="L1207" s="152"/>
      <c r="M1207" s="151"/>
      <c r="O1207" s="69"/>
      <c r="P1207" s="69"/>
      <c r="Q1207" s="69"/>
    </row>
    <row r="1208" spans="1:17">
      <c r="C1208" s="151"/>
      <c r="D1208" s="151" t="s">
        <v>379</v>
      </c>
      <c r="E1208" s="151"/>
      <c r="F1208" s="152"/>
      <c r="G1208" s="152"/>
      <c r="H1208" s="152"/>
      <c r="I1208" s="152"/>
      <c r="J1208" s="151"/>
      <c r="K1208" s="151"/>
      <c r="L1208" s="152"/>
      <c r="M1208" s="151"/>
      <c r="O1208" s="69"/>
      <c r="P1208" s="69"/>
      <c r="Q1208" s="69"/>
    </row>
    <row r="1209" spans="1:17">
      <c r="C1209" s="151"/>
      <c r="D1209" s="151" t="s">
        <v>381</v>
      </c>
      <c r="E1209" s="151"/>
      <c r="F1209" s="152"/>
      <c r="G1209" s="152"/>
      <c r="H1209" s="152"/>
      <c r="I1209" s="152"/>
      <c r="J1209" s="151"/>
      <c r="K1209" s="151"/>
      <c r="L1209" s="152"/>
      <c r="M1209" s="151"/>
      <c r="O1209" s="69"/>
      <c r="P1209" s="69"/>
      <c r="Q1209" s="69"/>
    </row>
    <row r="1210" spans="1:17">
      <c r="C1210" s="151"/>
      <c r="D1210" s="151" t="s">
        <v>382</v>
      </c>
      <c r="E1210" s="151"/>
      <c r="F1210" s="152"/>
      <c r="G1210" s="152"/>
      <c r="H1210" s="152"/>
      <c r="I1210" s="152"/>
      <c r="J1210" s="151"/>
      <c r="K1210" s="151"/>
      <c r="L1210" s="152"/>
      <c r="M1210" s="151"/>
      <c r="O1210" s="69"/>
      <c r="P1210" s="69"/>
      <c r="Q1210" s="69"/>
    </row>
    <row r="1211" spans="1:17">
      <c r="B1211" s="144" t="str">
        <f>'Autoproducers Calculations'!$C$214</f>
        <v>CHPAUTOGENRFG00</v>
      </c>
      <c r="C1211" s="151" t="s">
        <v>110</v>
      </c>
      <c r="D1211" s="151"/>
      <c r="E1211" s="151"/>
      <c r="F1211" s="152">
        <v>31.536000000000001</v>
      </c>
      <c r="G1211" s="152">
        <f>'Autoproducers Calculations'!AE$209</f>
        <v>0.33254158981555149</v>
      </c>
      <c r="H1211" s="152">
        <f>'Autoproducers Calculations'!AE$207</f>
        <v>1.2287391748752095</v>
      </c>
      <c r="I1211" s="152">
        <f>'Autoproducers Calculations'!AE$206</f>
        <v>0.82690862310043178</v>
      </c>
      <c r="J1211" s="151">
        <v>20</v>
      </c>
      <c r="K1211" s="151">
        <v>1</v>
      </c>
      <c r="L1211" s="152">
        <f>'Autoproducers Calculations'!AE$217</f>
        <v>0</v>
      </c>
      <c r="M1211" s="151">
        <v>0</v>
      </c>
      <c r="O1211" s="69">
        <f t="shared" ref="O1211" si="287">L1211*F1211*I1211</f>
        <v>0</v>
      </c>
      <c r="P1211" s="69">
        <f t="shared" ref="P1211" si="288">O1211*H1211</f>
        <v>0</v>
      </c>
      <c r="Q1211" s="69">
        <f>O1211/G1211</f>
        <v>0</v>
      </c>
    </row>
    <row r="1212" spans="1:17">
      <c r="C1212" s="151"/>
      <c r="D1212" s="151" t="s">
        <v>105</v>
      </c>
      <c r="E1212" s="151"/>
      <c r="F1212" s="152"/>
      <c r="G1212" s="152"/>
      <c r="H1212" s="152"/>
      <c r="I1212" s="152"/>
      <c r="J1212" s="151"/>
      <c r="K1212" s="151"/>
      <c r="L1212" s="152"/>
      <c r="M1212" s="151"/>
      <c r="O1212" s="69"/>
      <c r="P1212" s="69"/>
      <c r="Q1212" s="69"/>
    </row>
    <row r="1213" spans="1:17">
      <c r="C1213" s="151"/>
      <c r="D1213" s="151" t="s">
        <v>106</v>
      </c>
      <c r="E1213" s="151"/>
      <c r="F1213" s="152"/>
      <c r="G1213" s="152"/>
      <c r="H1213" s="152"/>
      <c r="I1213" s="152"/>
      <c r="J1213" s="151"/>
      <c r="K1213" s="151"/>
      <c r="L1213" s="152"/>
      <c r="M1213" s="151"/>
      <c r="O1213" s="69"/>
      <c r="P1213" s="69"/>
      <c r="Q1213" s="69"/>
    </row>
    <row r="1214" spans="1:17">
      <c r="C1214" s="151"/>
      <c r="D1214" s="151" t="s">
        <v>1342</v>
      </c>
      <c r="E1214" s="151"/>
      <c r="F1214" s="152"/>
      <c r="G1214" s="152"/>
      <c r="H1214" s="152"/>
      <c r="I1214" s="152"/>
      <c r="J1214" s="151"/>
      <c r="K1214" s="151"/>
      <c r="L1214" s="152"/>
      <c r="M1214" s="151"/>
      <c r="O1214" s="69"/>
      <c r="P1214" s="69"/>
      <c r="Q1214" s="69"/>
    </row>
    <row r="1215" spans="1:17">
      <c r="C1215" s="151"/>
      <c r="D1215" s="151" t="s">
        <v>380</v>
      </c>
      <c r="E1215" s="151"/>
      <c r="F1215" s="152"/>
      <c r="G1215" s="152"/>
      <c r="H1215" s="152"/>
      <c r="I1215" s="152"/>
      <c r="J1215" s="151"/>
      <c r="K1215" s="151"/>
      <c r="L1215" s="152"/>
      <c r="M1215" s="151"/>
      <c r="O1215" s="69"/>
      <c r="P1215" s="69"/>
      <c r="Q1215" s="69"/>
    </row>
    <row r="1216" spans="1:17">
      <c r="C1216" s="151"/>
      <c r="D1216" s="151" t="s">
        <v>379</v>
      </c>
      <c r="E1216" s="151"/>
      <c r="F1216" s="152"/>
      <c r="G1216" s="152"/>
      <c r="H1216" s="152"/>
      <c r="I1216" s="152"/>
      <c r="J1216" s="151"/>
      <c r="K1216" s="151"/>
      <c r="L1216" s="152"/>
      <c r="M1216" s="151"/>
      <c r="O1216" s="69"/>
      <c r="P1216" s="69"/>
      <c r="Q1216" s="69"/>
    </row>
    <row r="1217" spans="2:17">
      <c r="B1217" s="144" t="str">
        <f>'Autoproducers Calculations'!$C$223</f>
        <v>CHPAUTOGENOIL00</v>
      </c>
      <c r="C1217" s="151" t="s">
        <v>111</v>
      </c>
      <c r="D1217" s="151"/>
      <c r="E1217" s="151">
        <f>'Eurostat Resume'!AF13/'Eurostat Resume'!AF11</f>
        <v>0.88670743482458969</v>
      </c>
      <c r="F1217" s="152">
        <v>31.536000000000001</v>
      </c>
      <c r="G1217" s="152">
        <f>'Autoproducers Calculations'!AE$209</f>
        <v>0.33254158981555149</v>
      </c>
      <c r="H1217" s="152">
        <f>'Autoproducers Calculations'!AE$207</f>
        <v>1.2287391748752095</v>
      </c>
      <c r="I1217" s="152">
        <f>'Autoproducers Calculations'!AE$206</f>
        <v>0.82690862310043178</v>
      </c>
      <c r="J1217" s="151">
        <v>20</v>
      </c>
      <c r="K1217" s="151">
        <v>1</v>
      </c>
      <c r="L1217" s="152">
        <f>'Autoproducers Calculations'!AE$226</f>
        <v>0.20266253250798355</v>
      </c>
      <c r="M1217" s="151">
        <v>0</v>
      </c>
      <c r="O1217" s="69">
        <f t="shared" ref="O1217" si="289">L1217*F1217*I1217</f>
        <v>5.2849099671175983</v>
      </c>
      <c r="P1217" s="69">
        <f t="shared" ref="P1217" si="290">O1217*H1217</f>
        <v>6.4937759122858481</v>
      </c>
      <c r="Q1217" s="69">
        <f>O1217/G1217</f>
        <v>15.892478201144531</v>
      </c>
    </row>
    <row r="1218" spans="2:17">
      <c r="C1218" s="151" t="s">
        <v>112</v>
      </c>
      <c r="D1218" s="151"/>
      <c r="E1218" s="151"/>
      <c r="F1218" s="152"/>
      <c r="G1218" s="152"/>
      <c r="H1218" s="152"/>
      <c r="I1218" s="152"/>
      <c r="J1218" s="151"/>
      <c r="K1218" s="151"/>
      <c r="L1218" s="152"/>
      <c r="M1218" s="151"/>
      <c r="O1218" s="69"/>
      <c r="P1218" s="69"/>
      <c r="Q1218" s="69"/>
    </row>
    <row r="1219" spans="2:17">
      <c r="C1219" s="151"/>
      <c r="D1219" s="151" t="s">
        <v>105</v>
      </c>
      <c r="E1219" s="151"/>
      <c r="F1219" s="152"/>
      <c r="G1219" s="152"/>
      <c r="H1219" s="152"/>
      <c r="I1219" s="152"/>
      <c r="J1219" s="151"/>
      <c r="K1219" s="151"/>
      <c r="L1219" s="152"/>
      <c r="M1219" s="151"/>
      <c r="O1219" s="69"/>
      <c r="P1219" s="69"/>
      <c r="Q1219" s="69"/>
    </row>
    <row r="1220" spans="2:17">
      <c r="C1220" s="151"/>
      <c r="D1220" s="151" t="s">
        <v>106</v>
      </c>
      <c r="E1220" s="151"/>
      <c r="F1220" s="152"/>
      <c r="G1220" s="152"/>
      <c r="H1220" s="152"/>
      <c r="I1220" s="152"/>
      <c r="J1220" s="151"/>
      <c r="K1220" s="151"/>
      <c r="L1220" s="152"/>
      <c r="M1220" s="151"/>
      <c r="O1220" s="69"/>
      <c r="P1220" s="69"/>
      <c r="Q1220" s="69"/>
    </row>
    <row r="1221" spans="2:17">
      <c r="C1221" s="151"/>
      <c r="D1221" s="151" t="s">
        <v>380</v>
      </c>
      <c r="E1221" s="151"/>
      <c r="F1221" s="152"/>
      <c r="G1221" s="152"/>
      <c r="H1221" s="152"/>
      <c r="I1221" s="152"/>
      <c r="J1221" s="151"/>
      <c r="K1221" s="151"/>
      <c r="L1221" s="152"/>
      <c r="M1221" s="151"/>
      <c r="O1221" s="69"/>
      <c r="P1221" s="69"/>
      <c r="Q1221" s="69"/>
    </row>
    <row r="1222" spans="2:17">
      <c r="C1222" s="151"/>
      <c r="D1222" s="151" t="s">
        <v>379</v>
      </c>
      <c r="E1222" s="151"/>
      <c r="F1222" s="152"/>
      <c r="G1222" s="152"/>
      <c r="H1222" s="152"/>
      <c r="I1222" s="152"/>
      <c r="J1222" s="151"/>
      <c r="K1222" s="151"/>
      <c r="L1222" s="152"/>
      <c r="M1222" s="151"/>
      <c r="O1222" s="69"/>
      <c r="P1222" s="69"/>
      <c r="Q1222" s="69"/>
    </row>
    <row r="1223" spans="2:17">
      <c r="C1223" s="151"/>
      <c r="D1223" s="151" t="s">
        <v>1342</v>
      </c>
      <c r="E1223" s="151"/>
      <c r="F1223" s="152"/>
      <c r="G1223" s="152"/>
      <c r="H1223" s="152"/>
      <c r="I1223" s="152"/>
      <c r="J1223" s="151"/>
      <c r="K1223" s="151"/>
      <c r="L1223" s="152"/>
      <c r="M1223" s="151"/>
      <c r="O1223" s="69"/>
      <c r="P1223" s="69"/>
      <c r="Q1223" s="69"/>
    </row>
    <row r="1224" spans="2:17">
      <c r="C1224" s="151"/>
      <c r="D1224" s="151" t="s">
        <v>382</v>
      </c>
      <c r="E1224" s="151"/>
      <c r="F1224" s="152"/>
      <c r="G1224" s="152"/>
      <c r="H1224" s="152"/>
      <c r="I1224" s="152"/>
      <c r="J1224" s="151"/>
      <c r="K1224" s="151"/>
      <c r="L1224" s="152"/>
      <c r="M1224" s="151"/>
      <c r="O1224" s="69"/>
      <c r="P1224" s="69"/>
      <c r="Q1224" s="69"/>
    </row>
    <row r="1225" spans="2:17">
      <c r="B1225" s="144" t="str">
        <f>'Autoproducers Calculations'!$C$232</f>
        <v>CHPAUTOGENGAS00</v>
      </c>
      <c r="C1225" s="151" t="s">
        <v>113</v>
      </c>
      <c r="D1225" s="151"/>
      <c r="E1225" s="151"/>
      <c r="F1225" s="152">
        <v>31.536000000000001</v>
      </c>
      <c r="G1225" s="152">
        <f>'Autoproducers Calculations'!AE$209</f>
        <v>0.33254158981555149</v>
      </c>
      <c r="H1225" s="152">
        <f>'Autoproducers Calculations'!AE$207</f>
        <v>1.2287391748752095</v>
      </c>
      <c r="I1225" s="152">
        <f>'Autoproducers Calculations'!AE$206</f>
        <v>0.82690862310043178</v>
      </c>
      <c r="J1225" s="151">
        <v>20</v>
      </c>
      <c r="K1225" s="151">
        <v>1</v>
      </c>
      <c r="L1225" s="152">
        <f>'Autoproducers Calculations'!AE$235</f>
        <v>3.3924285977495061</v>
      </c>
      <c r="M1225" s="151">
        <v>0</v>
      </c>
      <c r="O1225" s="69">
        <f t="shared" ref="O1225" si="291">L1225*F1225*I1225</f>
        <v>88.46568473763088</v>
      </c>
      <c r="P1225" s="69">
        <f t="shared" ref="P1225" si="292">O1225*H1225</f>
        <v>108.70125246928698</v>
      </c>
      <c r="Q1225" s="69">
        <f>O1225/G1225</f>
        <v>266.02893426563435</v>
      </c>
    </row>
    <row r="1226" spans="2:17">
      <c r="C1226" s="151"/>
      <c r="D1226" s="151" t="s">
        <v>105</v>
      </c>
      <c r="E1226" s="151"/>
      <c r="F1226" s="152"/>
      <c r="G1226" s="152"/>
      <c r="H1226" s="152"/>
      <c r="I1226" s="152"/>
      <c r="J1226" s="151"/>
      <c r="K1226" s="151"/>
      <c r="L1226" s="152"/>
      <c r="M1226" s="151"/>
      <c r="O1226" s="69"/>
      <c r="P1226" s="69"/>
      <c r="Q1226" s="69"/>
    </row>
    <row r="1227" spans="2:17">
      <c r="C1227" s="151"/>
      <c r="D1227" s="151" t="s">
        <v>106</v>
      </c>
      <c r="E1227" s="151"/>
      <c r="F1227" s="152"/>
      <c r="G1227" s="152"/>
      <c r="H1227" s="152"/>
      <c r="I1227" s="152"/>
      <c r="J1227" s="151"/>
      <c r="K1227" s="151"/>
      <c r="L1227" s="152"/>
      <c r="M1227" s="151"/>
      <c r="O1227" s="69"/>
      <c r="P1227" s="69"/>
      <c r="Q1227" s="69"/>
    </row>
    <row r="1228" spans="2:17">
      <c r="C1228" s="151"/>
      <c r="D1228" s="151" t="s">
        <v>1342</v>
      </c>
      <c r="E1228" s="151"/>
      <c r="F1228" s="152"/>
      <c r="G1228" s="152"/>
      <c r="H1228" s="152"/>
      <c r="I1228" s="152"/>
      <c r="J1228" s="151"/>
      <c r="K1228" s="151"/>
      <c r="L1228" s="152"/>
      <c r="M1228" s="151"/>
      <c r="O1228" s="69"/>
      <c r="P1228" s="69"/>
      <c r="Q1228" s="69"/>
    </row>
    <row r="1229" spans="2:17">
      <c r="C1229" s="151"/>
      <c r="D1229" s="151" t="s">
        <v>378</v>
      </c>
      <c r="E1229" s="151"/>
      <c r="F1229" s="152"/>
      <c r="G1229" s="152"/>
      <c r="H1229" s="152"/>
      <c r="I1229" s="152"/>
      <c r="J1229" s="151"/>
      <c r="K1229" s="151"/>
      <c r="L1229" s="152"/>
      <c r="M1229" s="151"/>
      <c r="O1229" s="69"/>
      <c r="P1229" s="69"/>
      <c r="Q1229" s="69"/>
    </row>
    <row r="1230" spans="2:17">
      <c r="C1230" s="151"/>
      <c r="D1230" s="151" t="s">
        <v>421</v>
      </c>
      <c r="E1230" s="151"/>
      <c r="F1230" s="152"/>
      <c r="G1230" s="152"/>
      <c r="H1230" s="152"/>
      <c r="I1230" s="152"/>
      <c r="J1230" s="151"/>
      <c r="K1230" s="151"/>
      <c r="L1230" s="152"/>
      <c r="M1230" s="151"/>
      <c r="O1230" s="69"/>
      <c r="P1230" s="69"/>
      <c r="Q1230" s="69"/>
    </row>
    <row r="1231" spans="2:17">
      <c r="C1231" s="151"/>
      <c r="D1231" s="151" t="s">
        <v>380</v>
      </c>
      <c r="E1231" s="151"/>
      <c r="F1231" s="152"/>
      <c r="G1231" s="152"/>
      <c r="H1231" s="152"/>
      <c r="I1231" s="152"/>
      <c r="J1231" s="151"/>
      <c r="K1231" s="151"/>
      <c r="L1231" s="152"/>
      <c r="M1231" s="151"/>
      <c r="O1231" s="69"/>
      <c r="P1231" s="69"/>
      <c r="Q1231" s="69"/>
    </row>
    <row r="1232" spans="2:17">
      <c r="C1232" s="151"/>
      <c r="D1232" s="151" t="s">
        <v>379</v>
      </c>
      <c r="E1232" s="151"/>
      <c r="F1232" s="152"/>
      <c r="G1232" s="152"/>
      <c r="H1232" s="152"/>
      <c r="I1232" s="152"/>
      <c r="J1232" s="151"/>
      <c r="K1232" s="151"/>
      <c r="L1232" s="152"/>
      <c r="M1232" s="151"/>
      <c r="O1232" s="69"/>
      <c r="P1232" s="69"/>
      <c r="Q1232" s="69"/>
    </row>
    <row r="1233" spans="1:17">
      <c r="C1233" s="151"/>
      <c r="D1233" s="151" t="s">
        <v>381</v>
      </c>
      <c r="E1233" s="151"/>
      <c r="F1233" s="152"/>
      <c r="G1233" s="152"/>
      <c r="H1233" s="152"/>
      <c r="I1233" s="152"/>
      <c r="J1233" s="151"/>
      <c r="K1233" s="151"/>
      <c r="L1233" s="152"/>
      <c r="M1233" s="151"/>
      <c r="O1233" s="69"/>
      <c r="P1233" s="69"/>
      <c r="Q1233" s="69"/>
    </row>
    <row r="1234" spans="1:17">
      <c r="C1234" s="151"/>
      <c r="D1234" s="151" t="s">
        <v>382</v>
      </c>
      <c r="E1234" s="151"/>
      <c r="F1234" s="152"/>
      <c r="G1234" s="152"/>
      <c r="H1234" s="152"/>
      <c r="I1234" s="152"/>
      <c r="J1234" s="151"/>
      <c r="K1234" s="151"/>
      <c r="L1234" s="152"/>
      <c r="M1234" s="151"/>
      <c r="O1234" s="69"/>
      <c r="P1234" s="69"/>
      <c r="Q1234" s="69"/>
    </row>
    <row r="1235" spans="1:17">
      <c r="B1235" s="144" t="str">
        <f>'Autoproducers Calculations'!$C$241</f>
        <v>CHPAUTOGENBIO00</v>
      </c>
      <c r="C1235" s="151" t="s">
        <v>116</v>
      </c>
      <c r="D1235" s="151"/>
      <c r="E1235" s="151"/>
      <c r="F1235" s="152">
        <v>31.536000000000001</v>
      </c>
      <c r="G1235" s="152">
        <f>'Autoproducers Calculations'!AE$209</f>
        <v>0.33254158981555149</v>
      </c>
      <c r="H1235" s="152">
        <f>'Autoproducers Calculations'!AE$207</f>
        <v>1.2287391748752095</v>
      </c>
      <c r="I1235" s="152">
        <f>'Autoproducers Calculations'!AE$206</f>
        <v>0.82690862310043178</v>
      </c>
      <c r="J1235" s="151">
        <v>20</v>
      </c>
      <c r="K1235" s="151">
        <v>1</v>
      </c>
      <c r="L1235" s="152">
        <f>'Autoproducers Calculations'!AE$244</f>
        <v>0</v>
      </c>
      <c r="M1235" s="151">
        <v>0</v>
      </c>
      <c r="O1235" s="69">
        <f t="shared" ref="O1235" si="293">L1235*F1235*I1235</f>
        <v>0</v>
      </c>
      <c r="P1235" s="69">
        <f t="shared" ref="P1235" si="294">O1235*H1235</f>
        <v>0</v>
      </c>
      <c r="Q1235" s="69">
        <f>O1235/G1235</f>
        <v>0</v>
      </c>
    </row>
    <row r="1236" spans="1:17">
      <c r="C1236" s="151"/>
      <c r="D1236" s="151" t="s">
        <v>105</v>
      </c>
      <c r="E1236" s="151"/>
      <c r="F1236" s="152"/>
      <c r="G1236" s="152"/>
      <c r="H1236" s="152"/>
      <c r="I1236" s="152"/>
      <c r="J1236" s="151"/>
      <c r="K1236" s="151"/>
      <c r="L1236" s="152"/>
      <c r="M1236" s="151"/>
      <c r="O1236" s="69"/>
      <c r="P1236" s="69"/>
      <c r="Q1236" s="69"/>
    </row>
    <row r="1237" spans="1:17">
      <c r="C1237" s="151"/>
      <c r="D1237" s="151" t="s">
        <v>106</v>
      </c>
      <c r="E1237" s="151"/>
      <c r="F1237" s="152"/>
      <c r="G1237" s="152"/>
      <c r="H1237" s="152"/>
      <c r="I1237" s="152"/>
      <c r="J1237" s="151"/>
      <c r="K1237" s="151"/>
      <c r="L1237" s="152"/>
      <c r="M1237" s="151"/>
      <c r="O1237" s="69"/>
      <c r="P1237" s="69"/>
      <c r="Q1237" s="69"/>
    </row>
    <row r="1238" spans="1:17">
      <c r="C1238" s="151"/>
      <c r="D1238" s="151" t="s">
        <v>380</v>
      </c>
      <c r="E1238" s="151"/>
      <c r="F1238" s="152"/>
      <c r="G1238" s="152"/>
      <c r="H1238" s="152"/>
      <c r="I1238" s="152"/>
      <c r="J1238" s="151"/>
      <c r="K1238" s="151"/>
      <c r="L1238" s="151"/>
      <c r="M1238" s="151"/>
      <c r="O1238" s="69"/>
      <c r="P1238" s="69"/>
      <c r="Q1238" s="69"/>
    </row>
    <row r="1239" spans="1:17">
      <c r="C1239" s="151"/>
      <c r="D1239" s="151" t="s">
        <v>379</v>
      </c>
      <c r="E1239" s="151"/>
      <c r="F1239" s="152"/>
      <c r="G1239" s="152"/>
      <c r="H1239" s="152"/>
      <c r="I1239" s="152"/>
      <c r="J1239" s="151"/>
      <c r="K1239" s="151"/>
      <c r="L1239" s="151"/>
      <c r="M1239" s="151"/>
      <c r="O1239" s="69"/>
      <c r="P1239" s="69"/>
      <c r="Q1239" s="69"/>
    </row>
    <row r="1240" spans="1:17">
      <c r="C1240" s="151"/>
      <c r="D1240" s="151" t="s">
        <v>381</v>
      </c>
      <c r="E1240" s="151"/>
      <c r="F1240" s="152"/>
      <c r="G1240" s="152"/>
      <c r="H1240" s="152"/>
      <c r="I1240" s="152"/>
      <c r="J1240" s="151"/>
      <c r="K1240" s="151"/>
      <c r="L1240" s="151"/>
      <c r="M1240" s="151"/>
      <c r="O1240" s="69"/>
      <c r="P1240" s="69"/>
      <c r="Q1240" s="69"/>
    </row>
    <row r="1241" spans="1:17">
      <c r="C1241" s="151"/>
      <c r="D1241" s="151" t="s">
        <v>382</v>
      </c>
      <c r="E1241" s="151"/>
      <c r="F1241" s="152"/>
      <c r="G1241" s="152"/>
      <c r="H1241" s="152"/>
      <c r="I1241" s="152"/>
      <c r="J1241" s="151"/>
      <c r="K1241" s="151"/>
      <c r="L1241" s="151"/>
      <c r="M1241" s="151"/>
      <c r="O1241" s="69"/>
      <c r="P1241" s="69"/>
      <c r="Q1241" s="69"/>
    </row>
    <row r="1242" spans="1:17">
      <c r="B1242" s="144" t="str">
        <f>'Autoproducers Calculations'!$C$250</f>
        <v>CHPAUTOGENWASTE00</v>
      </c>
      <c r="C1242" s="151" t="s">
        <v>117</v>
      </c>
      <c r="D1242" s="151"/>
      <c r="E1242" s="151"/>
      <c r="F1242" s="152">
        <v>31.536000000000001</v>
      </c>
      <c r="G1242" s="152">
        <f>'Autoproducers Calculations'!AE$209</f>
        <v>0.33254158981555149</v>
      </c>
      <c r="H1242" s="152">
        <f>'Autoproducers Calculations'!AE$207</f>
        <v>1.2287391748752095</v>
      </c>
      <c r="I1242" s="152">
        <f>'Autoproducers Calculations'!AE$206</f>
        <v>0.82690862310043178</v>
      </c>
      <c r="J1242" s="151">
        <v>20</v>
      </c>
      <c r="K1242" s="151">
        <v>1</v>
      </c>
      <c r="L1242" s="152">
        <f>'Autoproducers Calculations'!AE$253</f>
        <v>4.2784950200523551E-2</v>
      </c>
      <c r="M1242" s="151">
        <v>0</v>
      </c>
      <c r="O1242" s="69">
        <f t="shared" ref="O1242" si="295">L1242*F1242*I1242</f>
        <v>1.115719846975018</v>
      </c>
      <c r="P1242" s="69">
        <f t="shared" ref="P1242" si="296">O1242*H1242</f>
        <v>1.3709286841639785</v>
      </c>
      <c r="Q1242" s="69">
        <f>O1242/G1242</f>
        <v>3.3551287452311351</v>
      </c>
    </row>
    <row r="1243" spans="1:17">
      <c r="C1243" s="151" t="s">
        <v>118</v>
      </c>
      <c r="D1243" s="151"/>
      <c r="E1243" s="151"/>
      <c r="F1243" s="152"/>
      <c r="G1243" s="152"/>
      <c r="H1243" s="152"/>
      <c r="I1243" s="152"/>
      <c r="J1243" s="151"/>
      <c r="K1243" s="151"/>
      <c r="L1243" s="151"/>
      <c r="M1243" s="151"/>
      <c r="O1243" s="69"/>
      <c r="P1243" s="69"/>
      <c r="Q1243" s="69"/>
    </row>
    <row r="1244" spans="1:17">
      <c r="C1244" s="151"/>
      <c r="D1244" s="151" t="s">
        <v>105</v>
      </c>
      <c r="E1244" s="151"/>
      <c r="F1244" s="152"/>
      <c r="G1244" s="152"/>
      <c r="H1244" s="152"/>
      <c r="I1244" s="152"/>
      <c r="J1244" s="151"/>
      <c r="K1244" s="151"/>
      <c r="L1244" s="151"/>
      <c r="M1244" s="151"/>
      <c r="O1244" s="719">
        <f>SUM(O1202:O1242)</f>
        <v>97.945635014272113</v>
      </c>
      <c r="P1244" s="719">
        <f>SUM(P1202:P1242)</f>
        <v>120.34963875006515</v>
      </c>
      <c r="Q1244" s="719">
        <f>SUM(Q1202:Q1242)</f>
        <v>294.53649712987459</v>
      </c>
    </row>
    <row r="1245" spans="1:17">
      <c r="C1245" s="151"/>
      <c r="D1245" s="151" t="s">
        <v>106</v>
      </c>
      <c r="E1245" s="151"/>
      <c r="F1245" s="152"/>
      <c r="G1245" s="152"/>
      <c r="H1245" s="152"/>
      <c r="I1245" s="152"/>
      <c r="J1245" s="151"/>
      <c r="K1245" s="151"/>
      <c r="L1245" s="151"/>
      <c r="M1245" s="151"/>
    </row>
    <row r="1246" spans="1:17">
      <c r="C1246" s="151"/>
      <c r="D1246" s="151" t="s">
        <v>381</v>
      </c>
      <c r="E1246" s="151"/>
      <c r="F1246" s="152"/>
      <c r="G1246" s="152"/>
      <c r="H1246" s="152"/>
      <c r="I1246" s="152"/>
      <c r="J1246" s="151"/>
      <c r="K1246" s="151"/>
      <c r="L1246" s="151"/>
      <c r="M1246" s="151"/>
    </row>
    <row r="1247" spans="1:17">
      <c r="C1247" s="151"/>
      <c r="D1247" s="151" t="s">
        <v>382</v>
      </c>
      <c r="E1247" s="151"/>
      <c r="F1247" s="151"/>
      <c r="G1247" s="151"/>
      <c r="H1247" s="151"/>
      <c r="I1247" s="151"/>
      <c r="J1247" s="151"/>
      <c r="K1247" s="151"/>
      <c r="L1247" s="151"/>
      <c r="M1247" s="151"/>
      <c r="O1247" s="677" t="s">
        <v>390</v>
      </c>
      <c r="P1247" s="677" t="s">
        <v>406</v>
      </c>
      <c r="Q1247" s="677" t="s">
        <v>1304</v>
      </c>
    </row>
    <row r="1248" spans="1:17">
      <c r="A1248" s="64" t="s">
        <v>81</v>
      </c>
      <c r="B1248" s="144" t="str">
        <f>'Autoproducers Calculations'!$C$205</f>
        <v>CHPAUTOGENSOLID00</v>
      </c>
      <c r="C1248" s="151" t="s">
        <v>107</v>
      </c>
      <c r="D1248" s="151"/>
      <c r="E1248" s="151"/>
      <c r="F1248" s="152">
        <v>31.536000000000001</v>
      </c>
      <c r="G1248" s="152">
        <f>'Autoproducers Calculations'!AF$209</f>
        <v>0.13667590655054926</v>
      </c>
      <c r="H1248" s="152">
        <f>'Autoproducers Calculations'!AF$207</f>
        <v>3.4553853922908568</v>
      </c>
      <c r="I1248" s="152">
        <f>'Autoproducers Calculations'!AF$206</f>
        <v>0.9</v>
      </c>
      <c r="J1248" s="151">
        <v>20</v>
      </c>
      <c r="K1248" s="151">
        <v>1</v>
      </c>
      <c r="L1248" s="152">
        <f>'Autoproducers Calculations'!AF$208</f>
        <v>0</v>
      </c>
      <c r="M1248" s="151">
        <v>0</v>
      </c>
      <c r="O1248" s="69">
        <f>L1248*F1248*I1248</f>
        <v>0</v>
      </c>
      <c r="P1248" s="69">
        <f t="shared" ref="P1248" si="297">O1248*H1248</f>
        <v>0</v>
      </c>
      <c r="Q1248" s="69">
        <f>O1248/G1248</f>
        <v>0</v>
      </c>
    </row>
    <row r="1249" spans="2:17">
      <c r="C1249" s="151" t="s">
        <v>108</v>
      </c>
      <c r="D1249" s="151"/>
      <c r="E1249" s="152">
        <f>'Eurostat Resume'!AG10</f>
        <v>0</v>
      </c>
      <c r="F1249" s="152"/>
      <c r="G1249" s="152"/>
      <c r="H1249" s="152"/>
      <c r="I1249" s="152"/>
      <c r="J1249" s="151"/>
      <c r="K1249" s="151"/>
      <c r="L1249" s="152"/>
      <c r="M1249" s="151"/>
      <c r="O1249" s="69"/>
      <c r="P1249" s="69"/>
      <c r="Q1249" s="69"/>
    </row>
    <row r="1250" spans="2:17">
      <c r="C1250" s="151"/>
      <c r="D1250" s="151" t="s">
        <v>105</v>
      </c>
      <c r="E1250" s="151"/>
      <c r="F1250" s="152"/>
      <c r="G1250" s="152"/>
      <c r="H1250" s="152"/>
      <c r="I1250" s="152"/>
      <c r="J1250" s="151"/>
      <c r="K1250" s="151"/>
      <c r="L1250" s="152"/>
      <c r="M1250" s="151"/>
      <c r="O1250" s="69"/>
      <c r="P1250" s="69"/>
      <c r="Q1250" s="69"/>
    </row>
    <row r="1251" spans="2:17">
      <c r="C1251" s="151"/>
      <c r="D1251" s="151" t="s">
        <v>106</v>
      </c>
      <c r="E1251" s="151"/>
      <c r="F1251" s="152"/>
      <c r="G1251" s="152"/>
      <c r="H1251" s="152"/>
      <c r="I1251" s="152"/>
      <c r="J1251" s="151"/>
      <c r="K1251" s="151"/>
      <c r="L1251" s="152"/>
      <c r="M1251" s="151"/>
      <c r="O1251" s="69"/>
      <c r="P1251" s="69"/>
      <c r="Q1251" s="69"/>
    </row>
    <row r="1252" spans="2:17">
      <c r="C1252" s="151"/>
      <c r="D1252" s="151" t="s">
        <v>378</v>
      </c>
      <c r="E1252" s="151"/>
      <c r="F1252" s="152"/>
      <c r="G1252" s="152"/>
      <c r="H1252" s="152"/>
      <c r="I1252" s="152"/>
      <c r="J1252" s="151"/>
      <c r="K1252" s="151"/>
      <c r="L1252" s="152"/>
      <c r="M1252" s="151"/>
      <c r="O1252" s="69"/>
      <c r="P1252" s="69"/>
      <c r="Q1252" s="69"/>
    </row>
    <row r="1253" spans="2:17">
      <c r="C1253" s="151"/>
      <c r="D1253" s="151" t="s">
        <v>380</v>
      </c>
      <c r="E1253" s="151"/>
      <c r="F1253" s="152"/>
      <c r="G1253" s="152"/>
      <c r="H1253" s="152"/>
      <c r="I1253" s="152"/>
      <c r="J1253" s="151"/>
      <c r="K1253" s="151"/>
      <c r="L1253" s="152"/>
      <c r="M1253" s="151"/>
      <c r="O1253" s="69"/>
      <c r="P1253" s="69"/>
      <c r="Q1253" s="69"/>
    </row>
    <row r="1254" spans="2:17">
      <c r="C1254" s="151"/>
      <c r="D1254" s="151" t="s">
        <v>379</v>
      </c>
      <c r="E1254" s="151"/>
      <c r="F1254" s="152"/>
      <c r="G1254" s="152"/>
      <c r="H1254" s="152"/>
      <c r="I1254" s="152"/>
      <c r="J1254" s="151"/>
      <c r="K1254" s="151"/>
      <c r="L1254" s="152"/>
      <c r="M1254" s="151"/>
      <c r="O1254" s="69"/>
      <c r="P1254" s="69"/>
      <c r="Q1254" s="69"/>
    </row>
    <row r="1255" spans="2:17">
      <c r="C1255" s="151"/>
      <c r="D1255" s="151" t="s">
        <v>381</v>
      </c>
      <c r="E1255" s="151"/>
      <c r="F1255" s="152"/>
      <c r="G1255" s="152"/>
      <c r="H1255" s="152"/>
      <c r="I1255" s="152"/>
      <c r="J1255" s="151"/>
      <c r="K1255" s="151"/>
      <c r="L1255" s="152"/>
      <c r="M1255" s="151"/>
      <c r="O1255" s="69"/>
      <c r="P1255" s="69"/>
      <c r="Q1255" s="69"/>
    </row>
    <row r="1256" spans="2:17">
      <c r="C1256" s="151"/>
      <c r="D1256" s="151" t="s">
        <v>382</v>
      </c>
      <c r="E1256" s="151"/>
      <c r="F1256" s="152"/>
      <c r="G1256" s="152"/>
      <c r="H1256" s="152"/>
      <c r="I1256" s="152"/>
      <c r="J1256" s="151"/>
      <c r="K1256" s="151"/>
      <c r="L1256" s="152"/>
      <c r="M1256" s="151"/>
      <c r="O1256" s="69"/>
      <c r="P1256" s="69"/>
      <c r="Q1256" s="69"/>
    </row>
    <row r="1257" spans="2:17">
      <c r="B1257" s="144" t="str">
        <f>'Autoproducers Calculations'!$C$214</f>
        <v>CHPAUTOGENRFG00</v>
      </c>
      <c r="C1257" s="151" t="s">
        <v>110</v>
      </c>
      <c r="D1257" s="151"/>
      <c r="E1257" s="151"/>
      <c r="F1257" s="152">
        <v>31.536000000000001</v>
      </c>
      <c r="G1257" s="152">
        <f>'Autoproducers Calculations'!AF$209</f>
        <v>0.13667590655054926</v>
      </c>
      <c r="H1257" s="152">
        <f>'Autoproducers Calculations'!AF$207</f>
        <v>3.4553853922908568</v>
      </c>
      <c r="I1257" s="152">
        <f>'Autoproducers Calculations'!AF$206</f>
        <v>0.9</v>
      </c>
      <c r="J1257" s="151">
        <v>20</v>
      </c>
      <c r="K1257" s="151">
        <v>1</v>
      </c>
      <c r="L1257" s="152">
        <f>'Autoproducers Calculations'!AF$217</f>
        <v>2.2023129348010918E-2</v>
      </c>
      <c r="M1257" s="151">
        <v>0</v>
      </c>
      <c r="O1257" s="69">
        <f t="shared" ref="O1257" si="298">L1257*F1257*I1257</f>
        <v>0.62506926640698512</v>
      </c>
      <c r="P1257" s="69">
        <f t="shared" ref="P1257" si="299">O1257*H1257</f>
        <v>2.1598552123126584</v>
      </c>
      <c r="Q1257" s="69">
        <f>O1257/G1257</f>
        <v>4.5733683586419431</v>
      </c>
    </row>
    <row r="1258" spans="2:17">
      <c r="C1258" s="151"/>
      <c r="D1258" s="151" t="s">
        <v>105</v>
      </c>
      <c r="E1258" s="151"/>
      <c r="F1258" s="152"/>
      <c r="G1258" s="152"/>
      <c r="H1258" s="152"/>
      <c r="I1258" s="152"/>
      <c r="J1258" s="151"/>
      <c r="K1258" s="151"/>
      <c r="L1258" s="152"/>
      <c r="M1258" s="151"/>
      <c r="O1258" s="69"/>
      <c r="P1258" s="69"/>
      <c r="Q1258" s="69"/>
    </row>
    <row r="1259" spans="2:17">
      <c r="C1259" s="151"/>
      <c r="D1259" s="151" t="s">
        <v>106</v>
      </c>
      <c r="E1259" s="151"/>
      <c r="F1259" s="152"/>
      <c r="G1259" s="152"/>
      <c r="H1259" s="152"/>
      <c r="I1259" s="152"/>
      <c r="J1259" s="151"/>
      <c r="K1259" s="151"/>
      <c r="L1259" s="152"/>
      <c r="M1259" s="151"/>
      <c r="O1259" s="69"/>
      <c r="P1259" s="69"/>
      <c r="Q1259" s="69"/>
    </row>
    <row r="1260" spans="2:17">
      <c r="C1260" s="151"/>
      <c r="D1260" s="151" t="s">
        <v>1342</v>
      </c>
      <c r="E1260" s="151"/>
      <c r="F1260" s="152"/>
      <c r="G1260" s="152"/>
      <c r="H1260" s="152"/>
      <c r="I1260" s="152"/>
      <c r="J1260" s="151"/>
      <c r="K1260" s="151"/>
      <c r="L1260" s="152"/>
      <c r="M1260" s="151"/>
      <c r="O1260" s="69"/>
      <c r="P1260" s="69"/>
      <c r="Q1260" s="69"/>
    </row>
    <row r="1261" spans="2:17">
      <c r="C1261" s="151"/>
      <c r="D1261" s="151" t="s">
        <v>380</v>
      </c>
      <c r="E1261" s="151"/>
      <c r="F1261" s="152"/>
      <c r="G1261" s="152"/>
      <c r="H1261" s="152"/>
      <c r="I1261" s="152"/>
      <c r="J1261" s="151"/>
      <c r="K1261" s="151"/>
      <c r="L1261" s="152"/>
      <c r="M1261" s="151"/>
      <c r="O1261" s="69"/>
      <c r="P1261" s="69"/>
      <c r="Q1261" s="69"/>
    </row>
    <row r="1262" spans="2:17">
      <c r="C1262" s="151"/>
      <c r="D1262" s="151" t="s">
        <v>379</v>
      </c>
      <c r="E1262" s="151"/>
      <c r="F1262" s="152"/>
      <c r="G1262" s="152"/>
      <c r="H1262" s="152"/>
      <c r="I1262" s="152"/>
      <c r="J1262" s="151"/>
      <c r="K1262" s="151"/>
      <c r="L1262" s="152"/>
      <c r="M1262" s="151"/>
      <c r="O1262" s="69"/>
      <c r="P1262" s="69"/>
      <c r="Q1262" s="69"/>
    </row>
    <row r="1263" spans="2:17">
      <c r="B1263" s="144" t="str">
        <f>'Autoproducers Calculations'!$C$223</f>
        <v>CHPAUTOGENOIL00</v>
      </c>
      <c r="C1263" s="151" t="s">
        <v>111</v>
      </c>
      <c r="D1263" s="151"/>
      <c r="E1263" s="151">
        <v>0</v>
      </c>
      <c r="F1263" s="152">
        <v>31.536000000000001</v>
      </c>
      <c r="G1263" s="152">
        <f>'Autoproducers Calculations'!AF$209</f>
        <v>0.13667590655054926</v>
      </c>
      <c r="H1263" s="152">
        <f>'Autoproducers Calculations'!AF$207</f>
        <v>3.4553853922908568</v>
      </c>
      <c r="I1263" s="152">
        <f>'Autoproducers Calculations'!AF$206</f>
        <v>0.9</v>
      </c>
      <c r="J1263" s="151">
        <v>20</v>
      </c>
      <c r="K1263" s="151">
        <v>1</v>
      </c>
      <c r="L1263" s="152">
        <f>'Autoproducers Calculations'!AF$226</f>
        <v>3.3034694022016364E-2</v>
      </c>
      <c r="M1263" s="151">
        <v>0</v>
      </c>
      <c r="O1263" s="69">
        <f t="shared" ref="O1263" si="300">L1263*F1263*I1263</f>
        <v>0.9376038996104773</v>
      </c>
      <c r="P1263" s="69">
        <f t="shared" ref="P1263" si="301">O1263*H1263</f>
        <v>3.2397828184689863</v>
      </c>
      <c r="Q1263" s="69">
        <f>O1263/G1263</f>
        <v>6.8600525379629129</v>
      </c>
    </row>
    <row r="1264" spans="2:17">
      <c r="C1264" s="151" t="s">
        <v>112</v>
      </c>
      <c r="D1264" s="151"/>
      <c r="E1264" s="151"/>
      <c r="F1264" s="152"/>
      <c r="G1264" s="152"/>
      <c r="H1264" s="152"/>
      <c r="I1264" s="152"/>
      <c r="J1264" s="151"/>
      <c r="K1264" s="151"/>
      <c r="L1264" s="152"/>
      <c r="M1264" s="151"/>
      <c r="O1264" s="69"/>
      <c r="P1264" s="69"/>
      <c r="Q1264" s="69"/>
    </row>
    <row r="1265" spans="2:17">
      <c r="C1265" s="151"/>
      <c r="D1265" s="151" t="s">
        <v>105</v>
      </c>
      <c r="E1265" s="151"/>
      <c r="F1265" s="152"/>
      <c r="G1265" s="152"/>
      <c r="H1265" s="152"/>
      <c r="I1265" s="152"/>
      <c r="J1265" s="151"/>
      <c r="K1265" s="151"/>
      <c r="L1265" s="152"/>
      <c r="M1265" s="151"/>
      <c r="O1265" s="69"/>
      <c r="P1265" s="69"/>
      <c r="Q1265" s="69"/>
    </row>
    <row r="1266" spans="2:17">
      <c r="C1266" s="151"/>
      <c r="D1266" s="151" t="s">
        <v>106</v>
      </c>
      <c r="E1266" s="151"/>
      <c r="F1266" s="152"/>
      <c r="G1266" s="152"/>
      <c r="H1266" s="152"/>
      <c r="I1266" s="152"/>
      <c r="J1266" s="151"/>
      <c r="K1266" s="151"/>
      <c r="L1266" s="152"/>
      <c r="M1266" s="151"/>
      <c r="O1266" s="69"/>
      <c r="P1266" s="69"/>
      <c r="Q1266" s="69"/>
    </row>
    <row r="1267" spans="2:17">
      <c r="C1267" s="151"/>
      <c r="D1267" s="151" t="s">
        <v>380</v>
      </c>
      <c r="E1267" s="151"/>
      <c r="F1267" s="152"/>
      <c r="G1267" s="152"/>
      <c r="H1267" s="152"/>
      <c r="I1267" s="152"/>
      <c r="J1267" s="151"/>
      <c r="K1267" s="151"/>
      <c r="L1267" s="152"/>
      <c r="M1267" s="151"/>
      <c r="O1267" s="69"/>
      <c r="P1267" s="69"/>
      <c r="Q1267" s="69"/>
    </row>
    <row r="1268" spans="2:17">
      <c r="C1268" s="151"/>
      <c r="D1268" s="151" t="s">
        <v>379</v>
      </c>
      <c r="E1268" s="151"/>
      <c r="F1268" s="152"/>
      <c r="G1268" s="152"/>
      <c r="H1268" s="152"/>
      <c r="I1268" s="152"/>
      <c r="J1268" s="151"/>
      <c r="K1268" s="151"/>
      <c r="L1268" s="152"/>
      <c r="M1268" s="151"/>
      <c r="O1268" s="69"/>
      <c r="P1268" s="69"/>
      <c r="Q1268" s="69"/>
    </row>
    <row r="1269" spans="2:17">
      <c r="C1269" s="151"/>
      <c r="D1269" s="151" t="s">
        <v>1342</v>
      </c>
      <c r="E1269" s="151"/>
      <c r="F1269" s="152"/>
      <c r="G1269" s="152"/>
      <c r="H1269" s="152"/>
      <c r="I1269" s="152"/>
      <c r="J1269" s="151"/>
      <c r="K1269" s="151"/>
      <c r="L1269" s="152"/>
      <c r="M1269" s="151"/>
      <c r="O1269" s="69"/>
      <c r="P1269" s="69"/>
      <c r="Q1269" s="69"/>
    </row>
    <row r="1270" spans="2:17">
      <c r="C1270" s="151"/>
      <c r="D1270" s="151" t="s">
        <v>382</v>
      </c>
      <c r="E1270" s="151"/>
      <c r="F1270" s="152"/>
      <c r="G1270" s="152"/>
      <c r="H1270" s="152"/>
      <c r="I1270" s="152"/>
      <c r="J1270" s="151"/>
      <c r="K1270" s="151"/>
      <c r="L1270" s="152"/>
      <c r="M1270" s="151"/>
      <c r="O1270" s="69"/>
      <c r="P1270" s="69"/>
      <c r="Q1270" s="69"/>
    </row>
    <row r="1271" spans="2:17">
      <c r="B1271" s="144" t="str">
        <f>'Autoproducers Calculations'!$C$232</f>
        <v>CHPAUTOGENGAS00</v>
      </c>
      <c r="C1271" s="151" t="s">
        <v>113</v>
      </c>
      <c r="D1271" s="151"/>
      <c r="E1271" s="151"/>
      <c r="F1271" s="152">
        <v>31.536000000000001</v>
      </c>
      <c r="G1271" s="152">
        <f>'Autoproducers Calculations'!AF$209</f>
        <v>0.13667590655054926</v>
      </c>
      <c r="H1271" s="152">
        <f>'Autoproducers Calculations'!AF$207</f>
        <v>3.4553853922908568</v>
      </c>
      <c r="I1271" s="152">
        <f>'Autoproducers Calculations'!AF$206</f>
        <v>0.9</v>
      </c>
      <c r="J1271" s="151">
        <v>20</v>
      </c>
      <c r="K1271" s="151">
        <v>1</v>
      </c>
      <c r="L1271" s="152">
        <f>'Autoproducers Calculations'!AF$235</f>
        <v>0.2450961169375408</v>
      </c>
      <c r="M1271" s="151">
        <v>0</v>
      </c>
      <c r="O1271" s="69">
        <f t="shared" ref="O1271" si="302">L1271*F1271*I1271</f>
        <v>6.9564160293680581</v>
      </c>
      <c r="P1271" s="69">
        <f t="shared" ref="P1271" si="303">O1271*H1271</f>
        <v>24.037098330576352</v>
      </c>
      <c r="Q1271" s="69">
        <f>O1271/G1271</f>
        <v>50.897163991337742</v>
      </c>
    </row>
    <row r="1272" spans="2:17">
      <c r="C1272" s="151"/>
      <c r="D1272" s="151" t="s">
        <v>105</v>
      </c>
      <c r="E1272" s="151"/>
      <c r="F1272" s="152"/>
      <c r="G1272" s="152"/>
      <c r="H1272" s="152"/>
      <c r="I1272" s="152"/>
      <c r="J1272" s="151"/>
      <c r="K1272" s="151"/>
      <c r="L1272" s="152"/>
      <c r="M1272" s="151"/>
      <c r="O1272" s="69"/>
      <c r="P1272" s="69"/>
      <c r="Q1272" s="69"/>
    </row>
    <row r="1273" spans="2:17">
      <c r="C1273" s="151"/>
      <c r="D1273" s="151" t="s">
        <v>106</v>
      </c>
      <c r="E1273" s="151"/>
      <c r="F1273" s="152"/>
      <c r="G1273" s="152"/>
      <c r="H1273" s="152"/>
      <c r="I1273" s="152"/>
      <c r="J1273" s="151"/>
      <c r="K1273" s="151"/>
      <c r="L1273" s="152"/>
      <c r="M1273" s="151"/>
      <c r="O1273" s="69"/>
      <c r="P1273" s="69"/>
      <c r="Q1273" s="69"/>
    </row>
    <row r="1274" spans="2:17">
      <c r="C1274" s="151"/>
      <c r="D1274" s="151" t="s">
        <v>1342</v>
      </c>
      <c r="E1274" s="151"/>
      <c r="F1274" s="152"/>
      <c r="G1274" s="152"/>
      <c r="H1274" s="152"/>
      <c r="I1274" s="152"/>
      <c r="J1274" s="151"/>
      <c r="K1274" s="151"/>
      <c r="L1274" s="152"/>
      <c r="M1274" s="151"/>
      <c r="O1274" s="69"/>
      <c r="P1274" s="69"/>
      <c r="Q1274" s="69"/>
    </row>
    <row r="1275" spans="2:17">
      <c r="C1275" s="151"/>
      <c r="D1275" s="151" t="s">
        <v>378</v>
      </c>
      <c r="E1275" s="151"/>
      <c r="F1275" s="152"/>
      <c r="G1275" s="152"/>
      <c r="H1275" s="152"/>
      <c r="I1275" s="152"/>
      <c r="J1275" s="151"/>
      <c r="K1275" s="151"/>
      <c r="L1275" s="152"/>
      <c r="M1275" s="151"/>
      <c r="O1275" s="69"/>
      <c r="P1275" s="69"/>
      <c r="Q1275" s="69"/>
    </row>
    <row r="1276" spans="2:17">
      <c r="C1276" s="151"/>
      <c r="D1276" s="151" t="s">
        <v>421</v>
      </c>
      <c r="E1276" s="151"/>
      <c r="F1276" s="152"/>
      <c r="G1276" s="152"/>
      <c r="H1276" s="152"/>
      <c r="I1276" s="152"/>
      <c r="J1276" s="151"/>
      <c r="K1276" s="151"/>
      <c r="L1276" s="152"/>
      <c r="M1276" s="151"/>
      <c r="O1276" s="69"/>
      <c r="P1276" s="69"/>
      <c r="Q1276" s="69"/>
    </row>
    <row r="1277" spans="2:17">
      <c r="C1277" s="151"/>
      <c r="D1277" s="151" t="s">
        <v>380</v>
      </c>
      <c r="E1277" s="151"/>
      <c r="F1277" s="152"/>
      <c r="G1277" s="152"/>
      <c r="H1277" s="152"/>
      <c r="I1277" s="152"/>
      <c r="J1277" s="151"/>
      <c r="K1277" s="151"/>
      <c r="L1277" s="152"/>
      <c r="M1277" s="151"/>
      <c r="O1277" s="69"/>
      <c r="P1277" s="69"/>
      <c r="Q1277" s="69"/>
    </row>
    <row r="1278" spans="2:17">
      <c r="C1278" s="151"/>
      <c r="D1278" s="151" t="s">
        <v>379</v>
      </c>
      <c r="E1278" s="151"/>
      <c r="F1278" s="152"/>
      <c r="G1278" s="152"/>
      <c r="H1278" s="152"/>
      <c r="I1278" s="152"/>
      <c r="J1278" s="151"/>
      <c r="K1278" s="151"/>
      <c r="L1278" s="152"/>
      <c r="M1278" s="151"/>
      <c r="O1278" s="69"/>
      <c r="P1278" s="69"/>
      <c r="Q1278" s="69"/>
    </row>
    <row r="1279" spans="2:17">
      <c r="C1279" s="151"/>
      <c r="D1279" s="151" t="s">
        <v>381</v>
      </c>
      <c r="E1279" s="151"/>
      <c r="F1279" s="152"/>
      <c r="G1279" s="152"/>
      <c r="H1279" s="152"/>
      <c r="I1279" s="152"/>
      <c r="J1279" s="151"/>
      <c r="K1279" s="151"/>
      <c r="L1279" s="152"/>
      <c r="M1279" s="151"/>
      <c r="O1279" s="69"/>
      <c r="P1279" s="69"/>
      <c r="Q1279" s="69"/>
    </row>
    <row r="1280" spans="2:17">
      <c r="C1280" s="151"/>
      <c r="D1280" s="151" t="s">
        <v>382</v>
      </c>
      <c r="E1280" s="151"/>
      <c r="F1280" s="152"/>
      <c r="G1280" s="152"/>
      <c r="H1280" s="152"/>
      <c r="I1280" s="152"/>
      <c r="J1280" s="151"/>
      <c r="K1280" s="151"/>
      <c r="L1280" s="152"/>
      <c r="M1280" s="151"/>
      <c r="O1280" s="69"/>
      <c r="P1280" s="69"/>
      <c r="Q1280" s="69"/>
    </row>
    <row r="1281" spans="1:17">
      <c r="B1281" s="144" t="str">
        <f>'Autoproducers Calculations'!$C$241</f>
        <v>CHPAUTOGENBIO00</v>
      </c>
      <c r="C1281" s="151" t="s">
        <v>116</v>
      </c>
      <c r="D1281" s="151"/>
      <c r="E1281" s="151"/>
      <c r="F1281" s="152">
        <v>31.536000000000001</v>
      </c>
      <c r="G1281" s="152">
        <f>'Autoproducers Calculations'!AF$209</f>
        <v>0.13667590655054926</v>
      </c>
      <c r="H1281" s="152">
        <f>'Autoproducers Calculations'!AF$207</f>
        <v>3.4553853922908568</v>
      </c>
      <c r="I1281" s="152">
        <f>'Autoproducers Calculations'!AF$206</f>
        <v>0.9</v>
      </c>
      <c r="J1281" s="151">
        <v>20</v>
      </c>
      <c r="K1281" s="151">
        <v>1</v>
      </c>
      <c r="L1281" s="152">
        <f>'Autoproducers Calculations'!AF$244</f>
        <v>3.1048139343671298E-3</v>
      </c>
      <c r="M1281" s="151">
        <v>0</v>
      </c>
      <c r="O1281" s="69">
        <f t="shared" ref="O1281" si="304">L1281*F1281*I1281</f>
        <v>8.8122071010781622E-2</v>
      </c>
      <c r="P1281" s="69">
        <f t="shared" ref="P1281" si="305">O1281*H1281</f>
        <v>0.3044957169090724</v>
      </c>
      <c r="Q1281" s="69">
        <f>O1281/G1281</f>
        <v>0.64475205056122953</v>
      </c>
    </row>
    <row r="1282" spans="1:17">
      <c r="C1282" s="151"/>
      <c r="D1282" s="151" t="s">
        <v>105</v>
      </c>
      <c r="E1282" s="151"/>
      <c r="F1282" s="152"/>
      <c r="G1282" s="152"/>
      <c r="H1282" s="152"/>
      <c r="I1282" s="152"/>
      <c r="J1282" s="151"/>
      <c r="K1282" s="151"/>
      <c r="L1282" s="152"/>
      <c r="M1282" s="151"/>
      <c r="O1282" s="69"/>
      <c r="P1282" s="69"/>
      <c r="Q1282" s="69"/>
    </row>
    <row r="1283" spans="1:17">
      <c r="C1283" s="151"/>
      <c r="D1283" s="151" t="s">
        <v>106</v>
      </c>
      <c r="E1283" s="151"/>
      <c r="F1283" s="152"/>
      <c r="G1283" s="152"/>
      <c r="H1283" s="152"/>
      <c r="I1283" s="152"/>
      <c r="J1283" s="151"/>
      <c r="K1283" s="151"/>
      <c r="L1283" s="152"/>
      <c r="M1283" s="151"/>
      <c r="O1283" s="69"/>
      <c r="P1283" s="69"/>
      <c r="Q1283" s="69"/>
    </row>
    <row r="1284" spans="1:17">
      <c r="C1284" s="151"/>
      <c r="D1284" s="151" t="s">
        <v>380</v>
      </c>
      <c r="E1284" s="151"/>
      <c r="F1284" s="152"/>
      <c r="G1284" s="152"/>
      <c r="H1284" s="152"/>
      <c r="I1284" s="152"/>
      <c r="J1284" s="151"/>
      <c r="K1284" s="151"/>
      <c r="L1284" s="151"/>
      <c r="M1284" s="151"/>
      <c r="O1284" s="69"/>
      <c r="P1284" s="69"/>
      <c r="Q1284" s="69"/>
    </row>
    <row r="1285" spans="1:17">
      <c r="C1285" s="151"/>
      <c r="D1285" s="151" t="s">
        <v>379</v>
      </c>
      <c r="E1285" s="151"/>
      <c r="F1285" s="152"/>
      <c r="G1285" s="152"/>
      <c r="H1285" s="152"/>
      <c r="I1285" s="152"/>
      <c r="J1285" s="151"/>
      <c r="K1285" s="151"/>
      <c r="L1285" s="151"/>
      <c r="M1285" s="151"/>
      <c r="O1285" s="69"/>
      <c r="P1285" s="69"/>
      <c r="Q1285" s="69"/>
    </row>
    <row r="1286" spans="1:17">
      <c r="C1286" s="151"/>
      <c r="D1286" s="151" t="s">
        <v>381</v>
      </c>
      <c r="E1286" s="151"/>
      <c r="F1286" s="152"/>
      <c r="G1286" s="152"/>
      <c r="H1286" s="152"/>
      <c r="I1286" s="152"/>
      <c r="J1286" s="151"/>
      <c r="K1286" s="151"/>
      <c r="L1286" s="151"/>
      <c r="M1286" s="151"/>
      <c r="O1286" s="69"/>
      <c r="P1286" s="69"/>
      <c r="Q1286" s="69"/>
    </row>
    <row r="1287" spans="1:17">
      <c r="C1287" s="151"/>
      <c r="D1287" s="151" t="s">
        <v>382</v>
      </c>
      <c r="E1287" s="151"/>
      <c r="F1287" s="152"/>
      <c r="G1287" s="152"/>
      <c r="H1287" s="152"/>
      <c r="I1287" s="152"/>
      <c r="J1287" s="151"/>
      <c r="K1287" s="151"/>
      <c r="L1287" s="151"/>
      <c r="M1287" s="151"/>
      <c r="O1287" s="69"/>
      <c r="P1287" s="69"/>
      <c r="Q1287" s="69"/>
    </row>
    <row r="1288" spans="1:17">
      <c r="B1288" s="144" t="str">
        <f>'Autoproducers Calculations'!$C$250</f>
        <v>CHPAUTOGENWASTE00</v>
      </c>
      <c r="C1288" s="151" t="s">
        <v>117</v>
      </c>
      <c r="D1288" s="151"/>
      <c r="E1288" s="151"/>
      <c r="F1288" s="152">
        <v>31.536000000000001</v>
      </c>
      <c r="G1288" s="152">
        <f>'Autoproducers Calculations'!AF$209</f>
        <v>0.13667590655054926</v>
      </c>
      <c r="H1288" s="152">
        <f>'Autoproducers Calculations'!AF$207</f>
        <v>3.4553853922908568</v>
      </c>
      <c r="I1288" s="152">
        <f>'Autoproducers Calculations'!AF$206</f>
        <v>0.9</v>
      </c>
      <c r="J1288" s="151">
        <v>20</v>
      </c>
      <c r="K1288" s="151">
        <v>1</v>
      </c>
      <c r="L1288" s="152">
        <f>'Autoproducers Calculations'!AF$253</f>
        <v>5.5623439083645303E-2</v>
      </c>
      <c r="M1288" s="151">
        <v>0</v>
      </c>
      <c r="O1288" s="69">
        <f t="shared" ref="O1288" si="306">L1288*F1288*I1288</f>
        <v>1.5787266974476546</v>
      </c>
      <c r="P1288" s="69">
        <f t="shared" ref="P1288" si="307">O1288*H1288</f>
        <v>5.4551091687802131</v>
      </c>
      <c r="Q1288" s="69">
        <f>O1288/G1288</f>
        <v>11.550877819594094</v>
      </c>
    </row>
    <row r="1289" spans="1:17">
      <c r="C1289" s="151" t="s">
        <v>118</v>
      </c>
      <c r="D1289" s="151"/>
      <c r="E1289" s="151"/>
      <c r="F1289" s="152"/>
      <c r="G1289" s="152"/>
      <c r="H1289" s="152"/>
      <c r="I1289" s="152"/>
      <c r="J1289" s="151"/>
      <c r="K1289" s="151"/>
      <c r="L1289" s="151"/>
      <c r="M1289" s="151"/>
      <c r="O1289" s="69"/>
      <c r="P1289" s="69"/>
      <c r="Q1289" s="69"/>
    </row>
    <row r="1290" spans="1:17">
      <c r="C1290" s="151"/>
      <c r="D1290" s="151" t="s">
        <v>105</v>
      </c>
      <c r="E1290" s="151"/>
      <c r="F1290" s="152"/>
      <c r="G1290" s="152"/>
      <c r="H1290" s="152"/>
      <c r="I1290" s="152"/>
      <c r="J1290" s="151"/>
      <c r="K1290" s="151"/>
      <c r="L1290" s="151"/>
      <c r="M1290" s="151"/>
      <c r="O1290" s="719">
        <f>SUM(O1248:O1288)</f>
        <v>10.185937963843957</v>
      </c>
      <c r="P1290" s="719">
        <f>SUM(P1248:P1288)</f>
        <v>35.196341247047286</v>
      </c>
      <c r="Q1290" s="719">
        <f>SUM(Q1248:Q1288)</f>
        <v>74.526214758097922</v>
      </c>
    </row>
    <row r="1291" spans="1:17">
      <c r="C1291" s="151"/>
      <c r="D1291" s="151" t="s">
        <v>106</v>
      </c>
      <c r="E1291" s="151"/>
      <c r="F1291" s="152"/>
      <c r="G1291" s="152"/>
      <c r="H1291" s="152"/>
      <c r="I1291" s="152"/>
      <c r="J1291" s="151"/>
      <c r="K1291" s="151"/>
      <c r="L1291" s="151"/>
      <c r="M1291" s="151"/>
    </row>
    <row r="1292" spans="1:17">
      <c r="C1292" s="151"/>
      <c r="D1292" s="151" t="s">
        <v>381</v>
      </c>
      <c r="E1292" s="151"/>
      <c r="F1292" s="152"/>
      <c r="G1292" s="152"/>
      <c r="H1292" s="152"/>
      <c r="I1292" s="152"/>
      <c r="J1292" s="151"/>
      <c r="K1292" s="151"/>
      <c r="L1292" s="151"/>
      <c r="M1292" s="151"/>
    </row>
    <row r="1293" spans="1:17">
      <c r="C1293" s="151"/>
      <c r="D1293" s="151" t="s">
        <v>382</v>
      </c>
      <c r="E1293" s="151"/>
      <c r="F1293" s="151"/>
      <c r="G1293" s="151"/>
      <c r="H1293" s="151"/>
      <c r="I1293" s="151"/>
      <c r="J1293" s="151"/>
      <c r="K1293" s="151"/>
      <c r="L1293" s="151"/>
      <c r="M1293" s="151"/>
      <c r="O1293" s="677" t="s">
        <v>390</v>
      </c>
      <c r="P1293" s="677" t="s">
        <v>406</v>
      </c>
      <c r="Q1293" s="677" t="s">
        <v>1304</v>
      </c>
    </row>
    <row r="1294" spans="1:17">
      <c r="A1294" s="64" t="s">
        <v>83</v>
      </c>
      <c r="B1294" s="144" t="str">
        <f>'Autoproducers Calculations'!$C$205</f>
        <v>CHPAUTOGENSOLID00</v>
      </c>
      <c r="C1294" s="151" t="s">
        <v>107</v>
      </c>
      <c r="D1294" s="151"/>
      <c r="E1294" s="151"/>
      <c r="F1294" s="152">
        <v>31.536000000000001</v>
      </c>
      <c r="G1294" s="152">
        <f>'Autoproducers Calculations'!AG$209</f>
        <v>0</v>
      </c>
      <c r="H1294" s="152">
        <f>'Autoproducers Calculations'!AG$207</f>
        <v>0</v>
      </c>
      <c r="I1294" s="152">
        <f>'Autoproducers Calculations'!AG$206</f>
        <v>0</v>
      </c>
      <c r="J1294" s="151">
        <v>20</v>
      </c>
      <c r="K1294" s="151">
        <v>1</v>
      </c>
      <c r="L1294" s="152">
        <f>'Autoproducers Calculations'!AG$208</f>
        <v>0</v>
      </c>
      <c r="M1294" s="151">
        <v>0</v>
      </c>
      <c r="O1294" s="69">
        <f>L1294*F1294*I1294</f>
        <v>0</v>
      </c>
      <c r="P1294" s="69">
        <f t="shared" ref="P1294" si="308">O1294*H1294</f>
        <v>0</v>
      </c>
      <c r="Q1294" s="69" t="e">
        <f>O1294/G1294</f>
        <v>#DIV/0!</v>
      </c>
    </row>
    <row r="1295" spans="1:17">
      <c r="C1295" s="151" t="s">
        <v>108</v>
      </c>
      <c r="D1295" s="151"/>
      <c r="E1295" s="151">
        <f>IF('Autoproducers Calculations'!AG$179&gt;0,'Autoproducers Calculations'!#REF!/'Autoproducers Calculations'!AG$179,0)</f>
        <v>0</v>
      </c>
      <c r="F1295" s="152"/>
      <c r="G1295" s="152"/>
      <c r="H1295" s="152"/>
      <c r="I1295" s="152"/>
      <c r="J1295" s="151"/>
      <c r="K1295" s="151"/>
      <c r="L1295" s="152"/>
      <c r="M1295" s="151"/>
      <c r="O1295" s="69"/>
      <c r="P1295" s="69"/>
      <c r="Q1295" s="69"/>
    </row>
    <row r="1296" spans="1:17">
      <c r="C1296" s="151"/>
      <c r="D1296" s="151" t="s">
        <v>105</v>
      </c>
      <c r="E1296" s="151"/>
      <c r="F1296" s="152"/>
      <c r="G1296" s="152"/>
      <c r="H1296" s="152"/>
      <c r="I1296" s="152"/>
      <c r="J1296" s="151"/>
      <c r="K1296" s="151"/>
      <c r="L1296" s="152"/>
      <c r="M1296" s="151"/>
      <c r="O1296" s="69"/>
      <c r="P1296" s="69"/>
      <c r="Q1296" s="69"/>
    </row>
    <row r="1297" spans="2:17">
      <c r="C1297" s="151"/>
      <c r="D1297" s="151" t="s">
        <v>106</v>
      </c>
      <c r="E1297" s="151"/>
      <c r="F1297" s="152"/>
      <c r="G1297" s="152"/>
      <c r="H1297" s="152"/>
      <c r="I1297" s="152"/>
      <c r="J1297" s="151"/>
      <c r="K1297" s="151"/>
      <c r="L1297" s="152"/>
      <c r="M1297" s="151"/>
      <c r="O1297" s="69"/>
      <c r="P1297" s="69"/>
      <c r="Q1297" s="69"/>
    </row>
    <row r="1298" spans="2:17">
      <c r="C1298" s="151"/>
      <c r="D1298" s="151" t="s">
        <v>378</v>
      </c>
      <c r="E1298" s="151"/>
      <c r="F1298" s="152"/>
      <c r="G1298" s="152"/>
      <c r="H1298" s="152"/>
      <c r="I1298" s="152"/>
      <c r="J1298" s="151"/>
      <c r="K1298" s="151"/>
      <c r="L1298" s="152"/>
      <c r="M1298" s="151"/>
      <c r="O1298" s="69"/>
      <c r="P1298" s="69"/>
      <c r="Q1298" s="69"/>
    </row>
    <row r="1299" spans="2:17">
      <c r="C1299" s="151"/>
      <c r="D1299" s="151" t="s">
        <v>380</v>
      </c>
      <c r="E1299" s="151"/>
      <c r="F1299" s="152"/>
      <c r="G1299" s="152"/>
      <c r="H1299" s="152"/>
      <c r="I1299" s="152"/>
      <c r="J1299" s="151"/>
      <c r="K1299" s="151"/>
      <c r="L1299" s="152"/>
      <c r="M1299" s="151"/>
      <c r="O1299" s="69"/>
      <c r="P1299" s="69"/>
      <c r="Q1299" s="69"/>
    </row>
    <row r="1300" spans="2:17">
      <c r="C1300" s="151"/>
      <c r="D1300" s="151" t="s">
        <v>379</v>
      </c>
      <c r="E1300" s="151"/>
      <c r="F1300" s="152"/>
      <c r="G1300" s="152"/>
      <c r="H1300" s="152"/>
      <c r="I1300" s="152"/>
      <c r="J1300" s="151"/>
      <c r="K1300" s="151"/>
      <c r="L1300" s="152"/>
      <c r="M1300" s="151"/>
      <c r="O1300" s="69"/>
      <c r="P1300" s="69"/>
      <c r="Q1300" s="69"/>
    </row>
    <row r="1301" spans="2:17">
      <c r="C1301" s="151"/>
      <c r="D1301" s="151" t="s">
        <v>381</v>
      </c>
      <c r="E1301" s="151"/>
      <c r="F1301" s="152"/>
      <c r="G1301" s="152"/>
      <c r="H1301" s="152"/>
      <c r="I1301" s="152"/>
      <c r="J1301" s="151"/>
      <c r="K1301" s="151"/>
      <c r="L1301" s="152"/>
      <c r="M1301" s="151"/>
      <c r="O1301" s="69"/>
      <c r="P1301" s="69"/>
      <c r="Q1301" s="69"/>
    </row>
    <row r="1302" spans="2:17">
      <c r="C1302" s="151"/>
      <c r="D1302" s="151" t="s">
        <v>382</v>
      </c>
      <c r="E1302" s="151"/>
      <c r="F1302" s="152"/>
      <c r="G1302" s="152"/>
      <c r="H1302" s="152"/>
      <c r="I1302" s="152"/>
      <c r="J1302" s="151"/>
      <c r="K1302" s="151"/>
      <c r="L1302" s="152"/>
      <c r="M1302" s="151"/>
      <c r="O1302" s="69"/>
      <c r="P1302" s="69"/>
      <c r="Q1302" s="69"/>
    </row>
    <row r="1303" spans="2:17">
      <c r="B1303" s="144" t="str">
        <f>'Autoproducers Calculations'!$C$214</f>
        <v>CHPAUTOGENRFG00</v>
      </c>
      <c r="C1303" s="151" t="s">
        <v>110</v>
      </c>
      <c r="D1303" s="151"/>
      <c r="E1303" s="151"/>
      <c r="F1303" s="152">
        <v>31.536000000000001</v>
      </c>
      <c r="G1303" s="152">
        <f>'Autoproducers Calculations'!AG$209</f>
        <v>0</v>
      </c>
      <c r="H1303" s="152">
        <f>'Autoproducers Calculations'!AG$207</f>
        <v>0</v>
      </c>
      <c r="I1303" s="152">
        <f>'Autoproducers Calculations'!AG$206</f>
        <v>0</v>
      </c>
      <c r="J1303" s="151">
        <v>20</v>
      </c>
      <c r="K1303" s="151">
        <v>1</v>
      </c>
      <c r="L1303" s="152">
        <f>'Autoproducers Calculations'!AG$217</f>
        <v>0</v>
      </c>
      <c r="M1303" s="151">
        <v>0</v>
      </c>
      <c r="O1303" s="69">
        <f t="shared" ref="O1303" si="309">L1303*F1303*I1303</f>
        <v>0</v>
      </c>
      <c r="P1303" s="69">
        <f t="shared" ref="P1303" si="310">O1303*H1303</f>
        <v>0</v>
      </c>
      <c r="Q1303" s="69" t="e">
        <f>O1303/G1303</f>
        <v>#DIV/0!</v>
      </c>
    </row>
    <row r="1304" spans="2:17">
      <c r="C1304" s="151"/>
      <c r="D1304" s="151" t="s">
        <v>105</v>
      </c>
      <c r="E1304" s="151"/>
      <c r="F1304" s="152"/>
      <c r="G1304" s="152"/>
      <c r="H1304" s="152"/>
      <c r="I1304" s="152"/>
      <c r="J1304" s="151"/>
      <c r="K1304" s="151"/>
      <c r="L1304" s="152"/>
      <c r="M1304" s="151"/>
      <c r="O1304" s="69"/>
      <c r="P1304" s="69"/>
      <c r="Q1304" s="69"/>
    </row>
    <row r="1305" spans="2:17">
      <c r="C1305" s="151"/>
      <c r="D1305" s="151" t="s">
        <v>106</v>
      </c>
      <c r="E1305" s="151"/>
      <c r="F1305" s="152"/>
      <c r="G1305" s="152"/>
      <c r="H1305" s="152"/>
      <c r="I1305" s="152"/>
      <c r="J1305" s="151"/>
      <c r="K1305" s="151"/>
      <c r="L1305" s="152"/>
      <c r="M1305" s="151"/>
      <c r="O1305" s="69"/>
      <c r="P1305" s="69"/>
      <c r="Q1305" s="69"/>
    </row>
    <row r="1306" spans="2:17">
      <c r="C1306" s="151"/>
      <c r="D1306" s="151" t="s">
        <v>1342</v>
      </c>
      <c r="E1306" s="151"/>
      <c r="F1306" s="152"/>
      <c r="G1306" s="152"/>
      <c r="H1306" s="152"/>
      <c r="I1306" s="152"/>
      <c r="J1306" s="151"/>
      <c r="K1306" s="151"/>
      <c r="L1306" s="152"/>
      <c r="M1306" s="151"/>
      <c r="O1306" s="69"/>
      <c r="P1306" s="69"/>
      <c r="Q1306" s="69"/>
    </row>
    <row r="1307" spans="2:17">
      <c r="C1307" s="151"/>
      <c r="D1307" s="151" t="s">
        <v>380</v>
      </c>
      <c r="E1307" s="151"/>
      <c r="F1307" s="152"/>
      <c r="G1307" s="152"/>
      <c r="H1307" s="152"/>
      <c r="I1307" s="152"/>
      <c r="J1307" s="151"/>
      <c r="K1307" s="151"/>
      <c r="L1307" s="152"/>
      <c r="M1307" s="151"/>
      <c r="O1307" s="69"/>
      <c r="P1307" s="69"/>
      <c r="Q1307" s="69"/>
    </row>
    <row r="1308" spans="2:17">
      <c r="C1308" s="151"/>
      <c r="D1308" s="151" t="s">
        <v>379</v>
      </c>
      <c r="E1308" s="151"/>
      <c r="F1308" s="152"/>
      <c r="G1308" s="152"/>
      <c r="H1308" s="152"/>
      <c r="I1308" s="152"/>
      <c r="J1308" s="151"/>
      <c r="K1308" s="151"/>
      <c r="L1308" s="152"/>
      <c r="M1308" s="151"/>
      <c r="O1308" s="69"/>
      <c r="P1308" s="69"/>
      <c r="Q1308" s="69"/>
    </row>
    <row r="1309" spans="2:17">
      <c r="B1309" s="144" t="str">
        <f>'Autoproducers Calculations'!$C$223</f>
        <v>CHPAUTOGENOIL00</v>
      </c>
      <c r="C1309" s="151" t="s">
        <v>111</v>
      </c>
      <c r="D1309" s="151"/>
      <c r="E1309" s="151">
        <f>IF('Autoproducers Calculations'!AG$181&gt;0,'Autoproducers Calculations'!#REF!/'Autoproducers Calculations'!AG$181,0)</f>
        <v>0</v>
      </c>
      <c r="F1309" s="152">
        <v>31.536000000000001</v>
      </c>
      <c r="G1309" s="152">
        <f>'Autoproducers Calculations'!AG$209</f>
        <v>0</v>
      </c>
      <c r="H1309" s="152">
        <f>'Autoproducers Calculations'!AG$207</f>
        <v>0</v>
      </c>
      <c r="I1309" s="152">
        <f>'Autoproducers Calculations'!AG$206</f>
        <v>0</v>
      </c>
      <c r="J1309" s="151">
        <v>20</v>
      </c>
      <c r="K1309" s="151">
        <v>1</v>
      </c>
      <c r="L1309" s="152">
        <f>'Autoproducers Calculations'!AG$226</f>
        <v>0</v>
      </c>
      <c r="M1309" s="151">
        <v>0</v>
      </c>
      <c r="O1309" s="69">
        <f t="shared" ref="O1309" si="311">L1309*F1309*I1309</f>
        <v>0</v>
      </c>
      <c r="P1309" s="69">
        <f t="shared" ref="P1309" si="312">O1309*H1309</f>
        <v>0</v>
      </c>
      <c r="Q1309" s="69" t="e">
        <f>O1309/G1309</f>
        <v>#DIV/0!</v>
      </c>
    </row>
    <row r="1310" spans="2:17">
      <c r="C1310" s="151" t="s">
        <v>112</v>
      </c>
      <c r="D1310" s="151"/>
      <c r="E1310" s="151"/>
      <c r="F1310" s="152"/>
      <c r="G1310" s="152"/>
      <c r="H1310" s="152"/>
      <c r="I1310" s="152"/>
      <c r="J1310" s="151"/>
      <c r="K1310" s="151"/>
      <c r="L1310" s="152"/>
      <c r="M1310" s="151"/>
      <c r="O1310" s="69"/>
      <c r="P1310" s="69"/>
      <c r="Q1310" s="69"/>
    </row>
    <row r="1311" spans="2:17">
      <c r="C1311" s="151"/>
      <c r="D1311" s="151" t="s">
        <v>105</v>
      </c>
      <c r="E1311" s="151"/>
      <c r="F1311" s="152"/>
      <c r="G1311" s="152"/>
      <c r="H1311" s="152"/>
      <c r="I1311" s="152"/>
      <c r="J1311" s="151"/>
      <c r="K1311" s="151"/>
      <c r="L1311" s="152"/>
      <c r="M1311" s="151"/>
      <c r="O1311" s="69"/>
      <c r="P1311" s="69"/>
      <c r="Q1311" s="69"/>
    </row>
    <row r="1312" spans="2:17">
      <c r="C1312" s="151"/>
      <c r="D1312" s="151" t="s">
        <v>106</v>
      </c>
      <c r="E1312" s="151"/>
      <c r="F1312" s="152"/>
      <c r="G1312" s="152"/>
      <c r="H1312" s="152"/>
      <c r="I1312" s="152"/>
      <c r="J1312" s="151"/>
      <c r="K1312" s="151"/>
      <c r="L1312" s="152"/>
      <c r="M1312" s="151"/>
      <c r="O1312" s="69"/>
      <c r="P1312" s="69"/>
      <c r="Q1312" s="69"/>
    </row>
    <row r="1313" spans="2:17">
      <c r="C1313" s="151"/>
      <c r="D1313" s="151" t="s">
        <v>380</v>
      </c>
      <c r="E1313" s="151"/>
      <c r="F1313" s="152"/>
      <c r="G1313" s="152"/>
      <c r="H1313" s="152"/>
      <c r="I1313" s="152"/>
      <c r="J1313" s="151"/>
      <c r="K1313" s="151"/>
      <c r="L1313" s="152"/>
      <c r="M1313" s="151"/>
      <c r="O1313" s="69"/>
      <c r="P1313" s="69"/>
      <c r="Q1313" s="69"/>
    </row>
    <row r="1314" spans="2:17">
      <c r="C1314" s="151"/>
      <c r="D1314" s="151" t="s">
        <v>379</v>
      </c>
      <c r="E1314" s="151"/>
      <c r="F1314" s="152"/>
      <c r="G1314" s="152"/>
      <c r="H1314" s="152"/>
      <c r="I1314" s="152"/>
      <c r="J1314" s="151"/>
      <c r="K1314" s="151"/>
      <c r="L1314" s="152"/>
      <c r="M1314" s="151"/>
      <c r="O1314" s="69"/>
      <c r="P1314" s="69"/>
      <c r="Q1314" s="69"/>
    </row>
    <row r="1315" spans="2:17">
      <c r="C1315" s="151"/>
      <c r="D1315" s="151" t="s">
        <v>1342</v>
      </c>
      <c r="E1315" s="151"/>
      <c r="F1315" s="152"/>
      <c r="G1315" s="152"/>
      <c r="H1315" s="152"/>
      <c r="I1315" s="152"/>
      <c r="J1315" s="151"/>
      <c r="K1315" s="151"/>
      <c r="L1315" s="152"/>
      <c r="M1315" s="151"/>
      <c r="O1315" s="69"/>
      <c r="P1315" s="69"/>
      <c r="Q1315" s="69"/>
    </row>
    <row r="1316" spans="2:17">
      <c r="C1316" s="151"/>
      <c r="D1316" s="151" t="s">
        <v>382</v>
      </c>
      <c r="E1316" s="151"/>
      <c r="F1316" s="152"/>
      <c r="G1316" s="152"/>
      <c r="H1316" s="152"/>
      <c r="I1316" s="152"/>
      <c r="J1316" s="151"/>
      <c r="K1316" s="151"/>
      <c r="L1316" s="152"/>
      <c r="M1316" s="151"/>
      <c r="O1316" s="69"/>
      <c r="P1316" s="69"/>
      <c r="Q1316" s="69"/>
    </row>
    <row r="1317" spans="2:17">
      <c r="B1317" s="144" t="str">
        <f>'Autoproducers Calculations'!$C$232</f>
        <v>CHPAUTOGENGAS00</v>
      </c>
      <c r="C1317" s="151" t="s">
        <v>113</v>
      </c>
      <c r="D1317" s="151"/>
      <c r="E1317" s="151"/>
      <c r="F1317" s="152">
        <v>31.536000000000001</v>
      </c>
      <c r="G1317" s="152">
        <f>'Autoproducers Calculations'!AG$209</f>
        <v>0</v>
      </c>
      <c r="H1317" s="152">
        <f>'Autoproducers Calculations'!AG$207</f>
        <v>0</v>
      </c>
      <c r="I1317" s="152">
        <f>'Autoproducers Calculations'!AG$206</f>
        <v>0</v>
      </c>
      <c r="J1317" s="151">
        <v>20</v>
      </c>
      <c r="K1317" s="151">
        <v>1</v>
      </c>
      <c r="L1317" s="152">
        <f>'Autoproducers Calculations'!AG$235</f>
        <v>0</v>
      </c>
      <c r="M1317" s="151">
        <v>0</v>
      </c>
      <c r="O1317" s="69">
        <f t="shared" ref="O1317" si="313">L1317*F1317*I1317</f>
        <v>0</v>
      </c>
      <c r="P1317" s="69">
        <f t="shared" ref="P1317" si="314">O1317*H1317</f>
        <v>0</v>
      </c>
      <c r="Q1317" s="69" t="e">
        <f>O1317/G1317</f>
        <v>#DIV/0!</v>
      </c>
    </row>
    <row r="1318" spans="2:17">
      <c r="C1318" s="151"/>
      <c r="D1318" s="151" t="s">
        <v>105</v>
      </c>
      <c r="E1318" s="151"/>
      <c r="F1318" s="152"/>
      <c r="G1318" s="152"/>
      <c r="H1318" s="152"/>
      <c r="I1318" s="152"/>
      <c r="J1318" s="151"/>
      <c r="K1318" s="151"/>
      <c r="L1318" s="152"/>
      <c r="M1318" s="151"/>
      <c r="O1318" s="69"/>
      <c r="P1318" s="69"/>
      <c r="Q1318" s="69"/>
    </row>
    <row r="1319" spans="2:17">
      <c r="C1319" s="151"/>
      <c r="D1319" s="151" t="s">
        <v>106</v>
      </c>
      <c r="E1319" s="151"/>
      <c r="F1319" s="152"/>
      <c r="G1319" s="152"/>
      <c r="H1319" s="152"/>
      <c r="I1319" s="152"/>
      <c r="J1319" s="151"/>
      <c r="K1319" s="151"/>
      <c r="L1319" s="152"/>
      <c r="M1319" s="151"/>
      <c r="O1319" s="69"/>
      <c r="P1319" s="69"/>
      <c r="Q1319" s="69"/>
    </row>
    <row r="1320" spans="2:17">
      <c r="C1320" s="151"/>
      <c r="D1320" s="151" t="s">
        <v>1342</v>
      </c>
      <c r="E1320" s="151"/>
      <c r="F1320" s="152"/>
      <c r="G1320" s="152"/>
      <c r="H1320" s="152"/>
      <c r="I1320" s="152"/>
      <c r="J1320" s="151"/>
      <c r="K1320" s="151"/>
      <c r="L1320" s="152"/>
      <c r="M1320" s="151"/>
      <c r="O1320" s="69"/>
      <c r="P1320" s="69"/>
      <c r="Q1320" s="69"/>
    </row>
    <row r="1321" spans="2:17">
      <c r="C1321" s="151"/>
      <c r="D1321" s="151" t="s">
        <v>378</v>
      </c>
      <c r="E1321" s="151"/>
      <c r="F1321" s="152"/>
      <c r="G1321" s="152"/>
      <c r="H1321" s="152"/>
      <c r="I1321" s="152"/>
      <c r="J1321" s="151"/>
      <c r="K1321" s="151"/>
      <c r="L1321" s="152"/>
      <c r="M1321" s="151"/>
      <c r="O1321" s="69"/>
      <c r="P1321" s="69"/>
      <c r="Q1321" s="69"/>
    </row>
    <row r="1322" spans="2:17">
      <c r="C1322" s="151"/>
      <c r="D1322" s="151" t="s">
        <v>421</v>
      </c>
      <c r="E1322" s="151"/>
      <c r="F1322" s="152"/>
      <c r="G1322" s="152"/>
      <c r="H1322" s="152"/>
      <c r="I1322" s="152"/>
      <c r="J1322" s="151"/>
      <c r="K1322" s="151"/>
      <c r="L1322" s="152"/>
      <c r="M1322" s="151"/>
      <c r="O1322" s="69"/>
      <c r="P1322" s="69"/>
      <c r="Q1322" s="69"/>
    </row>
    <row r="1323" spans="2:17">
      <c r="C1323" s="151"/>
      <c r="D1323" s="151" t="s">
        <v>380</v>
      </c>
      <c r="E1323" s="151"/>
      <c r="F1323" s="152"/>
      <c r="G1323" s="152"/>
      <c r="H1323" s="152"/>
      <c r="I1323" s="152"/>
      <c r="J1323" s="151"/>
      <c r="K1323" s="151"/>
      <c r="L1323" s="152"/>
      <c r="M1323" s="151"/>
      <c r="O1323" s="69"/>
      <c r="P1323" s="69"/>
      <c r="Q1323" s="69"/>
    </row>
    <row r="1324" spans="2:17">
      <c r="C1324" s="151"/>
      <c r="D1324" s="151" t="s">
        <v>379</v>
      </c>
      <c r="E1324" s="151"/>
      <c r="F1324" s="152"/>
      <c r="G1324" s="152"/>
      <c r="H1324" s="152"/>
      <c r="I1324" s="152"/>
      <c r="J1324" s="151"/>
      <c r="K1324" s="151"/>
      <c r="L1324" s="152"/>
      <c r="M1324" s="151"/>
      <c r="O1324" s="69"/>
      <c r="P1324" s="69"/>
      <c r="Q1324" s="69"/>
    </row>
    <row r="1325" spans="2:17">
      <c r="C1325" s="151"/>
      <c r="D1325" s="151" t="s">
        <v>381</v>
      </c>
      <c r="E1325" s="151"/>
      <c r="F1325" s="152"/>
      <c r="G1325" s="152"/>
      <c r="H1325" s="152"/>
      <c r="I1325" s="152"/>
      <c r="J1325" s="151"/>
      <c r="K1325" s="151"/>
      <c r="L1325" s="152"/>
      <c r="M1325" s="151"/>
      <c r="O1325" s="69"/>
      <c r="P1325" s="69"/>
      <c r="Q1325" s="69"/>
    </row>
    <row r="1326" spans="2:17">
      <c r="C1326" s="151"/>
      <c r="D1326" s="151" t="s">
        <v>382</v>
      </c>
      <c r="E1326" s="151"/>
      <c r="F1326" s="152"/>
      <c r="G1326" s="152"/>
      <c r="H1326" s="152"/>
      <c r="I1326" s="152"/>
      <c r="J1326" s="151"/>
      <c r="K1326" s="151"/>
      <c r="L1326" s="152"/>
      <c r="M1326" s="151"/>
      <c r="O1326" s="69"/>
      <c r="P1326" s="69"/>
      <c r="Q1326" s="69"/>
    </row>
    <row r="1327" spans="2:17">
      <c r="B1327" s="144" t="str">
        <f>'Autoproducers Calculations'!$C$241</f>
        <v>CHPAUTOGENBIO00</v>
      </c>
      <c r="C1327" s="151" t="s">
        <v>116</v>
      </c>
      <c r="D1327" s="151"/>
      <c r="E1327" s="151"/>
      <c r="F1327" s="152">
        <v>31.536000000000001</v>
      </c>
      <c r="G1327" s="152">
        <f>'Autoproducers Calculations'!AG$209</f>
        <v>0</v>
      </c>
      <c r="H1327" s="152">
        <f>'Autoproducers Calculations'!AG$207</f>
        <v>0</v>
      </c>
      <c r="I1327" s="152">
        <f>'Autoproducers Calculations'!AG$206</f>
        <v>0</v>
      </c>
      <c r="J1327" s="151">
        <v>20</v>
      </c>
      <c r="K1327" s="151">
        <v>1</v>
      </c>
      <c r="L1327" s="152">
        <f>'Autoproducers Calculations'!AG$244</f>
        <v>0</v>
      </c>
      <c r="M1327" s="151">
        <v>0</v>
      </c>
      <c r="O1327" s="69">
        <f t="shared" ref="O1327" si="315">L1327*F1327*I1327</f>
        <v>0</v>
      </c>
      <c r="P1327" s="69">
        <f t="shared" ref="P1327" si="316">O1327*H1327</f>
        <v>0</v>
      </c>
      <c r="Q1327" s="69" t="e">
        <f>O1327/G1327</f>
        <v>#DIV/0!</v>
      </c>
    </row>
    <row r="1328" spans="2:17">
      <c r="C1328" s="151"/>
      <c r="D1328" s="151" t="s">
        <v>105</v>
      </c>
      <c r="E1328" s="151"/>
      <c r="F1328" s="152"/>
      <c r="G1328" s="152"/>
      <c r="H1328" s="152"/>
      <c r="I1328" s="152"/>
      <c r="J1328" s="151"/>
      <c r="K1328" s="151"/>
      <c r="L1328" s="152"/>
      <c r="M1328" s="151"/>
      <c r="O1328" s="69"/>
      <c r="P1328" s="69"/>
      <c r="Q1328" s="69"/>
    </row>
    <row r="1329" spans="1:17">
      <c r="C1329" s="151"/>
      <c r="D1329" s="151" t="s">
        <v>106</v>
      </c>
      <c r="E1329" s="151"/>
      <c r="F1329" s="152"/>
      <c r="G1329" s="152"/>
      <c r="H1329" s="152"/>
      <c r="I1329" s="152"/>
      <c r="J1329" s="151"/>
      <c r="K1329" s="151"/>
      <c r="L1329" s="152"/>
      <c r="M1329" s="151"/>
      <c r="O1329" s="69"/>
      <c r="P1329" s="69"/>
      <c r="Q1329" s="69"/>
    </row>
    <row r="1330" spans="1:17">
      <c r="C1330" s="151"/>
      <c r="D1330" s="151" t="s">
        <v>380</v>
      </c>
      <c r="E1330" s="151"/>
      <c r="F1330" s="152"/>
      <c r="G1330" s="152"/>
      <c r="H1330" s="152"/>
      <c r="I1330" s="152"/>
      <c r="J1330" s="151"/>
      <c r="K1330" s="151"/>
      <c r="L1330" s="151"/>
      <c r="M1330" s="151"/>
      <c r="O1330" s="69"/>
      <c r="P1330" s="69"/>
      <c r="Q1330" s="69"/>
    </row>
    <row r="1331" spans="1:17">
      <c r="C1331" s="151"/>
      <c r="D1331" s="151" t="s">
        <v>379</v>
      </c>
      <c r="E1331" s="151"/>
      <c r="F1331" s="152"/>
      <c r="G1331" s="152"/>
      <c r="H1331" s="152"/>
      <c r="I1331" s="152"/>
      <c r="J1331" s="151"/>
      <c r="K1331" s="151"/>
      <c r="L1331" s="151"/>
      <c r="M1331" s="151"/>
      <c r="O1331" s="69"/>
      <c r="P1331" s="69"/>
      <c r="Q1331" s="69"/>
    </row>
    <row r="1332" spans="1:17">
      <c r="C1332" s="151"/>
      <c r="D1332" s="151" t="s">
        <v>381</v>
      </c>
      <c r="E1332" s="151"/>
      <c r="F1332" s="152"/>
      <c r="G1332" s="152"/>
      <c r="H1332" s="152"/>
      <c r="I1332" s="152"/>
      <c r="J1332" s="151"/>
      <c r="K1332" s="151"/>
      <c r="L1332" s="151"/>
      <c r="M1332" s="151"/>
      <c r="O1332" s="69"/>
      <c r="P1332" s="69"/>
      <c r="Q1332" s="69"/>
    </row>
    <row r="1333" spans="1:17">
      <c r="C1333" s="151"/>
      <c r="D1333" s="151" t="s">
        <v>382</v>
      </c>
      <c r="E1333" s="151"/>
      <c r="F1333" s="152"/>
      <c r="G1333" s="152"/>
      <c r="H1333" s="152"/>
      <c r="I1333" s="152"/>
      <c r="J1333" s="151"/>
      <c r="K1333" s="151"/>
      <c r="L1333" s="151"/>
      <c r="M1333" s="151"/>
      <c r="O1333" s="69"/>
      <c r="P1333" s="69"/>
      <c r="Q1333" s="69"/>
    </row>
    <row r="1334" spans="1:17">
      <c r="B1334" s="144" t="str">
        <f>'Autoproducers Calculations'!$C$250</f>
        <v>CHPAUTOGENWASTE00</v>
      </c>
      <c r="C1334" s="151" t="s">
        <v>117</v>
      </c>
      <c r="D1334" s="151"/>
      <c r="E1334" s="151"/>
      <c r="F1334" s="152">
        <v>31.536000000000001</v>
      </c>
      <c r="G1334" s="152">
        <f>'Autoproducers Calculations'!AG$209</f>
        <v>0</v>
      </c>
      <c r="H1334" s="152">
        <f>'Autoproducers Calculations'!AG$207</f>
        <v>0</v>
      </c>
      <c r="I1334" s="152">
        <f>'Autoproducers Calculations'!AG$206</f>
        <v>0</v>
      </c>
      <c r="J1334" s="151">
        <v>20</v>
      </c>
      <c r="K1334" s="151">
        <v>1</v>
      </c>
      <c r="L1334" s="152">
        <f>'Autoproducers Calculations'!AG$253</f>
        <v>0</v>
      </c>
      <c r="M1334" s="151">
        <v>0</v>
      </c>
      <c r="O1334" s="69">
        <f t="shared" ref="O1334" si="317">L1334*F1334*I1334</f>
        <v>0</v>
      </c>
      <c r="P1334" s="69">
        <f t="shared" ref="P1334" si="318">O1334*H1334</f>
        <v>0</v>
      </c>
      <c r="Q1334" s="69" t="e">
        <f>O1334/G1334</f>
        <v>#DIV/0!</v>
      </c>
    </row>
    <row r="1335" spans="1:17">
      <c r="C1335" s="151" t="s">
        <v>118</v>
      </c>
      <c r="D1335" s="151"/>
      <c r="E1335" s="151"/>
      <c r="F1335" s="152"/>
      <c r="G1335" s="152"/>
      <c r="H1335" s="152"/>
      <c r="I1335" s="152"/>
      <c r="J1335" s="151"/>
      <c r="K1335" s="151"/>
      <c r="L1335" s="151"/>
      <c r="M1335" s="151"/>
      <c r="O1335" s="69"/>
      <c r="P1335" s="69"/>
      <c r="Q1335" s="69"/>
    </row>
    <row r="1336" spans="1:17">
      <c r="C1336" s="151"/>
      <c r="D1336" s="151" t="s">
        <v>105</v>
      </c>
      <c r="E1336" s="151"/>
      <c r="F1336" s="152"/>
      <c r="G1336" s="152"/>
      <c r="H1336" s="152"/>
      <c r="I1336" s="152"/>
      <c r="J1336" s="151"/>
      <c r="K1336" s="151"/>
      <c r="L1336" s="151"/>
      <c r="M1336" s="151"/>
      <c r="O1336" s="719">
        <f>SUM(O1294:O1334)</f>
        <v>0</v>
      </c>
      <c r="P1336" s="719">
        <f>SUM(P1294:P1334)</f>
        <v>0</v>
      </c>
      <c r="Q1336" s="719" t="e">
        <f>SUM(Q1294:Q1334)</f>
        <v>#DIV/0!</v>
      </c>
    </row>
    <row r="1337" spans="1:17">
      <c r="C1337" s="151"/>
      <c r="D1337" s="151" t="s">
        <v>106</v>
      </c>
      <c r="E1337" s="151"/>
      <c r="F1337" s="152"/>
      <c r="G1337" s="152"/>
      <c r="H1337" s="152"/>
      <c r="I1337" s="152"/>
      <c r="J1337" s="151"/>
      <c r="K1337" s="151"/>
      <c r="L1337" s="151"/>
      <c r="M1337" s="151"/>
    </row>
    <row r="1338" spans="1:17">
      <c r="C1338" s="151"/>
      <c r="D1338" s="151" t="s">
        <v>381</v>
      </c>
      <c r="E1338" s="151"/>
      <c r="F1338" s="152"/>
      <c r="G1338" s="152"/>
      <c r="H1338" s="152"/>
      <c r="I1338" s="152"/>
      <c r="J1338" s="151"/>
      <c r="K1338" s="151"/>
      <c r="L1338" s="151"/>
      <c r="M1338" s="151"/>
    </row>
    <row r="1339" spans="1:17">
      <c r="C1339" s="151"/>
      <c r="D1339" s="151" t="s">
        <v>382</v>
      </c>
      <c r="E1339" s="151"/>
      <c r="F1339" s="151"/>
      <c r="G1339" s="151"/>
      <c r="H1339" s="151"/>
      <c r="I1339" s="151"/>
      <c r="J1339" s="151"/>
      <c r="K1339" s="151"/>
      <c r="L1339" s="151"/>
      <c r="M1339" s="151"/>
      <c r="O1339" s="677" t="s">
        <v>390</v>
      </c>
      <c r="P1339" s="677" t="s">
        <v>406</v>
      </c>
      <c r="Q1339" s="677" t="s">
        <v>1304</v>
      </c>
    </row>
    <row r="1340" spans="1:17">
      <c r="A1340" s="64" t="s">
        <v>84</v>
      </c>
      <c r="B1340" s="144" t="str">
        <f>'Autoproducers Calculations'!$C$205</f>
        <v>CHPAUTOGENSOLID00</v>
      </c>
      <c r="C1340" s="151" t="s">
        <v>107</v>
      </c>
      <c r="D1340" s="151"/>
      <c r="E1340" s="151"/>
      <c r="F1340" s="152">
        <v>31.536000000000001</v>
      </c>
      <c r="G1340" s="152">
        <f>'Autoproducers Calculations'!AH$209</f>
        <v>0</v>
      </c>
      <c r="H1340" s="152">
        <f>'Autoproducers Calculations'!AH$207</f>
        <v>0</v>
      </c>
      <c r="I1340" s="152">
        <f>'Autoproducers Calculations'!AH$206</f>
        <v>0</v>
      </c>
      <c r="J1340" s="151">
        <v>20</v>
      </c>
      <c r="K1340" s="151">
        <v>1</v>
      </c>
      <c r="L1340" s="152">
        <f>'Autoproducers Calculations'!AH$208</f>
        <v>0</v>
      </c>
      <c r="M1340" s="151">
        <v>0</v>
      </c>
      <c r="O1340" s="69">
        <f>L1340*F1340*I1340</f>
        <v>0</v>
      </c>
      <c r="P1340" s="69">
        <f t="shared" ref="P1340" si="319">O1340*H1340</f>
        <v>0</v>
      </c>
      <c r="Q1340" s="69" t="e">
        <f>O1340/G1340</f>
        <v>#DIV/0!</v>
      </c>
    </row>
    <row r="1341" spans="1:17">
      <c r="C1341" s="151" t="s">
        <v>108</v>
      </c>
      <c r="D1341" s="151"/>
      <c r="E1341" s="151">
        <f>IF('Autoproducers Calculations'!AH$179&gt;0,'Autoproducers Calculations'!#REF!/'Autoproducers Calculations'!AH$179,0)</f>
        <v>0</v>
      </c>
      <c r="F1341" s="152"/>
      <c r="G1341" s="152"/>
      <c r="H1341" s="152"/>
      <c r="I1341" s="152"/>
      <c r="J1341" s="151"/>
      <c r="K1341" s="151"/>
      <c r="L1341" s="152"/>
      <c r="M1341" s="151"/>
      <c r="O1341" s="69"/>
      <c r="P1341" s="69"/>
      <c r="Q1341" s="69"/>
    </row>
    <row r="1342" spans="1:17">
      <c r="C1342" s="151"/>
      <c r="D1342" s="151" t="s">
        <v>105</v>
      </c>
      <c r="E1342" s="151"/>
      <c r="F1342" s="152"/>
      <c r="G1342" s="152"/>
      <c r="H1342" s="152"/>
      <c r="I1342" s="152"/>
      <c r="J1342" s="151"/>
      <c r="K1342" s="151"/>
      <c r="L1342" s="152"/>
      <c r="M1342" s="151"/>
      <c r="O1342" s="69"/>
      <c r="P1342" s="69"/>
      <c r="Q1342" s="69"/>
    </row>
    <row r="1343" spans="1:17">
      <c r="C1343" s="151"/>
      <c r="D1343" s="151" t="s">
        <v>106</v>
      </c>
      <c r="E1343" s="151"/>
      <c r="F1343" s="152"/>
      <c r="G1343" s="152"/>
      <c r="H1343" s="152"/>
      <c r="I1343" s="152"/>
      <c r="J1343" s="151"/>
      <c r="K1343" s="151"/>
      <c r="L1343" s="152"/>
      <c r="M1343" s="151"/>
      <c r="O1343" s="69"/>
      <c r="P1343" s="69"/>
      <c r="Q1343" s="69"/>
    </row>
    <row r="1344" spans="1:17">
      <c r="C1344" s="151"/>
      <c r="D1344" s="151" t="s">
        <v>378</v>
      </c>
      <c r="E1344" s="151"/>
      <c r="F1344" s="152"/>
      <c r="G1344" s="152"/>
      <c r="H1344" s="152"/>
      <c r="I1344" s="152"/>
      <c r="J1344" s="151"/>
      <c r="K1344" s="151"/>
      <c r="L1344" s="152"/>
      <c r="M1344" s="151"/>
      <c r="O1344" s="69"/>
      <c r="P1344" s="69"/>
      <c r="Q1344" s="69"/>
    </row>
    <row r="1345" spans="2:17">
      <c r="C1345" s="151"/>
      <c r="D1345" s="151" t="s">
        <v>380</v>
      </c>
      <c r="E1345" s="151"/>
      <c r="F1345" s="152"/>
      <c r="G1345" s="152"/>
      <c r="H1345" s="152"/>
      <c r="I1345" s="152"/>
      <c r="J1345" s="151"/>
      <c r="K1345" s="151"/>
      <c r="L1345" s="152"/>
      <c r="M1345" s="151"/>
      <c r="O1345" s="69"/>
      <c r="P1345" s="69"/>
      <c r="Q1345" s="69"/>
    </row>
    <row r="1346" spans="2:17">
      <c r="C1346" s="151"/>
      <c r="D1346" s="151" t="s">
        <v>379</v>
      </c>
      <c r="E1346" s="151"/>
      <c r="F1346" s="152"/>
      <c r="G1346" s="152"/>
      <c r="H1346" s="152"/>
      <c r="I1346" s="152"/>
      <c r="J1346" s="151"/>
      <c r="K1346" s="151"/>
      <c r="L1346" s="152"/>
      <c r="M1346" s="151"/>
      <c r="O1346" s="69"/>
      <c r="P1346" s="69"/>
      <c r="Q1346" s="69"/>
    </row>
    <row r="1347" spans="2:17">
      <c r="C1347" s="151"/>
      <c r="D1347" s="151" t="s">
        <v>381</v>
      </c>
      <c r="E1347" s="151"/>
      <c r="F1347" s="152"/>
      <c r="G1347" s="152"/>
      <c r="H1347" s="152"/>
      <c r="I1347" s="152"/>
      <c r="J1347" s="151"/>
      <c r="K1347" s="151"/>
      <c r="L1347" s="152"/>
      <c r="M1347" s="151"/>
      <c r="O1347" s="69"/>
      <c r="P1347" s="69"/>
      <c r="Q1347" s="69"/>
    </row>
    <row r="1348" spans="2:17">
      <c r="C1348" s="151"/>
      <c r="D1348" s="151" t="s">
        <v>382</v>
      </c>
      <c r="E1348" s="151"/>
      <c r="F1348" s="152"/>
      <c r="G1348" s="152"/>
      <c r="H1348" s="152"/>
      <c r="I1348" s="152"/>
      <c r="J1348" s="151"/>
      <c r="K1348" s="151"/>
      <c r="L1348" s="152"/>
      <c r="M1348" s="151"/>
      <c r="O1348" s="69"/>
      <c r="P1348" s="69"/>
      <c r="Q1348" s="69"/>
    </row>
    <row r="1349" spans="2:17">
      <c r="B1349" s="144" t="str">
        <f>'Autoproducers Calculations'!$C$214</f>
        <v>CHPAUTOGENRFG00</v>
      </c>
      <c r="C1349" s="151" t="s">
        <v>110</v>
      </c>
      <c r="D1349" s="151"/>
      <c r="E1349" s="151"/>
      <c r="F1349" s="152">
        <v>31.536000000000001</v>
      </c>
      <c r="G1349" s="152">
        <f>'Autoproducers Calculations'!AH$209</f>
        <v>0</v>
      </c>
      <c r="H1349" s="152">
        <f>'Autoproducers Calculations'!AH$207</f>
        <v>0</v>
      </c>
      <c r="I1349" s="152">
        <f>'Autoproducers Calculations'!AH$206</f>
        <v>0</v>
      </c>
      <c r="J1349" s="151">
        <v>20</v>
      </c>
      <c r="K1349" s="151">
        <v>1</v>
      </c>
      <c r="L1349" s="152">
        <f>'Autoproducers Calculations'!AH$217</f>
        <v>0</v>
      </c>
      <c r="M1349" s="151">
        <v>0</v>
      </c>
      <c r="O1349" s="69">
        <f t="shared" ref="O1349" si="320">L1349*F1349*I1349</f>
        <v>0</v>
      </c>
      <c r="P1349" s="69">
        <f t="shared" ref="P1349" si="321">O1349*H1349</f>
        <v>0</v>
      </c>
      <c r="Q1349" s="69" t="e">
        <f>O1349/G1349</f>
        <v>#DIV/0!</v>
      </c>
    </row>
    <row r="1350" spans="2:17">
      <c r="C1350" s="151"/>
      <c r="D1350" s="151" t="s">
        <v>105</v>
      </c>
      <c r="E1350" s="151"/>
      <c r="F1350" s="152"/>
      <c r="G1350" s="152"/>
      <c r="H1350" s="152"/>
      <c r="I1350" s="152"/>
      <c r="J1350" s="151"/>
      <c r="K1350" s="151"/>
      <c r="L1350" s="152"/>
      <c r="M1350" s="151"/>
      <c r="O1350" s="69"/>
      <c r="P1350" s="69"/>
      <c r="Q1350" s="69"/>
    </row>
    <row r="1351" spans="2:17">
      <c r="C1351" s="151"/>
      <c r="D1351" s="151" t="s">
        <v>106</v>
      </c>
      <c r="E1351" s="151"/>
      <c r="F1351" s="152"/>
      <c r="G1351" s="152"/>
      <c r="H1351" s="152"/>
      <c r="I1351" s="152"/>
      <c r="J1351" s="151"/>
      <c r="K1351" s="151"/>
      <c r="L1351" s="152"/>
      <c r="M1351" s="151"/>
      <c r="O1351" s="69"/>
      <c r="P1351" s="69"/>
      <c r="Q1351" s="69"/>
    </row>
    <row r="1352" spans="2:17">
      <c r="C1352" s="151"/>
      <c r="D1352" s="151" t="s">
        <v>1342</v>
      </c>
      <c r="E1352" s="151"/>
      <c r="F1352" s="152"/>
      <c r="G1352" s="152"/>
      <c r="H1352" s="152"/>
      <c r="I1352" s="152"/>
      <c r="J1352" s="151"/>
      <c r="K1352" s="151"/>
      <c r="L1352" s="152"/>
      <c r="M1352" s="151"/>
      <c r="O1352" s="69"/>
      <c r="P1352" s="69"/>
      <c r="Q1352" s="69"/>
    </row>
    <row r="1353" spans="2:17">
      <c r="C1353" s="151"/>
      <c r="D1353" s="151" t="s">
        <v>380</v>
      </c>
      <c r="E1353" s="151"/>
      <c r="F1353" s="152"/>
      <c r="G1353" s="152"/>
      <c r="H1353" s="152"/>
      <c r="I1353" s="152"/>
      <c r="J1353" s="151"/>
      <c r="K1353" s="151"/>
      <c r="L1353" s="152"/>
      <c r="M1353" s="151"/>
      <c r="O1353" s="69"/>
      <c r="P1353" s="69"/>
      <c r="Q1353" s="69"/>
    </row>
    <row r="1354" spans="2:17">
      <c r="C1354" s="151"/>
      <c r="D1354" s="151" t="s">
        <v>379</v>
      </c>
      <c r="E1354" s="151"/>
      <c r="F1354" s="152"/>
      <c r="G1354" s="152"/>
      <c r="H1354" s="152"/>
      <c r="I1354" s="152"/>
      <c r="J1354" s="151"/>
      <c r="K1354" s="151"/>
      <c r="L1354" s="152"/>
      <c r="M1354" s="151"/>
      <c r="O1354" s="69"/>
      <c r="P1354" s="69"/>
      <c r="Q1354" s="69"/>
    </row>
    <row r="1355" spans="2:17">
      <c r="B1355" s="144" t="str">
        <f>'Autoproducers Calculations'!$C$223</f>
        <v>CHPAUTOGENOIL00</v>
      </c>
      <c r="C1355" s="151" t="s">
        <v>111</v>
      </c>
      <c r="D1355" s="151"/>
      <c r="E1355" s="151">
        <f>IF('Autoproducers Calculations'!AH$181&gt;0,'Autoproducers Calculations'!#REF!/'Autoproducers Calculations'!AH$181,0)</f>
        <v>0</v>
      </c>
      <c r="F1355" s="152">
        <v>31.536000000000001</v>
      </c>
      <c r="G1355" s="152">
        <f>'Autoproducers Calculations'!AH$209</f>
        <v>0</v>
      </c>
      <c r="H1355" s="152">
        <f>'Autoproducers Calculations'!AH$207</f>
        <v>0</v>
      </c>
      <c r="I1355" s="152">
        <f>'Autoproducers Calculations'!AH$206</f>
        <v>0</v>
      </c>
      <c r="J1355" s="151">
        <v>20</v>
      </c>
      <c r="K1355" s="151">
        <v>1</v>
      </c>
      <c r="L1355" s="152">
        <f>'Autoproducers Calculations'!AH$226</f>
        <v>0</v>
      </c>
      <c r="M1355" s="151">
        <v>0</v>
      </c>
      <c r="O1355" s="69">
        <f t="shared" ref="O1355" si="322">L1355*F1355*I1355</f>
        <v>0</v>
      </c>
      <c r="P1355" s="69">
        <f t="shared" ref="P1355" si="323">O1355*H1355</f>
        <v>0</v>
      </c>
      <c r="Q1355" s="69" t="e">
        <f>O1355/G1355</f>
        <v>#DIV/0!</v>
      </c>
    </row>
    <row r="1356" spans="2:17">
      <c r="C1356" s="151" t="s">
        <v>112</v>
      </c>
      <c r="D1356" s="151"/>
      <c r="E1356" s="151"/>
      <c r="F1356" s="152"/>
      <c r="G1356" s="152"/>
      <c r="H1356" s="152"/>
      <c r="I1356" s="152"/>
      <c r="J1356" s="151"/>
      <c r="K1356" s="151"/>
      <c r="L1356" s="152"/>
      <c r="M1356" s="151"/>
      <c r="O1356" s="69"/>
      <c r="P1356" s="69"/>
      <c r="Q1356" s="69"/>
    </row>
    <row r="1357" spans="2:17">
      <c r="C1357" s="151"/>
      <c r="D1357" s="151" t="s">
        <v>105</v>
      </c>
      <c r="E1357" s="151"/>
      <c r="F1357" s="152"/>
      <c r="G1357" s="152"/>
      <c r="H1357" s="152"/>
      <c r="I1357" s="152"/>
      <c r="J1357" s="151"/>
      <c r="K1357" s="151"/>
      <c r="L1357" s="152"/>
      <c r="M1357" s="151"/>
      <c r="O1357" s="69"/>
      <c r="P1357" s="69"/>
      <c r="Q1357" s="69"/>
    </row>
    <row r="1358" spans="2:17">
      <c r="C1358" s="151"/>
      <c r="D1358" s="151" t="s">
        <v>106</v>
      </c>
      <c r="E1358" s="151"/>
      <c r="F1358" s="152"/>
      <c r="G1358" s="152"/>
      <c r="H1358" s="152"/>
      <c r="I1358" s="152"/>
      <c r="J1358" s="151"/>
      <c r="K1358" s="151"/>
      <c r="L1358" s="152"/>
      <c r="M1358" s="151"/>
      <c r="O1358" s="69"/>
      <c r="P1358" s="69"/>
      <c r="Q1358" s="69"/>
    </row>
    <row r="1359" spans="2:17">
      <c r="C1359" s="151"/>
      <c r="D1359" s="151" t="s">
        <v>380</v>
      </c>
      <c r="E1359" s="151"/>
      <c r="F1359" s="152"/>
      <c r="G1359" s="152"/>
      <c r="H1359" s="152"/>
      <c r="I1359" s="152"/>
      <c r="J1359" s="151"/>
      <c r="K1359" s="151"/>
      <c r="L1359" s="152"/>
      <c r="M1359" s="151"/>
      <c r="O1359" s="69"/>
      <c r="P1359" s="69"/>
      <c r="Q1359" s="69"/>
    </row>
    <row r="1360" spans="2:17">
      <c r="C1360" s="151"/>
      <c r="D1360" s="151" t="s">
        <v>379</v>
      </c>
      <c r="E1360" s="151"/>
      <c r="F1360" s="152"/>
      <c r="G1360" s="152"/>
      <c r="H1360" s="152"/>
      <c r="I1360" s="152"/>
      <c r="J1360" s="151"/>
      <c r="K1360" s="151"/>
      <c r="L1360" s="152"/>
      <c r="M1360" s="151"/>
      <c r="O1360" s="69"/>
      <c r="P1360" s="69"/>
      <c r="Q1360" s="69"/>
    </row>
    <row r="1361" spans="2:17">
      <c r="C1361" s="151"/>
      <c r="D1361" s="151" t="s">
        <v>1342</v>
      </c>
      <c r="E1361" s="151"/>
      <c r="F1361" s="152"/>
      <c r="G1361" s="152"/>
      <c r="H1361" s="152"/>
      <c r="I1361" s="152"/>
      <c r="J1361" s="151"/>
      <c r="K1361" s="151"/>
      <c r="L1361" s="152"/>
      <c r="M1361" s="151"/>
      <c r="O1361" s="69"/>
      <c r="P1361" s="69"/>
      <c r="Q1361" s="69"/>
    </row>
    <row r="1362" spans="2:17">
      <c r="C1362" s="151"/>
      <c r="D1362" s="151" t="s">
        <v>382</v>
      </c>
      <c r="E1362" s="151"/>
      <c r="F1362" s="152"/>
      <c r="G1362" s="152"/>
      <c r="H1362" s="152"/>
      <c r="I1362" s="152"/>
      <c r="J1362" s="151"/>
      <c r="K1362" s="151"/>
      <c r="L1362" s="152"/>
      <c r="M1362" s="151"/>
      <c r="O1362" s="69"/>
      <c r="P1362" s="69"/>
      <c r="Q1362" s="69"/>
    </row>
    <row r="1363" spans="2:17">
      <c r="B1363" s="144" t="str">
        <f>'Autoproducers Calculations'!$C$232</f>
        <v>CHPAUTOGENGAS00</v>
      </c>
      <c r="C1363" s="151" t="s">
        <v>113</v>
      </c>
      <c r="D1363" s="151"/>
      <c r="E1363" s="151"/>
      <c r="F1363" s="152">
        <v>31.536000000000001</v>
      </c>
      <c r="G1363" s="152">
        <f>'Autoproducers Calculations'!AH$209</f>
        <v>0</v>
      </c>
      <c r="H1363" s="152">
        <f>'Autoproducers Calculations'!AH$207</f>
        <v>0</v>
      </c>
      <c r="I1363" s="152">
        <f>'Autoproducers Calculations'!AH$206</f>
        <v>0</v>
      </c>
      <c r="J1363" s="151">
        <v>20</v>
      </c>
      <c r="K1363" s="151">
        <v>1</v>
      </c>
      <c r="L1363" s="152">
        <f>'Autoproducers Calculations'!AH$235</f>
        <v>0</v>
      </c>
      <c r="M1363" s="151">
        <v>0</v>
      </c>
      <c r="O1363" s="69">
        <f t="shared" ref="O1363" si="324">L1363*F1363*I1363</f>
        <v>0</v>
      </c>
      <c r="P1363" s="69">
        <f t="shared" ref="P1363" si="325">O1363*H1363</f>
        <v>0</v>
      </c>
      <c r="Q1363" s="69" t="e">
        <f>O1363/G1363</f>
        <v>#DIV/0!</v>
      </c>
    </row>
    <row r="1364" spans="2:17">
      <c r="C1364" s="151"/>
      <c r="D1364" s="151" t="s">
        <v>105</v>
      </c>
      <c r="E1364" s="151"/>
      <c r="F1364" s="152"/>
      <c r="G1364" s="152"/>
      <c r="H1364" s="152"/>
      <c r="I1364" s="152"/>
      <c r="J1364" s="151"/>
      <c r="K1364" s="151"/>
      <c r="L1364" s="152"/>
      <c r="M1364" s="151"/>
      <c r="O1364" s="69"/>
      <c r="P1364" s="69"/>
      <c r="Q1364" s="69"/>
    </row>
    <row r="1365" spans="2:17">
      <c r="C1365" s="151"/>
      <c r="D1365" s="151" t="s">
        <v>106</v>
      </c>
      <c r="E1365" s="151"/>
      <c r="F1365" s="152"/>
      <c r="G1365" s="152"/>
      <c r="H1365" s="152"/>
      <c r="I1365" s="152"/>
      <c r="J1365" s="151"/>
      <c r="K1365" s="151"/>
      <c r="L1365" s="152"/>
      <c r="M1365" s="151"/>
      <c r="O1365" s="69"/>
      <c r="P1365" s="69"/>
      <c r="Q1365" s="69"/>
    </row>
    <row r="1366" spans="2:17">
      <c r="C1366" s="151"/>
      <c r="D1366" s="151" t="s">
        <v>1342</v>
      </c>
      <c r="E1366" s="151"/>
      <c r="F1366" s="152"/>
      <c r="G1366" s="152"/>
      <c r="H1366" s="152"/>
      <c r="I1366" s="152"/>
      <c r="J1366" s="151"/>
      <c r="K1366" s="151"/>
      <c r="L1366" s="152"/>
      <c r="M1366" s="151"/>
      <c r="O1366" s="69"/>
      <c r="P1366" s="69"/>
      <c r="Q1366" s="69"/>
    </row>
    <row r="1367" spans="2:17">
      <c r="C1367" s="151"/>
      <c r="D1367" s="151" t="s">
        <v>378</v>
      </c>
      <c r="E1367" s="151"/>
      <c r="F1367" s="152"/>
      <c r="G1367" s="152"/>
      <c r="H1367" s="152"/>
      <c r="I1367" s="152"/>
      <c r="J1367" s="151"/>
      <c r="K1367" s="151"/>
      <c r="L1367" s="152"/>
      <c r="M1367" s="151"/>
      <c r="O1367" s="69"/>
      <c r="P1367" s="69"/>
      <c r="Q1367" s="69"/>
    </row>
    <row r="1368" spans="2:17">
      <c r="C1368" s="151"/>
      <c r="D1368" s="151" t="s">
        <v>421</v>
      </c>
      <c r="E1368" s="151"/>
      <c r="F1368" s="152"/>
      <c r="G1368" s="152"/>
      <c r="H1368" s="152"/>
      <c r="I1368" s="152"/>
      <c r="J1368" s="151"/>
      <c r="K1368" s="151"/>
      <c r="L1368" s="152"/>
      <c r="M1368" s="151"/>
      <c r="O1368" s="69"/>
      <c r="P1368" s="69"/>
      <c r="Q1368" s="69"/>
    </row>
    <row r="1369" spans="2:17">
      <c r="C1369" s="151"/>
      <c r="D1369" s="151" t="s">
        <v>380</v>
      </c>
      <c r="E1369" s="151"/>
      <c r="F1369" s="152"/>
      <c r="G1369" s="152"/>
      <c r="H1369" s="152"/>
      <c r="I1369" s="152"/>
      <c r="J1369" s="151"/>
      <c r="K1369" s="151"/>
      <c r="L1369" s="152"/>
      <c r="M1369" s="151"/>
      <c r="O1369" s="69"/>
      <c r="P1369" s="69"/>
      <c r="Q1369" s="69"/>
    </row>
    <row r="1370" spans="2:17">
      <c r="C1370" s="151"/>
      <c r="D1370" s="151" t="s">
        <v>379</v>
      </c>
      <c r="E1370" s="151"/>
      <c r="F1370" s="152"/>
      <c r="G1370" s="152"/>
      <c r="H1370" s="152"/>
      <c r="I1370" s="152"/>
      <c r="J1370" s="151"/>
      <c r="K1370" s="151"/>
      <c r="L1370" s="152"/>
      <c r="M1370" s="151"/>
      <c r="O1370" s="69"/>
      <c r="P1370" s="69"/>
      <c r="Q1370" s="69"/>
    </row>
    <row r="1371" spans="2:17">
      <c r="C1371" s="151"/>
      <c r="D1371" s="151" t="s">
        <v>381</v>
      </c>
      <c r="E1371" s="151"/>
      <c r="F1371" s="152"/>
      <c r="G1371" s="152"/>
      <c r="H1371" s="152"/>
      <c r="I1371" s="152"/>
      <c r="J1371" s="151"/>
      <c r="K1371" s="151"/>
      <c r="L1371" s="152"/>
      <c r="M1371" s="151"/>
      <c r="O1371" s="69"/>
      <c r="P1371" s="69"/>
      <c r="Q1371" s="69"/>
    </row>
    <row r="1372" spans="2:17">
      <c r="C1372" s="151"/>
      <c r="D1372" s="151" t="s">
        <v>382</v>
      </c>
      <c r="E1372" s="151"/>
      <c r="F1372" s="152"/>
      <c r="G1372" s="152"/>
      <c r="H1372" s="152"/>
      <c r="I1372" s="152"/>
      <c r="J1372" s="151"/>
      <c r="K1372" s="151"/>
      <c r="L1372" s="152"/>
      <c r="M1372" s="151"/>
      <c r="O1372" s="69"/>
      <c r="P1372" s="69"/>
      <c r="Q1372" s="69"/>
    </row>
    <row r="1373" spans="2:17">
      <c r="B1373" s="144" t="str">
        <f>'Autoproducers Calculations'!$C$241</f>
        <v>CHPAUTOGENBIO00</v>
      </c>
      <c r="C1373" s="151" t="s">
        <v>116</v>
      </c>
      <c r="D1373" s="151"/>
      <c r="E1373" s="151"/>
      <c r="F1373" s="152">
        <v>31.536000000000001</v>
      </c>
      <c r="G1373" s="152">
        <f>'Autoproducers Calculations'!AH$209</f>
        <v>0</v>
      </c>
      <c r="H1373" s="152">
        <f>'Autoproducers Calculations'!AH$207</f>
        <v>0</v>
      </c>
      <c r="I1373" s="152">
        <f>'Autoproducers Calculations'!AH$206</f>
        <v>0</v>
      </c>
      <c r="J1373" s="151">
        <v>20</v>
      </c>
      <c r="K1373" s="151">
        <v>1</v>
      </c>
      <c r="L1373" s="152">
        <f>'Autoproducers Calculations'!AH$244</f>
        <v>0</v>
      </c>
      <c r="M1373" s="151">
        <v>0</v>
      </c>
      <c r="O1373" s="69">
        <f t="shared" ref="O1373" si="326">L1373*F1373*I1373</f>
        <v>0</v>
      </c>
      <c r="P1373" s="69">
        <f t="shared" ref="P1373" si="327">O1373*H1373</f>
        <v>0</v>
      </c>
      <c r="Q1373" s="69" t="e">
        <f>O1373/G1373</f>
        <v>#DIV/0!</v>
      </c>
    </row>
    <row r="1374" spans="2:17">
      <c r="C1374" s="151"/>
      <c r="D1374" s="151" t="s">
        <v>105</v>
      </c>
      <c r="E1374" s="151"/>
      <c r="F1374" s="152"/>
      <c r="G1374" s="152"/>
      <c r="H1374" s="152"/>
      <c r="I1374" s="152"/>
      <c r="J1374" s="151"/>
      <c r="K1374" s="151"/>
      <c r="L1374" s="152"/>
      <c r="M1374" s="151"/>
      <c r="O1374" s="69"/>
      <c r="P1374" s="69"/>
      <c r="Q1374" s="69"/>
    </row>
    <row r="1375" spans="2:17">
      <c r="C1375" s="151"/>
      <c r="D1375" s="151" t="s">
        <v>106</v>
      </c>
      <c r="E1375" s="151"/>
      <c r="F1375" s="152"/>
      <c r="G1375" s="152"/>
      <c r="H1375" s="152"/>
      <c r="I1375" s="152"/>
      <c r="J1375" s="151"/>
      <c r="K1375" s="151"/>
      <c r="L1375" s="152"/>
      <c r="M1375" s="151"/>
      <c r="O1375" s="69"/>
      <c r="P1375" s="69"/>
      <c r="Q1375" s="69"/>
    </row>
    <row r="1376" spans="2:17">
      <c r="C1376" s="151"/>
      <c r="D1376" s="151" t="s">
        <v>380</v>
      </c>
      <c r="E1376" s="151"/>
      <c r="F1376" s="152"/>
      <c r="G1376" s="152"/>
      <c r="H1376" s="152"/>
      <c r="I1376" s="152"/>
      <c r="J1376" s="151"/>
      <c r="K1376" s="151"/>
      <c r="L1376" s="151"/>
      <c r="M1376" s="151"/>
      <c r="O1376" s="69"/>
      <c r="P1376" s="69"/>
      <c r="Q1376" s="69"/>
    </row>
    <row r="1377" spans="2:17">
      <c r="C1377" s="151"/>
      <c r="D1377" s="151" t="s">
        <v>379</v>
      </c>
      <c r="E1377" s="151"/>
      <c r="F1377" s="152"/>
      <c r="G1377" s="152"/>
      <c r="H1377" s="152"/>
      <c r="I1377" s="152"/>
      <c r="J1377" s="151"/>
      <c r="K1377" s="151"/>
      <c r="L1377" s="151"/>
      <c r="M1377" s="151"/>
      <c r="O1377" s="69"/>
      <c r="P1377" s="69"/>
      <c r="Q1377" s="69"/>
    </row>
    <row r="1378" spans="2:17">
      <c r="C1378" s="151"/>
      <c r="D1378" s="151" t="s">
        <v>381</v>
      </c>
      <c r="E1378" s="151"/>
      <c r="F1378" s="152"/>
      <c r="G1378" s="152"/>
      <c r="H1378" s="152"/>
      <c r="I1378" s="152"/>
      <c r="J1378" s="151"/>
      <c r="K1378" s="151"/>
      <c r="L1378" s="151"/>
      <c r="M1378" s="151"/>
      <c r="O1378" s="69"/>
      <c r="P1378" s="69"/>
      <c r="Q1378" s="69"/>
    </row>
    <row r="1379" spans="2:17">
      <c r="C1379" s="151"/>
      <c r="D1379" s="151" t="s">
        <v>382</v>
      </c>
      <c r="E1379" s="151"/>
      <c r="F1379" s="152"/>
      <c r="G1379" s="152"/>
      <c r="H1379" s="152"/>
      <c r="I1379" s="152"/>
      <c r="J1379" s="151"/>
      <c r="K1379" s="151"/>
      <c r="L1379" s="151"/>
      <c r="M1379" s="151"/>
      <c r="O1379" s="69"/>
      <c r="P1379" s="69"/>
      <c r="Q1379" s="69"/>
    </row>
    <row r="1380" spans="2:17">
      <c r="B1380" s="144" t="str">
        <f>'Autoproducers Calculations'!$C$250</f>
        <v>CHPAUTOGENWASTE00</v>
      </c>
      <c r="C1380" s="151" t="s">
        <v>117</v>
      </c>
      <c r="D1380" s="151"/>
      <c r="E1380" s="151"/>
      <c r="F1380" s="152">
        <v>31.536000000000001</v>
      </c>
      <c r="G1380" s="152">
        <f>'Autoproducers Calculations'!AH$209</f>
        <v>0</v>
      </c>
      <c r="H1380" s="152">
        <f>'Autoproducers Calculations'!AH$207</f>
        <v>0</v>
      </c>
      <c r="I1380" s="152">
        <f>'Autoproducers Calculations'!AH$206</f>
        <v>0</v>
      </c>
      <c r="J1380" s="151">
        <v>20</v>
      </c>
      <c r="K1380" s="151">
        <v>1</v>
      </c>
      <c r="L1380" s="152">
        <f>'Autoproducers Calculations'!AH$253</f>
        <v>0</v>
      </c>
      <c r="M1380" s="151">
        <v>0</v>
      </c>
      <c r="O1380" s="69">
        <f t="shared" ref="O1380" si="328">L1380*F1380*I1380</f>
        <v>0</v>
      </c>
      <c r="P1380" s="69">
        <f t="shared" ref="P1380" si="329">O1380*H1380</f>
        <v>0</v>
      </c>
      <c r="Q1380" s="69" t="e">
        <f>O1380/G1380</f>
        <v>#DIV/0!</v>
      </c>
    </row>
    <row r="1381" spans="2:17">
      <c r="C1381" s="151" t="s">
        <v>118</v>
      </c>
      <c r="D1381" s="151"/>
      <c r="E1381" s="151"/>
      <c r="F1381" s="152"/>
      <c r="G1381" s="152"/>
      <c r="H1381" s="152"/>
      <c r="I1381" s="152"/>
      <c r="J1381" s="151"/>
      <c r="K1381" s="151"/>
      <c r="L1381" s="151"/>
      <c r="M1381" s="151"/>
      <c r="O1381" s="69"/>
      <c r="P1381" s="69"/>
      <c r="Q1381" s="69"/>
    </row>
    <row r="1382" spans="2:17">
      <c r="C1382" s="151"/>
      <c r="D1382" s="151" t="s">
        <v>105</v>
      </c>
      <c r="E1382" s="151"/>
      <c r="F1382" s="152"/>
      <c r="G1382" s="152"/>
      <c r="H1382" s="152"/>
      <c r="I1382" s="152"/>
      <c r="J1382" s="151"/>
      <c r="K1382" s="151"/>
      <c r="L1382" s="151"/>
      <c r="M1382" s="151"/>
      <c r="O1382" s="719">
        <f>SUM(O1340:O1380)</f>
        <v>0</v>
      </c>
      <c r="P1382" s="719">
        <f>SUM(P1340:P1380)</f>
        <v>0</v>
      </c>
      <c r="Q1382" s="719" t="e">
        <f>SUM(Q1340:Q1380)</f>
        <v>#DIV/0!</v>
      </c>
    </row>
    <row r="1383" spans="2:17">
      <c r="C1383" s="151"/>
      <c r="D1383" s="151" t="s">
        <v>106</v>
      </c>
      <c r="E1383" s="151"/>
      <c r="F1383" s="152"/>
      <c r="G1383" s="152"/>
      <c r="H1383" s="152"/>
      <c r="I1383" s="152"/>
      <c r="J1383" s="151"/>
      <c r="K1383" s="151"/>
      <c r="L1383" s="151"/>
      <c r="M1383" s="151"/>
    </row>
    <row r="1384" spans="2:17">
      <c r="C1384" s="151"/>
      <c r="D1384" s="151" t="s">
        <v>381</v>
      </c>
      <c r="E1384" s="151"/>
      <c r="F1384" s="152"/>
      <c r="G1384" s="152"/>
      <c r="H1384" s="152"/>
      <c r="I1384" s="152"/>
      <c r="J1384" s="151"/>
      <c r="K1384" s="151"/>
      <c r="L1384" s="151"/>
      <c r="M1384" s="151"/>
    </row>
    <row r="1385" spans="2:17">
      <c r="C1385" s="151"/>
      <c r="D1385" s="151" t="s">
        <v>382</v>
      </c>
      <c r="E1385" s="151"/>
      <c r="F1385" s="151"/>
      <c r="G1385" s="151"/>
      <c r="H1385" s="151"/>
      <c r="I1385" s="151"/>
      <c r="J1385" s="151"/>
      <c r="K1385" s="151"/>
      <c r="L1385" s="151"/>
      <c r="M1385" s="151"/>
    </row>
  </sheetData>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sheetPr>
  <dimension ref="A2:AR334"/>
  <sheetViews>
    <sheetView zoomScaleNormal="100" workbookViewId="0">
      <selection activeCell="S3" sqref="S3"/>
    </sheetView>
  </sheetViews>
  <sheetFormatPr defaultRowHeight="12.75"/>
  <cols>
    <col min="2" max="2" width="20.5703125" customWidth="1"/>
    <col min="3" max="3" width="36.5703125" customWidth="1"/>
    <col min="7" max="7" width="10.7109375" customWidth="1"/>
    <col min="11" max="11" width="14.28515625" customWidth="1"/>
    <col min="13" max="13" width="17.42578125" customWidth="1"/>
    <col min="14" max="17" width="9.140625" customWidth="1"/>
  </cols>
  <sheetData>
    <row r="2" spans="1:44" ht="18" customHeight="1">
      <c r="B2" s="29" t="s">
        <v>355</v>
      </c>
      <c r="C2" s="115"/>
      <c r="D2" s="115"/>
      <c r="E2" s="116"/>
      <c r="F2" s="117"/>
      <c r="G2" s="118"/>
      <c r="H2" s="118"/>
      <c r="I2" s="118"/>
      <c r="J2" s="118"/>
      <c r="K2" s="118"/>
      <c r="L2" s="118"/>
      <c r="M2" s="118"/>
      <c r="S2" s="136" t="s">
        <v>1345</v>
      </c>
      <c r="AC2" s="69"/>
      <c r="AD2" s="69"/>
      <c r="AE2" s="69"/>
      <c r="AF2" s="69"/>
      <c r="AG2" s="69"/>
      <c r="AH2" s="69"/>
      <c r="AI2" s="69"/>
      <c r="AJ2" s="69"/>
      <c r="AK2" s="69"/>
      <c r="AL2" s="69"/>
      <c r="AM2" s="69"/>
      <c r="AN2" s="69"/>
      <c r="AO2" s="69"/>
      <c r="AP2" s="69"/>
    </row>
    <row r="3" spans="1:44" ht="12.75" customHeight="1">
      <c r="B3" s="119" t="s">
        <v>356</v>
      </c>
      <c r="C3" s="119" t="s">
        <v>357</v>
      </c>
      <c r="D3" s="119" t="s">
        <v>358</v>
      </c>
      <c r="E3" s="119" t="s">
        <v>359</v>
      </c>
      <c r="F3" s="120" t="s">
        <v>148</v>
      </c>
      <c r="G3" s="134" t="s">
        <v>371</v>
      </c>
      <c r="H3" s="134" t="s">
        <v>369</v>
      </c>
      <c r="I3" s="121" t="s">
        <v>202</v>
      </c>
      <c r="J3" s="121" t="s">
        <v>360</v>
      </c>
      <c r="K3" s="121" t="s">
        <v>259</v>
      </c>
      <c r="L3" s="121" t="s">
        <v>361</v>
      </c>
      <c r="M3" s="122" t="s">
        <v>370</v>
      </c>
      <c r="S3" s="145" t="s">
        <v>383</v>
      </c>
      <c r="T3" s="146" t="s">
        <v>356</v>
      </c>
      <c r="U3" s="146" t="s">
        <v>357</v>
      </c>
      <c r="V3" s="146" t="s">
        <v>384</v>
      </c>
      <c r="W3" s="146" t="s">
        <v>385</v>
      </c>
      <c r="X3" s="146" t="s">
        <v>386</v>
      </c>
      <c r="Y3" s="146" t="s">
        <v>387</v>
      </c>
      <c r="Z3" s="147" t="s">
        <v>388</v>
      </c>
      <c r="AH3" s="69"/>
      <c r="AI3" s="69"/>
      <c r="AJ3" s="69"/>
      <c r="AK3" s="69"/>
      <c r="AL3" s="69"/>
      <c r="AM3" s="69"/>
      <c r="AN3" s="69"/>
      <c r="AO3" s="69"/>
      <c r="AP3" s="69"/>
      <c r="AR3" s="69"/>
    </row>
    <row r="4" spans="1:44" ht="13.5" customHeight="1" thickBot="1">
      <c r="B4" s="123"/>
      <c r="C4" s="123"/>
      <c r="D4" s="123"/>
      <c r="E4" s="123" t="s">
        <v>363</v>
      </c>
      <c r="F4" s="124"/>
      <c r="G4" s="135" t="s">
        <v>79</v>
      </c>
      <c r="H4" s="135" t="s">
        <v>79</v>
      </c>
      <c r="I4" s="124"/>
      <c r="J4" s="124"/>
      <c r="K4" s="124" t="s">
        <v>201</v>
      </c>
      <c r="L4" s="124"/>
      <c r="M4" s="125"/>
      <c r="O4" s="677" t="s">
        <v>1309</v>
      </c>
      <c r="P4" s="677" t="s">
        <v>1310</v>
      </c>
      <c r="S4" s="144" t="s">
        <v>390</v>
      </c>
      <c r="T4" s="144" t="str">
        <f>B5</f>
        <v>EAUTOGENSOLID00</v>
      </c>
      <c r="U4" s="144" t="str">
        <f>C5</f>
        <v>EAUT.Electricity Autoproduction.SOLID.00</v>
      </c>
      <c r="V4" s="144" t="s">
        <v>14</v>
      </c>
      <c r="W4" s="144" t="s">
        <v>11</v>
      </c>
      <c r="X4" s="144" t="s">
        <v>389</v>
      </c>
      <c r="Y4" s="144"/>
      <c r="Z4" s="144"/>
      <c r="AE4" s="69"/>
      <c r="AF4" s="69"/>
      <c r="AG4" s="69"/>
      <c r="AH4" s="69"/>
      <c r="AI4" s="69"/>
      <c r="AJ4" s="69"/>
      <c r="AK4" s="69"/>
      <c r="AL4" s="69"/>
      <c r="AM4" s="69"/>
      <c r="AN4" s="69"/>
      <c r="AO4" s="69"/>
      <c r="AP4" s="69"/>
      <c r="AQ4" s="69"/>
      <c r="AR4" s="69"/>
    </row>
    <row r="5" spans="1:44" ht="12.75" customHeight="1">
      <c r="A5" s="107" t="str">
        <f>'CHP BY IND'!A6</f>
        <v>AT</v>
      </c>
      <c r="B5" s="126" t="str">
        <f>'Autoproducers Calculations'!$C$388</f>
        <v>EAUTOGENSOLID00</v>
      </c>
      <c r="C5" s="127" t="s">
        <v>368</v>
      </c>
      <c r="D5" s="128" t="s">
        <v>107</v>
      </c>
      <c r="E5" s="128" t="s">
        <v>105</v>
      </c>
      <c r="F5" s="129">
        <f>'Autoproducers Calculations'!E$391</f>
        <v>0.41276234895060421</v>
      </c>
      <c r="G5" s="129"/>
      <c r="H5" s="129"/>
      <c r="I5" s="130">
        <f>'Autoproducers Calculations'!E$389</f>
        <v>0.38931954062827012</v>
      </c>
      <c r="J5" s="45">
        <v>1</v>
      </c>
      <c r="K5" s="131">
        <v>31.536000000000001</v>
      </c>
      <c r="L5" s="45">
        <f>'Autoproducers Calculations'!E$390</f>
        <v>8.4021148501408956E-3</v>
      </c>
      <c r="M5" s="132">
        <v>0</v>
      </c>
      <c r="O5" s="90">
        <f>L5*K5*I5</f>
        <v>0.10315764592330429</v>
      </c>
      <c r="P5" s="90">
        <f>O5/F5</f>
        <v>0.24992019302528315</v>
      </c>
      <c r="S5" s="144"/>
      <c r="T5" s="144" t="str">
        <f>B7</f>
        <v>EAUTOGENRFGD00</v>
      </c>
      <c r="U5" s="144" t="str">
        <f>C7</f>
        <v>EAUT.Electricity Autoproduction.RFG.00</v>
      </c>
      <c r="V5" s="144" t="s">
        <v>14</v>
      </c>
      <c r="W5" s="144" t="s">
        <v>11</v>
      </c>
      <c r="X5" s="144" t="s">
        <v>389</v>
      </c>
      <c r="Y5" s="144"/>
      <c r="Z5" s="144"/>
      <c r="AE5" s="69"/>
      <c r="AF5" s="69"/>
      <c r="AG5" s="69"/>
      <c r="AI5" s="69"/>
      <c r="AJ5" s="69"/>
      <c r="AQ5" s="69"/>
      <c r="AR5" s="69"/>
    </row>
    <row r="6" spans="1:44" ht="12.75" customHeight="1">
      <c r="A6" s="107"/>
      <c r="B6" s="126"/>
      <c r="C6" s="127"/>
      <c r="D6" s="128" t="s">
        <v>108</v>
      </c>
      <c r="E6" s="128"/>
      <c r="F6" s="129"/>
      <c r="G6" s="699">
        <f>'Eurostat Resume'!F45</f>
        <v>1</v>
      </c>
      <c r="H6" s="129"/>
      <c r="I6" s="130"/>
      <c r="J6" s="45"/>
      <c r="K6" s="131"/>
      <c r="L6" s="45"/>
      <c r="M6" s="132"/>
      <c r="O6" s="90"/>
      <c r="P6" s="90"/>
      <c r="S6" s="144"/>
      <c r="T6" s="144" t="str">
        <f>B8</f>
        <v>EAUTOGENOIL00</v>
      </c>
      <c r="U6" s="144" t="str">
        <f>C8</f>
        <v>EAUT.Electricity Autoproduction.OIL.00</v>
      </c>
      <c r="V6" s="144" t="s">
        <v>14</v>
      </c>
      <c r="W6" s="144" t="s">
        <v>11</v>
      </c>
      <c r="X6" s="144" t="s">
        <v>389</v>
      </c>
      <c r="Y6" s="144"/>
      <c r="Z6" s="144"/>
      <c r="AE6" s="69"/>
      <c r="AF6" s="69"/>
      <c r="AG6" s="69"/>
      <c r="AI6" s="69"/>
      <c r="AJ6" s="69"/>
      <c r="AQ6" s="69"/>
      <c r="AR6" s="69"/>
    </row>
    <row r="7" spans="1:44" ht="12.75" customHeight="1">
      <c r="A7" s="107"/>
      <c r="B7" s="126" t="str">
        <f>'Autoproducers Calculations'!$C$395</f>
        <v>EAUTOGENRFGD00</v>
      </c>
      <c r="C7" s="133" t="s">
        <v>372</v>
      </c>
      <c r="D7" s="128" t="s">
        <v>110</v>
      </c>
      <c r="E7" s="128" t="s">
        <v>105</v>
      </c>
      <c r="F7" s="129">
        <f>'Autoproducers Calculations'!E$391</f>
        <v>0.41276234895060421</v>
      </c>
      <c r="G7" s="129"/>
      <c r="H7" s="129"/>
      <c r="I7" s="130">
        <f>'Autoproducers Calculations'!E$389</f>
        <v>0.38931954062827012</v>
      </c>
      <c r="J7" s="45">
        <v>1</v>
      </c>
      <c r="K7" s="131">
        <v>31.536000000000001</v>
      </c>
      <c r="L7" s="45">
        <f>'Autoproducers Calculations'!E$397</f>
        <v>0</v>
      </c>
      <c r="M7" s="132">
        <v>0</v>
      </c>
      <c r="O7" s="90">
        <f>L7*K7*I7</f>
        <v>0</v>
      </c>
      <c r="P7" s="90">
        <f>O7/F7</f>
        <v>0</v>
      </c>
      <c r="S7" s="144"/>
      <c r="T7" s="144" t="str">
        <f>B10</f>
        <v>EAUTOGENGAS00</v>
      </c>
      <c r="U7" s="144" t="str">
        <f>C10</f>
        <v>EAUT.Electricity Autoproduction.GAS.00</v>
      </c>
      <c r="V7" s="144" t="s">
        <v>14</v>
      </c>
      <c r="W7" s="144" t="s">
        <v>11</v>
      </c>
      <c r="X7" s="144" t="s">
        <v>389</v>
      </c>
      <c r="Y7" s="144"/>
      <c r="Z7" s="144"/>
      <c r="AF7" s="69"/>
      <c r="AG7" s="69"/>
      <c r="AI7" s="69"/>
      <c r="AJ7" s="69"/>
      <c r="AR7" s="69"/>
    </row>
    <row r="8" spans="1:44" ht="12.75" customHeight="1">
      <c r="A8" s="107"/>
      <c r="B8" s="126" t="str">
        <f>'Autoproducers Calculations'!$C$402</f>
        <v>EAUTOGENOIL00</v>
      </c>
      <c r="C8" s="133" t="s">
        <v>366</v>
      </c>
      <c r="D8" s="128" t="s">
        <v>111</v>
      </c>
      <c r="E8" s="128" t="s">
        <v>105</v>
      </c>
      <c r="F8" s="129">
        <f>'Autoproducers Calculations'!E$391</f>
        <v>0.41276234895060421</v>
      </c>
      <c r="G8" s="129"/>
      <c r="H8" s="129">
        <f>'Eurostat Resume'!F48</f>
        <v>1</v>
      </c>
      <c r="I8" s="130">
        <f>'Autoproducers Calculations'!E$389</f>
        <v>0.38931954062827012</v>
      </c>
      <c r="J8" s="45">
        <v>1</v>
      </c>
      <c r="K8" s="131">
        <v>31.536000000000001</v>
      </c>
      <c r="L8" s="45">
        <f>'Autoproducers Calculations'!E$404</f>
        <v>4.8707912174729834E-3</v>
      </c>
      <c r="M8" s="132">
        <v>0</v>
      </c>
      <c r="O8" s="90">
        <f>L8*K8*I8</f>
        <v>5.980153386858221E-2</v>
      </c>
      <c r="P8" s="90">
        <f>O8/F8</f>
        <v>0.14488127131900477</v>
      </c>
      <c r="S8" s="144"/>
      <c r="T8" s="144" t="str">
        <f>B13</f>
        <v>EAUTOGENBIO00</v>
      </c>
      <c r="U8" s="144" t="str">
        <f>C13</f>
        <v>EAUT.Electricity Autoproduction.BIO.00</v>
      </c>
      <c r="V8" s="144" t="s">
        <v>14</v>
      </c>
      <c r="W8" s="144" t="s">
        <v>11</v>
      </c>
      <c r="X8" s="144" t="s">
        <v>389</v>
      </c>
      <c r="Y8" s="144"/>
      <c r="Z8" s="144"/>
      <c r="AF8" s="69"/>
      <c r="AG8" s="69"/>
      <c r="AI8" s="69"/>
      <c r="AJ8" s="69"/>
      <c r="AR8" s="69"/>
    </row>
    <row r="9" spans="1:44" ht="12.75" customHeight="1">
      <c r="A9" s="107"/>
      <c r="B9" s="126"/>
      <c r="C9" s="133"/>
      <c r="D9" s="128" t="s">
        <v>112</v>
      </c>
      <c r="E9" s="128"/>
      <c r="F9" s="129"/>
      <c r="G9" s="129"/>
      <c r="H9" s="129"/>
      <c r="I9" s="130"/>
      <c r="J9" s="45"/>
      <c r="K9" s="131"/>
      <c r="L9" s="45"/>
      <c r="M9" s="132"/>
      <c r="O9" s="90"/>
      <c r="P9" s="90"/>
      <c r="S9" s="144"/>
      <c r="T9" s="144" t="str">
        <f>B14</f>
        <v>EAUTOGENWASTE00</v>
      </c>
      <c r="U9" s="144" t="str">
        <f>C14</f>
        <v>EAUT.Electricity Autoproduction.Waste.00</v>
      </c>
      <c r="V9" s="144" t="s">
        <v>14</v>
      </c>
      <c r="W9" s="144" t="s">
        <v>11</v>
      </c>
      <c r="X9" s="144" t="s">
        <v>389</v>
      </c>
      <c r="Y9" s="144"/>
      <c r="Z9" s="144"/>
      <c r="AF9" s="69"/>
      <c r="AG9" s="69"/>
      <c r="AI9" s="69"/>
      <c r="AJ9" s="69"/>
      <c r="AR9" s="69"/>
    </row>
    <row r="10" spans="1:44" ht="12.75" customHeight="1">
      <c r="A10" s="107"/>
      <c r="B10" s="126" t="str">
        <f>'Autoproducers Calculations'!$C$409</f>
        <v>EAUTOGENGAS00</v>
      </c>
      <c r="C10" s="133" t="s">
        <v>364</v>
      </c>
      <c r="D10" s="128" t="s">
        <v>113</v>
      </c>
      <c r="E10" s="128" t="s">
        <v>105</v>
      </c>
      <c r="F10" s="129">
        <f>'Autoproducers Calculations'!E$391</f>
        <v>0.41276234895060421</v>
      </c>
      <c r="G10" s="129"/>
      <c r="H10" s="129"/>
      <c r="I10" s="130">
        <f>'Autoproducers Calculations'!E$389</f>
        <v>0.38931954062827012</v>
      </c>
      <c r="J10" s="45">
        <v>1</v>
      </c>
      <c r="K10" s="131">
        <v>31.536000000000001</v>
      </c>
      <c r="L10" s="45">
        <f>'Autoproducers Calculations'!E$411</f>
        <v>0.89853920984332858</v>
      </c>
      <c r="M10" s="132">
        <v>0</v>
      </c>
      <c r="O10" s="90">
        <f>L10*K10*I10</f>
        <v>11.031887960406703</v>
      </c>
      <c r="P10" s="90">
        <f>O10/F10</f>
        <v>26.726972526573402</v>
      </c>
      <c r="Z10" s="64"/>
    </row>
    <row r="11" spans="1:44" ht="12.75" customHeight="1">
      <c r="A11" s="107"/>
      <c r="B11" s="126"/>
      <c r="C11" s="133"/>
      <c r="D11" s="128" t="s">
        <v>114</v>
      </c>
      <c r="E11" s="128"/>
      <c r="F11" s="129"/>
      <c r="G11" s="129">
        <f>'Eurostat Resume'!F46</f>
        <v>4.4585987261146494E-2</v>
      </c>
      <c r="H11" s="129"/>
      <c r="I11" s="130"/>
      <c r="J11" s="45"/>
      <c r="K11" s="131"/>
      <c r="L11" s="45"/>
      <c r="M11" s="132"/>
      <c r="O11" s="90"/>
      <c r="P11" s="90"/>
      <c r="Z11" s="64"/>
    </row>
    <row r="12" spans="1:44" ht="12.75" customHeight="1">
      <c r="A12" s="107"/>
      <c r="B12" s="126"/>
      <c r="C12" s="133"/>
      <c r="D12" s="128" t="s">
        <v>115</v>
      </c>
      <c r="E12" s="128"/>
      <c r="F12" s="129"/>
      <c r="G12" s="129">
        <f>'Eurostat Resume'!F47</f>
        <v>8.6461580159913259E-2</v>
      </c>
      <c r="H12" s="129"/>
      <c r="I12" s="130"/>
      <c r="J12" s="45"/>
      <c r="K12" s="131"/>
      <c r="L12" s="45"/>
      <c r="M12" s="132"/>
      <c r="O12" s="90"/>
      <c r="P12" s="90"/>
      <c r="Z12" s="64"/>
    </row>
    <row r="13" spans="1:44" ht="12.75" customHeight="1">
      <c r="A13" s="107"/>
      <c r="B13" s="126" t="str">
        <f>'Autoproducers Calculations'!$C$416</f>
        <v>EAUTOGENBIO00</v>
      </c>
      <c r="C13" s="133" t="s">
        <v>365</v>
      </c>
      <c r="D13" s="128" t="s">
        <v>116</v>
      </c>
      <c r="E13" s="128" t="s">
        <v>105</v>
      </c>
      <c r="F13" s="129">
        <f>'Autoproducers Calculations'!E$391</f>
        <v>0.41276234895060421</v>
      </c>
      <c r="G13" s="129"/>
      <c r="H13" s="129"/>
      <c r="I13" s="130">
        <f>'Autoproducers Calculations'!E$389</f>
        <v>0.38931954062827012</v>
      </c>
      <c r="J13" s="45">
        <v>1</v>
      </c>
      <c r="K13" s="131">
        <v>31.536000000000001</v>
      </c>
      <c r="L13" s="45">
        <f>'Autoproducers Calculations'!E$418</f>
        <v>0</v>
      </c>
      <c r="M13" s="132">
        <v>0</v>
      </c>
      <c r="O13" s="90">
        <f>L13*K13*I13</f>
        <v>0</v>
      </c>
      <c r="P13" s="90">
        <f>O13/F13</f>
        <v>0</v>
      </c>
      <c r="AE13" s="69"/>
      <c r="AF13" s="69"/>
      <c r="AG13" s="69"/>
      <c r="AH13" s="69"/>
      <c r="AI13" s="69"/>
      <c r="AJ13" s="69"/>
      <c r="AK13" s="69"/>
      <c r="AL13" s="69"/>
      <c r="AM13" s="69"/>
      <c r="AN13" s="69"/>
      <c r="AO13" s="69"/>
      <c r="AP13" s="69"/>
      <c r="AQ13" s="69"/>
      <c r="AR13" s="69"/>
    </row>
    <row r="14" spans="1:44" ht="12.75" customHeight="1">
      <c r="A14" s="107"/>
      <c r="B14" s="126" t="str">
        <f>'Autoproducers Calculations'!$C$423</f>
        <v>EAUTOGENWASTE00</v>
      </c>
      <c r="C14" s="133" t="s">
        <v>367</v>
      </c>
      <c r="D14" s="128" t="s">
        <v>117</v>
      </c>
      <c r="E14" s="128" t="s">
        <v>105</v>
      </c>
      <c r="F14" s="129">
        <f>'Autoproducers Calculations'!E$391</f>
        <v>0.41276234895060421</v>
      </c>
      <c r="G14" s="129"/>
      <c r="H14" s="129"/>
      <c r="I14" s="130">
        <f>'Autoproducers Calculations'!E$389</f>
        <v>0.38931954062827012</v>
      </c>
      <c r="J14" s="45">
        <v>1</v>
      </c>
      <c r="K14" s="131">
        <v>31.536000000000001</v>
      </c>
      <c r="L14" s="45">
        <f>'Autoproducers Calculations'!E$425</f>
        <v>3.9859308129653916E-2</v>
      </c>
      <c r="M14" s="132">
        <v>0</v>
      </c>
      <c r="O14" s="90">
        <f>L14*K14*I14</f>
        <v>0.48937588549123107</v>
      </c>
      <c r="P14" s="90">
        <f>O14/F14</f>
        <v>1.1856117369605224</v>
      </c>
      <c r="AE14" s="69"/>
      <c r="AF14" s="69"/>
      <c r="AG14" s="69"/>
      <c r="AH14" s="69"/>
      <c r="AI14" s="69"/>
      <c r="AJ14" s="69"/>
      <c r="AK14" s="69"/>
      <c r="AL14" s="69"/>
      <c r="AM14" s="69"/>
      <c r="AN14" s="69"/>
      <c r="AO14" s="69"/>
      <c r="AP14" s="69"/>
      <c r="AQ14" s="69"/>
      <c r="AR14" s="69"/>
    </row>
    <row r="15" spans="1:44" ht="12.75" customHeight="1">
      <c r="A15" s="107"/>
      <c r="B15" s="126"/>
      <c r="C15" s="133"/>
      <c r="D15" s="128" t="s">
        <v>118</v>
      </c>
      <c r="E15" s="128"/>
      <c r="F15" s="129"/>
      <c r="G15" s="129"/>
      <c r="H15" s="129"/>
      <c r="I15" s="130"/>
      <c r="J15" s="45"/>
      <c r="K15" s="131"/>
      <c r="L15" s="45"/>
      <c r="M15" s="132"/>
      <c r="AE15" s="69"/>
      <c r="AF15" s="69"/>
      <c r="AG15" s="69"/>
      <c r="AH15" s="69"/>
      <c r="AI15" s="69"/>
      <c r="AJ15" s="69"/>
      <c r="AK15" s="69"/>
      <c r="AL15" s="69"/>
      <c r="AM15" s="69"/>
      <c r="AN15" s="69"/>
      <c r="AO15" s="69"/>
      <c r="AP15" s="69"/>
      <c r="AQ15" s="69"/>
      <c r="AR15" s="69"/>
    </row>
    <row r="16" spans="1:44">
      <c r="A16" s="107" t="str">
        <f>'CHP BY IND'!A52</f>
        <v>BE</v>
      </c>
      <c r="B16" s="126" t="str">
        <f>'Autoproducers Calculations'!$C$388</f>
        <v>EAUTOGENSOLID00</v>
      </c>
      <c r="C16" s="127" t="s">
        <v>368</v>
      </c>
      <c r="D16" s="128" t="s">
        <v>107</v>
      </c>
      <c r="E16" s="128" t="s">
        <v>105</v>
      </c>
      <c r="F16" s="129">
        <f>'Autoproducers Calculations'!F$391</f>
        <v>0.64285714285714279</v>
      </c>
      <c r="G16" s="129"/>
      <c r="H16" s="129"/>
      <c r="I16" s="130">
        <f>'Autoproducers Calculations'!F$389</f>
        <v>0.12318642211880589</v>
      </c>
      <c r="J16" s="45">
        <v>1</v>
      </c>
      <c r="K16" s="131">
        <v>31.536000000000001</v>
      </c>
      <c r="L16" s="45">
        <f>'Autoproducers Calculations'!F$390</f>
        <v>0</v>
      </c>
      <c r="M16" s="132">
        <v>0</v>
      </c>
      <c r="O16" s="90">
        <f>L16*K16*I16</f>
        <v>0</v>
      </c>
      <c r="P16" s="90">
        <f>O16/F16</f>
        <v>0</v>
      </c>
    </row>
    <row r="17" spans="1:16">
      <c r="A17" s="107"/>
      <c r="B17" s="126"/>
      <c r="C17" s="127"/>
      <c r="D17" s="128" t="s">
        <v>108</v>
      </c>
      <c r="E17" s="128"/>
      <c r="F17" s="129"/>
      <c r="G17" s="699">
        <f>'Eurostat Resume'!G45</f>
        <v>0</v>
      </c>
      <c r="H17" s="129"/>
      <c r="I17" s="130"/>
      <c r="J17" s="45"/>
      <c r="K17" s="131"/>
      <c r="L17" s="45"/>
      <c r="M17" s="132"/>
      <c r="O17" s="90"/>
      <c r="P17" s="90"/>
    </row>
    <row r="18" spans="1:16">
      <c r="A18" s="107"/>
      <c r="B18" s="126" t="str">
        <f>'Autoproducers Calculations'!$C$395</f>
        <v>EAUTOGENRFGD00</v>
      </c>
      <c r="C18" s="133" t="s">
        <v>372</v>
      </c>
      <c r="D18" s="128" t="s">
        <v>110</v>
      </c>
      <c r="E18" s="128" t="s">
        <v>105</v>
      </c>
      <c r="F18" s="129">
        <f>'Autoproducers Calculations'!F$391</f>
        <v>0.64285714285714279</v>
      </c>
      <c r="G18" s="129"/>
      <c r="H18" s="129"/>
      <c r="I18" s="130">
        <f>'Autoproducers Calculations'!F$389</f>
        <v>0.12318642211880589</v>
      </c>
      <c r="J18" s="45">
        <v>1</v>
      </c>
      <c r="K18" s="131">
        <v>31.536000000000001</v>
      </c>
      <c r="L18" s="45">
        <f>'Autoproducers Calculations'!F$397</f>
        <v>0</v>
      </c>
      <c r="M18" s="132">
        <v>0</v>
      </c>
      <c r="O18" s="90">
        <f>L18*K18*I18</f>
        <v>0</v>
      </c>
      <c r="P18" s="90">
        <f>O18/F18</f>
        <v>0</v>
      </c>
    </row>
    <row r="19" spans="1:16">
      <c r="A19" s="107"/>
      <c r="B19" s="126" t="str">
        <f>'Autoproducers Calculations'!$C$402</f>
        <v>EAUTOGENOIL00</v>
      </c>
      <c r="C19" s="133" t="s">
        <v>366</v>
      </c>
      <c r="D19" s="128" t="s">
        <v>111</v>
      </c>
      <c r="E19" s="128" t="s">
        <v>105</v>
      </c>
      <c r="F19" s="129">
        <f>'Autoproducers Calculations'!F$391</f>
        <v>0.64285714285714279</v>
      </c>
      <c r="G19" s="129"/>
      <c r="H19" s="129">
        <f>'Eurostat Resume'!G48</f>
        <v>0</v>
      </c>
      <c r="I19" s="130">
        <f>'Autoproducers Calculations'!F$389</f>
        <v>0.12318642211880589</v>
      </c>
      <c r="J19" s="45">
        <v>1</v>
      </c>
      <c r="K19" s="131">
        <v>31.536000000000001</v>
      </c>
      <c r="L19" s="45">
        <f>'Autoproducers Calculations'!F$404</f>
        <v>0</v>
      </c>
      <c r="M19" s="132">
        <v>0</v>
      </c>
      <c r="O19" s="90">
        <f>L19*K19*I19</f>
        <v>0</v>
      </c>
      <c r="P19" s="90">
        <f>O19/F19</f>
        <v>0</v>
      </c>
    </row>
    <row r="20" spans="1:16">
      <c r="A20" s="107"/>
      <c r="B20" s="126"/>
      <c r="C20" s="133"/>
      <c r="D20" s="128" t="s">
        <v>112</v>
      </c>
      <c r="E20" s="128"/>
      <c r="F20" s="129"/>
      <c r="G20" s="129"/>
      <c r="H20" s="129"/>
      <c r="I20" s="130"/>
      <c r="J20" s="45"/>
      <c r="K20" s="131"/>
      <c r="L20" s="45"/>
      <c r="M20" s="132"/>
      <c r="O20" s="90"/>
      <c r="P20" s="90"/>
    </row>
    <row r="21" spans="1:16">
      <c r="A21" s="107"/>
      <c r="B21" s="126" t="str">
        <f>'Autoproducers Calculations'!$C$409</f>
        <v>EAUTOGENGAS00</v>
      </c>
      <c r="C21" s="133" t="s">
        <v>364</v>
      </c>
      <c r="D21" s="128" t="s">
        <v>113</v>
      </c>
      <c r="E21" s="128" t="s">
        <v>105</v>
      </c>
      <c r="F21" s="129">
        <f>'Autoproducers Calculations'!F$391</f>
        <v>0.64285714285714279</v>
      </c>
      <c r="G21" s="129"/>
      <c r="H21" s="129"/>
      <c r="I21" s="130">
        <f>'Autoproducers Calculations'!F$389</f>
        <v>0.12318642211880589</v>
      </c>
      <c r="J21" s="45">
        <v>1</v>
      </c>
      <c r="K21" s="131">
        <v>31.536000000000001</v>
      </c>
      <c r="L21" s="45">
        <f>'Autoproducers Calculations'!F$411</f>
        <v>0</v>
      </c>
      <c r="M21" s="132">
        <v>0</v>
      </c>
      <c r="O21" s="90">
        <f>L21*K21*I21</f>
        <v>0</v>
      </c>
      <c r="P21" s="90">
        <f>O21/F21</f>
        <v>0</v>
      </c>
    </row>
    <row r="22" spans="1:16">
      <c r="A22" s="107"/>
      <c r="B22" s="126"/>
      <c r="C22" s="133"/>
      <c r="D22" s="128" t="s">
        <v>114</v>
      </c>
      <c r="E22" s="128"/>
      <c r="F22" s="129"/>
      <c r="G22" s="129">
        <f>'Eurostat Resume'!G46</f>
        <v>1</v>
      </c>
      <c r="H22" s="129"/>
      <c r="I22" s="130"/>
      <c r="J22" s="45"/>
      <c r="K22" s="131"/>
      <c r="L22" s="45"/>
      <c r="M22" s="132"/>
      <c r="O22" s="90"/>
      <c r="P22" s="90"/>
    </row>
    <row r="23" spans="1:16">
      <c r="A23" s="107"/>
      <c r="B23" s="126"/>
      <c r="C23" s="133"/>
      <c r="D23" s="128" t="s">
        <v>115</v>
      </c>
      <c r="E23" s="128"/>
      <c r="F23" s="129"/>
      <c r="G23" s="129">
        <f>'Eurostat Resume'!G47</f>
        <v>0</v>
      </c>
      <c r="H23" s="129"/>
      <c r="I23" s="130"/>
      <c r="J23" s="45"/>
      <c r="K23" s="131"/>
      <c r="L23" s="45"/>
      <c r="M23" s="132"/>
      <c r="O23" s="90"/>
      <c r="P23" s="90"/>
    </row>
    <row r="24" spans="1:16">
      <c r="A24" s="107"/>
      <c r="B24" s="126" t="str">
        <f>'Autoproducers Calculations'!$C$416</f>
        <v>EAUTOGENBIO00</v>
      </c>
      <c r="C24" s="133" t="s">
        <v>365</v>
      </c>
      <c r="D24" s="128" t="s">
        <v>116</v>
      </c>
      <c r="E24" s="128" t="s">
        <v>105</v>
      </c>
      <c r="F24" s="129">
        <f>'Autoproducers Calculations'!F$391</f>
        <v>0.64285714285714279</v>
      </c>
      <c r="G24" s="129"/>
      <c r="H24" s="129"/>
      <c r="I24" s="130">
        <f>'Autoproducers Calculations'!F$389</f>
        <v>0.12318642211880589</v>
      </c>
      <c r="J24" s="45">
        <v>1</v>
      </c>
      <c r="K24" s="131">
        <v>31.536000000000001</v>
      </c>
      <c r="L24" s="45">
        <f>'Autoproducers Calculations'!F$418</f>
        <v>4.6318484909282608E-3</v>
      </c>
      <c r="M24" s="132">
        <v>0</v>
      </c>
      <c r="O24" s="90">
        <f>L24*K24*I24</f>
        <v>1.7993837477268227E-2</v>
      </c>
      <c r="P24" s="90">
        <f>O24/F24</f>
        <v>2.7990413853528354E-2</v>
      </c>
    </row>
    <row r="25" spans="1:16">
      <c r="A25" s="107"/>
      <c r="B25" s="126" t="str">
        <f>'Autoproducers Calculations'!$C$423</f>
        <v>EAUTOGENWASTE00</v>
      </c>
      <c r="C25" s="133" t="s">
        <v>367</v>
      </c>
      <c r="D25" s="128" t="s">
        <v>117</v>
      </c>
      <c r="E25" s="128" t="s">
        <v>105</v>
      </c>
      <c r="F25" s="129">
        <f>'Autoproducers Calculations'!F$391</f>
        <v>0.64285714285714279</v>
      </c>
      <c r="G25" s="129"/>
      <c r="H25" s="129"/>
      <c r="I25" s="130">
        <f>'Autoproducers Calculations'!F$389</f>
        <v>0.12318642211880589</v>
      </c>
      <c r="J25" s="45">
        <v>1</v>
      </c>
      <c r="K25" s="131">
        <v>31.536000000000001</v>
      </c>
      <c r="L25" s="45">
        <f>'Autoproducers Calculations'!F$425</f>
        <v>2.468033017208956E-6</v>
      </c>
      <c r="M25" s="132">
        <v>0</v>
      </c>
      <c r="O25" s="90">
        <f>L25*K25*I25</f>
        <v>9.5878319610773546E-6</v>
      </c>
      <c r="P25" s="90">
        <f>O25/F25</f>
        <v>1.4914405272786997E-5</v>
      </c>
    </row>
    <row r="26" spans="1:16">
      <c r="A26" s="107"/>
      <c r="B26" s="126"/>
      <c r="C26" s="133"/>
      <c r="D26" s="128" t="s">
        <v>118</v>
      </c>
      <c r="E26" s="128"/>
      <c r="F26" s="129"/>
      <c r="G26" s="129"/>
      <c r="H26" s="129"/>
      <c r="I26" s="130"/>
      <c r="J26" s="45"/>
      <c r="K26" s="131"/>
      <c r="L26" s="45"/>
      <c r="M26" s="132"/>
    </row>
    <row r="27" spans="1:16">
      <c r="A27" s="107" t="str">
        <f>'CHP BY IND'!A98</f>
        <v>BG</v>
      </c>
      <c r="B27" s="126" t="str">
        <f>'Autoproducers Calculations'!$C$388</f>
        <v>EAUTOGENSOLID00</v>
      </c>
      <c r="C27" s="127" t="s">
        <v>368</v>
      </c>
      <c r="D27" s="128" t="s">
        <v>107</v>
      </c>
      <c r="E27" s="128" t="s">
        <v>105</v>
      </c>
      <c r="F27" s="129">
        <f>'Autoproducers Calculations'!G$391</f>
        <v>0.4024707412223667</v>
      </c>
      <c r="G27" s="129"/>
      <c r="H27" s="129"/>
      <c r="I27" s="130">
        <f>'Autoproducers Calculations'!G$389</f>
        <v>0.90000000000000013</v>
      </c>
      <c r="J27" s="45">
        <v>1</v>
      </c>
      <c r="K27" s="131">
        <v>31.536000000000001</v>
      </c>
      <c r="L27" s="45">
        <f>'Autoproducers Calculations'!G$390</f>
        <v>0</v>
      </c>
      <c r="M27" s="132">
        <v>0</v>
      </c>
      <c r="O27" s="90">
        <f>L27*K27*I27</f>
        <v>0</v>
      </c>
      <c r="P27" s="90">
        <f>O27/F27</f>
        <v>0</v>
      </c>
    </row>
    <row r="28" spans="1:16">
      <c r="A28" s="107"/>
      <c r="B28" s="126"/>
      <c r="C28" s="127"/>
      <c r="D28" s="128" t="s">
        <v>108</v>
      </c>
      <c r="E28" s="128"/>
      <c r="F28" s="129"/>
      <c r="G28" s="129">
        <f>'Eurostat Resume'!H45</f>
        <v>0</v>
      </c>
      <c r="H28" s="129"/>
      <c r="I28" s="130"/>
      <c r="J28" s="45"/>
      <c r="K28" s="131"/>
      <c r="L28" s="45"/>
      <c r="M28" s="132"/>
      <c r="O28" s="90"/>
      <c r="P28" s="90"/>
    </row>
    <row r="29" spans="1:16">
      <c r="A29" s="107"/>
      <c r="B29" s="126" t="str">
        <f>'Autoproducers Calculations'!$C$395</f>
        <v>EAUTOGENRFGD00</v>
      </c>
      <c r="C29" s="133" t="s">
        <v>372</v>
      </c>
      <c r="D29" s="128" t="s">
        <v>110</v>
      </c>
      <c r="E29" s="128" t="s">
        <v>105</v>
      </c>
      <c r="F29" s="129">
        <f>'Autoproducers Calculations'!G$391</f>
        <v>0.4024707412223667</v>
      </c>
      <c r="G29" s="129"/>
      <c r="H29" s="129"/>
      <c r="I29" s="130">
        <f>'Autoproducers Calculations'!G$389</f>
        <v>0.90000000000000013</v>
      </c>
      <c r="J29" s="45">
        <v>1</v>
      </c>
      <c r="K29" s="131">
        <v>31.536000000000001</v>
      </c>
      <c r="L29" s="45">
        <f>'Autoproducers Calculations'!G$397</f>
        <v>2.4945484645631046E-3</v>
      </c>
      <c r="M29" s="132">
        <v>0</v>
      </c>
      <c r="O29" s="90">
        <f>L29*K29*I29</f>
        <v>7.0801272340615867E-2</v>
      </c>
      <c r="P29" s="90">
        <f>O29/F29</f>
        <v>0.17591657004825073</v>
      </c>
    </row>
    <row r="30" spans="1:16">
      <c r="A30" s="107"/>
      <c r="B30" s="126" t="str">
        <f>'Autoproducers Calculations'!$C$402</f>
        <v>EAUTOGENOIL00</v>
      </c>
      <c r="C30" s="133" t="s">
        <v>366</v>
      </c>
      <c r="D30" s="128" t="s">
        <v>111</v>
      </c>
      <c r="E30" s="128" t="s">
        <v>105</v>
      </c>
      <c r="F30" s="129">
        <f>'Autoproducers Calculations'!G$391</f>
        <v>0.4024707412223667</v>
      </c>
      <c r="G30" s="129"/>
      <c r="H30" s="129">
        <f>'Eurostat Resume'!H48</f>
        <v>0</v>
      </c>
      <c r="I30" s="130">
        <f>'Autoproducers Calculations'!G$389</f>
        <v>0.90000000000000013</v>
      </c>
      <c r="J30" s="45">
        <v>1</v>
      </c>
      <c r="K30" s="131">
        <v>31.536000000000001</v>
      </c>
      <c r="L30" s="45">
        <f>'Autoproducers Calculations'!G$404</f>
        <v>1.9069437151326848E-2</v>
      </c>
      <c r="M30" s="132">
        <v>0</v>
      </c>
      <c r="O30" s="90">
        <f>L30*K30*I30</f>
        <v>0.54123639300381921</v>
      </c>
      <c r="P30" s="90">
        <f>O30/F30</f>
        <v>1.3447844465910725</v>
      </c>
    </row>
    <row r="31" spans="1:16">
      <c r="A31" s="107"/>
      <c r="B31" s="126"/>
      <c r="C31" s="133"/>
      <c r="D31" s="128" t="s">
        <v>112</v>
      </c>
      <c r="E31" s="128"/>
      <c r="F31" s="129"/>
      <c r="G31" s="129"/>
      <c r="H31" s="129"/>
      <c r="I31" s="130"/>
      <c r="J31" s="45"/>
      <c r="K31" s="131"/>
      <c r="L31" s="45"/>
      <c r="M31" s="132"/>
      <c r="O31" s="90"/>
      <c r="P31" s="90"/>
    </row>
    <row r="32" spans="1:16">
      <c r="A32" s="107"/>
      <c r="B32" s="126" t="str">
        <f>'Autoproducers Calculations'!$C$409</f>
        <v>EAUTOGENGAS00</v>
      </c>
      <c r="C32" s="133" t="s">
        <v>364</v>
      </c>
      <c r="D32" s="128" t="s">
        <v>113</v>
      </c>
      <c r="E32" s="128" t="s">
        <v>105</v>
      </c>
      <c r="F32" s="129">
        <f>'Autoproducers Calculations'!G$391</f>
        <v>0.4024707412223667</v>
      </c>
      <c r="G32" s="129"/>
      <c r="H32" s="129"/>
      <c r="I32" s="130">
        <f>'Autoproducers Calculations'!G$389</f>
        <v>0.90000000000000013</v>
      </c>
      <c r="J32" s="45">
        <v>1</v>
      </c>
      <c r="K32" s="131">
        <v>31.536000000000001</v>
      </c>
      <c r="L32" s="45">
        <f>'Autoproducers Calculations'!G$411</f>
        <v>0</v>
      </c>
      <c r="M32" s="132">
        <v>0</v>
      </c>
      <c r="O32" s="90">
        <f>L32*K32*I32</f>
        <v>0</v>
      </c>
      <c r="P32" s="90">
        <f>O32/F32</f>
        <v>0</v>
      </c>
    </row>
    <row r="33" spans="1:16">
      <c r="A33" s="107"/>
      <c r="B33" s="126"/>
      <c r="C33" s="133"/>
      <c r="D33" s="128" t="s">
        <v>114</v>
      </c>
      <c r="E33" s="128"/>
      <c r="F33" s="129"/>
      <c r="G33" s="129">
        <f>'Eurostat Resume'!H46</f>
        <v>1</v>
      </c>
      <c r="H33" s="129"/>
      <c r="I33" s="130"/>
      <c r="J33" s="45"/>
      <c r="K33" s="131"/>
      <c r="L33" s="45"/>
      <c r="M33" s="132"/>
      <c r="O33" s="90"/>
      <c r="P33" s="90"/>
    </row>
    <row r="34" spans="1:16">
      <c r="A34" s="107"/>
      <c r="B34" s="126"/>
      <c r="C34" s="133"/>
      <c r="D34" s="128" t="s">
        <v>115</v>
      </c>
      <c r="E34" s="128"/>
      <c r="F34" s="129"/>
      <c r="G34" s="129">
        <f>'Eurostat Resume'!H47</f>
        <v>0</v>
      </c>
      <c r="H34" s="129"/>
      <c r="I34" s="130"/>
      <c r="J34" s="45"/>
      <c r="K34" s="131"/>
      <c r="L34" s="45"/>
      <c r="M34" s="132"/>
      <c r="O34" s="90"/>
      <c r="P34" s="90"/>
    </row>
    <row r="35" spans="1:16">
      <c r="A35" s="107"/>
      <c r="B35" s="126" t="str">
        <f>'Autoproducers Calculations'!$C$416</f>
        <v>EAUTOGENBIO00</v>
      </c>
      <c r="C35" s="133" t="s">
        <v>365</v>
      </c>
      <c r="D35" s="128" t="s">
        <v>116</v>
      </c>
      <c r="E35" s="128" t="s">
        <v>105</v>
      </c>
      <c r="F35" s="129">
        <f>'Autoproducers Calculations'!G$391</f>
        <v>0.4024707412223667</v>
      </c>
      <c r="G35" s="129"/>
      <c r="H35" s="129"/>
      <c r="I35" s="130">
        <f>'Autoproducers Calculations'!G$389</f>
        <v>0.90000000000000013</v>
      </c>
      <c r="J35" s="45">
        <v>1</v>
      </c>
      <c r="K35" s="131">
        <v>31.536000000000001</v>
      </c>
      <c r="L35" s="45">
        <f>'Autoproducers Calculations'!G$418</f>
        <v>2.4945484645631045E-4</v>
      </c>
      <c r="M35" s="132">
        <v>0</v>
      </c>
      <c r="O35" s="90">
        <f>L35*K35*I35</f>
        <v>7.0801272340615872E-3</v>
      </c>
      <c r="P35" s="90">
        <f>O35/F35</f>
        <v>1.7591657004825074E-2</v>
      </c>
    </row>
    <row r="36" spans="1:16">
      <c r="A36" s="107"/>
      <c r="B36" s="126" t="str">
        <f>'Autoproducers Calculations'!$C$423</f>
        <v>EAUTOGENWASTE00</v>
      </c>
      <c r="C36" s="133" t="s">
        <v>367</v>
      </c>
      <c r="D36" s="128" t="s">
        <v>117</v>
      </c>
      <c r="E36" s="128" t="s">
        <v>105</v>
      </c>
      <c r="F36" s="129">
        <f>'Autoproducers Calculations'!G$391</f>
        <v>0.4024707412223667</v>
      </c>
      <c r="G36" s="129"/>
      <c r="H36" s="129"/>
      <c r="I36" s="130">
        <f>'Autoproducers Calculations'!G$389</f>
        <v>0.90000000000000013</v>
      </c>
      <c r="J36" s="45">
        <v>1</v>
      </c>
      <c r="K36" s="131">
        <v>31.536000000000001</v>
      </c>
      <c r="L36" s="45">
        <f>'Autoproducers Calculations'!G$425</f>
        <v>0</v>
      </c>
      <c r="M36" s="132">
        <v>0</v>
      </c>
      <c r="O36" s="90">
        <f>L36*K36*I36</f>
        <v>0</v>
      </c>
      <c r="P36" s="90">
        <f>O36/F36</f>
        <v>0</v>
      </c>
    </row>
    <row r="37" spans="1:16">
      <c r="A37" s="107"/>
      <c r="B37" s="126"/>
      <c r="C37" s="133"/>
      <c r="D37" s="128" t="s">
        <v>118</v>
      </c>
      <c r="E37" s="128"/>
      <c r="F37" s="129"/>
      <c r="G37" s="129"/>
      <c r="H37" s="129"/>
      <c r="I37" s="130"/>
      <c r="J37" s="45"/>
      <c r="K37" s="131"/>
      <c r="L37" s="45"/>
      <c r="M37" s="132"/>
    </row>
    <row r="38" spans="1:16">
      <c r="A38" s="107" t="str">
        <f>'CHP BY IND'!A144</f>
        <v>CY</v>
      </c>
      <c r="B38" s="126" t="str">
        <f>'Autoproducers Calculations'!$C$388</f>
        <v>EAUTOGENSOLID00</v>
      </c>
      <c r="C38" s="127" t="s">
        <v>368</v>
      </c>
      <c r="D38" s="128" t="s">
        <v>107</v>
      </c>
      <c r="E38" s="128" t="s">
        <v>105</v>
      </c>
      <c r="F38" s="129">
        <f>'Autoproducers Calculations'!H$391</f>
        <v>0</v>
      </c>
      <c r="G38" s="129"/>
      <c r="H38" s="129"/>
      <c r="I38" s="130">
        <f>'Autoproducers Calculations'!H$389</f>
        <v>0</v>
      </c>
      <c r="J38" s="45">
        <v>1</v>
      </c>
      <c r="K38" s="131">
        <v>31.536000000000001</v>
      </c>
      <c r="L38" s="45">
        <f>'Autoproducers Calculations'!H$390</f>
        <v>0</v>
      </c>
      <c r="M38" s="132">
        <v>0</v>
      </c>
      <c r="O38" s="90">
        <f>L38*K38*I38</f>
        <v>0</v>
      </c>
      <c r="P38" s="90" t="e">
        <f>O38/F38</f>
        <v>#DIV/0!</v>
      </c>
    </row>
    <row r="39" spans="1:16">
      <c r="A39" s="107"/>
      <c r="B39" s="126"/>
      <c r="C39" s="127"/>
      <c r="D39" s="128" t="s">
        <v>108</v>
      </c>
      <c r="E39" s="128"/>
      <c r="F39" s="129"/>
      <c r="G39" s="129">
        <f>'Eurostat Resume'!I45</f>
        <v>0</v>
      </c>
      <c r="H39" s="129"/>
      <c r="I39" s="130"/>
      <c r="J39" s="45"/>
      <c r="K39" s="131"/>
      <c r="L39" s="45"/>
      <c r="M39" s="132"/>
      <c r="O39" s="90"/>
      <c r="P39" s="90"/>
    </row>
    <row r="40" spans="1:16">
      <c r="A40" s="107"/>
      <c r="B40" s="126" t="str">
        <f>'Autoproducers Calculations'!$C$395</f>
        <v>EAUTOGENRFGD00</v>
      </c>
      <c r="C40" s="133" t="s">
        <v>372</v>
      </c>
      <c r="D40" s="128" t="s">
        <v>110</v>
      </c>
      <c r="E40" s="128" t="s">
        <v>105</v>
      </c>
      <c r="F40" s="129">
        <f>'Autoproducers Calculations'!H$391</f>
        <v>0</v>
      </c>
      <c r="G40" s="129"/>
      <c r="H40" s="129"/>
      <c r="I40" s="130">
        <f>'Autoproducers Calculations'!H$389</f>
        <v>0</v>
      </c>
      <c r="J40" s="45">
        <v>1</v>
      </c>
      <c r="K40" s="131">
        <v>31.536000000000001</v>
      </c>
      <c r="L40" s="45">
        <f>'Autoproducers Calculations'!H$397</f>
        <v>0</v>
      </c>
      <c r="M40" s="132">
        <v>0</v>
      </c>
      <c r="O40" s="90">
        <f>L40*K40*I40</f>
        <v>0</v>
      </c>
      <c r="P40" s="90" t="e">
        <f>O40/F40</f>
        <v>#DIV/0!</v>
      </c>
    </row>
    <row r="41" spans="1:16">
      <c r="A41" s="107"/>
      <c r="B41" s="126" t="str">
        <f>'Autoproducers Calculations'!$C$402</f>
        <v>EAUTOGENOIL00</v>
      </c>
      <c r="C41" s="133" t="s">
        <v>366</v>
      </c>
      <c r="D41" s="128" t="s">
        <v>111</v>
      </c>
      <c r="E41" s="128" t="s">
        <v>105</v>
      </c>
      <c r="F41" s="129">
        <f>'Autoproducers Calculations'!H$391</f>
        <v>0</v>
      </c>
      <c r="G41" s="129"/>
      <c r="H41" s="129">
        <f>'Eurostat Resume'!I48</f>
        <v>0</v>
      </c>
      <c r="I41" s="130">
        <f>'Autoproducers Calculations'!H$389</f>
        <v>0</v>
      </c>
      <c r="J41" s="45">
        <v>1</v>
      </c>
      <c r="K41" s="131">
        <v>31.536000000000001</v>
      </c>
      <c r="L41" s="45">
        <f>'Autoproducers Calculations'!H$404</f>
        <v>0</v>
      </c>
      <c r="M41" s="132">
        <v>0</v>
      </c>
      <c r="O41" s="90">
        <f>L41*K41*I41</f>
        <v>0</v>
      </c>
      <c r="P41" s="90" t="e">
        <f>O41/F41</f>
        <v>#DIV/0!</v>
      </c>
    </row>
    <row r="42" spans="1:16">
      <c r="A42" s="107"/>
      <c r="B42" s="126"/>
      <c r="C42" s="133"/>
      <c r="D42" s="128" t="s">
        <v>112</v>
      </c>
      <c r="E42" s="128"/>
      <c r="F42" s="129"/>
      <c r="G42" s="129"/>
      <c r="H42" s="129"/>
      <c r="I42" s="130"/>
      <c r="J42" s="45"/>
      <c r="K42" s="131"/>
      <c r="L42" s="45"/>
      <c r="M42" s="132"/>
      <c r="O42" s="90"/>
      <c r="P42" s="90"/>
    </row>
    <row r="43" spans="1:16">
      <c r="A43" s="107"/>
      <c r="B43" s="126" t="str">
        <f>'Autoproducers Calculations'!$C$409</f>
        <v>EAUTOGENGAS00</v>
      </c>
      <c r="C43" s="133" t="s">
        <v>364</v>
      </c>
      <c r="D43" s="128" t="s">
        <v>113</v>
      </c>
      <c r="E43" s="128" t="s">
        <v>105</v>
      </c>
      <c r="F43" s="129">
        <f>'Autoproducers Calculations'!H$391</f>
        <v>0</v>
      </c>
      <c r="G43" s="129"/>
      <c r="H43" s="129"/>
      <c r="I43" s="130">
        <f>'Autoproducers Calculations'!H$389</f>
        <v>0</v>
      </c>
      <c r="J43" s="45">
        <v>1</v>
      </c>
      <c r="K43" s="131">
        <v>31.536000000000001</v>
      </c>
      <c r="L43" s="45">
        <f>'Autoproducers Calculations'!H$411</f>
        <v>0</v>
      </c>
      <c r="M43" s="132">
        <v>0</v>
      </c>
      <c r="O43" s="90">
        <f>L43*K43*I43</f>
        <v>0</v>
      </c>
      <c r="P43" s="90" t="e">
        <f>O43/F43</f>
        <v>#DIV/0!</v>
      </c>
    </row>
    <row r="44" spans="1:16">
      <c r="A44" s="107"/>
      <c r="B44" s="126"/>
      <c r="C44" s="133"/>
      <c r="D44" s="128" t="s">
        <v>114</v>
      </c>
      <c r="E44" s="128"/>
      <c r="F44" s="129"/>
      <c r="G44" s="129">
        <f>'Eurostat Resume'!I46</f>
        <v>0</v>
      </c>
      <c r="H44" s="129"/>
      <c r="I44" s="130"/>
      <c r="J44" s="45"/>
      <c r="K44" s="131"/>
      <c r="L44" s="45"/>
      <c r="M44" s="132"/>
      <c r="O44" s="90"/>
      <c r="P44" s="90"/>
    </row>
    <row r="45" spans="1:16">
      <c r="A45" s="107"/>
      <c r="B45" s="126"/>
      <c r="C45" s="133"/>
      <c r="D45" s="128" t="s">
        <v>115</v>
      </c>
      <c r="E45" s="128"/>
      <c r="F45" s="129"/>
      <c r="G45" s="129">
        <f>'Eurostat Resume'!I47</f>
        <v>0</v>
      </c>
      <c r="H45" s="129"/>
      <c r="I45" s="130"/>
      <c r="J45" s="45"/>
      <c r="K45" s="131"/>
      <c r="L45" s="45"/>
      <c r="M45" s="132"/>
      <c r="O45" s="90"/>
      <c r="P45" s="90"/>
    </row>
    <row r="46" spans="1:16">
      <c r="A46" s="107"/>
      <c r="B46" s="126" t="str">
        <f>'Autoproducers Calculations'!$C$416</f>
        <v>EAUTOGENBIO00</v>
      </c>
      <c r="C46" s="133" t="s">
        <v>365</v>
      </c>
      <c r="D46" s="128" t="s">
        <v>116</v>
      </c>
      <c r="E46" s="128" t="s">
        <v>105</v>
      </c>
      <c r="F46" s="129">
        <f>'Autoproducers Calculations'!H$391</f>
        <v>0</v>
      </c>
      <c r="G46" s="129"/>
      <c r="H46" s="129"/>
      <c r="I46" s="130">
        <f>'Autoproducers Calculations'!H$389</f>
        <v>0</v>
      </c>
      <c r="J46" s="45">
        <v>1</v>
      </c>
      <c r="K46" s="131">
        <v>31.536000000000001</v>
      </c>
      <c r="L46" s="45">
        <f>'Autoproducers Calculations'!H$418</f>
        <v>6.0000000000000001E-3</v>
      </c>
      <c r="M46" s="132">
        <v>0</v>
      </c>
      <c r="O46" s="90">
        <f>L46*K46*I46</f>
        <v>0</v>
      </c>
      <c r="P46" s="90" t="e">
        <f>O46/F46</f>
        <v>#DIV/0!</v>
      </c>
    </row>
    <row r="47" spans="1:16">
      <c r="A47" s="107"/>
      <c r="B47" s="126" t="str">
        <f>'Autoproducers Calculations'!$C$423</f>
        <v>EAUTOGENWASTE00</v>
      </c>
      <c r="C47" s="133" t="s">
        <v>367</v>
      </c>
      <c r="D47" s="128" t="s">
        <v>117</v>
      </c>
      <c r="E47" s="128" t="s">
        <v>105</v>
      </c>
      <c r="F47" s="129">
        <f>'Autoproducers Calculations'!H$391</f>
        <v>0</v>
      </c>
      <c r="G47" s="129"/>
      <c r="H47" s="129"/>
      <c r="I47" s="130">
        <f>'Autoproducers Calculations'!H$389</f>
        <v>0</v>
      </c>
      <c r="J47" s="45">
        <v>1</v>
      </c>
      <c r="K47" s="131">
        <v>31.536000000000001</v>
      </c>
      <c r="L47" s="45">
        <f>'Autoproducers Calculations'!H$425</f>
        <v>0</v>
      </c>
      <c r="M47" s="132">
        <v>0</v>
      </c>
      <c r="O47" s="90">
        <f>L47*K47*I47</f>
        <v>0</v>
      </c>
      <c r="P47" s="90" t="e">
        <f>O47/F47</f>
        <v>#DIV/0!</v>
      </c>
    </row>
    <row r="48" spans="1:16">
      <c r="A48" s="107"/>
      <c r="B48" s="126"/>
      <c r="C48" s="133"/>
      <c r="D48" s="128" t="s">
        <v>118</v>
      </c>
      <c r="E48" s="128"/>
      <c r="F48" s="129"/>
      <c r="G48" s="129"/>
      <c r="H48" s="129"/>
      <c r="I48" s="130"/>
      <c r="J48" s="45"/>
      <c r="K48" s="131"/>
      <c r="L48" s="45"/>
      <c r="M48" s="132"/>
    </row>
    <row r="49" spans="1:16">
      <c r="A49" s="107" t="str">
        <f>'CHP BY IND'!A190</f>
        <v>CZ</v>
      </c>
      <c r="B49" s="126" t="str">
        <f>'Autoproducers Calculations'!$C$388</f>
        <v>EAUTOGENSOLID00</v>
      </c>
      <c r="C49" s="127" t="s">
        <v>368</v>
      </c>
      <c r="D49" s="128" t="s">
        <v>107</v>
      </c>
      <c r="E49" s="128" t="s">
        <v>105</v>
      </c>
      <c r="F49" s="129">
        <f>'Autoproducers Calculations'!I$391</f>
        <v>0.2748878923766816</v>
      </c>
      <c r="G49" s="129"/>
      <c r="H49" s="129"/>
      <c r="I49" s="130">
        <f>'Autoproducers Calculations'!I$389</f>
        <v>7.896751201839157E-2</v>
      </c>
      <c r="J49" s="45">
        <v>1</v>
      </c>
      <c r="K49" s="131">
        <v>31.536000000000001</v>
      </c>
      <c r="L49" s="45">
        <f>'Autoproducers Calculations'!I$390</f>
        <v>0.74224331838565027</v>
      </c>
      <c r="M49" s="132">
        <v>0</v>
      </c>
      <c r="O49" s="90">
        <f>L49*K49*I49</f>
        <v>1.8484229790974216</v>
      </c>
      <c r="P49" s="90">
        <f>O49/F49</f>
        <v>6.7242793529971454</v>
      </c>
    </row>
    <row r="50" spans="1:16">
      <c r="A50" s="107"/>
      <c r="B50" s="126"/>
      <c r="C50" s="127"/>
      <c r="D50" s="128" t="s">
        <v>108</v>
      </c>
      <c r="E50" s="128"/>
      <c r="F50" s="129"/>
      <c r="G50" s="129">
        <f>'Eurostat Resume'!J45</f>
        <v>0</v>
      </c>
      <c r="H50" s="129"/>
      <c r="I50" s="130"/>
      <c r="J50" s="45"/>
      <c r="K50" s="131"/>
      <c r="L50" s="45"/>
      <c r="M50" s="132"/>
      <c r="O50" s="90"/>
      <c r="P50" s="90"/>
    </row>
    <row r="51" spans="1:16">
      <c r="A51" s="107"/>
      <c r="B51" s="126" t="str">
        <f>'Autoproducers Calculations'!$C$395</f>
        <v>EAUTOGENRFGD00</v>
      </c>
      <c r="C51" s="133" t="s">
        <v>372</v>
      </c>
      <c r="D51" s="128" t="s">
        <v>110</v>
      </c>
      <c r="E51" s="128" t="s">
        <v>105</v>
      </c>
      <c r="F51" s="129">
        <f>'Autoproducers Calculations'!I$391</f>
        <v>0.2748878923766816</v>
      </c>
      <c r="G51" s="129"/>
      <c r="H51" s="129"/>
      <c r="I51" s="130">
        <f>'Autoproducers Calculations'!I$389</f>
        <v>7.896751201839157E-2</v>
      </c>
      <c r="J51" s="45">
        <v>1</v>
      </c>
      <c r="K51" s="131">
        <v>31.536000000000001</v>
      </c>
      <c r="L51" s="45">
        <f>'Autoproducers Calculations'!I$397</f>
        <v>0</v>
      </c>
      <c r="M51" s="132">
        <v>0</v>
      </c>
      <c r="O51" s="90">
        <f>L51*K51*I51</f>
        <v>0</v>
      </c>
      <c r="P51" s="90">
        <f>O51/F51</f>
        <v>0</v>
      </c>
    </row>
    <row r="52" spans="1:16">
      <c r="A52" s="107"/>
      <c r="B52" s="126" t="str">
        <f>'Autoproducers Calculations'!$C$402</f>
        <v>EAUTOGENOIL00</v>
      </c>
      <c r="C52" s="133" t="s">
        <v>366</v>
      </c>
      <c r="D52" s="128" t="s">
        <v>111</v>
      </c>
      <c r="E52" s="128" t="s">
        <v>105</v>
      </c>
      <c r="F52" s="129">
        <f>'Autoproducers Calculations'!I$391</f>
        <v>0.2748878923766816</v>
      </c>
      <c r="G52" s="129"/>
      <c r="H52" s="129">
        <f>'Eurostat Resume'!J48</f>
        <v>0.12229102167182662</v>
      </c>
      <c r="I52" s="130">
        <f>'Autoproducers Calculations'!I$389</f>
        <v>7.896751201839157E-2</v>
      </c>
      <c r="J52" s="45">
        <v>1</v>
      </c>
      <c r="K52" s="131">
        <v>31.536000000000001</v>
      </c>
      <c r="L52" s="45">
        <f>'Autoproducers Calculations'!I$404</f>
        <v>0.1426414349775785</v>
      </c>
      <c r="M52" s="132">
        <v>0</v>
      </c>
      <c r="O52" s="90">
        <f>L52*K52*I52</f>
        <v>0.35522274118605818</v>
      </c>
      <c r="P52" s="90">
        <f>O52/F52</f>
        <v>1.2922458610846816</v>
      </c>
    </row>
    <row r="53" spans="1:16">
      <c r="A53" s="107"/>
      <c r="B53" s="126"/>
      <c r="C53" s="133"/>
      <c r="D53" s="128" t="s">
        <v>112</v>
      </c>
      <c r="E53" s="128"/>
      <c r="F53" s="129"/>
      <c r="G53" s="129"/>
      <c r="H53" s="129"/>
      <c r="I53" s="130"/>
      <c r="J53" s="45"/>
      <c r="K53" s="131"/>
      <c r="L53" s="45"/>
      <c r="M53" s="132"/>
      <c r="O53" s="90"/>
      <c r="P53" s="90"/>
    </row>
    <row r="54" spans="1:16">
      <c r="A54" s="107"/>
      <c r="B54" s="126" t="str">
        <f>'Autoproducers Calculations'!$C$409</f>
        <v>EAUTOGENGAS00</v>
      </c>
      <c r="C54" s="133" t="s">
        <v>364</v>
      </c>
      <c r="D54" s="128" t="s">
        <v>113</v>
      </c>
      <c r="E54" s="128" t="s">
        <v>105</v>
      </c>
      <c r="F54" s="129">
        <f>'Autoproducers Calculations'!I$391</f>
        <v>0.2748878923766816</v>
      </c>
      <c r="G54" s="129"/>
      <c r="H54" s="129"/>
      <c r="I54" s="130">
        <f>'Autoproducers Calculations'!I$389</f>
        <v>7.896751201839157E-2</v>
      </c>
      <c r="J54" s="45">
        <v>1</v>
      </c>
      <c r="K54" s="131">
        <v>31.536000000000001</v>
      </c>
      <c r="L54" s="45">
        <f>'Autoproducers Calculations'!I$411</f>
        <v>5.0675246636771309E-2</v>
      </c>
      <c r="M54" s="132">
        <v>0</v>
      </c>
      <c r="O54" s="90">
        <f>L54*K54*I54</f>
        <v>0.12619755278978381</v>
      </c>
      <c r="P54" s="90">
        <f>O54/F54</f>
        <v>0.45908734538534735</v>
      </c>
    </row>
    <row r="55" spans="1:16">
      <c r="A55" s="107"/>
      <c r="B55" s="126"/>
      <c r="C55" s="133"/>
      <c r="D55" s="128" t="s">
        <v>114</v>
      </c>
      <c r="E55" s="128"/>
      <c r="F55" s="129"/>
      <c r="G55" s="129">
        <f>'Eurostat Resume'!J46</f>
        <v>1</v>
      </c>
      <c r="H55" s="129"/>
      <c r="I55" s="130"/>
      <c r="J55" s="45"/>
      <c r="K55" s="131"/>
      <c r="L55" s="45"/>
      <c r="M55" s="132"/>
      <c r="O55" s="90"/>
      <c r="P55" s="90"/>
    </row>
    <row r="56" spans="1:16">
      <c r="A56" s="107"/>
      <c r="B56" s="126"/>
      <c r="C56" s="133"/>
      <c r="D56" s="128" t="s">
        <v>115</v>
      </c>
      <c r="E56" s="128"/>
      <c r="F56" s="129"/>
      <c r="G56" s="129">
        <f>'Eurostat Resume'!J47</f>
        <v>0</v>
      </c>
      <c r="H56" s="129"/>
      <c r="I56" s="130"/>
      <c r="J56" s="45"/>
      <c r="K56" s="131"/>
      <c r="L56" s="45"/>
      <c r="M56" s="132"/>
      <c r="O56" s="90"/>
      <c r="P56" s="90"/>
    </row>
    <row r="57" spans="1:16">
      <c r="A57" s="107"/>
      <c r="B57" s="126" t="str">
        <f>'Autoproducers Calculations'!$C$416</f>
        <v>EAUTOGENBIO00</v>
      </c>
      <c r="C57" s="133" t="s">
        <v>365</v>
      </c>
      <c r="D57" s="128" t="s">
        <v>116</v>
      </c>
      <c r="E57" s="128" t="s">
        <v>105</v>
      </c>
      <c r="F57" s="129">
        <f>'Autoproducers Calculations'!I$391</f>
        <v>0.2748878923766816</v>
      </c>
      <c r="G57" s="129"/>
      <c r="H57" s="129"/>
      <c r="I57" s="130">
        <f>'Autoproducers Calculations'!I$389</f>
        <v>7.896751201839157E-2</v>
      </c>
      <c r="J57" s="45">
        <v>1</v>
      </c>
      <c r="K57" s="131">
        <v>31.536000000000001</v>
      </c>
      <c r="L57" s="45">
        <f>'Autoproducers Calculations'!I$418</f>
        <v>0</v>
      </c>
      <c r="M57" s="132">
        <v>0</v>
      </c>
      <c r="O57" s="90">
        <f>L57*K57*I57</f>
        <v>0</v>
      </c>
      <c r="P57" s="90">
        <f>O57/F57</f>
        <v>0</v>
      </c>
    </row>
    <row r="58" spans="1:16">
      <c r="A58" s="107"/>
      <c r="B58" s="126" t="str">
        <f>'Autoproducers Calculations'!$C$423</f>
        <v>EAUTOGENWASTE00</v>
      </c>
      <c r="C58" s="133" t="s">
        <v>367</v>
      </c>
      <c r="D58" s="128" t="s">
        <v>117</v>
      </c>
      <c r="E58" s="128" t="s">
        <v>105</v>
      </c>
      <c r="F58" s="129">
        <f>'Autoproducers Calculations'!I$391</f>
        <v>0.2748878923766816</v>
      </c>
      <c r="G58" s="129"/>
      <c r="H58" s="129"/>
      <c r="I58" s="130">
        <f>'Autoproducers Calculations'!I$389</f>
        <v>7.896751201839157E-2</v>
      </c>
      <c r="J58" s="45">
        <v>1</v>
      </c>
      <c r="K58" s="131">
        <v>31.536000000000001</v>
      </c>
      <c r="L58" s="45">
        <f>'Autoproducers Calculations'!I$425</f>
        <v>4.9240000000000006E-2</v>
      </c>
      <c r="M58" s="132">
        <v>0</v>
      </c>
      <c r="O58" s="90">
        <f>L58*K58*I58</f>
        <v>0.12262333016175074</v>
      </c>
      <c r="P58" s="90">
        <f>O58/F58</f>
        <v>0.44608487155090404</v>
      </c>
    </row>
    <row r="59" spans="1:16">
      <c r="A59" s="107"/>
      <c r="B59" s="126"/>
      <c r="C59" s="133"/>
      <c r="D59" s="128" t="s">
        <v>118</v>
      </c>
      <c r="E59" s="128"/>
      <c r="F59" s="129"/>
      <c r="G59" s="129"/>
      <c r="H59" s="129"/>
      <c r="I59" s="130"/>
      <c r="J59" s="45"/>
      <c r="K59" s="131"/>
      <c r="L59" s="45"/>
      <c r="M59" s="132"/>
    </row>
    <row r="60" spans="1:16">
      <c r="A60" s="107" t="str">
        <f>'CHP BY IND'!A236</f>
        <v>DE</v>
      </c>
      <c r="B60" s="126" t="str">
        <f>'Autoproducers Calculations'!$C$388</f>
        <v>EAUTOGENSOLID00</v>
      </c>
      <c r="C60" s="127" t="s">
        <v>368</v>
      </c>
      <c r="D60" s="128" t="s">
        <v>107</v>
      </c>
      <c r="E60" s="128" t="s">
        <v>105</v>
      </c>
      <c r="F60" s="129">
        <f>'Autoproducers Calculations'!J$391</f>
        <v>0.35539241729050952</v>
      </c>
      <c r="G60" s="129"/>
      <c r="H60" s="129"/>
      <c r="I60" s="130">
        <f>'Autoproducers Calculations'!J$389</f>
        <v>0.87832211637624813</v>
      </c>
      <c r="J60" s="45">
        <v>1</v>
      </c>
      <c r="K60" s="131">
        <v>31.536000000000001</v>
      </c>
      <c r="L60" s="45">
        <f>'Autoproducers Calculations'!J$390</f>
        <v>1.4256982957857971</v>
      </c>
      <c r="M60" s="132">
        <v>0</v>
      </c>
      <c r="O60" s="90">
        <f>L60*K60*I60</f>
        <v>39.490083855161501</v>
      </c>
      <c r="P60" s="90">
        <f>O60/F60</f>
        <v>111.11684418095223</v>
      </c>
    </row>
    <row r="61" spans="1:16">
      <c r="A61" s="107"/>
      <c r="B61" s="126"/>
      <c r="C61" s="127"/>
      <c r="D61" s="128" t="s">
        <v>108</v>
      </c>
      <c r="E61" s="128"/>
      <c r="F61" s="129"/>
      <c r="G61" s="129">
        <f>'Eurostat Resume'!K45</f>
        <v>0.80618073700333359</v>
      </c>
      <c r="H61" s="129"/>
      <c r="I61" s="130"/>
      <c r="J61" s="45"/>
      <c r="K61" s="131"/>
      <c r="L61" s="45"/>
      <c r="M61" s="132"/>
      <c r="O61" s="90"/>
      <c r="P61" s="90"/>
    </row>
    <row r="62" spans="1:16">
      <c r="A62" s="107"/>
      <c r="B62" s="126" t="str">
        <f>'Autoproducers Calculations'!$C$395</f>
        <v>EAUTOGENRFGD00</v>
      </c>
      <c r="C62" s="133" t="s">
        <v>372</v>
      </c>
      <c r="D62" s="128" t="s">
        <v>110</v>
      </c>
      <c r="E62" s="128" t="s">
        <v>105</v>
      </c>
      <c r="F62" s="129">
        <f>'Autoproducers Calculations'!J$391</f>
        <v>0.35539241729050952</v>
      </c>
      <c r="G62" s="129"/>
      <c r="H62" s="129"/>
      <c r="I62" s="130">
        <f>'Autoproducers Calculations'!J$389</f>
        <v>0.87832211637624813</v>
      </c>
      <c r="J62" s="45">
        <v>1</v>
      </c>
      <c r="K62" s="131">
        <v>31.536000000000001</v>
      </c>
      <c r="L62" s="45">
        <f>'Autoproducers Calculations'!J$397</f>
        <v>5.1766502676067784E-2</v>
      </c>
      <c r="M62" s="132">
        <v>0</v>
      </c>
      <c r="O62" s="90">
        <f>L62*K62*I62</f>
        <v>1.4338682578277402</v>
      </c>
      <c r="P62" s="90">
        <f>O62/F62</f>
        <v>4.0346056586110244</v>
      </c>
    </row>
    <row r="63" spans="1:16">
      <c r="A63" s="107"/>
      <c r="B63" s="126" t="str">
        <f>'Autoproducers Calculations'!$C$402</f>
        <v>EAUTOGENOIL00</v>
      </c>
      <c r="C63" s="133" t="s">
        <v>366</v>
      </c>
      <c r="D63" s="128" t="s">
        <v>111</v>
      </c>
      <c r="E63" s="128" t="s">
        <v>105</v>
      </c>
      <c r="F63" s="129">
        <f>'Autoproducers Calculations'!J$391</f>
        <v>0.35539241729050952</v>
      </c>
      <c r="G63" s="129"/>
      <c r="H63" s="129">
        <f>'Eurostat Resume'!K48</f>
        <v>0</v>
      </c>
      <c r="I63" s="130">
        <f>'Autoproducers Calculations'!J$389</f>
        <v>0.87832211637624813</v>
      </c>
      <c r="J63" s="45">
        <v>1</v>
      </c>
      <c r="K63" s="131">
        <v>31.536000000000001</v>
      </c>
      <c r="L63" s="45">
        <f>'Autoproducers Calculations'!J$404</f>
        <v>0.20231325487545102</v>
      </c>
      <c r="M63" s="132">
        <v>0</v>
      </c>
      <c r="O63" s="90">
        <f>L63*K63*I63</f>
        <v>5.603827558507918</v>
      </c>
      <c r="P63" s="90">
        <f>O63/F63</f>
        <v>15.767999782412813</v>
      </c>
    </row>
    <row r="64" spans="1:16">
      <c r="A64" s="107"/>
      <c r="B64" s="126"/>
      <c r="C64" s="133"/>
      <c r="D64" s="128" t="s">
        <v>112</v>
      </c>
      <c r="E64" s="128"/>
      <c r="F64" s="129"/>
      <c r="G64" s="129"/>
      <c r="H64" s="129"/>
      <c r="I64" s="130"/>
      <c r="J64" s="45"/>
      <c r="K64" s="131"/>
      <c r="L64" s="45"/>
      <c r="M64" s="132"/>
      <c r="O64" s="90"/>
      <c r="P64" s="90"/>
    </row>
    <row r="65" spans="1:16">
      <c r="A65" s="107"/>
      <c r="B65" s="126" t="str">
        <f>'Autoproducers Calculations'!$C$409</f>
        <v>EAUTOGENGAS00</v>
      </c>
      <c r="C65" s="133" t="s">
        <v>364</v>
      </c>
      <c r="D65" s="128" t="s">
        <v>113</v>
      </c>
      <c r="E65" s="128" t="s">
        <v>105</v>
      </c>
      <c r="F65" s="129">
        <f>'Autoproducers Calculations'!J$391</f>
        <v>0.35539241729050952</v>
      </c>
      <c r="G65" s="129"/>
      <c r="H65" s="129"/>
      <c r="I65" s="130">
        <f>'Autoproducers Calculations'!J$389</f>
        <v>0.87832211637624813</v>
      </c>
      <c r="J65" s="45">
        <v>1</v>
      </c>
      <c r="K65" s="131">
        <v>31.536000000000001</v>
      </c>
      <c r="L65" s="45">
        <f>'Autoproducers Calculations'!J$411</f>
        <v>0.97730789655167871</v>
      </c>
      <c r="M65" s="132">
        <v>0</v>
      </c>
      <c r="O65" s="90">
        <f>L65*K65*I65</f>
        <v>27.070222992632246</v>
      </c>
      <c r="P65" s="90">
        <f>O65/F65</f>
        <v>76.16995094890882</v>
      </c>
    </row>
    <row r="66" spans="1:16">
      <c r="A66" s="107"/>
      <c r="B66" s="126"/>
      <c r="C66" s="133"/>
      <c r="D66" s="128" t="s">
        <v>114</v>
      </c>
      <c r="E66" s="128"/>
      <c r="F66" s="129"/>
      <c r="G66" s="129">
        <f>'Eurostat Resume'!K46</f>
        <v>9.6118712458762134E-2</v>
      </c>
      <c r="H66" s="129"/>
      <c r="I66" s="130"/>
      <c r="J66" s="45"/>
      <c r="K66" s="131"/>
      <c r="L66" s="45"/>
      <c r="M66" s="132"/>
      <c r="O66" s="90"/>
      <c r="P66" s="90"/>
    </row>
    <row r="67" spans="1:16">
      <c r="A67" s="107"/>
      <c r="B67" s="126"/>
      <c r="C67" s="133"/>
      <c r="D67" s="128" t="s">
        <v>115</v>
      </c>
      <c r="E67" s="128"/>
      <c r="F67" s="129"/>
      <c r="G67" s="129">
        <f>'Eurostat Resume'!K47</f>
        <v>0.12003995636344518</v>
      </c>
      <c r="H67" s="129"/>
      <c r="I67" s="130"/>
      <c r="J67" s="45"/>
      <c r="K67" s="131"/>
      <c r="L67" s="45"/>
      <c r="M67" s="132"/>
      <c r="O67" s="90"/>
      <c r="P67" s="90"/>
    </row>
    <row r="68" spans="1:16">
      <c r="A68" s="107"/>
      <c r="B68" s="126" t="str">
        <f>'Autoproducers Calculations'!$C$416</f>
        <v>EAUTOGENBIO00</v>
      </c>
      <c r="C68" s="133" t="s">
        <v>365</v>
      </c>
      <c r="D68" s="128" t="s">
        <v>116</v>
      </c>
      <c r="E68" s="128" t="s">
        <v>105</v>
      </c>
      <c r="F68" s="129">
        <f>'Autoproducers Calculations'!J$391</f>
        <v>0.35539241729050952</v>
      </c>
      <c r="G68" s="129"/>
      <c r="H68" s="129"/>
      <c r="I68" s="130">
        <f>'Autoproducers Calculations'!J$389</f>
        <v>0.87832211637624813</v>
      </c>
      <c r="J68" s="45">
        <v>1</v>
      </c>
      <c r="K68" s="131">
        <v>31.536000000000001</v>
      </c>
      <c r="L68" s="45">
        <f>'Autoproducers Calculations'!J$418</f>
        <v>0</v>
      </c>
      <c r="M68" s="132">
        <v>0</v>
      </c>
      <c r="O68" s="90">
        <f>L68*K68*I68</f>
        <v>0</v>
      </c>
      <c r="P68" s="90">
        <f>O68/F68</f>
        <v>0</v>
      </c>
    </row>
    <row r="69" spans="1:16">
      <c r="A69" s="107"/>
      <c r="B69" s="126" t="str">
        <f>'Autoproducers Calculations'!$C$423</f>
        <v>EAUTOGENWASTE00</v>
      </c>
      <c r="C69" s="133" t="s">
        <v>367</v>
      </c>
      <c r="D69" s="128" t="s">
        <v>117</v>
      </c>
      <c r="E69" s="128" t="s">
        <v>105</v>
      </c>
      <c r="F69" s="129">
        <f>'Autoproducers Calculations'!J$391</f>
        <v>0.35539241729050952</v>
      </c>
      <c r="G69" s="129"/>
      <c r="H69" s="129"/>
      <c r="I69" s="130">
        <f>'Autoproducers Calculations'!J$389</f>
        <v>0.87832211637624813</v>
      </c>
      <c r="J69" s="45">
        <v>1</v>
      </c>
      <c r="K69" s="131">
        <v>31.536000000000001</v>
      </c>
      <c r="L69" s="45">
        <f>'Autoproducers Calculations'!J$425</f>
        <v>0</v>
      </c>
      <c r="M69" s="132">
        <v>0</v>
      </c>
      <c r="O69" s="90">
        <f>L69*K69*I69</f>
        <v>0</v>
      </c>
      <c r="P69" s="90">
        <f>O69/F69</f>
        <v>0</v>
      </c>
    </row>
    <row r="70" spans="1:16">
      <c r="A70" s="107"/>
      <c r="B70" s="126"/>
      <c r="C70" s="133"/>
      <c r="D70" s="128" t="s">
        <v>118</v>
      </c>
      <c r="E70" s="128"/>
      <c r="F70" s="129"/>
      <c r="G70" s="129"/>
      <c r="H70" s="129"/>
      <c r="I70" s="130"/>
      <c r="J70" s="45"/>
      <c r="K70" s="131"/>
      <c r="L70" s="45"/>
      <c r="M70" s="132"/>
    </row>
    <row r="71" spans="1:16">
      <c r="A71" s="107" t="str">
        <f>'CHP BY IND'!A282</f>
        <v>DK</v>
      </c>
      <c r="B71" s="126" t="str">
        <f>'Autoproducers Calculations'!$C$388</f>
        <v>EAUTOGENSOLID00</v>
      </c>
      <c r="C71" s="127" t="s">
        <v>368</v>
      </c>
      <c r="D71" s="128" t="s">
        <v>107</v>
      </c>
      <c r="E71" s="128" t="s">
        <v>105</v>
      </c>
      <c r="F71" s="129">
        <f>'Autoproducers Calculations'!K$391</f>
        <v>0.35</v>
      </c>
      <c r="G71" s="129"/>
      <c r="H71" s="129"/>
      <c r="I71" s="130">
        <f>'Autoproducers Calculations'!K$389</f>
        <v>3.7000470146621969E-3</v>
      </c>
      <c r="J71" s="45">
        <v>1</v>
      </c>
      <c r="K71" s="131">
        <v>31.536000000000001</v>
      </c>
      <c r="L71" s="45">
        <f>'Autoproducers Calculations'!K$390</f>
        <v>0</v>
      </c>
      <c r="M71" s="132">
        <v>0</v>
      </c>
      <c r="O71" s="90">
        <f>L71*K71*I71</f>
        <v>0</v>
      </c>
      <c r="P71" s="90">
        <f>O71/F71</f>
        <v>0</v>
      </c>
    </row>
    <row r="72" spans="1:16">
      <c r="A72" s="107"/>
      <c r="B72" s="126"/>
      <c r="C72" s="127"/>
      <c r="D72" s="128" t="s">
        <v>108</v>
      </c>
      <c r="E72" s="128"/>
      <c r="F72" s="129"/>
      <c r="G72" s="129">
        <f>'Eurostat Resume'!L45</f>
        <v>0</v>
      </c>
      <c r="H72" s="129"/>
      <c r="I72" s="130"/>
      <c r="J72" s="45"/>
      <c r="K72" s="131"/>
      <c r="L72" s="45"/>
      <c r="M72" s="132"/>
      <c r="O72" s="90"/>
      <c r="P72" s="90"/>
    </row>
    <row r="73" spans="1:16">
      <c r="A73" s="107"/>
      <c r="B73" s="126" t="str">
        <f>'Autoproducers Calculations'!$C$395</f>
        <v>EAUTOGENRFGD00</v>
      </c>
      <c r="C73" s="133" t="s">
        <v>372</v>
      </c>
      <c r="D73" s="128" t="s">
        <v>110</v>
      </c>
      <c r="E73" s="128" t="s">
        <v>105</v>
      </c>
      <c r="F73" s="129">
        <f>'Autoproducers Calculations'!K$391</f>
        <v>0.35</v>
      </c>
      <c r="G73" s="129"/>
      <c r="H73" s="129"/>
      <c r="I73" s="130">
        <f>'Autoproducers Calculations'!K$389</f>
        <v>3.7000470146621969E-3</v>
      </c>
      <c r="J73" s="45">
        <v>1</v>
      </c>
      <c r="K73" s="131">
        <v>31.536000000000001</v>
      </c>
      <c r="L73" s="45">
        <f>'Autoproducers Calculations'!K$397</f>
        <v>0</v>
      </c>
      <c r="M73" s="132">
        <v>0</v>
      </c>
      <c r="O73" s="90">
        <f>L73*K73*I73</f>
        <v>0</v>
      </c>
      <c r="P73" s="90">
        <f>O73/F73</f>
        <v>0</v>
      </c>
    </row>
    <row r="74" spans="1:16">
      <c r="A74" s="107"/>
      <c r="B74" s="126" t="str">
        <f>'Autoproducers Calculations'!$C$402</f>
        <v>EAUTOGENOIL00</v>
      </c>
      <c r="C74" s="133" t="s">
        <v>366</v>
      </c>
      <c r="D74" s="128" t="s">
        <v>111</v>
      </c>
      <c r="E74" s="128" t="s">
        <v>105</v>
      </c>
      <c r="F74" s="129">
        <f>'Autoproducers Calculations'!K$391</f>
        <v>0.35</v>
      </c>
      <c r="G74" s="129"/>
      <c r="H74" s="129">
        <f>'Eurostat Resume'!L48</f>
        <v>0</v>
      </c>
      <c r="I74" s="130">
        <f>'Autoproducers Calculations'!K$389</f>
        <v>3.7000470146621969E-3</v>
      </c>
      <c r="J74" s="45">
        <v>1</v>
      </c>
      <c r="K74" s="131">
        <v>31.536000000000001</v>
      </c>
      <c r="L74" s="45">
        <f>'Autoproducers Calculations'!K$404</f>
        <v>0</v>
      </c>
      <c r="M74" s="132">
        <v>0</v>
      </c>
      <c r="O74" s="90">
        <f>L74*K74*I74</f>
        <v>0</v>
      </c>
      <c r="P74" s="90">
        <f>O74/F74</f>
        <v>0</v>
      </c>
    </row>
    <row r="75" spans="1:16">
      <c r="A75" s="107"/>
      <c r="B75" s="126"/>
      <c r="C75" s="133"/>
      <c r="D75" s="128" t="s">
        <v>112</v>
      </c>
      <c r="E75" s="128"/>
      <c r="F75" s="129"/>
      <c r="G75" s="129"/>
      <c r="H75" s="129"/>
      <c r="I75" s="130"/>
      <c r="J75" s="45"/>
      <c r="K75" s="131"/>
      <c r="L75" s="45"/>
      <c r="M75" s="132"/>
      <c r="O75" s="90"/>
      <c r="P75" s="90"/>
    </row>
    <row r="76" spans="1:16">
      <c r="A76" s="107"/>
      <c r="B76" s="126" t="str">
        <f>'Autoproducers Calculations'!$C$409</f>
        <v>EAUTOGENGAS00</v>
      </c>
      <c r="C76" s="133" t="s">
        <v>364</v>
      </c>
      <c r="D76" s="128" t="s">
        <v>113</v>
      </c>
      <c r="E76" s="128" t="s">
        <v>105</v>
      </c>
      <c r="F76" s="129">
        <f>'Autoproducers Calculations'!K$391</f>
        <v>0.35</v>
      </c>
      <c r="G76" s="129"/>
      <c r="H76" s="129"/>
      <c r="I76" s="130">
        <f>'Autoproducers Calculations'!K$389</f>
        <v>3.7000470146621969E-3</v>
      </c>
      <c r="J76" s="45">
        <v>1</v>
      </c>
      <c r="K76" s="131">
        <v>31.536000000000001</v>
      </c>
      <c r="L76" s="45">
        <f>'Autoproducers Calculations'!K$411</f>
        <v>0</v>
      </c>
      <c r="M76" s="132">
        <v>0</v>
      </c>
      <c r="O76" s="90">
        <f>L76*K76*I76</f>
        <v>0</v>
      </c>
      <c r="P76" s="90">
        <f>O76/F76</f>
        <v>0</v>
      </c>
    </row>
    <row r="77" spans="1:16">
      <c r="A77" s="107"/>
      <c r="B77" s="126"/>
      <c r="C77" s="133"/>
      <c r="D77" s="128" t="s">
        <v>114</v>
      </c>
      <c r="E77" s="128"/>
      <c r="F77" s="129"/>
      <c r="G77" s="129">
        <f>'Eurostat Resume'!L46</f>
        <v>0</v>
      </c>
      <c r="H77" s="129"/>
      <c r="I77" s="130"/>
      <c r="J77" s="45"/>
      <c r="K77" s="131"/>
      <c r="L77" s="45"/>
      <c r="M77" s="132"/>
      <c r="O77" s="90"/>
      <c r="P77" s="90"/>
    </row>
    <row r="78" spans="1:16">
      <c r="A78" s="107"/>
      <c r="B78" s="126"/>
      <c r="C78" s="133"/>
      <c r="D78" s="128" t="s">
        <v>115</v>
      </c>
      <c r="E78" s="128"/>
      <c r="F78" s="129"/>
      <c r="G78" s="129">
        <f>'Eurostat Resume'!L47</f>
        <v>0</v>
      </c>
      <c r="H78" s="129"/>
      <c r="I78" s="130"/>
      <c r="J78" s="45"/>
      <c r="K78" s="131"/>
      <c r="L78" s="45"/>
      <c r="M78" s="132"/>
      <c r="O78" s="90"/>
      <c r="P78" s="90"/>
    </row>
    <row r="79" spans="1:16">
      <c r="A79" s="107"/>
      <c r="B79" s="126" t="str">
        <f>'Autoproducers Calculations'!$C$416</f>
        <v>EAUTOGENBIO00</v>
      </c>
      <c r="C79" s="133" t="s">
        <v>365</v>
      </c>
      <c r="D79" s="128" t="s">
        <v>116</v>
      </c>
      <c r="E79" s="128" t="s">
        <v>105</v>
      </c>
      <c r="F79" s="129">
        <f>'Autoproducers Calculations'!K$391</f>
        <v>0.35</v>
      </c>
      <c r="G79" s="129"/>
      <c r="H79" s="129"/>
      <c r="I79" s="130">
        <f>'Autoproducers Calculations'!K$389</f>
        <v>3.7000470146621969E-3</v>
      </c>
      <c r="J79" s="45">
        <v>1</v>
      </c>
      <c r="K79" s="131">
        <v>31.536000000000001</v>
      </c>
      <c r="L79" s="45">
        <f>'Autoproducers Calculations'!K$418</f>
        <v>0</v>
      </c>
      <c r="M79" s="132">
        <v>0</v>
      </c>
      <c r="O79" s="90">
        <f>L79*K79*I79</f>
        <v>0</v>
      </c>
      <c r="P79" s="90">
        <f>O79/F79</f>
        <v>0</v>
      </c>
    </row>
    <row r="80" spans="1:16">
      <c r="A80" s="107"/>
      <c r="B80" s="126" t="str">
        <f>'Autoproducers Calculations'!$C$423</f>
        <v>EAUTOGENWASTE00</v>
      </c>
      <c r="C80" s="133" t="s">
        <v>367</v>
      </c>
      <c r="D80" s="128" t="s">
        <v>117</v>
      </c>
      <c r="E80" s="128" t="s">
        <v>105</v>
      </c>
      <c r="F80" s="129">
        <f>'Autoproducers Calculations'!K$391</f>
        <v>0.35</v>
      </c>
      <c r="G80" s="129"/>
      <c r="H80" s="129"/>
      <c r="I80" s="130">
        <f>'Autoproducers Calculations'!K$389</f>
        <v>3.7000470146621969E-3</v>
      </c>
      <c r="J80" s="45">
        <v>1</v>
      </c>
      <c r="K80" s="131">
        <v>31.536000000000001</v>
      </c>
      <c r="L80" s="45">
        <f>'Autoproducers Calculations'!K$425</f>
        <v>6.000215199999992E-2</v>
      </c>
      <c r="M80" s="132">
        <v>0</v>
      </c>
      <c r="O80" s="90">
        <f>L80*K80*I80</f>
        <v>7.0013320647002858E-3</v>
      </c>
      <c r="P80" s="90">
        <f>O80/F80</f>
        <v>2.0003805899143676E-2</v>
      </c>
    </row>
    <row r="81" spans="1:16">
      <c r="A81" s="107"/>
      <c r="B81" s="126"/>
      <c r="C81" s="133"/>
      <c r="D81" s="128" t="s">
        <v>118</v>
      </c>
      <c r="E81" s="128"/>
      <c r="F81" s="129"/>
      <c r="G81" s="129"/>
      <c r="H81" s="129"/>
      <c r="I81" s="130"/>
      <c r="J81" s="45"/>
      <c r="K81" s="131"/>
      <c r="L81" s="45"/>
      <c r="M81" s="132"/>
    </row>
    <row r="82" spans="1:16">
      <c r="A82" s="107" t="str">
        <f>'CHP BY IND'!A328</f>
        <v>EE</v>
      </c>
      <c r="B82" s="126" t="str">
        <f>'Autoproducers Calculations'!$C$388</f>
        <v>EAUTOGENSOLID00</v>
      </c>
      <c r="C82" s="127" t="s">
        <v>368</v>
      </c>
      <c r="D82" s="128" t="s">
        <v>107</v>
      </c>
      <c r="E82" s="128" t="s">
        <v>105</v>
      </c>
      <c r="F82" s="129">
        <f>'Autoproducers Calculations'!L$391</f>
        <v>0.58620689655172409</v>
      </c>
      <c r="G82" s="129"/>
      <c r="H82" s="129"/>
      <c r="I82" s="130">
        <f>'Autoproducers Calculations'!L$389</f>
        <v>0.72670769523059919</v>
      </c>
      <c r="J82" s="45">
        <v>1</v>
      </c>
      <c r="K82" s="131">
        <v>31.536000000000001</v>
      </c>
      <c r="L82" s="45">
        <f>'Autoproducers Calculations'!L$390</f>
        <v>0</v>
      </c>
      <c r="M82" s="132">
        <v>0</v>
      </c>
      <c r="O82" s="90">
        <f>L82*K82*I82</f>
        <v>0</v>
      </c>
      <c r="P82" s="90">
        <f>O82/F82</f>
        <v>0</v>
      </c>
    </row>
    <row r="83" spans="1:16">
      <c r="A83" s="107"/>
      <c r="B83" s="126"/>
      <c r="C83" s="127"/>
      <c r="D83" s="128" t="s">
        <v>108</v>
      </c>
      <c r="E83" s="128"/>
      <c r="F83" s="129"/>
      <c r="G83" s="129">
        <f>'Eurostat Resume'!M45</f>
        <v>0</v>
      </c>
      <c r="H83" s="129"/>
      <c r="I83" s="130"/>
      <c r="J83" s="45"/>
      <c r="K83" s="131"/>
      <c r="L83" s="45"/>
      <c r="M83" s="132"/>
      <c r="O83" s="90"/>
      <c r="P83" s="90"/>
    </row>
    <row r="84" spans="1:16">
      <c r="A84" s="107"/>
      <c r="B84" s="126" t="str">
        <f>'Autoproducers Calculations'!$C$395</f>
        <v>EAUTOGENRFGD00</v>
      </c>
      <c r="C84" s="133" t="s">
        <v>372</v>
      </c>
      <c r="D84" s="128" t="s">
        <v>110</v>
      </c>
      <c r="E84" s="128" t="s">
        <v>105</v>
      </c>
      <c r="F84" s="129">
        <f>'Autoproducers Calculations'!L$391</f>
        <v>0.58620689655172409</v>
      </c>
      <c r="G84" s="129"/>
      <c r="H84" s="129"/>
      <c r="I84" s="130">
        <f>'Autoproducers Calculations'!L$389</f>
        <v>0.72670769523059919</v>
      </c>
      <c r="J84" s="45">
        <v>1</v>
      </c>
      <c r="K84" s="131">
        <v>31.536000000000001</v>
      </c>
      <c r="L84" s="45">
        <f>'Autoproducers Calculations'!L$397</f>
        <v>0</v>
      </c>
      <c r="M84" s="132">
        <v>0</v>
      </c>
      <c r="O84" s="90">
        <f>L84*K84*I84</f>
        <v>0</v>
      </c>
      <c r="P84" s="90">
        <f>O84/F84</f>
        <v>0</v>
      </c>
    </row>
    <row r="85" spans="1:16">
      <c r="A85" s="107"/>
      <c r="B85" s="126" t="str">
        <f>'Autoproducers Calculations'!$C$402</f>
        <v>EAUTOGENOIL00</v>
      </c>
      <c r="C85" s="133" t="s">
        <v>366</v>
      </c>
      <c r="D85" s="128" t="s">
        <v>111</v>
      </c>
      <c r="E85" s="128" t="s">
        <v>105</v>
      </c>
      <c r="F85" s="129">
        <f>'Autoproducers Calculations'!L$391</f>
        <v>0.58620689655172409</v>
      </c>
      <c r="G85" s="129"/>
      <c r="H85" s="129">
        <f>'Eurostat Resume'!M48</f>
        <v>0</v>
      </c>
      <c r="I85" s="130">
        <f>'Autoproducers Calculations'!L$389</f>
        <v>0.72670769523059919</v>
      </c>
      <c r="J85" s="45">
        <v>1</v>
      </c>
      <c r="K85" s="131">
        <v>31.536000000000001</v>
      </c>
      <c r="L85" s="45">
        <f>'Autoproducers Calculations'!L$404</f>
        <v>0</v>
      </c>
      <c r="M85" s="132">
        <v>0</v>
      </c>
      <c r="O85" s="90">
        <f>L85*K85*I85</f>
        <v>0</v>
      </c>
      <c r="P85" s="90">
        <f>O85/F85</f>
        <v>0</v>
      </c>
    </row>
    <row r="86" spans="1:16">
      <c r="A86" s="107"/>
      <c r="B86" s="126"/>
      <c r="C86" s="133"/>
      <c r="D86" s="128" t="s">
        <v>112</v>
      </c>
      <c r="E86" s="128"/>
      <c r="F86" s="129"/>
      <c r="G86" s="129"/>
      <c r="H86" s="129"/>
      <c r="I86" s="130"/>
      <c r="J86" s="45"/>
      <c r="K86" s="131"/>
      <c r="L86" s="45"/>
      <c r="M86" s="132"/>
      <c r="O86" s="90"/>
      <c r="P86" s="90"/>
    </row>
    <row r="87" spans="1:16">
      <c r="A87" s="107"/>
      <c r="B87" s="126" t="str">
        <f>'Autoproducers Calculations'!$C$409</f>
        <v>EAUTOGENGAS00</v>
      </c>
      <c r="C87" s="133" t="s">
        <v>364</v>
      </c>
      <c r="D87" s="128" t="s">
        <v>113</v>
      </c>
      <c r="E87" s="128" t="s">
        <v>105</v>
      </c>
      <c r="F87" s="129">
        <f>'Autoproducers Calculations'!L$391</f>
        <v>0.58620689655172409</v>
      </c>
      <c r="G87" s="129"/>
      <c r="H87" s="129"/>
      <c r="I87" s="130">
        <f>'Autoproducers Calculations'!L$389</f>
        <v>0.72670769523059919</v>
      </c>
      <c r="J87" s="45">
        <v>1</v>
      </c>
      <c r="K87" s="131">
        <v>31.536000000000001</v>
      </c>
      <c r="L87" s="45">
        <f>'Autoproducers Calculations'!L$411</f>
        <v>4.7491702156167367E-3</v>
      </c>
      <c r="M87" s="132">
        <v>0</v>
      </c>
      <c r="O87" s="90">
        <f>L87*K87*I87</f>
        <v>0.10883888936943173</v>
      </c>
      <c r="P87" s="90">
        <f>O87/F87</f>
        <v>0.18566634068903062</v>
      </c>
    </row>
    <row r="88" spans="1:16">
      <c r="A88" s="107"/>
      <c r="B88" s="126"/>
      <c r="C88" s="133"/>
      <c r="D88" s="128" t="s">
        <v>114</v>
      </c>
      <c r="E88" s="128"/>
      <c r="F88" s="129"/>
      <c r="G88" s="129">
        <f>'Eurostat Resume'!M46</f>
        <v>0.92397660818713445</v>
      </c>
      <c r="H88" s="129"/>
      <c r="I88" s="130"/>
      <c r="J88" s="45"/>
      <c r="K88" s="131"/>
      <c r="L88" s="45"/>
      <c r="M88" s="132"/>
      <c r="O88" s="90"/>
      <c r="P88" s="90"/>
    </row>
    <row r="89" spans="1:16">
      <c r="A89" s="107"/>
      <c r="B89" s="126"/>
      <c r="C89" s="133"/>
      <c r="D89" s="128" t="s">
        <v>115</v>
      </c>
      <c r="E89" s="128"/>
      <c r="F89" s="129"/>
      <c r="G89" s="129">
        <f>'Eurostat Resume'!M47</f>
        <v>0</v>
      </c>
      <c r="H89" s="129"/>
      <c r="I89" s="130"/>
      <c r="J89" s="45"/>
      <c r="K89" s="131"/>
      <c r="L89" s="45"/>
      <c r="M89" s="132"/>
      <c r="O89" s="90"/>
      <c r="P89" s="90"/>
    </row>
    <row r="90" spans="1:16">
      <c r="A90" s="107"/>
      <c r="B90" s="126" t="str">
        <f>'Autoproducers Calculations'!$C$416</f>
        <v>EAUTOGENBIO00</v>
      </c>
      <c r="C90" s="133" t="s">
        <v>365</v>
      </c>
      <c r="D90" s="128" t="s">
        <v>116</v>
      </c>
      <c r="E90" s="128" t="s">
        <v>105</v>
      </c>
      <c r="F90" s="129">
        <f>'Autoproducers Calculations'!L$391</f>
        <v>0.58620689655172409</v>
      </c>
      <c r="G90" s="129"/>
      <c r="H90" s="129"/>
      <c r="I90" s="130">
        <f>'Autoproducers Calculations'!L$389</f>
        <v>0.72670769523059919</v>
      </c>
      <c r="J90" s="45">
        <v>1</v>
      </c>
      <c r="K90" s="131">
        <v>31.536000000000001</v>
      </c>
      <c r="L90" s="45">
        <f>'Autoproducers Calculations'!L$418</f>
        <v>0</v>
      </c>
      <c r="M90" s="132">
        <v>0</v>
      </c>
      <c r="O90" s="90">
        <f>L90*K90*I90</f>
        <v>0</v>
      </c>
      <c r="P90" s="90">
        <f>O90/F90</f>
        <v>0</v>
      </c>
    </row>
    <row r="91" spans="1:16">
      <c r="A91" s="107"/>
      <c r="B91" s="126" t="str">
        <f>'Autoproducers Calculations'!$C$423</f>
        <v>EAUTOGENWASTE00</v>
      </c>
      <c r="C91" s="133" t="s">
        <v>367</v>
      </c>
      <c r="D91" s="128" t="s">
        <v>117</v>
      </c>
      <c r="E91" s="128" t="s">
        <v>105</v>
      </c>
      <c r="F91" s="129">
        <f>'Autoproducers Calculations'!L$391</f>
        <v>0.58620689655172409</v>
      </c>
      <c r="G91" s="129"/>
      <c r="H91" s="129"/>
      <c r="I91" s="130">
        <f>'Autoproducers Calculations'!L$389</f>
        <v>0.72670769523059919</v>
      </c>
      <c r="J91" s="45">
        <v>1</v>
      </c>
      <c r="K91" s="131">
        <v>31.536000000000001</v>
      </c>
      <c r="L91" s="45">
        <f>'Autoproducers Calculations'!L$425</f>
        <v>4.4436680380039638E-4</v>
      </c>
      <c r="M91" s="132">
        <v>0</v>
      </c>
      <c r="O91" s="90">
        <f>L91*K91*I91</f>
        <v>1.0183755730473143E-2</v>
      </c>
      <c r="P91" s="90">
        <f>O91/F91</f>
        <v>1.7372289187277717E-2</v>
      </c>
    </row>
    <row r="92" spans="1:16">
      <c r="A92" s="107"/>
      <c r="B92" s="126"/>
      <c r="C92" s="133"/>
      <c r="D92" s="128" t="s">
        <v>118</v>
      </c>
      <c r="E92" s="128"/>
      <c r="F92" s="129"/>
      <c r="G92" s="129"/>
      <c r="H92" s="129"/>
      <c r="I92" s="130"/>
      <c r="J92" s="45"/>
      <c r="K92" s="131"/>
      <c r="L92" s="45"/>
      <c r="M92" s="132"/>
    </row>
    <row r="93" spans="1:16">
      <c r="A93" s="107" t="str">
        <f>'CHP BY IND'!A374</f>
        <v>ES</v>
      </c>
      <c r="B93" s="126" t="str">
        <f>'Autoproducers Calculations'!$C$388</f>
        <v>EAUTOGENSOLID00</v>
      </c>
      <c r="C93" s="127" t="s">
        <v>368</v>
      </c>
      <c r="D93" s="128" t="s">
        <v>107</v>
      </c>
      <c r="E93" s="128" t="s">
        <v>105</v>
      </c>
      <c r="F93" s="129">
        <f>'Autoproducers Calculations'!M$391</f>
        <v>0.22408932618429053</v>
      </c>
      <c r="G93" s="129"/>
      <c r="H93" s="129"/>
      <c r="I93" s="130">
        <f>'Autoproducers Calculations'!M$389</f>
        <v>5.8315704178110994E-2</v>
      </c>
      <c r="J93" s="45">
        <v>1</v>
      </c>
      <c r="K93" s="131">
        <v>31.536000000000001</v>
      </c>
      <c r="L93" s="45">
        <f>'Autoproducers Calculations'!M$390</f>
        <v>0</v>
      </c>
      <c r="M93" s="132">
        <v>0</v>
      </c>
      <c r="O93" s="90">
        <f>L93*K93*I93</f>
        <v>0</v>
      </c>
      <c r="P93" s="90">
        <f>O93/F93</f>
        <v>0</v>
      </c>
    </row>
    <row r="94" spans="1:16">
      <c r="A94" s="107"/>
      <c r="B94" s="126"/>
      <c r="C94" s="127"/>
      <c r="D94" s="128" t="s">
        <v>108</v>
      </c>
      <c r="E94" s="128"/>
      <c r="F94" s="129"/>
      <c r="G94" s="129">
        <f>'Eurostat Resume'!N45</f>
        <v>0</v>
      </c>
      <c r="H94" s="129"/>
      <c r="I94" s="130"/>
      <c r="J94" s="45"/>
      <c r="K94" s="131"/>
      <c r="L94" s="45"/>
      <c r="M94" s="132"/>
      <c r="O94" s="90"/>
      <c r="P94" s="90"/>
    </row>
    <row r="95" spans="1:16">
      <c r="A95" s="107"/>
      <c r="B95" s="126" t="str">
        <f>'Autoproducers Calculations'!$C$395</f>
        <v>EAUTOGENRFGD00</v>
      </c>
      <c r="C95" s="133" t="s">
        <v>372</v>
      </c>
      <c r="D95" s="128" t="s">
        <v>110</v>
      </c>
      <c r="E95" s="128" t="s">
        <v>105</v>
      </c>
      <c r="F95" s="129">
        <f>'Autoproducers Calculations'!M$391</f>
        <v>0.22408932618429053</v>
      </c>
      <c r="G95" s="129"/>
      <c r="H95" s="129"/>
      <c r="I95" s="130">
        <f>'Autoproducers Calculations'!M$389</f>
        <v>5.8315704178110994E-2</v>
      </c>
      <c r="J95" s="45">
        <v>1</v>
      </c>
      <c r="K95" s="131">
        <v>31.536000000000001</v>
      </c>
      <c r="L95" s="45">
        <f>'Autoproducers Calculations'!M$397</f>
        <v>0</v>
      </c>
      <c r="M95" s="132">
        <v>0</v>
      </c>
      <c r="O95" s="90">
        <f>L95*K95*I95</f>
        <v>0</v>
      </c>
      <c r="P95" s="90">
        <f>O95/F95</f>
        <v>0</v>
      </c>
    </row>
    <row r="96" spans="1:16">
      <c r="A96" s="107"/>
      <c r="B96" s="126" t="str">
        <f>'Autoproducers Calculations'!$C$402</f>
        <v>EAUTOGENOIL00</v>
      </c>
      <c r="C96" s="133" t="s">
        <v>366</v>
      </c>
      <c r="D96" s="128" t="s">
        <v>111</v>
      </c>
      <c r="E96" s="128" t="s">
        <v>105</v>
      </c>
      <c r="F96" s="129">
        <f>'Autoproducers Calculations'!M$391</f>
        <v>0.22408932618429053</v>
      </c>
      <c r="G96" s="129"/>
      <c r="H96" s="129">
        <f>'Eurostat Resume'!N48</f>
        <v>0</v>
      </c>
      <c r="I96" s="130">
        <f>'Autoproducers Calculations'!M$389</f>
        <v>5.8315704178110994E-2</v>
      </c>
      <c r="J96" s="45">
        <v>1</v>
      </c>
      <c r="K96" s="131">
        <v>31.536000000000001</v>
      </c>
      <c r="L96" s="45">
        <f>'Autoproducers Calculations'!M$404</f>
        <v>0</v>
      </c>
      <c r="M96" s="132">
        <v>0</v>
      </c>
      <c r="O96" s="90">
        <f>L96*K96*I96</f>
        <v>0</v>
      </c>
      <c r="P96" s="90">
        <f>O96/F96</f>
        <v>0</v>
      </c>
    </row>
    <row r="97" spans="1:16">
      <c r="A97" s="107"/>
      <c r="B97" s="126"/>
      <c r="C97" s="133"/>
      <c r="D97" s="128" t="s">
        <v>112</v>
      </c>
      <c r="E97" s="128"/>
      <c r="F97" s="129"/>
      <c r="G97" s="129"/>
      <c r="H97" s="129"/>
      <c r="I97" s="130"/>
      <c r="J97" s="45"/>
      <c r="K97" s="131"/>
      <c r="L97" s="45"/>
      <c r="M97" s="132"/>
      <c r="O97" s="90"/>
      <c r="P97" s="90"/>
    </row>
    <row r="98" spans="1:16">
      <c r="A98" s="107"/>
      <c r="B98" s="126" t="str">
        <f>'Autoproducers Calculations'!$C$409</f>
        <v>EAUTOGENGAS00</v>
      </c>
      <c r="C98" s="133" t="s">
        <v>364</v>
      </c>
      <c r="D98" s="128" t="s">
        <v>113</v>
      </c>
      <c r="E98" s="128" t="s">
        <v>105</v>
      </c>
      <c r="F98" s="129">
        <f>'Autoproducers Calculations'!M$391</f>
        <v>0.22408932618429053</v>
      </c>
      <c r="G98" s="129"/>
      <c r="H98" s="129"/>
      <c r="I98" s="130">
        <f>'Autoproducers Calculations'!M$389</f>
        <v>5.8315704178110994E-2</v>
      </c>
      <c r="J98" s="45">
        <v>1</v>
      </c>
      <c r="K98" s="131">
        <v>31.536000000000001</v>
      </c>
      <c r="L98" s="45">
        <f>'Autoproducers Calculations'!M$411</f>
        <v>0.32843168298937181</v>
      </c>
      <c r="M98" s="132">
        <v>0</v>
      </c>
      <c r="O98" s="90">
        <f>L98*K98*I98</f>
        <v>0.60400033143495646</v>
      </c>
      <c r="P98" s="90">
        <f>O98/F98</f>
        <v>2.6953552037468667</v>
      </c>
    </row>
    <row r="99" spans="1:16">
      <c r="A99" s="107"/>
      <c r="B99" s="126"/>
      <c r="C99" s="133"/>
      <c r="D99" s="128" t="s">
        <v>114</v>
      </c>
      <c r="E99" s="128"/>
      <c r="F99" s="129"/>
      <c r="G99" s="129">
        <f>'Eurostat Resume'!N46</f>
        <v>0.57361181864493116</v>
      </c>
      <c r="H99" s="129"/>
      <c r="I99" s="130"/>
      <c r="J99" s="45"/>
      <c r="K99" s="131"/>
      <c r="L99" s="45"/>
      <c r="M99" s="132"/>
      <c r="O99" s="90"/>
      <c r="P99" s="90"/>
    </row>
    <row r="100" spans="1:16">
      <c r="A100" s="107"/>
      <c r="B100" s="126"/>
      <c r="C100" s="133"/>
      <c r="D100" s="128" t="s">
        <v>115</v>
      </c>
      <c r="E100" s="128"/>
      <c r="F100" s="129"/>
      <c r="G100" s="129">
        <f>'Eurostat Resume'!N47</f>
        <v>0.42638818135506884</v>
      </c>
      <c r="H100" s="129"/>
      <c r="I100" s="130"/>
      <c r="J100" s="45"/>
      <c r="K100" s="131"/>
      <c r="L100" s="45"/>
      <c r="M100" s="132"/>
      <c r="O100" s="90"/>
      <c r="P100" s="90"/>
    </row>
    <row r="101" spans="1:16">
      <c r="A101" s="107"/>
      <c r="B101" s="126" t="str">
        <f>'Autoproducers Calculations'!$C$416</f>
        <v>EAUTOGENBIO00</v>
      </c>
      <c r="C101" s="133" t="s">
        <v>365</v>
      </c>
      <c r="D101" s="128" t="s">
        <v>116</v>
      </c>
      <c r="E101" s="128" t="s">
        <v>105</v>
      </c>
      <c r="F101" s="129">
        <f>'Autoproducers Calculations'!M$391</f>
        <v>0.22408932618429053</v>
      </c>
      <c r="G101" s="129"/>
      <c r="H101" s="129"/>
      <c r="I101" s="130">
        <f>'Autoproducers Calculations'!M$389</f>
        <v>5.8315704178110994E-2</v>
      </c>
      <c r="J101" s="45">
        <v>1</v>
      </c>
      <c r="K101" s="131">
        <v>31.536000000000001</v>
      </c>
      <c r="L101" s="45">
        <f>'Autoproducers Calculations'!M$418</f>
        <v>0</v>
      </c>
      <c r="M101" s="132">
        <v>0</v>
      </c>
      <c r="O101" s="90">
        <f>L101*K101*I101</f>
        <v>0</v>
      </c>
      <c r="P101" s="90">
        <f>O101/F101</f>
        <v>0</v>
      </c>
    </row>
    <row r="102" spans="1:16">
      <c r="A102" s="107"/>
      <c r="B102" s="126" t="str">
        <f>'Autoproducers Calculations'!$C$423</f>
        <v>EAUTOGENWASTE00</v>
      </c>
      <c r="C102" s="133" t="s">
        <v>367</v>
      </c>
      <c r="D102" s="128" t="s">
        <v>117</v>
      </c>
      <c r="E102" s="128" t="s">
        <v>105</v>
      </c>
      <c r="F102" s="129">
        <f>'Autoproducers Calculations'!M$391</f>
        <v>0.22408932618429053</v>
      </c>
      <c r="G102" s="129"/>
      <c r="H102" s="129"/>
      <c r="I102" s="130">
        <f>'Autoproducers Calculations'!M$389</f>
        <v>5.8315704178110994E-2</v>
      </c>
      <c r="J102" s="45">
        <v>1</v>
      </c>
      <c r="K102" s="131">
        <v>31.536000000000001</v>
      </c>
      <c r="L102" s="45">
        <f>'Autoproducers Calculations'!M$425</f>
        <v>1.8763939504461566</v>
      </c>
      <c r="M102" s="132">
        <v>0</v>
      </c>
      <c r="O102" s="90">
        <f>L102*K102*I102</f>
        <v>3.450771124321466</v>
      </c>
      <c r="P102" s="90">
        <f>O102/F102</f>
        <v>15.399087422323543</v>
      </c>
    </row>
    <row r="103" spans="1:16">
      <c r="A103" s="107"/>
      <c r="B103" s="126"/>
      <c r="C103" s="133"/>
      <c r="D103" s="128" t="s">
        <v>118</v>
      </c>
      <c r="E103" s="128"/>
      <c r="F103" s="129"/>
      <c r="G103" s="129"/>
      <c r="H103" s="129"/>
      <c r="I103" s="130"/>
      <c r="J103" s="45"/>
      <c r="K103" s="131"/>
      <c r="L103" s="45"/>
      <c r="M103" s="132"/>
    </row>
    <row r="104" spans="1:16">
      <c r="A104" s="107" t="str">
        <f>'CHP BY IND'!A420</f>
        <v>FI</v>
      </c>
      <c r="B104" s="126" t="str">
        <f>'Autoproducers Calculations'!$C$388</f>
        <v>EAUTOGENSOLID00</v>
      </c>
      <c r="C104" s="127" t="s">
        <v>368</v>
      </c>
      <c r="D104" s="128" t="s">
        <v>107</v>
      </c>
      <c r="E104" s="128" t="s">
        <v>105</v>
      </c>
      <c r="F104" s="129">
        <f>'Autoproducers Calculations'!N$391</f>
        <v>0.32361668703089547</v>
      </c>
      <c r="G104" s="129"/>
      <c r="H104" s="129"/>
      <c r="I104" s="130">
        <f>'Autoproducers Calculations'!N$389</f>
        <v>0.2136703558114415</v>
      </c>
      <c r="J104" s="45">
        <v>1</v>
      </c>
      <c r="K104" s="131">
        <v>31.536000000000001</v>
      </c>
      <c r="L104" s="45">
        <f>'Autoproducers Calculations'!N$390</f>
        <v>3.1707606337013903E-3</v>
      </c>
      <c r="M104" s="132">
        <v>0</v>
      </c>
      <c r="O104" s="90">
        <f>L104*K104*I104</f>
        <v>2.1365562824971117E-2</v>
      </c>
      <c r="P104" s="90">
        <f>O104/F104</f>
        <v>6.6021202494206857E-2</v>
      </c>
    </row>
    <row r="105" spans="1:16">
      <c r="A105" s="107"/>
      <c r="B105" s="126"/>
      <c r="C105" s="127"/>
      <c r="D105" s="128" t="s">
        <v>108</v>
      </c>
      <c r="E105" s="128"/>
      <c r="F105" s="129"/>
      <c r="G105" s="129">
        <f>'Eurostat Resume'!O45</f>
        <v>0</v>
      </c>
      <c r="H105" s="129"/>
      <c r="I105" s="130"/>
      <c r="J105" s="45"/>
      <c r="K105" s="131"/>
      <c r="L105" s="45"/>
      <c r="M105" s="132"/>
      <c r="O105" s="90"/>
      <c r="P105" s="90"/>
    </row>
    <row r="106" spans="1:16">
      <c r="A106" s="107"/>
      <c r="B106" s="126" t="str">
        <f>'Autoproducers Calculations'!$C$395</f>
        <v>EAUTOGENRFGD00</v>
      </c>
      <c r="C106" s="133" t="s">
        <v>372</v>
      </c>
      <c r="D106" s="128" t="s">
        <v>110</v>
      </c>
      <c r="E106" s="128" t="s">
        <v>105</v>
      </c>
      <c r="F106" s="129">
        <f>'Autoproducers Calculations'!N$391</f>
        <v>0.32361668703089547</v>
      </c>
      <c r="G106" s="129"/>
      <c r="H106" s="129"/>
      <c r="I106" s="130">
        <f>'Autoproducers Calculations'!N$389</f>
        <v>0.2136703558114415</v>
      </c>
      <c r="J106" s="45">
        <v>1</v>
      </c>
      <c r="K106" s="131">
        <v>31.536000000000001</v>
      </c>
      <c r="L106" s="45">
        <f>'Autoproducers Calculations'!N$397</f>
        <v>0</v>
      </c>
      <c r="M106" s="132">
        <v>0</v>
      </c>
      <c r="O106" s="90">
        <f>L106*K106*I106</f>
        <v>0</v>
      </c>
      <c r="P106" s="90">
        <f>O106/F106</f>
        <v>0</v>
      </c>
    </row>
    <row r="107" spans="1:16">
      <c r="A107" s="107"/>
      <c r="B107" s="126" t="str">
        <f>'Autoproducers Calculations'!$C$402</f>
        <v>EAUTOGENOIL00</v>
      </c>
      <c r="C107" s="133" t="s">
        <v>366</v>
      </c>
      <c r="D107" s="128" t="s">
        <v>111</v>
      </c>
      <c r="E107" s="128" t="s">
        <v>105</v>
      </c>
      <c r="F107" s="129">
        <f>'Autoproducers Calculations'!N$391</f>
        <v>0.32361668703089547</v>
      </c>
      <c r="G107" s="129"/>
      <c r="H107" s="129">
        <f>'Eurostat Resume'!O48</f>
        <v>1</v>
      </c>
      <c r="I107" s="130">
        <f>'Autoproducers Calculations'!N$389</f>
        <v>0.2136703558114415</v>
      </c>
      <c r="J107" s="45">
        <v>1</v>
      </c>
      <c r="K107" s="131">
        <v>31.536000000000001</v>
      </c>
      <c r="L107" s="45">
        <f>'Autoproducers Calculations'!N$404</f>
        <v>2.3780704752760427E-2</v>
      </c>
      <c r="M107" s="132">
        <v>0</v>
      </c>
      <c r="O107" s="90">
        <f>L107*K107*I107</f>
        <v>0.16024172118728339</v>
      </c>
      <c r="P107" s="90">
        <f>O107/F107</f>
        <v>0.49515901870655149</v>
      </c>
    </row>
    <row r="108" spans="1:16">
      <c r="A108" s="107"/>
      <c r="B108" s="126"/>
      <c r="C108" s="133"/>
      <c r="D108" s="128" t="s">
        <v>112</v>
      </c>
      <c r="E108" s="128"/>
      <c r="F108" s="129"/>
      <c r="G108" s="129"/>
      <c r="H108" s="129"/>
      <c r="I108" s="130"/>
      <c r="J108" s="45"/>
      <c r="K108" s="131"/>
      <c r="L108" s="45"/>
      <c r="M108" s="132"/>
      <c r="O108" s="90"/>
      <c r="P108" s="90"/>
    </row>
    <row r="109" spans="1:16">
      <c r="A109" s="107"/>
      <c r="B109" s="126" t="str">
        <f>'Autoproducers Calculations'!$C$409</f>
        <v>EAUTOGENGAS00</v>
      </c>
      <c r="C109" s="133" t="s">
        <v>364</v>
      </c>
      <c r="D109" s="128" t="s">
        <v>113</v>
      </c>
      <c r="E109" s="128" t="s">
        <v>105</v>
      </c>
      <c r="F109" s="129">
        <f>'Autoproducers Calculations'!N$391</f>
        <v>0.32361668703089547</v>
      </c>
      <c r="G109" s="129"/>
      <c r="H109" s="129"/>
      <c r="I109" s="130">
        <f>'Autoproducers Calculations'!N$389</f>
        <v>0.2136703558114415</v>
      </c>
      <c r="J109" s="45">
        <v>1</v>
      </c>
      <c r="K109" s="131">
        <v>31.536000000000001</v>
      </c>
      <c r="L109" s="45">
        <f>'Autoproducers Calculations'!N$411</f>
        <v>0.52343973461353788</v>
      </c>
      <c r="M109" s="132">
        <v>0</v>
      </c>
      <c r="O109" s="90">
        <f>L109*K109*I109</f>
        <v>3.527098329688982</v>
      </c>
      <c r="P109" s="90">
        <f>O109/F109</f>
        <v>10.89900017841865</v>
      </c>
    </row>
    <row r="110" spans="1:16">
      <c r="A110" s="107"/>
      <c r="B110" s="126"/>
      <c r="C110" s="133"/>
      <c r="D110" s="128" t="s">
        <v>114</v>
      </c>
      <c r="E110" s="128"/>
      <c r="F110" s="129"/>
      <c r="G110" s="129">
        <f>'Eurostat Resume'!O46</f>
        <v>5.047955577990914E-2</v>
      </c>
      <c r="H110" s="129"/>
      <c r="I110" s="130"/>
      <c r="J110" s="45"/>
      <c r="K110" s="131"/>
      <c r="L110" s="45"/>
      <c r="M110" s="132"/>
      <c r="O110" s="90"/>
      <c r="P110" s="90"/>
    </row>
    <row r="111" spans="1:16">
      <c r="A111" s="107"/>
      <c r="B111" s="126"/>
      <c r="C111" s="133"/>
      <c r="D111" s="128" t="s">
        <v>115</v>
      </c>
      <c r="E111" s="128"/>
      <c r="F111" s="129"/>
      <c r="G111" s="129">
        <f>'Eurostat Resume'!O47</f>
        <v>4.7576981322564361E-2</v>
      </c>
      <c r="H111" s="129"/>
      <c r="I111" s="130"/>
      <c r="J111" s="45"/>
      <c r="K111" s="131"/>
      <c r="L111" s="45"/>
      <c r="M111" s="132"/>
      <c r="O111" s="90"/>
      <c r="P111" s="90"/>
    </row>
    <row r="112" spans="1:16">
      <c r="A112" s="107"/>
      <c r="B112" s="126" t="str">
        <f>'Autoproducers Calculations'!$C$416</f>
        <v>EAUTOGENBIO00</v>
      </c>
      <c r="C112" s="133" t="s">
        <v>365</v>
      </c>
      <c r="D112" s="128" t="s">
        <v>116</v>
      </c>
      <c r="E112" s="128" t="s">
        <v>105</v>
      </c>
      <c r="F112" s="129">
        <f>'Autoproducers Calculations'!N$391</f>
        <v>0.32361668703089547</v>
      </c>
      <c r="G112" s="129"/>
      <c r="H112" s="129"/>
      <c r="I112" s="130">
        <f>'Autoproducers Calculations'!N$389</f>
        <v>0.2136703558114415</v>
      </c>
      <c r="J112" s="45">
        <v>1</v>
      </c>
      <c r="K112" s="131">
        <v>31.536000000000001</v>
      </c>
      <c r="L112" s="45">
        <f>'Autoproducers Calculations'!N$418</f>
        <v>0</v>
      </c>
      <c r="M112" s="132">
        <v>0</v>
      </c>
      <c r="O112" s="90">
        <f>L112*K112*I112</f>
        <v>0</v>
      </c>
      <c r="P112" s="90">
        <f>O112/F112</f>
        <v>0</v>
      </c>
    </row>
    <row r="113" spans="1:16">
      <c r="A113" s="107"/>
      <c r="B113" s="126" t="str">
        <f>'Autoproducers Calculations'!$C$423</f>
        <v>EAUTOGENWASTE00</v>
      </c>
      <c r="C113" s="133" t="s">
        <v>367</v>
      </c>
      <c r="D113" s="128" t="s">
        <v>117</v>
      </c>
      <c r="E113" s="128" t="s">
        <v>105</v>
      </c>
      <c r="F113" s="129">
        <f>'Autoproducers Calculations'!N$391</f>
        <v>0.32361668703089547</v>
      </c>
      <c r="G113" s="129"/>
      <c r="H113" s="129"/>
      <c r="I113" s="130">
        <f>'Autoproducers Calculations'!N$389</f>
        <v>0.2136703558114415</v>
      </c>
      <c r="J113" s="45">
        <v>1</v>
      </c>
      <c r="K113" s="131">
        <v>31.536000000000001</v>
      </c>
      <c r="L113" s="45">
        <f>'Autoproducers Calculations'!N$425</f>
        <v>0</v>
      </c>
      <c r="M113" s="132">
        <v>0</v>
      </c>
      <c r="O113" s="90">
        <f>L113*K113*I113</f>
        <v>0</v>
      </c>
      <c r="P113" s="90">
        <f>O113/F113</f>
        <v>0</v>
      </c>
    </row>
    <row r="114" spans="1:16">
      <c r="A114" s="107"/>
      <c r="B114" s="126"/>
      <c r="C114" s="133"/>
      <c r="D114" s="128" t="s">
        <v>118</v>
      </c>
      <c r="E114" s="128"/>
      <c r="F114" s="129"/>
      <c r="G114" s="129"/>
      <c r="H114" s="129"/>
      <c r="I114" s="130"/>
      <c r="J114" s="45"/>
      <c r="K114" s="131"/>
      <c r="L114" s="45"/>
      <c r="M114" s="132"/>
    </row>
    <row r="115" spans="1:16">
      <c r="A115" s="107" t="str">
        <f>'CHP BY IND'!A466</f>
        <v>FR</v>
      </c>
      <c r="B115" s="126" t="str">
        <f>'Autoproducers Calculations'!$C$388</f>
        <v>EAUTOGENSOLID00</v>
      </c>
      <c r="C115" s="127" t="s">
        <v>368</v>
      </c>
      <c r="D115" s="128" t="s">
        <v>107</v>
      </c>
      <c r="E115" s="128" t="s">
        <v>105</v>
      </c>
      <c r="F115" s="129">
        <f>'Autoproducers Calculations'!O$391</f>
        <v>0.27894556729682363</v>
      </c>
      <c r="G115" s="129"/>
      <c r="H115" s="129"/>
      <c r="I115" s="130">
        <f>'Autoproducers Calculations'!O$389</f>
        <v>0.25391442754382687</v>
      </c>
      <c r="J115" s="45">
        <v>1</v>
      </c>
      <c r="K115" s="131">
        <v>31.536000000000001</v>
      </c>
      <c r="L115" s="45">
        <f>'Autoproducers Calculations'!O$390</f>
        <v>0.31096378184366724</v>
      </c>
      <c r="M115" s="132">
        <v>0</v>
      </c>
      <c r="O115" s="90">
        <f>L115*K115*I115</f>
        <v>2.4900255004550274</v>
      </c>
      <c r="P115" s="90">
        <f>O115/F115</f>
        <v>8.9265641486441414</v>
      </c>
    </row>
    <row r="116" spans="1:16">
      <c r="A116" s="107"/>
      <c r="B116" s="126"/>
      <c r="C116" s="127"/>
      <c r="D116" s="128" t="s">
        <v>108</v>
      </c>
      <c r="E116" s="128"/>
      <c r="F116" s="129"/>
      <c r="G116" s="129">
        <f>'Eurostat Resume'!P45</f>
        <v>1</v>
      </c>
      <c r="H116" s="129"/>
      <c r="I116" s="130"/>
      <c r="J116" s="45"/>
      <c r="K116" s="131"/>
      <c r="L116" s="45"/>
      <c r="M116" s="132"/>
      <c r="O116" s="90"/>
      <c r="P116" s="90"/>
    </row>
    <row r="117" spans="1:16">
      <c r="A117" s="107"/>
      <c r="B117" s="126" t="str">
        <f>'Autoproducers Calculations'!$C$395</f>
        <v>EAUTOGENRFGD00</v>
      </c>
      <c r="C117" s="133" t="s">
        <v>372</v>
      </c>
      <c r="D117" s="128" t="s">
        <v>110</v>
      </c>
      <c r="E117" s="128" t="s">
        <v>105</v>
      </c>
      <c r="F117" s="129">
        <f>'Autoproducers Calculations'!O$391</f>
        <v>0.27894556729682363</v>
      </c>
      <c r="G117" s="129"/>
      <c r="H117" s="129"/>
      <c r="I117" s="130">
        <f>'Autoproducers Calculations'!O$389</f>
        <v>0.25391442754382687</v>
      </c>
      <c r="J117" s="45">
        <v>1</v>
      </c>
      <c r="K117" s="131">
        <v>31.536000000000001</v>
      </c>
      <c r="L117" s="45">
        <f>'Autoproducers Calculations'!O$397</f>
        <v>0</v>
      </c>
      <c r="M117" s="132">
        <v>0</v>
      </c>
      <c r="O117" s="90">
        <f>L117*K117*I117</f>
        <v>0</v>
      </c>
      <c r="P117" s="90">
        <f>O117/F117</f>
        <v>0</v>
      </c>
    </row>
    <row r="118" spans="1:16">
      <c r="A118" s="107"/>
      <c r="B118" s="126" t="str">
        <f>'Autoproducers Calculations'!$C$402</f>
        <v>EAUTOGENOIL00</v>
      </c>
      <c r="C118" s="133" t="s">
        <v>366</v>
      </c>
      <c r="D118" s="128" t="s">
        <v>111</v>
      </c>
      <c r="E118" s="128" t="s">
        <v>105</v>
      </c>
      <c r="F118" s="129">
        <f>'Autoproducers Calculations'!O$391</f>
        <v>0.27894556729682363</v>
      </c>
      <c r="G118" s="129"/>
      <c r="H118" s="129">
        <f>'Eurostat Resume'!P48</f>
        <v>0.77967858994297567</v>
      </c>
      <c r="I118" s="130">
        <f>'Autoproducers Calculations'!O$389</f>
        <v>0.25391442754382687</v>
      </c>
      <c r="J118" s="45">
        <v>1</v>
      </c>
      <c r="K118" s="131">
        <v>31.536000000000001</v>
      </c>
      <c r="L118" s="45">
        <f>'Autoproducers Calculations'!O$404</f>
        <v>0.44028856075780543</v>
      </c>
      <c r="M118" s="132">
        <v>0</v>
      </c>
      <c r="O118" s="90">
        <f>L118*K118*I118</f>
        <v>3.5255866047986992</v>
      </c>
      <c r="P118" s="90">
        <f>O118/F118</f>
        <v>12.638976983803984</v>
      </c>
    </row>
    <row r="119" spans="1:16">
      <c r="A119" s="107"/>
      <c r="B119" s="126"/>
      <c r="C119" s="133"/>
      <c r="D119" s="128" t="s">
        <v>112</v>
      </c>
      <c r="E119" s="128"/>
      <c r="F119" s="129"/>
      <c r="G119" s="129"/>
      <c r="H119" s="129"/>
      <c r="I119" s="130"/>
      <c r="J119" s="45"/>
      <c r="K119" s="131"/>
      <c r="L119" s="45"/>
      <c r="M119" s="132"/>
      <c r="O119" s="90"/>
      <c r="P119" s="90"/>
    </row>
    <row r="120" spans="1:16">
      <c r="A120" s="107"/>
      <c r="B120" s="126" t="str">
        <f>'Autoproducers Calculations'!$C$409</f>
        <v>EAUTOGENGAS00</v>
      </c>
      <c r="C120" s="133" t="s">
        <v>364</v>
      </c>
      <c r="D120" s="128" t="s">
        <v>113</v>
      </c>
      <c r="E120" s="128" t="s">
        <v>105</v>
      </c>
      <c r="F120" s="129">
        <f>'Autoproducers Calculations'!O$391</f>
        <v>0.27894556729682363</v>
      </c>
      <c r="G120" s="129"/>
      <c r="H120" s="129"/>
      <c r="I120" s="130">
        <f>'Autoproducers Calculations'!O$389</f>
        <v>0.25391442754382687</v>
      </c>
      <c r="J120" s="45">
        <v>1</v>
      </c>
      <c r="K120" s="131">
        <v>31.536000000000001</v>
      </c>
      <c r="L120" s="45">
        <f>'Autoproducers Calculations'!O$411</f>
        <v>1.5256032867315559</v>
      </c>
      <c r="M120" s="132">
        <v>0</v>
      </c>
      <c r="O120" s="90">
        <f>L120*K120*I120</f>
        <v>12.216185000764387</v>
      </c>
      <c r="P120" s="90">
        <f>O120/F120</f>
        <v>43.794153530194826</v>
      </c>
    </row>
    <row r="121" spans="1:16">
      <c r="A121" s="107"/>
      <c r="B121" s="126"/>
      <c r="C121" s="133"/>
      <c r="D121" s="128" t="s">
        <v>114</v>
      </c>
      <c r="E121" s="128"/>
      <c r="F121" s="129"/>
      <c r="G121" s="129">
        <f>'Eurostat Resume'!P46</f>
        <v>9.9461400359066421E-2</v>
      </c>
      <c r="H121" s="129"/>
      <c r="I121" s="130"/>
      <c r="J121" s="45"/>
      <c r="K121" s="131"/>
      <c r="L121" s="45"/>
      <c r="M121" s="132"/>
      <c r="O121" s="90"/>
      <c r="P121" s="90"/>
    </row>
    <row r="122" spans="1:16">
      <c r="A122" s="107"/>
      <c r="B122" s="126"/>
      <c r="C122" s="133"/>
      <c r="D122" s="128" t="s">
        <v>115</v>
      </c>
      <c r="E122" s="128"/>
      <c r="F122" s="129"/>
      <c r="G122" s="129">
        <f>'Eurostat Resume'!P47</f>
        <v>9.1352483542788743E-2</v>
      </c>
      <c r="H122" s="129"/>
      <c r="I122" s="130"/>
      <c r="J122" s="45"/>
      <c r="K122" s="131"/>
      <c r="L122" s="45"/>
      <c r="M122" s="132"/>
      <c r="O122" s="90"/>
      <c r="P122" s="90"/>
    </row>
    <row r="123" spans="1:16">
      <c r="A123" s="107"/>
      <c r="B123" s="126" t="str">
        <f>'Autoproducers Calculations'!$C$416</f>
        <v>EAUTOGENBIO00</v>
      </c>
      <c r="C123" s="133" t="s">
        <v>365</v>
      </c>
      <c r="D123" s="128" t="s">
        <v>116</v>
      </c>
      <c r="E123" s="128" t="s">
        <v>105</v>
      </c>
      <c r="F123" s="129">
        <f>'Autoproducers Calculations'!O$391</f>
        <v>0.27894556729682363</v>
      </c>
      <c r="G123" s="129"/>
      <c r="H123" s="129"/>
      <c r="I123" s="130">
        <f>'Autoproducers Calculations'!O$389</f>
        <v>0.25391442754382687</v>
      </c>
      <c r="J123" s="45">
        <v>1</v>
      </c>
      <c r="K123" s="131">
        <v>31.536000000000001</v>
      </c>
      <c r="L123" s="45">
        <f>'Autoproducers Calculations'!O$418</f>
        <v>0.22427555199617399</v>
      </c>
      <c r="M123" s="132">
        <v>0</v>
      </c>
      <c r="O123" s="90">
        <f>L123*K123*I123</f>
        <v>1.7958742342536043</v>
      </c>
      <c r="P123" s="90">
        <f>O123/F123</f>
        <v>6.4380812774939331</v>
      </c>
    </row>
    <row r="124" spans="1:16">
      <c r="A124" s="107"/>
      <c r="B124" s="126" t="str">
        <f>'Autoproducers Calculations'!$C$423</f>
        <v>EAUTOGENWASTE00</v>
      </c>
      <c r="C124" s="133" t="s">
        <v>367</v>
      </c>
      <c r="D124" s="128" t="s">
        <v>117</v>
      </c>
      <c r="E124" s="128" t="s">
        <v>105</v>
      </c>
      <c r="F124" s="129">
        <f>'Autoproducers Calculations'!O$391</f>
        <v>0.27894556729682363</v>
      </c>
      <c r="G124" s="129"/>
      <c r="H124" s="129"/>
      <c r="I124" s="130">
        <f>'Autoproducers Calculations'!O$389</f>
        <v>0.25391442754382687</v>
      </c>
      <c r="J124" s="45">
        <v>1</v>
      </c>
      <c r="K124" s="131">
        <v>31.536000000000001</v>
      </c>
      <c r="L124" s="45">
        <f>'Autoproducers Calculations'!O$425</f>
        <v>0.85875670347079691</v>
      </c>
      <c r="M124" s="132">
        <v>0</v>
      </c>
      <c r="O124" s="90">
        <f>L124*K124*I124</f>
        <v>6.8764474037815591</v>
      </c>
      <c r="P124" s="90">
        <f>O124/F124</f>
        <v>24.651574392879272</v>
      </c>
    </row>
    <row r="125" spans="1:16">
      <c r="A125" s="107"/>
      <c r="B125" s="126"/>
      <c r="C125" s="133"/>
      <c r="D125" s="128" t="s">
        <v>118</v>
      </c>
      <c r="E125" s="128"/>
      <c r="F125" s="129"/>
      <c r="G125" s="129"/>
      <c r="H125" s="129"/>
      <c r="I125" s="130"/>
      <c r="J125" s="45"/>
      <c r="K125" s="131"/>
      <c r="L125" s="45"/>
      <c r="M125" s="132"/>
    </row>
    <row r="126" spans="1:16">
      <c r="A126" s="107" t="str">
        <f>'CHP BY IND'!A512</f>
        <v>GR</v>
      </c>
      <c r="B126" s="126" t="str">
        <f>'Autoproducers Calculations'!$C$388</f>
        <v>EAUTOGENSOLID00</v>
      </c>
      <c r="C126" s="127" t="s">
        <v>368</v>
      </c>
      <c r="D126" s="128" t="s">
        <v>107</v>
      </c>
      <c r="E126" s="128" t="s">
        <v>105</v>
      </c>
      <c r="F126" s="129">
        <f>'Autoproducers Calculations'!P$391</f>
        <v>0.40375586854460094</v>
      </c>
      <c r="G126" s="129"/>
      <c r="H126" s="129"/>
      <c r="I126" s="130">
        <f>'Autoproducers Calculations'!P$389</f>
        <v>0.20306440239468654</v>
      </c>
      <c r="J126" s="45">
        <v>1</v>
      </c>
      <c r="K126" s="131">
        <v>31.536000000000001</v>
      </c>
      <c r="L126" s="45">
        <f>'Autoproducers Calculations'!P$390</f>
        <v>0</v>
      </c>
      <c r="M126" s="132">
        <v>0</v>
      </c>
      <c r="O126" s="90">
        <f>L126*K126*I126</f>
        <v>0</v>
      </c>
      <c r="P126" s="90">
        <f>O126/F126</f>
        <v>0</v>
      </c>
    </row>
    <row r="127" spans="1:16">
      <c r="A127" s="107"/>
      <c r="B127" s="126"/>
      <c r="C127" s="127"/>
      <c r="D127" s="128" t="s">
        <v>108</v>
      </c>
      <c r="E127" s="128"/>
      <c r="F127" s="129"/>
      <c r="G127" s="129">
        <f>'Eurostat Resume'!Q45</f>
        <v>0</v>
      </c>
      <c r="H127" s="129"/>
      <c r="I127" s="130"/>
      <c r="J127" s="45"/>
      <c r="K127" s="131"/>
      <c r="L127" s="45"/>
      <c r="M127" s="132"/>
      <c r="O127" s="90"/>
      <c r="P127" s="90"/>
    </row>
    <row r="128" spans="1:16">
      <c r="A128" s="107"/>
      <c r="B128" s="126" t="str">
        <f>'Autoproducers Calculations'!$C$395</f>
        <v>EAUTOGENRFGD00</v>
      </c>
      <c r="C128" s="133" t="s">
        <v>372</v>
      </c>
      <c r="D128" s="128" t="s">
        <v>110</v>
      </c>
      <c r="E128" s="128" t="s">
        <v>105</v>
      </c>
      <c r="F128" s="129">
        <f>'Autoproducers Calculations'!P$391</f>
        <v>0.40375586854460094</v>
      </c>
      <c r="G128" s="129"/>
      <c r="H128" s="129"/>
      <c r="I128" s="130">
        <f>'Autoproducers Calculations'!P$389</f>
        <v>0.20306440239468654</v>
      </c>
      <c r="J128" s="45">
        <v>1</v>
      </c>
      <c r="K128" s="131">
        <v>31.536000000000001</v>
      </c>
      <c r="L128" s="45">
        <f>'Autoproducers Calculations'!P$397</f>
        <v>0</v>
      </c>
      <c r="M128" s="132">
        <v>0</v>
      </c>
      <c r="O128" s="90">
        <f>L128*K128*I128</f>
        <v>0</v>
      </c>
      <c r="P128" s="90">
        <f>O128/F128</f>
        <v>0</v>
      </c>
    </row>
    <row r="129" spans="1:16">
      <c r="A129" s="107"/>
      <c r="B129" s="126" t="str">
        <f>'Autoproducers Calculations'!$C$402</f>
        <v>EAUTOGENOIL00</v>
      </c>
      <c r="C129" s="133" t="s">
        <v>366</v>
      </c>
      <c r="D129" s="128" t="s">
        <v>111</v>
      </c>
      <c r="E129" s="128" t="s">
        <v>105</v>
      </c>
      <c r="F129" s="129">
        <f>'Autoproducers Calculations'!P$391</f>
        <v>0.40375586854460094</v>
      </c>
      <c r="G129" s="129"/>
      <c r="H129" s="129">
        <f>'Eurostat Resume'!Q48</f>
        <v>0</v>
      </c>
      <c r="I129" s="130">
        <f>'Autoproducers Calculations'!P$389</f>
        <v>0.20306440239468654</v>
      </c>
      <c r="J129" s="45">
        <v>1</v>
      </c>
      <c r="K129" s="131">
        <v>31.536000000000001</v>
      </c>
      <c r="L129" s="45">
        <f>'Autoproducers Calculations'!P$404</f>
        <v>0</v>
      </c>
      <c r="M129" s="132">
        <v>0</v>
      </c>
      <c r="O129" s="90">
        <f>L129*K129*I129</f>
        <v>0</v>
      </c>
      <c r="P129" s="90">
        <f>O129/F129</f>
        <v>0</v>
      </c>
    </row>
    <row r="130" spans="1:16">
      <c r="A130" s="107"/>
      <c r="B130" s="126"/>
      <c r="C130" s="133"/>
      <c r="D130" s="128" t="s">
        <v>112</v>
      </c>
      <c r="E130" s="128"/>
      <c r="F130" s="129"/>
      <c r="G130" s="129"/>
      <c r="H130" s="129"/>
      <c r="I130" s="130"/>
      <c r="J130" s="45"/>
      <c r="K130" s="131"/>
      <c r="L130" s="45"/>
      <c r="M130" s="132"/>
      <c r="O130" s="90"/>
      <c r="P130" s="90"/>
    </row>
    <row r="131" spans="1:16">
      <c r="A131" s="107"/>
      <c r="B131" s="126" t="str">
        <f>'Autoproducers Calculations'!$C$409</f>
        <v>EAUTOGENGAS00</v>
      </c>
      <c r="C131" s="133" t="s">
        <v>364</v>
      </c>
      <c r="D131" s="128" t="s">
        <v>113</v>
      </c>
      <c r="E131" s="128" t="s">
        <v>105</v>
      </c>
      <c r="F131" s="129">
        <f>'Autoproducers Calculations'!P$391</f>
        <v>0.40375586854460094</v>
      </c>
      <c r="G131" s="129"/>
      <c r="H131" s="129"/>
      <c r="I131" s="130">
        <f>'Autoproducers Calculations'!P$389</f>
        <v>0.20306440239468654</v>
      </c>
      <c r="J131" s="45">
        <v>1</v>
      </c>
      <c r="K131" s="131">
        <v>31.536000000000001</v>
      </c>
      <c r="L131" s="45">
        <f>'Autoproducers Calculations'!P$411</f>
        <v>1.3431999999999999E-2</v>
      </c>
      <c r="M131" s="132">
        <v>0</v>
      </c>
      <c r="O131" s="90">
        <f>L131*K131*I131</f>
        <v>8.6016365366317779E-2</v>
      </c>
      <c r="P131" s="90">
        <f>O131/F131</f>
        <v>0.21304053282588009</v>
      </c>
    </row>
    <row r="132" spans="1:16">
      <c r="A132" s="107"/>
      <c r="B132" s="126"/>
      <c r="C132" s="133"/>
      <c r="D132" s="128" t="s">
        <v>114</v>
      </c>
      <c r="E132" s="128"/>
      <c r="F132" s="129"/>
      <c r="G132" s="129">
        <f>'Eurostat Resume'!Q46</f>
        <v>0</v>
      </c>
      <c r="H132" s="129"/>
      <c r="I132" s="130"/>
      <c r="J132" s="45"/>
      <c r="K132" s="131"/>
      <c r="L132" s="45"/>
      <c r="M132" s="132"/>
      <c r="O132" s="90"/>
      <c r="P132" s="90"/>
    </row>
    <row r="133" spans="1:16">
      <c r="A133" s="107"/>
      <c r="B133" s="126"/>
      <c r="C133" s="133"/>
      <c r="D133" s="128" t="s">
        <v>115</v>
      </c>
      <c r="E133" s="128"/>
      <c r="F133" s="129"/>
      <c r="G133" s="129">
        <f>'Eurostat Resume'!Q47</f>
        <v>0</v>
      </c>
      <c r="H133" s="129"/>
      <c r="I133" s="130"/>
      <c r="J133" s="45"/>
      <c r="K133" s="131"/>
      <c r="L133" s="45"/>
      <c r="M133" s="132"/>
      <c r="O133" s="90"/>
      <c r="P133" s="90"/>
    </row>
    <row r="134" spans="1:16">
      <c r="A134" s="107"/>
      <c r="B134" s="126" t="str">
        <f>'Autoproducers Calculations'!$C$416</f>
        <v>EAUTOGENBIO00</v>
      </c>
      <c r="C134" s="133" t="s">
        <v>365</v>
      </c>
      <c r="D134" s="128" t="s">
        <v>116</v>
      </c>
      <c r="E134" s="128" t="s">
        <v>105</v>
      </c>
      <c r="F134" s="129">
        <f>'Autoproducers Calculations'!P$391</f>
        <v>0.40375586854460094</v>
      </c>
      <c r="G134" s="129"/>
      <c r="H134" s="129"/>
      <c r="I134" s="130">
        <f>'Autoproducers Calculations'!P$389</f>
        <v>0.20306440239468654</v>
      </c>
      <c r="J134" s="45">
        <v>1</v>
      </c>
      <c r="K134" s="131">
        <v>31.536000000000001</v>
      </c>
      <c r="L134" s="45">
        <f>'Autoproducers Calculations'!P$418</f>
        <v>0</v>
      </c>
      <c r="M134" s="132">
        <v>0</v>
      </c>
      <c r="O134" s="90">
        <f>L134*K134*I134</f>
        <v>0</v>
      </c>
      <c r="P134" s="90">
        <f>O134/F134</f>
        <v>0</v>
      </c>
    </row>
    <row r="135" spans="1:16">
      <c r="A135" s="107"/>
      <c r="B135" s="126" t="str">
        <f>'Autoproducers Calculations'!$C$423</f>
        <v>EAUTOGENWASTE00</v>
      </c>
      <c r="C135" s="133" t="s">
        <v>367</v>
      </c>
      <c r="D135" s="128" t="s">
        <v>117</v>
      </c>
      <c r="E135" s="128" t="s">
        <v>105</v>
      </c>
      <c r="F135" s="129">
        <f>'Autoproducers Calculations'!P$391</f>
        <v>0.40375586854460094</v>
      </c>
      <c r="G135" s="129"/>
      <c r="H135" s="129"/>
      <c r="I135" s="130">
        <f>'Autoproducers Calculations'!P$389</f>
        <v>0.20306440239468654</v>
      </c>
      <c r="J135" s="45">
        <v>1</v>
      </c>
      <c r="K135" s="131">
        <v>31.536000000000001</v>
      </c>
      <c r="L135" s="45">
        <f>'Autoproducers Calculations'!P$425</f>
        <v>0</v>
      </c>
      <c r="M135" s="132">
        <v>0</v>
      </c>
      <c r="O135" s="90">
        <f>L135*K135*I135</f>
        <v>0</v>
      </c>
      <c r="P135" s="90">
        <f>O135/F135</f>
        <v>0</v>
      </c>
    </row>
    <row r="136" spans="1:16">
      <c r="A136" s="107"/>
      <c r="B136" s="126"/>
      <c r="C136" s="133"/>
      <c r="D136" s="128" t="s">
        <v>118</v>
      </c>
      <c r="E136" s="128"/>
      <c r="F136" s="129"/>
      <c r="G136" s="129"/>
      <c r="H136" s="129"/>
      <c r="I136" s="130"/>
      <c r="J136" s="45"/>
      <c r="K136" s="131"/>
      <c r="L136" s="45"/>
      <c r="M136" s="132"/>
    </row>
    <row r="137" spans="1:16">
      <c r="A137" s="107" t="str">
        <f>'CHP BY IND'!A558</f>
        <v>HU</v>
      </c>
      <c r="B137" s="126" t="str">
        <f>'Autoproducers Calculations'!$C$388</f>
        <v>EAUTOGENSOLID00</v>
      </c>
      <c r="C137" s="127" t="s">
        <v>368</v>
      </c>
      <c r="D137" s="128" t="s">
        <v>107</v>
      </c>
      <c r="E137" s="128" t="s">
        <v>105</v>
      </c>
      <c r="F137" s="129">
        <f>'Autoproducers Calculations'!Q$391</f>
        <v>0.4375</v>
      </c>
      <c r="G137" s="129"/>
      <c r="H137" s="129"/>
      <c r="I137" s="130">
        <f>'Autoproducers Calculations'!Q$389</f>
        <v>0.89999999999995273</v>
      </c>
      <c r="J137" s="45">
        <v>1</v>
      </c>
      <c r="K137" s="131">
        <v>31.536000000000001</v>
      </c>
      <c r="L137" s="45">
        <f>'Autoproducers Calculations'!Q$390</f>
        <v>0</v>
      </c>
      <c r="M137" s="132">
        <v>0</v>
      </c>
      <c r="O137" s="90">
        <f>L137*K137*I137</f>
        <v>0</v>
      </c>
      <c r="P137" s="90">
        <f>O137/F137</f>
        <v>0</v>
      </c>
    </row>
    <row r="138" spans="1:16">
      <c r="A138" s="107"/>
      <c r="B138" s="126"/>
      <c r="C138" s="127"/>
      <c r="D138" s="128" t="s">
        <v>108</v>
      </c>
      <c r="E138" s="128"/>
      <c r="F138" s="129"/>
      <c r="G138" s="129">
        <f>'Eurostat Resume'!R45</f>
        <v>0</v>
      </c>
      <c r="H138" s="129"/>
      <c r="I138" s="130"/>
      <c r="J138" s="45"/>
      <c r="K138" s="131"/>
      <c r="L138" s="45"/>
      <c r="M138" s="132"/>
      <c r="O138" s="90"/>
      <c r="P138" s="90"/>
    </row>
    <row r="139" spans="1:16">
      <c r="A139" s="107"/>
      <c r="B139" s="126" t="str">
        <f>'Autoproducers Calculations'!$C$395</f>
        <v>EAUTOGENRFGD00</v>
      </c>
      <c r="C139" s="133" t="s">
        <v>372</v>
      </c>
      <c r="D139" s="128" t="s">
        <v>110</v>
      </c>
      <c r="E139" s="128" t="s">
        <v>105</v>
      </c>
      <c r="F139" s="129">
        <f>'Autoproducers Calculations'!Q$391</f>
        <v>0.4375</v>
      </c>
      <c r="G139" s="129"/>
      <c r="H139" s="129"/>
      <c r="I139" s="130">
        <f>'Autoproducers Calculations'!Q$389</f>
        <v>0.89999999999995273</v>
      </c>
      <c r="J139" s="45">
        <v>1</v>
      </c>
      <c r="K139" s="131">
        <v>31.536000000000001</v>
      </c>
      <c r="L139" s="45">
        <f>'Autoproducers Calculations'!Q$397</f>
        <v>0</v>
      </c>
      <c r="M139" s="132">
        <v>0</v>
      </c>
      <c r="O139" s="90">
        <f>L139*K139*I139</f>
        <v>0</v>
      </c>
      <c r="P139" s="90">
        <f>O139/F139</f>
        <v>0</v>
      </c>
    </row>
    <row r="140" spans="1:16">
      <c r="A140" s="107"/>
      <c r="B140" s="126" t="str">
        <f>'Autoproducers Calculations'!$C$402</f>
        <v>EAUTOGENOIL00</v>
      </c>
      <c r="C140" s="133" t="s">
        <v>366</v>
      </c>
      <c r="D140" s="128" t="s">
        <v>111</v>
      </c>
      <c r="E140" s="128" t="s">
        <v>105</v>
      </c>
      <c r="F140" s="129">
        <f>'Autoproducers Calculations'!Q$391</f>
        <v>0.4375</v>
      </c>
      <c r="G140" s="129"/>
      <c r="H140" s="129">
        <f>'Eurostat Resume'!R48</f>
        <v>0</v>
      </c>
      <c r="I140" s="130">
        <f>'Autoproducers Calculations'!Q$389</f>
        <v>0.89999999999995273</v>
      </c>
      <c r="J140" s="45">
        <v>1</v>
      </c>
      <c r="K140" s="131">
        <v>31.536000000000001</v>
      </c>
      <c r="L140" s="45">
        <f>'Autoproducers Calculations'!Q$404</f>
        <v>0</v>
      </c>
      <c r="M140" s="132">
        <v>0</v>
      </c>
      <c r="O140" s="90">
        <f>L140*K140*I140</f>
        <v>0</v>
      </c>
      <c r="P140" s="90">
        <f>O140/F140</f>
        <v>0</v>
      </c>
    </row>
    <row r="141" spans="1:16">
      <c r="A141" s="107"/>
      <c r="B141" s="126"/>
      <c r="C141" s="133"/>
      <c r="D141" s="128" t="s">
        <v>112</v>
      </c>
      <c r="E141" s="128"/>
      <c r="F141" s="129"/>
      <c r="G141" s="129"/>
      <c r="H141" s="129"/>
      <c r="I141" s="130"/>
      <c r="J141" s="45"/>
      <c r="K141" s="131"/>
      <c r="L141" s="45"/>
      <c r="M141" s="132"/>
      <c r="O141" s="90"/>
      <c r="P141" s="90"/>
    </row>
    <row r="142" spans="1:16">
      <c r="A142" s="107"/>
      <c r="B142" s="126" t="str">
        <f>'Autoproducers Calculations'!$C$409</f>
        <v>EAUTOGENGAS00</v>
      </c>
      <c r="C142" s="133" t="s">
        <v>364</v>
      </c>
      <c r="D142" s="128" t="s">
        <v>113</v>
      </c>
      <c r="E142" s="128" t="s">
        <v>105</v>
      </c>
      <c r="F142" s="129">
        <f>'Autoproducers Calculations'!Q$391</f>
        <v>0.4375</v>
      </c>
      <c r="G142" s="129"/>
      <c r="H142" s="129"/>
      <c r="I142" s="130">
        <f>'Autoproducers Calculations'!Q$389</f>
        <v>0.89999999999995273</v>
      </c>
      <c r="J142" s="45">
        <v>1</v>
      </c>
      <c r="K142" s="131">
        <v>31.536000000000001</v>
      </c>
      <c r="L142" s="45">
        <f>'Autoproducers Calculations'!Q$411</f>
        <v>2.4667864820102081E-4</v>
      </c>
      <c r="M142" s="132">
        <v>0</v>
      </c>
      <c r="O142" s="90">
        <f>L142*K142*I142</f>
        <v>7.0013320647002858E-3</v>
      </c>
      <c r="P142" s="90">
        <f>O142/F142</f>
        <v>1.6003044719314938E-2</v>
      </c>
    </row>
    <row r="143" spans="1:16">
      <c r="A143" s="107"/>
      <c r="B143" s="126"/>
      <c r="C143" s="133"/>
      <c r="D143" s="128" t="s">
        <v>114</v>
      </c>
      <c r="E143" s="128"/>
      <c r="F143" s="129"/>
      <c r="G143" s="129">
        <f>'Eurostat Resume'!R46</f>
        <v>0</v>
      </c>
      <c r="H143" s="129"/>
      <c r="I143" s="130"/>
      <c r="J143" s="45"/>
      <c r="K143" s="131"/>
      <c r="L143" s="45"/>
      <c r="M143" s="132"/>
      <c r="O143" s="90"/>
      <c r="P143" s="90"/>
    </row>
    <row r="144" spans="1:16">
      <c r="A144" s="107"/>
      <c r="B144" s="126"/>
      <c r="C144" s="133"/>
      <c r="D144" s="128" t="s">
        <v>115</v>
      </c>
      <c r="E144" s="128"/>
      <c r="F144" s="129"/>
      <c r="G144" s="129">
        <f>'Eurostat Resume'!R46</f>
        <v>0</v>
      </c>
      <c r="H144" s="129"/>
      <c r="I144" s="130"/>
      <c r="J144" s="45"/>
      <c r="K144" s="131"/>
      <c r="L144" s="45"/>
      <c r="M144" s="132"/>
      <c r="O144" s="90"/>
      <c r="P144" s="90"/>
    </row>
    <row r="145" spans="1:16">
      <c r="A145" s="107"/>
      <c r="B145" s="126" t="str">
        <f>'Autoproducers Calculations'!$C$416</f>
        <v>EAUTOGENBIO00</v>
      </c>
      <c r="C145" s="133" t="s">
        <v>365</v>
      </c>
      <c r="D145" s="128" t="s">
        <v>116</v>
      </c>
      <c r="E145" s="128" t="s">
        <v>105</v>
      </c>
      <c r="F145" s="129">
        <f>'Autoproducers Calculations'!Q$391</f>
        <v>0.4375</v>
      </c>
      <c r="G145" s="129"/>
      <c r="H145" s="129"/>
      <c r="I145" s="130">
        <f>'Autoproducers Calculations'!Q$389</f>
        <v>0.89999999999995273</v>
      </c>
      <c r="J145" s="45">
        <v>1</v>
      </c>
      <c r="K145" s="131">
        <v>31.536000000000001</v>
      </c>
      <c r="L145" s="45">
        <f>'Autoproducers Calculations'!Q$418</f>
        <v>0</v>
      </c>
      <c r="M145" s="132">
        <v>0</v>
      </c>
      <c r="O145" s="90">
        <f>L145*K145*I145</f>
        <v>0</v>
      </c>
      <c r="P145" s="90">
        <f>O145/F145</f>
        <v>0</v>
      </c>
    </row>
    <row r="146" spans="1:16">
      <c r="A146" s="107"/>
      <c r="B146" s="126" t="str">
        <f>'Autoproducers Calculations'!$C$423</f>
        <v>EAUTOGENWASTE00</v>
      </c>
      <c r="C146" s="133" t="s">
        <v>367</v>
      </c>
      <c r="D146" s="128" t="s">
        <v>117</v>
      </c>
      <c r="E146" s="128" t="s">
        <v>105</v>
      </c>
      <c r="F146" s="129">
        <f>'Autoproducers Calculations'!Q$391</f>
        <v>0.4375</v>
      </c>
      <c r="G146" s="129"/>
      <c r="H146" s="129"/>
      <c r="I146" s="130">
        <f>'Autoproducers Calculations'!Q$389</f>
        <v>0.89999999999995273</v>
      </c>
      <c r="J146" s="45">
        <v>1</v>
      </c>
      <c r="K146" s="131">
        <v>31.536000000000001</v>
      </c>
      <c r="L146" s="45">
        <f>'Autoproducers Calculations'!Q$425</f>
        <v>0</v>
      </c>
      <c r="M146" s="132">
        <v>0</v>
      </c>
      <c r="O146" s="90">
        <f>L146*K146*I146</f>
        <v>0</v>
      </c>
      <c r="P146" s="90">
        <f>O146/F146</f>
        <v>0</v>
      </c>
    </row>
    <row r="147" spans="1:16">
      <c r="A147" s="107"/>
      <c r="B147" s="126"/>
      <c r="C147" s="133"/>
      <c r="D147" s="128" t="s">
        <v>118</v>
      </c>
      <c r="E147" s="128"/>
      <c r="F147" s="129"/>
      <c r="G147" s="129"/>
      <c r="H147" s="129"/>
      <c r="I147" s="130"/>
      <c r="J147" s="45"/>
      <c r="K147" s="131"/>
      <c r="L147" s="45"/>
      <c r="M147" s="132"/>
    </row>
    <row r="148" spans="1:16">
      <c r="A148" s="107" t="str">
        <f>'CHP BY IND'!A604</f>
        <v>IE</v>
      </c>
      <c r="B148" s="126" t="str">
        <f>'Autoproducers Calculations'!$C$388</f>
        <v>EAUTOGENSOLID00</v>
      </c>
      <c r="C148" s="127" t="s">
        <v>368</v>
      </c>
      <c r="D148" s="128" t="s">
        <v>107</v>
      </c>
      <c r="E148" s="128" t="s">
        <v>105</v>
      </c>
      <c r="F148" s="129">
        <f>'Autoproducers Calculations'!R$391</f>
        <v>0</v>
      </c>
      <c r="G148" s="129"/>
      <c r="H148" s="129"/>
      <c r="I148" s="130">
        <f>'Autoproducers Calculations'!R$389</f>
        <v>0</v>
      </c>
      <c r="J148" s="45">
        <v>1</v>
      </c>
      <c r="K148" s="131">
        <v>31.536000000000001</v>
      </c>
      <c r="L148" s="45">
        <f>'Autoproducers Calculations'!R$390</f>
        <v>0</v>
      </c>
      <c r="M148" s="132">
        <v>0</v>
      </c>
      <c r="O148" s="90">
        <f>L148*K148*I148</f>
        <v>0</v>
      </c>
      <c r="P148" s="90" t="e">
        <f>O148/F148</f>
        <v>#DIV/0!</v>
      </c>
    </row>
    <row r="149" spans="1:16">
      <c r="A149" s="107"/>
      <c r="B149" s="126"/>
      <c r="C149" s="127"/>
      <c r="D149" s="128" t="s">
        <v>108</v>
      </c>
      <c r="E149" s="128"/>
      <c r="F149" s="129"/>
      <c r="G149" s="129">
        <f>'Eurostat Resume'!S45</f>
        <v>0</v>
      </c>
      <c r="H149" s="129"/>
      <c r="I149" s="130"/>
      <c r="J149" s="45"/>
      <c r="K149" s="131"/>
      <c r="L149" s="45"/>
      <c r="M149" s="132"/>
      <c r="O149" s="90"/>
      <c r="P149" s="90"/>
    </row>
    <row r="150" spans="1:16">
      <c r="A150" s="107"/>
      <c r="B150" s="126" t="str">
        <f>'Autoproducers Calculations'!$C$395</f>
        <v>EAUTOGENRFGD00</v>
      </c>
      <c r="C150" s="133" t="s">
        <v>372</v>
      </c>
      <c r="D150" s="128" t="s">
        <v>110</v>
      </c>
      <c r="E150" s="128" t="s">
        <v>105</v>
      </c>
      <c r="F150" s="129">
        <f>'Autoproducers Calculations'!R$391</f>
        <v>0</v>
      </c>
      <c r="G150" s="129"/>
      <c r="H150" s="129"/>
      <c r="I150" s="130">
        <f>'Autoproducers Calculations'!R$389</f>
        <v>0</v>
      </c>
      <c r="J150" s="45">
        <v>1</v>
      </c>
      <c r="K150" s="131">
        <v>31.536000000000001</v>
      </c>
      <c r="L150" s="45">
        <f>'Autoproducers Calculations'!R$397</f>
        <v>0</v>
      </c>
      <c r="M150" s="132">
        <v>0</v>
      </c>
      <c r="O150" s="90">
        <f>L150*K150*I150</f>
        <v>0</v>
      </c>
      <c r="P150" s="90" t="e">
        <f>O150/F150</f>
        <v>#DIV/0!</v>
      </c>
    </row>
    <row r="151" spans="1:16">
      <c r="A151" s="107"/>
      <c r="B151" s="126" t="str">
        <f>'Autoproducers Calculations'!$C$402</f>
        <v>EAUTOGENOIL00</v>
      </c>
      <c r="C151" s="133" t="s">
        <v>366</v>
      </c>
      <c r="D151" s="128" t="s">
        <v>111</v>
      </c>
      <c r="E151" s="128" t="s">
        <v>105</v>
      </c>
      <c r="F151" s="129">
        <f>'Autoproducers Calculations'!R$391</f>
        <v>0</v>
      </c>
      <c r="G151" s="129"/>
      <c r="H151" s="129">
        <f>'Eurostat Resume'!S48</f>
        <v>0</v>
      </c>
      <c r="I151" s="130">
        <f>'Autoproducers Calculations'!R$389</f>
        <v>0</v>
      </c>
      <c r="J151" s="45">
        <v>1</v>
      </c>
      <c r="K151" s="131">
        <v>31.536000000000001</v>
      </c>
      <c r="L151" s="45">
        <f>'Autoproducers Calculations'!R$404</f>
        <v>0</v>
      </c>
      <c r="M151" s="132">
        <v>0</v>
      </c>
      <c r="O151" s="90">
        <f>L151*K151*I151</f>
        <v>0</v>
      </c>
      <c r="P151" s="90" t="e">
        <f>O151/F151</f>
        <v>#DIV/0!</v>
      </c>
    </row>
    <row r="152" spans="1:16">
      <c r="A152" s="107"/>
      <c r="B152" s="126"/>
      <c r="C152" s="133"/>
      <c r="D152" s="128" t="s">
        <v>112</v>
      </c>
      <c r="E152" s="128"/>
      <c r="F152" s="129"/>
      <c r="G152" s="129"/>
      <c r="H152" s="129"/>
      <c r="I152" s="130"/>
      <c r="J152" s="45"/>
      <c r="K152" s="131"/>
      <c r="L152" s="45"/>
      <c r="M152" s="132"/>
      <c r="O152" s="90"/>
      <c r="P152" s="90"/>
    </row>
    <row r="153" spans="1:16">
      <c r="A153" s="107"/>
      <c r="B153" s="126" t="str">
        <f>'Autoproducers Calculations'!$C$409</f>
        <v>EAUTOGENGAS00</v>
      </c>
      <c r="C153" s="133" t="s">
        <v>364</v>
      </c>
      <c r="D153" s="128" t="s">
        <v>113</v>
      </c>
      <c r="E153" s="128" t="s">
        <v>105</v>
      </c>
      <c r="F153" s="129">
        <f>'Autoproducers Calculations'!R$391</f>
        <v>0</v>
      </c>
      <c r="G153" s="129"/>
      <c r="H153" s="129"/>
      <c r="I153" s="130">
        <f>'Autoproducers Calculations'!R$389</f>
        <v>0</v>
      </c>
      <c r="J153" s="45">
        <v>1</v>
      </c>
      <c r="K153" s="131">
        <v>31.536000000000001</v>
      </c>
      <c r="L153" s="45">
        <f>'Autoproducers Calculations'!R$411</f>
        <v>0</v>
      </c>
      <c r="M153" s="132">
        <v>0</v>
      </c>
      <c r="O153" s="90">
        <f>L153*K153*I153</f>
        <v>0</v>
      </c>
      <c r="P153" s="90" t="e">
        <f>O153/F153</f>
        <v>#DIV/0!</v>
      </c>
    </row>
    <row r="154" spans="1:16">
      <c r="A154" s="107"/>
      <c r="B154" s="126"/>
      <c r="C154" s="133"/>
      <c r="D154" s="128" t="s">
        <v>114</v>
      </c>
      <c r="E154" s="128"/>
      <c r="F154" s="129"/>
      <c r="G154" s="129">
        <f>'Eurostat Resume'!S46</f>
        <v>0</v>
      </c>
      <c r="H154" s="129"/>
      <c r="I154" s="130"/>
      <c r="J154" s="45"/>
      <c r="K154" s="131"/>
      <c r="L154" s="45"/>
      <c r="M154" s="132"/>
      <c r="O154" s="90"/>
      <c r="P154" s="90"/>
    </row>
    <row r="155" spans="1:16">
      <c r="A155" s="107"/>
      <c r="B155" s="126"/>
      <c r="C155" s="133"/>
      <c r="D155" s="128" t="s">
        <v>115</v>
      </c>
      <c r="E155" s="128"/>
      <c r="F155" s="129"/>
      <c r="G155" s="129">
        <f>'Eurostat Resume'!S46</f>
        <v>0</v>
      </c>
      <c r="H155" s="129"/>
      <c r="I155" s="130"/>
      <c r="J155" s="45"/>
      <c r="K155" s="131"/>
      <c r="L155" s="45"/>
      <c r="M155" s="132"/>
      <c r="O155" s="90"/>
      <c r="P155" s="90"/>
    </row>
    <row r="156" spans="1:16">
      <c r="A156" s="107"/>
      <c r="B156" s="126" t="str">
        <f>'Autoproducers Calculations'!$C$416</f>
        <v>EAUTOGENBIO00</v>
      </c>
      <c r="C156" s="133" t="s">
        <v>365</v>
      </c>
      <c r="D156" s="128" t="s">
        <v>116</v>
      </c>
      <c r="E156" s="128" t="s">
        <v>105</v>
      </c>
      <c r="F156" s="129">
        <f>'Autoproducers Calculations'!R$391</f>
        <v>0</v>
      </c>
      <c r="G156" s="129"/>
      <c r="H156" s="129"/>
      <c r="I156" s="130">
        <f>'Autoproducers Calculations'!R$389</f>
        <v>0</v>
      </c>
      <c r="J156" s="45">
        <v>1</v>
      </c>
      <c r="K156" s="131">
        <v>31.536000000000001</v>
      </c>
      <c r="L156" s="45">
        <f>'Autoproducers Calculations'!R$418</f>
        <v>1.7509519999999973E-2</v>
      </c>
      <c r="M156" s="132">
        <v>0</v>
      </c>
      <c r="O156" s="90">
        <f>L156*K156*I156</f>
        <v>0</v>
      </c>
      <c r="P156" s="90" t="e">
        <f>O156/F156</f>
        <v>#DIV/0!</v>
      </c>
    </row>
    <row r="157" spans="1:16">
      <c r="A157" s="107"/>
      <c r="B157" s="126" t="str">
        <f>'Autoproducers Calculations'!$C$423</f>
        <v>EAUTOGENWASTE00</v>
      </c>
      <c r="C157" s="133" t="s">
        <v>367</v>
      </c>
      <c r="D157" s="128" t="s">
        <v>117</v>
      </c>
      <c r="E157" s="128" t="s">
        <v>105</v>
      </c>
      <c r="F157" s="129">
        <f>'Autoproducers Calculations'!R$391</f>
        <v>0</v>
      </c>
      <c r="G157" s="129"/>
      <c r="H157" s="129"/>
      <c r="I157" s="130">
        <f>'Autoproducers Calculations'!R$389</f>
        <v>0</v>
      </c>
      <c r="J157" s="45">
        <v>1</v>
      </c>
      <c r="K157" s="131">
        <v>31.536000000000001</v>
      </c>
      <c r="L157" s="45">
        <f>'Autoproducers Calculations'!R$425</f>
        <v>0</v>
      </c>
      <c r="M157" s="132">
        <v>0</v>
      </c>
      <c r="O157" s="90">
        <f>L157*K157*I157</f>
        <v>0</v>
      </c>
      <c r="P157" s="90" t="e">
        <f>O157/F157</f>
        <v>#DIV/0!</v>
      </c>
    </row>
    <row r="158" spans="1:16">
      <c r="A158" s="107"/>
      <c r="B158" s="126"/>
      <c r="C158" s="133"/>
      <c r="D158" s="128" t="s">
        <v>118</v>
      </c>
      <c r="E158" s="128"/>
      <c r="F158" s="129"/>
      <c r="G158" s="129"/>
      <c r="H158" s="129"/>
      <c r="I158" s="130"/>
      <c r="J158" s="45"/>
      <c r="K158" s="131"/>
      <c r="L158" s="45"/>
      <c r="M158" s="132"/>
    </row>
    <row r="159" spans="1:16">
      <c r="A159" s="107" t="str">
        <f>'CHP BY IND'!A650</f>
        <v>IT</v>
      </c>
      <c r="B159" s="126" t="str">
        <f>'Autoproducers Calculations'!$C$388</f>
        <v>EAUTOGENSOLID00</v>
      </c>
      <c r="C159" s="127" t="s">
        <v>368</v>
      </c>
      <c r="D159" s="128" t="s">
        <v>107</v>
      </c>
      <c r="E159" s="128" t="s">
        <v>105</v>
      </c>
      <c r="F159" s="129">
        <f>'Autoproducers Calculations'!S$391</f>
        <v>0.1195655795049472</v>
      </c>
      <c r="G159" s="129"/>
      <c r="H159" s="129"/>
      <c r="I159" s="130">
        <f>'Autoproducers Calculations'!S$389</f>
        <v>5.5422087515098924E-2</v>
      </c>
      <c r="J159" s="45">
        <v>1</v>
      </c>
      <c r="K159" s="131">
        <v>31.536000000000001</v>
      </c>
      <c r="L159" s="45">
        <f>'Autoproducers Calculations'!S$390</f>
        <v>7.2295401054348604E-2</v>
      </c>
      <c r="M159" s="132">
        <v>0</v>
      </c>
      <c r="O159" s="90">
        <f>L159*K159*I159</f>
        <v>0.12635724782504865</v>
      </c>
      <c r="P159" s="90">
        <f>O159/F159</f>
        <v>1.0568028720993272</v>
      </c>
    </row>
    <row r="160" spans="1:16">
      <c r="A160" s="107"/>
      <c r="B160" s="126"/>
      <c r="C160" s="127"/>
      <c r="D160" s="128" t="s">
        <v>108</v>
      </c>
      <c r="E160" s="128"/>
      <c r="F160" s="129"/>
      <c r="G160" s="129">
        <f>'Eurostat Resume'!T45</f>
        <v>1</v>
      </c>
      <c r="H160" s="129"/>
      <c r="I160" s="130"/>
      <c r="J160" s="45"/>
      <c r="K160" s="131"/>
      <c r="L160" s="45"/>
      <c r="M160" s="132"/>
      <c r="O160" s="90"/>
      <c r="P160" s="90"/>
    </row>
    <row r="161" spans="1:16">
      <c r="A161" s="107"/>
      <c r="B161" s="126" t="str">
        <f>'Autoproducers Calculations'!$C$395</f>
        <v>EAUTOGENRFGD00</v>
      </c>
      <c r="C161" s="133" t="s">
        <v>372</v>
      </c>
      <c r="D161" s="128" t="s">
        <v>110</v>
      </c>
      <c r="E161" s="128" t="s">
        <v>105</v>
      </c>
      <c r="F161" s="129">
        <f>'Autoproducers Calculations'!S$391</f>
        <v>0.1195655795049472</v>
      </c>
      <c r="G161" s="129"/>
      <c r="H161" s="129"/>
      <c r="I161" s="130">
        <f>'Autoproducers Calculations'!S$389</f>
        <v>5.5422087515098924E-2</v>
      </c>
      <c r="J161" s="45">
        <v>1</v>
      </c>
      <c r="K161" s="131">
        <v>31.536000000000001</v>
      </c>
      <c r="L161" s="45">
        <f>'Autoproducers Calculations'!S$397</f>
        <v>2.4276494645516654E-3</v>
      </c>
      <c r="M161" s="132">
        <v>0</v>
      </c>
      <c r="O161" s="90">
        <f>L161*K161*I161</f>
        <v>4.2430237684704048E-3</v>
      </c>
      <c r="P161" s="90">
        <f>O161/F161</f>
        <v>3.5487000406290367E-2</v>
      </c>
    </row>
    <row r="162" spans="1:16">
      <c r="A162" s="107"/>
      <c r="B162" s="126" t="str">
        <f>'Autoproducers Calculations'!$C$402</f>
        <v>EAUTOGENOIL00</v>
      </c>
      <c r="C162" s="133" t="s">
        <v>366</v>
      </c>
      <c r="D162" s="128" t="s">
        <v>111</v>
      </c>
      <c r="E162" s="128" t="s">
        <v>105</v>
      </c>
      <c r="F162" s="129">
        <f>'Autoproducers Calculations'!S$391</f>
        <v>0.1195655795049472</v>
      </c>
      <c r="G162" s="129"/>
      <c r="H162" s="129">
        <f>'Eurostat Resume'!T48</f>
        <v>0.13699320070511206</v>
      </c>
      <c r="I162" s="130">
        <f>'Autoproducers Calculations'!S$389</f>
        <v>5.5422087515098924E-2</v>
      </c>
      <c r="J162" s="45">
        <v>1</v>
      </c>
      <c r="K162" s="131">
        <v>31.536000000000001</v>
      </c>
      <c r="L162" s="45">
        <f>'Autoproducers Calculations'!S$404</f>
        <v>0.96159195290891475</v>
      </c>
      <c r="M162" s="132">
        <v>0</v>
      </c>
      <c r="O162" s="90">
        <f>L162*K162*I162</f>
        <v>1.6806617146911276</v>
      </c>
      <c r="P162" s="90">
        <f>O162/F162</f>
        <v>14.056400860931618</v>
      </c>
    </row>
    <row r="163" spans="1:16">
      <c r="A163" s="107"/>
      <c r="B163" s="126"/>
      <c r="C163" s="133"/>
      <c r="D163" s="128" t="s">
        <v>112</v>
      </c>
      <c r="E163" s="128"/>
      <c r="F163" s="129"/>
      <c r="G163" s="129"/>
      <c r="H163" s="129"/>
      <c r="I163" s="130"/>
      <c r="J163" s="45"/>
      <c r="K163" s="131"/>
      <c r="L163" s="45"/>
      <c r="M163" s="132"/>
      <c r="O163" s="90"/>
      <c r="P163" s="90"/>
    </row>
    <row r="164" spans="1:16">
      <c r="A164" s="107"/>
      <c r="B164" s="126" t="str">
        <f>'Autoproducers Calculations'!$C$409</f>
        <v>EAUTOGENGAS00</v>
      </c>
      <c r="C164" s="133" t="s">
        <v>364</v>
      </c>
      <c r="D164" s="128" t="s">
        <v>113</v>
      </c>
      <c r="E164" s="128" t="s">
        <v>105</v>
      </c>
      <c r="F164" s="129">
        <f>'Autoproducers Calculations'!S$391</f>
        <v>0.1195655795049472</v>
      </c>
      <c r="G164" s="129"/>
      <c r="H164" s="129"/>
      <c r="I164" s="130">
        <f>'Autoproducers Calculations'!S$389</f>
        <v>5.5422087515098924E-2</v>
      </c>
      <c r="J164" s="45">
        <v>1</v>
      </c>
      <c r="K164" s="131">
        <v>31.536000000000001</v>
      </c>
      <c r="L164" s="45">
        <f>'Autoproducers Calculations'!S$411</f>
        <v>0.34642557859152268</v>
      </c>
      <c r="M164" s="132">
        <v>0</v>
      </c>
      <c r="O164" s="90">
        <f>L164*K164*I164</f>
        <v>0.6054794917607268</v>
      </c>
      <c r="P164" s="90">
        <f>O164/F164</f>
        <v>5.063994957977636</v>
      </c>
    </row>
    <row r="165" spans="1:16">
      <c r="A165" s="107"/>
      <c r="B165" s="126"/>
      <c r="C165" s="133"/>
      <c r="D165" s="128" t="s">
        <v>114</v>
      </c>
      <c r="E165" s="128"/>
      <c r="F165" s="129"/>
      <c r="G165" s="129">
        <f>'Eurostat Resume'!T46</f>
        <v>1.4856341976173791E-2</v>
      </c>
      <c r="H165" s="129"/>
      <c r="I165" s="130"/>
      <c r="J165" s="45"/>
      <c r="K165" s="131"/>
      <c r="L165" s="45"/>
      <c r="M165" s="132"/>
      <c r="O165" s="90"/>
      <c r="P165" s="90"/>
    </row>
    <row r="166" spans="1:16">
      <c r="A166" s="107"/>
      <c r="B166" s="126"/>
      <c r="C166" s="133"/>
      <c r="D166" s="128" t="s">
        <v>115</v>
      </c>
      <c r="E166" s="128"/>
      <c r="F166" s="129"/>
      <c r="G166" s="129">
        <f>'Eurostat Resume'!T47</f>
        <v>0.11506657323055361</v>
      </c>
      <c r="H166" s="129"/>
      <c r="I166" s="130"/>
      <c r="J166" s="45"/>
      <c r="K166" s="131"/>
      <c r="L166" s="45"/>
      <c r="M166" s="132"/>
      <c r="O166" s="90"/>
      <c r="P166" s="90"/>
    </row>
    <row r="167" spans="1:16">
      <c r="A167" s="107"/>
      <c r="B167" s="126" t="str">
        <f>'Autoproducers Calculations'!$C$416</f>
        <v>EAUTOGENBIO00</v>
      </c>
      <c r="C167" s="133" t="s">
        <v>365</v>
      </c>
      <c r="D167" s="128" t="s">
        <v>116</v>
      </c>
      <c r="E167" s="128" t="s">
        <v>105</v>
      </c>
      <c r="F167" s="129">
        <f>'Autoproducers Calculations'!S$391</f>
        <v>0.1195655795049472</v>
      </c>
      <c r="G167" s="129"/>
      <c r="H167" s="129"/>
      <c r="I167" s="130">
        <f>'Autoproducers Calculations'!S$389</f>
        <v>5.5422087515098924E-2</v>
      </c>
      <c r="J167" s="45">
        <v>1</v>
      </c>
      <c r="K167" s="131">
        <v>31.536000000000001</v>
      </c>
      <c r="L167" s="45">
        <f>'Autoproducers Calculations'!S$418</f>
        <v>0.64196762440604238</v>
      </c>
      <c r="M167" s="132">
        <v>0</v>
      </c>
      <c r="O167" s="90">
        <f>L167*K167*I167</f>
        <v>1.1220252053343138</v>
      </c>
      <c r="P167" s="90">
        <f>O167/F167</f>
        <v>9.3841823874394255</v>
      </c>
    </row>
    <row r="168" spans="1:16">
      <c r="A168" s="107"/>
      <c r="B168" s="126" t="str">
        <f>'Autoproducers Calculations'!$C$423</f>
        <v>EAUTOGENWASTE00</v>
      </c>
      <c r="C168" s="133" t="s">
        <v>367</v>
      </c>
      <c r="D168" s="128" t="s">
        <v>117</v>
      </c>
      <c r="E168" s="128" t="s">
        <v>105</v>
      </c>
      <c r="F168" s="129">
        <f>'Autoproducers Calculations'!S$391</f>
        <v>0.1195655795049472</v>
      </c>
      <c r="G168" s="129"/>
      <c r="H168" s="129"/>
      <c r="I168" s="130">
        <f>'Autoproducers Calculations'!S$389</f>
        <v>5.5422087515098924E-2</v>
      </c>
      <c r="J168" s="45">
        <v>1</v>
      </c>
      <c r="K168" s="131">
        <v>31.536000000000001</v>
      </c>
      <c r="L168" s="45">
        <f>'Autoproducers Calculations'!S$425</f>
        <v>2.9131793574619987E-2</v>
      </c>
      <c r="M168" s="132">
        <v>0</v>
      </c>
      <c r="O168" s="90">
        <f>L168*K168*I168</f>
        <v>5.0916285221644861E-2</v>
      </c>
      <c r="P168" s="90">
        <f>O168/F168</f>
        <v>0.42584400487548446</v>
      </c>
    </row>
    <row r="169" spans="1:16">
      <c r="A169" s="107"/>
      <c r="B169" s="126"/>
      <c r="C169" s="133"/>
      <c r="D169" s="128" t="s">
        <v>118</v>
      </c>
      <c r="E169" s="128"/>
      <c r="F169" s="129"/>
      <c r="G169" s="129"/>
      <c r="H169" s="129"/>
      <c r="I169" s="130"/>
      <c r="J169" s="45"/>
      <c r="K169" s="131"/>
      <c r="L169" s="45"/>
      <c r="M169" s="132"/>
    </row>
    <row r="170" spans="1:16">
      <c r="A170" s="107" t="str">
        <f>'CHP BY IND'!A696</f>
        <v>LT</v>
      </c>
      <c r="B170" s="126" t="str">
        <f>'Autoproducers Calculations'!$C$388</f>
        <v>EAUTOGENSOLID00</v>
      </c>
      <c r="C170" s="127" t="s">
        <v>368</v>
      </c>
      <c r="D170" s="128" t="s">
        <v>107</v>
      </c>
      <c r="E170" s="128" t="s">
        <v>105</v>
      </c>
      <c r="F170" s="129">
        <f>'Autoproducers Calculations'!T$391</f>
        <v>0</v>
      </c>
      <c r="G170" s="129"/>
      <c r="H170" s="129"/>
      <c r="I170" s="130">
        <f>'Autoproducers Calculations'!T$389</f>
        <v>0</v>
      </c>
      <c r="J170" s="45">
        <v>1</v>
      </c>
      <c r="K170" s="131">
        <v>31.536000000000001</v>
      </c>
      <c r="L170" s="45">
        <f>'Autoproducers Calculations'!T$390</f>
        <v>0</v>
      </c>
      <c r="M170" s="132">
        <v>0</v>
      </c>
      <c r="O170" s="90">
        <f>L170*K170*I170</f>
        <v>0</v>
      </c>
      <c r="P170" s="90" t="e">
        <f>O170/F170</f>
        <v>#DIV/0!</v>
      </c>
    </row>
    <row r="171" spans="1:16">
      <c r="A171" s="107"/>
      <c r="B171" s="126"/>
      <c r="C171" s="127"/>
      <c r="D171" s="128" t="s">
        <v>108</v>
      </c>
      <c r="E171" s="128"/>
      <c r="F171" s="129"/>
      <c r="G171" s="129">
        <f>'Eurostat Resume'!U45</f>
        <v>0</v>
      </c>
      <c r="H171" s="129"/>
      <c r="I171" s="130"/>
      <c r="J171" s="45"/>
      <c r="K171" s="131"/>
      <c r="L171" s="45"/>
      <c r="M171" s="132"/>
      <c r="O171" s="90"/>
      <c r="P171" s="90"/>
    </row>
    <row r="172" spans="1:16">
      <c r="A172" s="107"/>
      <c r="B172" s="126" t="str">
        <f>'Autoproducers Calculations'!$C$395</f>
        <v>EAUTOGENRFGD00</v>
      </c>
      <c r="C172" s="133" t="s">
        <v>372</v>
      </c>
      <c r="D172" s="128" t="s">
        <v>110</v>
      </c>
      <c r="E172" s="128" t="s">
        <v>105</v>
      </c>
      <c r="F172" s="129">
        <f>'Autoproducers Calculations'!T$391</f>
        <v>0</v>
      </c>
      <c r="G172" s="129"/>
      <c r="H172" s="129"/>
      <c r="I172" s="130">
        <f>'Autoproducers Calculations'!T$389</f>
        <v>0</v>
      </c>
      <c r="J172" s="45">
        <v>1</v>
      </c>
      <c r="K172" s="131">
        <v>31.536000000000001</v>
      </c>
      <c r="L172" s="45">
        <f>'Autoproducers Calculations'!T$397</f>
        <v>0</v>
      </c>
      <c r="M172" s="132">
        <v>0</v>
      </c>
      <c r="O172" s="90">
        <f>L172*K172*I172</f>
        <v>0</v>
      </c>
      <c r="P172" s="90" t="e">
        <f>O172/F172</f>
        <v>#DIV/0!</v>
      </c>
    </row>
    <row r="173" spans="1:16">
      <c r="A173" s="107"/>
      <c r="B173" s="126" t="str">
        <f>'Autoproducers Calculations'!$C$402</f>
        <v>EAUTOGENOIL00</v>
      </c>
      <c r="C173" s="133" t="s">
        <v>366</v>
      </c>
      <c r="D173" s="128" t="s">
        <v>111</v>
      </c>
      <c r="E173" s="128" t="s">
        <v>105</v>
      </c>
      <c r="F173" s="129">
        <f>'Autoproducers Calculations'!T$391</f>
        <v>0</v>
      </c>
      <c r="G173" s="129"/>
      <c r="H173" s="129">
        <f>'Eurostat Resume'!U48</f>
        <v>0</v>
      </c>
      <c r="I173" s="130">
        <f>'Autoproducers Calculations'!T$389</f>
        <v>0</v>
      </c>
      <c r="J173" s="45">
        <v>1</v>
      </c>
      <c r="K173" s="131">
        <v>31.536000000000001</v>
      </c>
      <c r="L173" s="45">
        <f>'Autoproducers Calculations'!T$404</f>
        <v>0</v>
      </c>
      <c r="M173" s="132">
        <v>0</v>
      </c>
      <c r="O173" s="90">
        <f>L173*K173*I173</f>
        <v>0</v>
      </c>
      <c r="P173" s="90" t="e">
        <f>O173/F173</f>
        <v>#DIV/0!</v>
      </c>
    </row>
    <row r="174" spans="1:16">
      <c r="A174" s="107"/>
      <c r="B174" s="126"/>
      <c r="C174" s="133"/>
      <c r="D174" s="128" t="s">
        <v>112</v>
      </c>
      <c r="E174" s="128"/>
      <c r="F174" s="129"/>
      <c r="G174" s="129"/>
      <c r="H174" s="129"/>
      <c r="I174" s="130"/>
      <c r="J174" s="45"/>
      <c r="K174" s="131"/>
      <c r="L174" s="45"/>
      <c r="M174" s="132"/>
      <c r="O174" s="90"/>
      <c r="P174" s="90"/>
    </row>
    <row r="175" spans="1:16">
      <c r="A175" s="107"/>
      <c r="B175" s="126" t="str">
        <f>'Autoproducers Calculations'!$C$409</f>
        <v>EAUTOGENGAS00</v>
      </c>
      <c r="C175" s="133" t="s">
        <v>364</v>
      </c>
      <c r="D175" s="128" t="s">
        <v>113</v>
      </c>
      <c r="E175" s="128" t="s">
        <v>105</v>
      </c>
      <c r="F175" s="129">
        <f>'Autoproducers Calculations'!T$391</f>
        <v>0</v>
      </c>
      <c r="G175" s="129"/>
      <c r="H175" s="129"/>
      <c r="I175" s="130">
        <f>'Autoproducers Calculations'!T$389</f>
        <v>0</v>
      </c>
      <c r="J175" s="45">
        <v>1</v>
      </c>
      <c r="K175" s="131">
        <v>31.536000000000001</v>
      </c>
      <c r="L175" s="45">
        <f>'Autoproducers Calculations'!T$411</f>
        <v>4.0045600310110299E-2</v>
      </c>
      <c r="M175" s="132">
        <v>0</v>
      </c>
      <c r="O175" s="90">
        <f>L175*K175*I175</f>
        <v>0</v>
      </c>
      <c r="P175" s="90" t="e">
        <f>O175/F175</f>
        <v>#DIV/0!</v>
      </c>
    </row>
    <row r="176" spans="1:16">
      <c r="A176" s="107"/>
      <c r="B176" s="126"/>
      <c r="C176" s="133"/>
      <c r="D176" s="128" t="s">
        <v>114</v>
      </c>
      <c r="E176" s="128"/>
      <c r="F176" s="129"/>
      <c r="G176" s="129">
        <f>'Eurostat Resume'!U46</f>
        <v>0</v>
      </c>
      <c r="H176" s="129"/>
      <c r="I176" s="130"/>
      <c r="J176" s="45"/>
      <c r="K176" s="131"/>
      <c r="L176" s="45"/>
      <c r="M176" s="132"/>
      <c r="O176" s="90"/>
      <c r="P176" s="90"/>
    </row>
    <row r="177" spans="1:16">
      <c r="A177" s="107"/>
      <c r="B177" s="126"/>
      <c r="C177" s="133"/>
      <c r="D177" s="128" t="s">
        <v>115</v>
      </c>
      <c r="E177" s="128"/>
      <c r="F177" s="129"/>
      <c r="G177" s="129">
        <f>'Eurostat Resume'!U47</f>
        <v>0</v>
      </c>
      <c r="H177" s="129"/>
      <c r="I177" s="130"/>
      <c r="J177" s="45"/>
      <c r="K177" s="131"/>
      <c r="L177" s="45"/>
      <c r="M177" s="132"/>
      <c r="O177" s="90"/>
      <c r="P177" s="90"/>
    </row>
    <row r="178" spans="1:16">
      <c r="A178" s="107"/>
      <c r="B178" s="126" t="str">
        <f>'Autoproducers Calculations'!$C$416</f>
        <v>EAUTOGENBIO00</v>
      </c>
      <c r="C178" s="133" t="s">
        <v>365</v>
      </c>
      <c r="D178" s="128" t="s">
        <v>116</v>
      </c>
      <c r="E178" s="128" t="s">
        <v>105</v>
      </c>
      <c r="F178" s="129">
        <f>'Autoproducers Calculations'!T$391</f>
        <v>0</v>
      </c>
      <c r="G178" s="129"/>
      <c r="H178" s="129"/>
      <c r="I178" s="130">
        <f>'Autoproducers Calculations'!T$389</f>
        <v>0</v>
      </c>
      <c r="J178" s="45">
        <v>1</v>
      </c>
      <c r="K178" s="131">
        <v>31.536000000000001</v>
      </c>
      <c r="L178" s="45">
        <f>'Autoproducers Calculations'!T$418</f>
        <v>0</v>
      </c>
      <c r="M178" s="132">
        <v>0</v>
      </c>
      <c r="O178" s="90">
        <f>L178*K178*I178</f>
        <v>0</v>
      </c>
      <c r="P178" s="90" t="e">
        <f>O178/F178</f>
        <v>#DIV/0!</v>
      </c>
    </row>
    <row r="179" spans="1:16">
      <c r="A179" s="107"/>
      <c r="B179" s="126" t="str">
        <f>'Autoproducers Calculations'!$C$423</f>
        <v>EAUTOGENWASTE00</v>
      </c>
      <c r="C179" s="133" t="s">
        <v>367</v>
      </c>
      <c r="D179" s="128" t="s">
        <v>117</v>
      </c>
      <c r="E179" s="128" t="s">
        <v>105</v>
      </c>
      <c r="F179" s="129">
        <f>'Autoproducers Calculations'!T$391</f>
        <v>0</v>
      </c>
      <c r="G179" s="129"/>
      <c r="H179" s="129"/>
      <c r="I179" s="130">
        <f>'Autoproducers Calculations'!T$389</f>
        <v>0</v>
      </c>
      <c r="J179" s="45">
        <v>1</v>
      </c>
      <c r="K179" s="131">
        <v>31.536000000000001</v>
      </c>
      <c r="L179" s="45">
        <f>'Autoproducers Calculations'!T$425</f>
        <v>0</v>
      </c>
      <c r="M179" s="132">
        <v>0</v>
      </c>
      <c r="O179" s="90">
        <f>L179*K179*I179</f>
        <v>0</v>
      </c>
      <c r="P179" s="90" t="e">
        <f>O179/F179</f>
        <v>#DIV/0!</v>
      </c>
    </row>
    <row r="180" spans="1:16">
      <c r="A180" s="107"/>
      <c r="B180" s="126"/>
      <c r="C180" s="133"/>
      <c r="D180" s="128" t="s">
        <v>118</v>
      </c>
      <c r="E180" s="128"/>
      <c r="F180" s="129"/>
      <c r="G180" s="129"/>
      <c r="H180" s="129"/>
      <c r="I180" s="130"/>
      <c r="J180" s="45"/>
      <c r="K180" s="131"/>
      <c r="L180" s="45"/>
      <c r="M180" s="132"/>
      <c r="O180" s="90"/>
      <c r="P180" s="90"/>
    </row>
    <row r="181" spans="1:16">
      <c r="A181" s="107" t="str">
        <f>'CHP BY IND'!A742</f>
        <v>LU</v>
      </c>
      <c r="B181" s="126" t="str">
        <f>'Autoproducers Calculations'!$C$388</f>
        <v>EAUTOGENSOLID00</v>
      </c>
      <c r="C181" s="127" t="s">
        <v>368</v>
      </c>
      <c r="D181" s="128" t="s">
        <v>107</v>
      </c>
      <c r="E181" s="128" t="s">
        <v>105</v>
      </c>
      <c r="F181" s="129">
        <f>'Autoproducers Calculations'!U$391</f>
        <v>0</v>
      </c>
      <c r="G181" s="129"/>
      <c r="H181" s="129"/>
      <c r="I181" s="130">
        <f>'Autoproducers Calculations'!U$389</f>
        <v>0</v>
      </c>
      <c r="J181" s="45">
        <v>1</v>
      </c>
      <c r="K181" s="131">
        <v>31.536000000000001</v>
      </c>
      <c r="L181" s="45">
        <f>'Autoproducers Calculations'!U$390</f>
        <v>0</v>
      </c>
      <c r="M181" s="132">
        <v>0</v>
      </c>
      <c r="O181" s="90">
        <f>L181*K181*I181</f>
        <v>0</v>
      </c>
      <c r="P181" s="90" t="e">
        <f>O181/F181</f>
        <v>#DIV/0!</v>
      </c>
    </row>
    <row r="182" spans="1:16">
      <c r="A182" s="107"/>
      <c r="B182" s="126"/>
      <c r="C182" s="127"/>
      <c r="D182" s="128" t="s">
        <v>108</v>
      </c>
      <c r="E182" s="128"/>
      <c r="F182" s="129"/>
      <c r="G182" s="129">
        <f>'Eurostat Resume'!V45</f>
        <v>0</v>
      </c>
      <c r="H182" s="129"/>
      <c r="I182" s="130"/>
      <c r="J182" s="45"/>
      <c r="K182" s="131"/>
      <c r="L182" s="45"/>
      <c r="M182" s="132"/>
      <c r="O182" s="90"/>
      <c r="P182" s="90"/>
    </row>
    <row r="183" spans="1:16">
      <c r="A183" s="107"/>
      <c r="B183" s="126" t="str">
        <f>'Autoproducers Calculations'!$C$395</f>
        <v>EAUTOGENRFGD00</v>
      </c>
      <c r="C183" s="133" t="s">
        <v>372</v>
      </c>
      <c r="D183" s="128" t="s">
        <v>110</v>
      </c>
      <c r="E183" s="128" t="s">
        <v>105</v>
      </c>
      <c r="F183" s="129">
        <f>'Autoproducers Calculations'!U$391</f>
        <v>0</v>
      </c>
      <c r="G183" s="129"/>
      <c r="H183" s="129"/>
      <c r="I183" s="130">
        <f>'Autoproducers Calculations'!U$389</f>
        <v>0</v>
      </c>
      <c r="J183" s="45">
        <v>1</v>
      </c>
      <c r="K183" s="131">
        <v>31.536000000000001</v>
      </c>
      <c r="L183" s="45">
        <f>'Autoproducers Calculations'!U$397</f>
        <v>0</v>
      </c>
      <c r="M183" s="132">
        <v>0</v>
      </c>
      <c r="O183" s="90">
        <f>L183*K183*I183</f>
        <v>0</v>
      </c>
      <c r="P183" s="90" t="e">
        <f>O183/F183</f>
        <v>#DIV/0!</v>
      </c>
    </row>
    <row r="184" spans="1:16">
      <c r="A184" s="107"/>
      <c r="B184" s="126" t="str">
        <f>'Autoproducers Calculations'!$C$402</f>
        <v>EAUTOGENOIL00</v>
      </c>
      <c r="C184" s="133" t="s">
        <v>366</v>
      </c>
      <c r="D184" s="128" t="s">
        <v>111</v>
      </c>
      <c r="E184" s="128" t="s">
        <v>105</v>
      </c>
      <c r="F184" s="129">
        <f>'Autoproducers Calculations'!U$391</f>
        <v>0</v>
      </c>
      <c r="G184" s="129"/>
      <c r="H184" s="129">
        <f>'Eurostat Resume'!V48</f>
        <v>0</v>
      </c>
      <c r="I184" s="130">
        <f>'Autoproducers Calculations'!U$389</f>
        <v>0</v>
      </c>
      <c r="J184" s="45">
        <v>1</v>
      </c>
      <c r="K184" s="131">
        <v>31.536000000000001</v>
      </c>
      <c r="L184" s="45">
        <f>'Autoproducers Calculations'!U$404</f>
        <v>0</v>
      </c>
      <c r="M184" s="132">
        <v>0</v>
      </c>
      <c r="O184" s="90">
        <f>L184*K184*I184</f>
        <v>0</v>
      </c>
      <c r="P184" s="90" t="e">
        <f>O184/F184</f>
        <v>#DIV/0!</v>
      </c>
    </row>
    <row r="185" spans="1:16">
      <c r="A185" s="107"/>
      <c r="B185" s="126"/>
      <c r="C185" s="133"/>
      <c r="D185" s="128" t="s">
        <v>112</v>
      </c>
      <c r="E185" s="128"/>
      <c r="F185" s="129"/>
      <c r="G185" s="129"/>
      <c r="H185" s="129"/>
      <c r="I185" s="130"/>
      <c r="J185" s="45"/>
      <c r="K185" s="131"/>
      <c r="L185" s="45"/>
      <c r="M185" s="132"/>
      <c r="O185" s="90"/>
      <c r="P185" s="90"/>
    </row>
    <row r="186" spans="1:16">
      <c r="A186" s="107"/>
      <c r="B186" s="126" t="str">
        <f>'Autoproducers Calculations'!$C$409</f>
        <v>EAUTOGENGAS00</v>
      </c>
      <c r="C186" s="133" t="s">
        <v>364</v>
      </c>
      <c r="D186" s="128" t="s">
        <v>113</v>
      </c>
      <c r="E186" s="128" t="s">
        <v>105</v>
      </c>
      <c r="F186" s="129">
        <f>'Autoproducers Calculations'!U$391</f>
        <v>0</v>
      </c>
      <c r="G186" s="129"/>
      <c r="H186" s="129"/>
      <c r="I186" s="130">
        <f>'Autoproducers Calculations'!U$389</f>
        <v>0</v>
      </c>
      <c r="J186" s="45">
        <v>1</v>
      </c>
      <c r="K186" s="131">
        <v>31.536000000000001</v>
      </c>
      <c r="L186" s="45">
        <f>'Autoproducers Calculations'!U$411</f>
        <v>0</v>
      </c>
      <c r="M186" s="132">
        <v>0</v>
      </c>
      <c r="O186" s="90">
        <f>L186*K186*I186</f>
        <v>0</v>
      </c>
      <c r="P186" s="90" t="e">
        <f>O186/F186</f>
        <v>#DIV/0!</v>
      </c>
    </row>
    <row r="187" spans="1:16">
      <c r="A187" s="107"/>
      <c r="B187" s="126"/>
      <c r="C187" s="133"/>
      <c r="D187" s="128" t="s">
        <v>114</v>
      </c>
      <c r="E187" s="128"/>
      <c r="F187" s="129"/>
      <c r="G187" s="129">
        <f>'Eurostat Resume'!V46</f>
        <v>0</v>
      </c>
      <c r="H187" s="129"/>
      <c r="I187" s="130"/>
      <c r="J187" s="45"/>
      <c r="K187" s="131"/>
      <c r="L187" s="45"/>
      <c r="M187" s="132"/>
      <c r="O187" s="90"/>
      <c r="P187" s="90"/>
    </row>
    <row r="188" spans="1:16">
      <c r="A188" s="107"/>
      <c r="B188" s="126"/>
      <c r="C188" s="133"/>
      <c r="D188" s="128" t="s">
        <v>115</v>
      </c>
      <c r="E188" s="128"/>
      <c r="F188" s="129"/>
      <c r="G188" s="129">
        <f>'Eurostat Resume'!V47</f>
        <v>0</v>
      </c>
      <c r="H188" s="129"/>
      <c r="I188" s="130"/>
      <c r="J188" s="45"/>
      <c r="K188" s="131"/>
      <c r="L188" s="45"/>
      <c r="M188" s="132"/>
      <c r="O188" s="90"/>
      <c r="P188" s="90"/>
    </row>
    <row r="189" spans="1:16">
      <c r="A189" s="107"/>
      <c r="B189" s="126" t="str">
        <f>'Autoproducers Calculations'!$C$416</f>
        <v>EAUTOGENBIO00</v>
      </c>
      <c r="C189" s="133" t="s">
        <v>365</v>
      </c>
      <c r="D189" s="128" t="s">
        <v>116</v>
      </c>
      <c r="E189" s="128" t="s">
        <v>105</v>
      </c>
      <c r="F189" s="129">
        <f>'Autoproducers Calculations'!U$391</f>
        <v>0</v>
      </c>
      <c r="G189" s="129"/>
      <c r="H189" s="129"/>
      <c r="I189" s="130">
        <f>'Autoproducers Calculations'!U$389</f>
        <v>0</v>
      </c>
      <c r="J189" s="45">
        <v>1</v>
      </c>
      <c r="K189" s="131">
        <v>31.536000000000001</v>
      </c>
      <c r="L189" s="45">
        <f>'Autoproducers Calculations'!U$418</f>
        <v>0</v>
      </c>
      <c r="M189" s="132">
        <v>0</v>
      </c>
      <c r="O189" s="90">
        <f>L189*K189*I189</f>
        <v>0</v>
      </c>
      <c r="P189" s="90" t="e">
        <f>O189/F189</f>
        <v>#DIV/0!</v>
      </c>
    </row>
    <row r="190" spans="1:16">
      <c r="A190" s="107"/>
      <c r="B190" s="126" t="str">
        <f>'Autoproducers Calculations'!$C$423</f>
        <v>EAUTOGENWASTE00</v>
      </c>
      <c r="C190" s="133" t="s">
        <v>367</v>
      </c>
      <c r="D190" s="128" t="s">
        <v>117</v>
      </c>
      <c r="E190" s="128" t="s">
        <v>105</v>
      </c>
      <c r="F190" s="129">
        <f>'Autoproducers Calculations'!U$391</f>
        <v>0</v>
      </c>
      <c r="G190" s="129"/>
      <c r="H190" s="129"/>
      <c r="I190" s="130">
        <f>'Autoproducers Calculations'!U$389</f>
        <v>0</v>
      </c>
      <c r="J190" s="45">
        <v>1</v>
      </c>
      <c r="K190" s="131">
        <v>31.536000000000001</v>
      </c>
      <c r="L190" s="45">
        <f>'Autoproducers Calculations'!U$425</f>
        <v>0</v>
      </c>
      <c r="M190" s="132">
        <v>0</v>
      </c>
      <c r="O190" s="90">
        <f>L190*K190*I190</f>
        <v>0</v>
      </c>
      <c r="P190" s="90" t="e">
        <f>O190/F190</f>
        <v>#DIV/0!</v>
      </c>
    </row>
    <row r="191" spans="1:16">
      <c r="A191" s="107"/>
      <c r="B191" s="126"/>
      <c r="C191" s="133"/>
      <c r="D191" s="128" t="s">
        <v>118</v>
      </c>
      <c r="E191" s="128"/>
      <c r="F191" s="129"/>
      <c r="G191" s="129"/>
      <c r="H191" s="129"/>
      <c r="I191" s="130"/>
      <c r="J191" s="45"/>
      <c r="K191" s="131"/>
      <c r="L191" s="45"/>
      <c r="M191" s="132"/>
    </row>
    <row r="192" spans="1:16">
      <c r="A192" s="107" t="str">
        <f>'CHP BY IND'!A788</f>
        <v>LV</v>
      </c>
      <c r="B192" s="126" t="str">
        <f>'Autoproducers Calculations'!$C$388</f>
        <v>EAUTOGENSOLID00</v>
      </c>
      <c r="C192" s="127" t="s">
        <v>368</v>
      </c>
      <c r="D192" s="128" t="s">
        <v>107</v>
      </c>
      <c r="E192" s="128" t="s">
        <v>105</v>
      </c>
      <c r="F192" s="129">
        <f>'Autoproducers Calculations'!V$391</f>
        <v>0.2105263157894737</v>
      </c>
      <c r="G192" s="129"/>
      <c r="H192" s="129"/>
      <c r="I192" s="130">
        <f>'Autoproducers Calculations'!V$389</f>
        <v>9.5818206034055699E-3</v>
      </c>
      <c r="J192" s="45">
        <v>1</v>
      </c>
      <c r="K192" s="131">
        <v>31.536000000000001</v>
      </c>
      <c r="L192" s="45">
        <f>'Autoproducers Calculations'!V$390</f>
        <v>0</v>
      </c>
      <c r="M192" s="132">
        <v>0</v>
      </c>
      <c r="O192" s="90">
        <f>L192*K192*I192</f>
        <v>0</v>
      </c>
      <c r="P192" s="90">
        <f>O192/F192</f>
        <v>0</v>
      </c>
    </row>
    <row r="193" spans="1:16">
      <c r="A193" s="107"/>
      <c r="B193" s="126"/>
      <c r="C193" s="127"/>
      <c r="D193" s="128" t="s">
        <v>108</v>
      </c>
      <c r="E193" s="128"/>
      <c r="F193" s="129"/>
      <c r="G193" s="129">
        <f>'Eurostat Resume'!W45</f>
        <v>0</v>
      </c>
      <c r="H193" s="129"/>
      <c r="I193" s="130"/>
      <c r="J193" s="45"/>
      <c r="K193" s="131"/>
      <c r="L193" s="45"/>
      <c r="M193" s="132"/>
      <c r="O193" s="90"/>
      <c r="P193" s="90"/>
    </row>
    <row r="194" spans="1:16">
      <c r="A194" s="107"/>
      <c r="B194" s="126" t="str">
        <f>'Autoproducers Calculations'!$C$395</f>
        <v>EAUTOGENRFGD00</v>
      </c>
      <c r="C194" s="133" t="s">
        <v>372</v>
      </c>
      <c r="D194" s="128" t="s">
        <v>110</v>
      </c>
      <c r="E194" s="128" t="s">
        <v>105</v>
      </c>
      <c r="F194" s="129">
        <f>'Autoproducers Calculations'!V$391</f>
        <v>0.2105263157894737</v>
      </c>
      <c r="G194" s="129"/>
      <c r="H194" s="129"/>
      <c r="I194" s="130">
        <f>'Autoproducers Calculations'!V$389</f>
        <v>9.5818206034055699E-3</v>
      </c>
      <c r="J194" s="45">
        <v>1</v>
      </c>
      <c r="K194" s="131">
        <v>31.536000000000001</v>
      </c>
      <c r="L194" s="45">
        <f>'Autoproducers Calculations'!V$397</f>
        <v>0</v>
      </c>
      <c r="M194" s="132">
        <v>0</v>
      </c>
      <c r="O194" s="90">
        <f>L194*K194*I194</f>
        <v>0</v>
      </c>
      <c r="P194" s="90">
        <f>O194/F194</f>
        <v>0</v>
      </c>
    </row>
    <row r="195" spans="1:16">
      <c r="A195" s="107"/>
      <c r="B195" s="126" t="str">
        <f>'Autoproducers Calculations'!$C$402</f>
        <v>EAUTOGENOIL00</v>
      </c>
      <c r="C195" s="133" t="s">
        <v>366</v>
      </c>
      <c r="D195" s="128" t="s">
        <v>111</v>
      </c>
      <c r="E195" s="128" t="s">
        <v>105</v>
      </c>
      <c r="F195" s="129">
        <f>'Autoproducers Calculations'!V$391</f>
        <v>0.2105263157894737</v>
      </c>
      <c r="G195" s="129"/>
      <c r="H195" s="129">
        <f>'Eurostat Resume'!W48</f>
        <v>0</v>
      </c>
      <c r="I195" s="130">
        <f>'Autoproducers Calculations'!V$389</f>
        <v>9.5818206034055699E-3</v>
      </c>
      <c r="J195" s="45">
        <v>1</v>
      </c>
      <c r="K195" s="131">
        <v>31.536000000000001</v>
      </c>
      <c r="L195" s="45">
        <f>'Autoproducers Calculations'!V$404</f>
        <v>0</v>
      </c>
      <c r="M195" s="132">
        <v>0</v>
      </c>
      <c r="O195" s="90">
        <f>L195*K195*I195</f>
        <v>0</v>
      </c>
      <c r="P195" s="90">
        <f>O195/F195</f>
        <v>0</v>
      </c>
    </row>
    <row r="196" spans="1:16">
      <c r="A196" s="107"/>
      <c r="B196" s="126"/>
      <c r="C196" s="133"/>
      <c r="D196" s="128" t="s">
        <v>112</v>
      </c>
      <c r="E196" s="128"/>
      <c r="F196" s="129"/>
      <c r="G196" s="129"/>
      <c r="H196" s="129"/>
      <c r="I196" s="130"/>
      <c r="J196" s="45"/>
      <c r="K196" s="131"/>
      <c r="L196" s="45"/>
      <c r="M196" s="132"/>
      <c r="O196" s="90"/>
      <c r="P196" s="90"/>
    </row>
    <row r="197" spans="1:16">
      <c r="A197" s="107"/>
      <c r="B197" s="126" t="str">
        <f>'Autoproducers Calculations'!$C$409</f>
        <v>EAUTOGENGAS00</v>
      </c>
      <c r="C197" s="133" t="s">
        <v>364</v>
      </c>
      <c r="D197" s="128" t="s">
        <v>113</v>
      </c>
      <c r="E197" s="128" t="s">
        <v>105</v>
      </c>
      <c r="F197" s="129">
        <f>'Autoproducers Calculations'!V$391</f>
        <v>0.2105263157894737</v>
      </c>
      <c r="G197" s="129"/>
      <c r="H197" s="129"/>
      <c r="I197" s="130">
        <f>'Autoproducers Calculations'!V$389</f>
        <v>9.5818206034055699E-3</v>
      </c>
      <c r="J197" s="45">
        <v>1</v>
      </c>
      <c r="K197" s="131">
        <v>31.536000000000001</v>
      </c>
      <c r="L197" s="45">
        <f>'Autoproducers Calculations'!V$411</f>
        <v>0</v>
      </c>
      <c r="M197" s="132">
        <v>0</v>
      </c>
      <c r="O197" s="90">
        <f>L197*K197*I197</f>
        <v>0</v>
      </c>
      <c r="P197" s="90">
        <f>O197/F197</f>
        <v>0</v>
      </c>
    </row>
    <row r="198" spans="1:16">
      <c r="A198" s="107"/>
      <c r="B198" s="126"/>
      <c r="C198" s="133"/>
      <c r="D198" s="128" t="s">
        <v>114</v>
      </c>
      <c r="E198" s="128"/>
      <c r="F198" s="129"/>
      <c r="G198" s="129">
        <f>'Eurostat Resume'!W46</f>
        <v>0</v>
      </c>
      <c r="H198" s="129"/>
      <c r="I198" s="130"/>
      <c r="J198" s="45"/>
      <c r="K198" s="131"/>
      <c r="L198" s="45"/>
      <c r="M198" s="132"/>
      <c r="O198" s="90"/>
      <c r="P198" s="90"/>
    </row>
    <row r="199" spans="1:16">
      <c r="A199" s="107"/>
      <c r="B199" s="126"/>
      <c r="C199" s="133"/>
      <c r="D199" s="128" t="s">
        <v>115</v>
      </c>
      <c r="E199" s="128"/>
      <c r="F199" s="129"/>
      <c r="G199" s="129">
        <f>'Eurostat Resume'!W47</f>
        <v>0</v>
      </c>
      <c r="H199" s="129"/>
      <c r="I199" s="130"/>
      <c r="J199" s="45"/>
      <c r="K199" s="131"/>
      <c r="L199" s="45"/>
      <c r="M199" s="132"/>
      <c r="O199" s="90"/>
      <c r="P199" s="90"/>
    </row>
    <row r="200" spans="1:16">
      <c r="A200" s="107"/>
      <c r="B200" s="126" t="str">
        <f>'Autoproducers Calculations'!$C$416</f>
        <v>EAUTOGENBIO00</v>
      </c>
      <c r="C200" s="133" t="s">
        <v>365</v>
      </c>
      <c r="D200" s="128" t="s">
        <v>116</v>
      </c>
      <c r="E200" s="128" t="s">
        <v>105</v>
      </c>
      <c r="F200" s="129">
        <f>'Autoproducers Calculations'!V$391</f>
        <v>0.2105263157894737</v>
      </c>
      <c r="G200" s="129"/>
      <c r="H200" s="129"/>
      <c r="I200" s="130">
        <f>'Autoproducers Calculations'!V$389</f>
        <v>9.5818206034055699E-3</v>
      </c>
      <c r="J200" s="45">
        <v>1</v>
      </c>
      <c r="K200" s="131">
        <v>31.536000000000001</v>
      </c>
      <c r="L200" s="45">
        <f>'Autoproducers Calculations'!V$418</f>
        <v>0</v>
      </c>
      <c r="M200" s="132">
        <v>0</v>
      </c>
      <c r="O200" s="90">
        <f>L200*K200*I200</f>
        <v>0</v>
      </c>
      <c r="P200" s="90">
        <f>O200/F200</f>
        <v>0</v>
      </c>
    </row>
    <row r="201" spans="1:16">
      <c r="A201" s="107"/>
      <c r="B201" s="126" t="str">
        <f>'Autoproducers Calculations'!$C$423</f>
        <v>EAUTOGENWASTE00</v>
      </c>
      <c r="C201" s="133" t="s">
        <v>367</v>
      </c>
      <c r="D201" s="128" t="s">
        <v>117</v>
      </c>
      <c r="E201" s="128" t="s">
        <v>105</v>
      </c>
      <c r="F201" s="129">
        <f>'Autoproducers Calculations'!V$391</f>
        <v>0.2105263157894737</v>
      </c>
      <c r="G201" s="129"/>
      <c r="H201" s="129"/>
      <c r="I201" s="130">
        <f>'Autoproducers Calculations'!V$389</f>
        <v>9.5818206034055699E-3</v>
      </c>
      <c r="J201" s="45">
        <v>1</v>
      </c>
      <c r="K201" s="131">
        <v>31.536000000000001</v>
      </c>
      <c r="L201" s="45">
        <f>'Autoproducers Calculations'!V$425</f>
        <v>1.324E-2</v>
      </c>
      <c r="M201" s="132">
        <v>0</v>
      </c>
      <c r="O201" s="90">
        <f>L201*K201*I201</f>
        <v>4.0007611798287346E-3</v>
      </c>
      <c r="P201" s="90">
        <f>O201/F201</f>
        <v>1.9003615604186487E-2</v>
      </c>
    </row>
    <row r="202" spans="1:16">
      <c r="A202" s="107"/>
      <c r="B202" s="126"/>
      <c r="C202" s="133"/>
      <c r="D202" s="128" t="s">
        <v>118</v>
      </c>
      <c r="E202" s="128"/>
      <c r="F202" s="129"/>
      <c r="G202" s="129"/>
      <c r="H202" s="129"/>
      <c r="I202" s="130"/>
      <c r="J202" s="45"/>
      <c r="K202" s="131"/>
      <c r="L202" s="45"/>
      <c r="M202" s="132"/>
    </row>
    <row r="203" spans="1:16">
      <c r="A203" s="107" t="str">
        <f>'CHP BY IND'!A834</f>
        <v>MT</v>
      </c>
      <c r="B203" s="126" t="str">
        <f>'Autoproducers Calculations'!$C$388</f>
        <v>EAUTOGENSOLID00</v>
      </c>
      <c r="C203" s="127" t="s">
        <v>368</v>
      </c>
      <c r="D203" s="128" t="s">
        <v>107</v>
      </c>
      <c r="E203" s="128" t="s">
        <v>105</v>
      </c>
      <c r="F203" s="129">
        <f>'Autoproducers Calculations'!W$391</f>
        <v>0</v>
      </c>
      <c r="G203" s="129"/>
      <c r="H203" s="129"/>
      <c r="I203" s="130">
        <f>'Autoproducers Calculations'!W$389</f>
        <v>0</v>
      </c>
      <c r="J203" s="45">
        <v>1</v>
      </c>
      <c r="K203" s="131">
        <v>31.536000000000001</v>
      </c>
      <c r="L203" s="45">
        <f>'Autoproducers Calculations'!W$390</f>
        <v>0</v>
      </c>
      <c r="M203" s="132">
        <v>0</v>
      </c>
      <c r="O203" s="90">
        <f>L203*K203*I203</f>
        <v>0</v>
      </c>
      <c r="P203" s="90" t="e">
        <f>O203/F203</f>
        <v>#DIV/0!</v>
      </c>
    </row>
    <row r="204" spans="1:16">
      <c r="A204" s="107"/>
      <c r="B204" s="126"/>
      <c r="C204" s="127"/>
      <c r="D204" s="128" t="s">
        <v>108</v>
      </c>
      <c r="E204" s="128"/>
      <c r="F204" s="129"/>
      <c r="G204" s="129">
        <f>'Eurostat Resume'!Y45</f>
        <v>0</v>
      </c>
      <c r="H204" s="129"/>
      <c r="I204" s="130"/>
      <c r="J204" s="45"/>
      <c r="K204" s="131"/>
      <c r="L204" s="45"/>
      <c r="M204" s="132"/>
      <c r="O204" s="90"/>
      <c r="P204" s="90"/>
    </row>
    <row r="205" spans="1:16">
      <c r="A205" s="107"/>
      <c r="B205" s="126" t="str">
        <f>'Autoproducers Calculations'!$C$395</f>
        <v>EAUTOGENRFGD00</v>
      </c>
      <c r="C205" s="133" t="s">
        <v>372</v>
      </c>
      <c r="D205" s="128" t="s">
        <v>110</v>
      </c>
      <c r="E205" s="128" t="s">
        <v>105</v>
      </c>
      <c r="F205" s="129">
        <f>'Autoproducers Calculations'!W$391</f>
        <v>0</v>
      </c>
      <c r="G205" s="129"/>
      <c r="H205" s="129"/>
      <c r="I205" s="130">
        <f>'Autoproducers Calculations'!W$389</f>
        <v>0</v>
      </c>
      <c r="J205" s="45">
        <v>1</v>
      </c>
      <c r="K205" s="131">
        <v>31.536000000000001</v>
      </c>
      <c r="L205" s="45">
        <f>'Autoproducers Calculations'!W$397</f>
        <v>0</v>
      </c>
      <c r="M205" s="132">
        <v>0</v>
      </c>
      <c r="O205" s="90">
        <f>L205*K205*I205</f>
        <v>0</v>
      </c>
      <c r="P205" s="90" t="e">
        <f>O205/F205</f>
        <v>#DIV/0!</v>
      </c>
    </row>
    <row r="206" spans="1:16">
      <c r="A206" s="107"/>
      <c r="B206" s="126" t="str">
        <f>'Autoproducers Calculations'!$C$402</f>
        <v>EAUTOGENOIL00</v>
      </c>
      <c r="C206" s="133" t="s">
        <v>366</v>
      </c>
      <c r="D206" s="128" t="s">
        <v>111</v>
      </c>
      <c r="E206" s="128" t="s">
        <v>105</v>
      </c>
      <c r="F206" s="129">
        <f>'Autoproducers Calculations'!W$391</f>
        <v>0</v>
      </c>
      <c r="G206" s="129"/>
      <c r="H206" s="129">
        <f>'Eurostat Resume'!X48</f>
        <v>0</v>
      </c>
      <c r="I206" s="130">
        <f>'Autoproducers Calculations'!W$389</f>
        <v>0</v>
      </c>
      <c r="J206" s="45">
        <v>1</v>
      </c>
      <c r="K206" s="131">
        <v>31.536000000000001</v>
      </c>
      <c r="L206" s="45">
        <f>'Autoproducers Calculations'!W$404</f>
        <v>0</v>
      </c>
      <c r="M206" s="132">
        <v>0</v>
      </c>
      <c r="O206" s="90">
        <f>L206*K206*I206</f>
        <v>0</v>
      </c>
      <c r="P206" s="90" t="e">
        <f>O206/F206</f>
        <v>#DIV/0!</v>
      </c>
    </row>
    <row r="207" spans="1:16">
      <c r="A207" s="107"/>
      <c r="B207" s="126"/>
      <c r="C207" s="133"/>
      <c r="D207" s="128" t="s">
        <v>112</v>
      </c>
      <c r="E207" s="128"/>
      <c r="F207" s="129"/>
      <c r="G207" s="129"/>
      <c r="H207" s="129"/>
      <c r="I207" s="130"/>
      <c r="J207" s="45"/>
      <c r="K207" s="131"/>
      <c r="L207" s="45"/>
      <c r="M207" s="132"/>
      <c r="O207" s="90"/>
      <c r="P207" s="90"/>
    </row>
    <row r="208" spans="1:16">
      <c r="A208" s="107"/>
      <c r="B208" s="126" t="str">
        <f>'Autoproducers Calculations'!$C$409</f>
        <v>EAUTOGENGAS00</v>
      </c>
      <c r="C208" s="133" t="s">
        <v>364</v>
      </c>
      <c r="D208" s="128" t="s">
        <v>113</v>
      </c>
      <c r="E208" s="128" t="s">
        <v>105</v>
      </c>
      <c r="F208" s="129">
        <f>'Autoproducers Calculations'!W$391</f>
        <v>0</v>
      </c>
      <c r="G208" s="129"/>
      <c r="H208" s="129"/>
      <c r="I208" s="130">
        <f>'Autoproducers Calculations'!W$389</f>
        <v>0</v>
      </c>
      <c r="J208" s="45">
        <v>1</v>
      </c>
      <c r="K208" s="131">
        <v>31.536000000000001</v>
      </c>
      <c r="L208" s="45">
        <f>'Autoproducers Calculations'!W$411</f>
        <v>0</v>
      </c>
      <c r="M208" s="132">
        <v>0</v>
      </c>
      <c r="O208" s="90">
        <f>L208*K208*I208</f>
        <v>0</v>
      </c>
      <c r="P208" s="90" t="e">
        <f>O208/F208</f>
        <v>#DIV/0!</v>
      </c>
    </row>
    <row r="209" spans="1:16">
      <c r="A209" s="107"/>
      <c r="B209" s="126"/>
      <c r="C209" s="133"/>
      <c r="D209" s="128" t="s">
        <v>114</v>
      </c>
      <c r="E209" s="128"/>
      <c r="F209" s="129"/>
      <c r="G209" s="129">
        <f>'Eurostat Resume'!Y46</f>
        <v>0.37300319488817896</v>
      </c>
      <c r="H209" s="129"/>
      <c r="I209" s="130"/>
      <c r="J209" s="45"/>
      <c r="K209" s="131"/>
      <c r="L209" s="45"/>
      <c r="M209" s="132"/>
      <c r="O209" s="90"/>
      <c r="P209" s="90"/>
    </row>
    <row r="210" spans="1:16">
      <c r="A210" s="107"/>
      <c r="B210" s="126"/>
      <c r="C210" s="133"/>
      <c r="D210" s="128" t="s">
        <v>115</v>
      </c>
      <c r="E210" s="128"/>
      <c r="F210" s="129"/>
      <c r="G210" s="129">
        <f>'Eurostat Resume'!Y47</f>
        <v>0</v>
      </c>
      <c r="H210" s="129"/>
      <c r="I210" s="130"/>
      <c r="J210" s="45"/>
      <c r="K210" s="131"/>
      <c r="L210" s="45"/>
      <c r="M210" s="132"/>
      <c r="O210" s="90"/>
      <c r="P210" s="90"/>
    </row>
    <row r="211" spans="1:16">
      <c r="A211" s="107"/>
      <c r="B211" s="126" t="str">
        <f>'Autoproducers Calculations'!$C$416</f>
        <v>EAUTOGENBIO00</v>
      </c>
      <c r="C211" s="133" t="s">
        <v>365</v>
      </c>
      <c r="D211" s="128" t="s">
        <v>116</v>
      </c>
      <c r="E211" s="128" t="s">
        <v>105</v>
      </c>
      <c r="F211" s="129">
        <f>'Autoproducers Calculations'!W$391</f>
        <v>0</v>
      </c>
      <c r="G211" s="129"/>
      <c r="H211" s="129"/>
      <c r="I211" s="130">
        <f>'Autoproducers Calculations'!W$389</f>
        <v>0</v>
      </c>
      <c r="J211" s="45">
        <v>1</v>
      </c>
      <c r="K211" s="131">
        <v>31.536000000000001</v>
      </c>
      <c r="L211" s="45">
        <f>'Autoproducers Calculations'!W$418</f>
        <v>0</v>
      </c>
      <c r="M211" s="132">
        <v>0</v>
      </c>
      <c r="O211" s="90">
        <f>L211*K211*I211</f>
        <v>0</v>
      </c>
      <c r="P211" s="90" t="e">
        <f>O211/F211</f>
        <v>#DIV/0!</v>
      </c>
    </row>
    <row r="212" spans="1:16">
      <c r="A212" s="107"/>
      <c r="B212" s="126" t="str">
        <f>'Autoproducers Calculations'!$C$423</f>
        <v>EAUTOGENWASTE00</v>
      </c>
      <c r="C212" s="133" t="s">
        <v>367</v>
      </c>
      <c r="D212" s="128" t="s">
        <v>117</v>
      </c>
      <c r="E212" s="128" t="s">
        <v>105</v>
      </c>
      <c r="F212" s="129">
        <f>'Autoproducers Calculations'!W$391</f>
        <v>0</v>
      </c>
      <c r="G212" s="129"/>
      <c r="H212" s="129"/>
      <c r="I212" s="130">
        <f>'Autoproducers Calculations'!W$389</f>
        <v>0</v>
      </c>
      <c r="J212" s="45">
        <v>1</v>
      </c>
      <c r="K212" s="131">
        <v>31.536000000000001</v>
      </c>
      <c r="L212" s="45">
        <f>'Autoproducers Calculations'!W$425</f>
        <v>0</v>
      </c>
      <c r="M212" s="132">
        <v>0</v>
      </c>
      <c r="O212" s="90">
        <f>L212*K212*I212</f>
        <v>0</v>
      </c>
      <c r="P212" s="90" t="e">
        <f>O212/F212</f>
        <v>#DIV/0!</v>
      </c>
    </row>
    <row r="213" spans="1:16">
      <c r="A213" s="107"/>
      <c r="B213" s="126"/>
      <c r="C213" s="133"/>
      <c r="D213" s="128" t="s">
        <v>118</v>
      </c>
      <c r="E213" s="128"/>
      <c r="F213" s="129"/>
      <c r="G213" s="129"/>
      <c r="H213" s="129"/>
      <c r="I213" s="130"/>
      <c r="J213" s="45"/>
      <c r="K213" s="131"/>
      <c r="L213" s="45"/>
      <c r="M213" s="132"/>
    </row>
    <row r="214" spans="1:16">
      <c r="A214" s="107" t="str">
        <f>'CHP BY IND'!A880</f>
        <v>NL</v>
      </c>
      <c r="B214" s="126" t="str">
        <f>'Autoproducers Calculations'!$C$388</f>
        <v>EAUTOGENSOLID00</v>
      </c>
      <c r="C214" s="127" t="s">
        <v>368</v>
      </c>
      <c r="D214" s="128" t="s">
        <v>107</v>
      </c>
      <c r="E214" s="128" t="s">
        <v>105</v>
      </c>
      <c r="F214" s="129">
        <f>'Autoproducers Calculations'!X$391</f>
        <v>0.23330710091409895</v>
      </c>
      <c r="G214" s="129"/>
      <c r="H214" s="129"/>
      <c r="I214" s="130">
        <f>'Autoproducers Calculations'!X$389</f>
        <v>0.18160241152535175</v>
      </c>
      <c r="J214" s="45">
        <v>1</v>
      </c>
      <c r="K214" s="131">
        <v>31.536000000000001</v>
      </c>
      <c r="L214" s="45">
        <f>'Autoproducers Calculations'!X$390</f>
        <v>0</v>
      </c>
      <c r="M214" s="132">
        <v>0</v>
      </c>
      <c r="O214" s="90">
        <f>L214*K214*I214</f>
        <v>0</v>
      </c>
      <c r="P214" s="90">
        <f>O214/F214</f>
        <v>0</v>
      </c>
    </row>
    <row r="215" spans="1:16">
      <c r="A215" s="107"/>
      <c r="B215" s="126"/>
      <c r="C215" s="127"/>
      <c r="D215" s="128" t="s">
        <v>108</v>
      </c>
      <c r="E215" s="128"/>
      <c r="F215" s="129"/>
      <c r="G215" s="129">
        <f>'Eurostat Resume'!Z45</f>
        <v>0</v>
      </c>
      <c r="H215" s="129"/>
      <c r="I215" s="130"/>
      <c r="J215" s="45"/>
      <c r="K215" s="131"/>
      <c r="L215" s="45"/>
      <c r="M215" s="132"/>
      <c r="O215" s="90"/>
      <c r="P215" s="90"/>
    </row>
    <row r="216" spans="1:16">
      <c r="A216" s="107"/>
      <c r="B216" s="126" t="str">
        <f>'Autoproducers Calculations'!$C$395</f>
        <v>EAUTOGENRFGD00</v>
      </c>
      <c r="C216" s="133" t="s">
        <v>372</v>
      </c>
      <c r="D216" s="128" t="s">
        <v>110</v>
      </c>
      <c r="E216" s="128" t="s">
        <v>105</v>
      </c>
      <c r="F216" s="129">
        <f>'Autoproducers Calculations'!X$391</f>
        <v>0.23330710091409895</v>
      </c>
      <c r="G216" s="129"/>
      <c r="H216" s="129"/>
      <c r="I216" s="130">
        <f>'Autoproducers Calculations'!X$389</f>
        <v>0.18160241152535175</v>
      </c>
      <c r="J216" s="45">
        <v>1</v>
      </c>
      <c r="K216" s="131">
        <v>31.536000000000001</v>
      </c>
      <c r="L216" s="45">
        <f>'Autoproducers Calculations'!X$397</f>
        <v>0</v>
      </c>
      <c r="M216" s="132">
        <v>0</v>
      </c>
      <c r="O216" s="90">
        <f>L216*K216*I216</f>
        <v>0</v>
      </c>
      <c r="P216" s="90">
        <f>O216/F216</f>
        <v>0</v>
      </c>
    </row>
    <row r="217" spans="1:16">
      <c r="A217" s="107"/>
      <c r="B217" s="126" t="str">
        <f>'Autoproducers Calculations'!$C$402</f>
        <v>EAUTOGENOIL00</v>
      </c>
      <c r="C217" s="133" t="s">
        <v>366</v>
      </c>
      <c r="D217" s="128" t="s">
        <v>111</v>
      </c>
      <c r="E217" s="128" t="s">
        <v>105</v>
      </c>
      <c r="F217" s="129">
        <f>'Autoproducers Calculations'!X$391</f>
        <v>0.23330710091409895</v>
      </c>
      <c r="G217" s="129"/>
      <c r="H217" s="129">
        <f>'Eurostat Resume'!Y48</f>
        <v>0</v>
      </c>
      <c r="I217" s="130">
        <f>'Autoproducers Calculations'!X$389</f>
        <v>0.18160241152535175</v>
      </c>
      <c r="J217" s="45">
        <v>1</v>
      </c>
      <c r="K217" s="131">
        <v>31.536000000000001</v>
      </c>
      <c r="L217" s="45">
        <f>'Autoproducers Calculations'!X$404</f>
        <v>0</v>
      </c>
      <c r="M217" s="132">
        <v>0</v>
      </c>
      <c r="O217" s="90">
        <f>L217*K217*I217</f>
        <v>0</v>
      </c>
      <c r="P217" s="90">
        <f>O217/F217</f>
        <v>0</v>
      </c>
    </row>
    <row r="218" spans="1:16">
      <c r="A218" s="107"/>
      <c r="B218" s="126"/>
      <c r="C218" s="133"/>
      <c r="D218" s="128" t="s">
        <v>112</v>
      </c>
      <c r="E218" s="128"/>
      <c r="F218" s="129"/>
      <c r="G218" s="129"/>
      <c r="H218" s="129"/>
      <c r="I218" s="130"/>
      <c r="J218" s="45"/>
      <c r="K218" s="131"/>
      <c r="L218" s="45"/>
      <c r="M218" s="132"/>
      <c r="O218" s="90"/>
      <c r="P218" s="90"/>
    </row>
    <row r="219" spans="1:16">
      <c r="A219" s="107"/>
      <c r="B219" s="126" t="str">
        <f>'Autoproducers Calculations'!$C$409</f>
        <v>EAUTOGENGAS00</v>
      </c>
      <c r="C219" s="133" t="s">
        <v>364</v>
      </c>
      <c r="D219" s="128" t="s">
        <v>113</v>
      </c>
      <c r="E219" s="128" t="s">
        <v>105</v>
      </c>
      <c r="F219" s="129">
        <f>'Autoproducers Calculations'!X$391</f>
        <v>0.23330710091409895</v>
      </c>
      <c r="G219" s="129"/>
      <c r="H219" s="129"/>
      <c r="I219" s="130">
        <f>'Autoproducers Calculations'!X$389</f>
        <v>0.18160241152535175</v>
      </c>
      <c r="J219" s="45">
        <v>1</v>
      </c>
      <c r="K219" s="131">
        <v>31.536000000000001</v>
      </c>
      <c r="L219" s="45">
        <f>'Autoproducers Calculations'!X$411</f>
        <v>0.10188551296282861</v>
      </c>
      <c r="M219" s="132">
        <v>0</v>
      </c>
      <c r="O219" s="90">
        <f>L219*K219*I219</f>
        <v>0.58349972346146328</v>
      </c>
      <c r="P219" s="90">
        <f>O219/F219</f>
        <v>2.5009942739646887</v>
      </c>
    </row>
    <row r="220" spans="1:16">
      <c r="A220" s="107"/>
      <c r="B220" s="126"/>
      <c r="C220" s="133"/>
      <c r="D220" s="128" t="s">
        <v>114</v>
      </c>
      <c r="E220" s="128"/>
      <c r="F220" s="129"/>
      <c r="G220" s="129">
        <f>'Eurostat Resume'!Z46</f>
        <v>1</v>
      </c>
      <c r="H220" s="129"/>
      <c r="I220" s="130"/>
      <c r="J220" s="45"/>
      <c r="K220" s="131"/>
      <c r="L220" s="45"/>
      <c r="M220" s="132"/>
      <c r="O220" s="90"/>
      <c r="P220" s="90"/>
    </row>
    <row r="221" spans="1:16">
      <c r="A221" s="107"/>
      <c r="B221" s="126"/>
      <c r="C221" s="133"/>
      <c r="D221" s="128" t="s">
        <v>115</v>
      </c>
      <c r="E221" s="128"/>
      <c r="F221" s="129"/>
      <c r="G221" s="129">
        <f>'Eurostat Resume'!Z47</f>
        <v>0</v>
      </c>
      <c r="H221" s="129"/>
      <c r="I221" s="130"/>
      <c r="J221" s="45"/>
      <c r="K221" s="131"/>
      <c r="L221" s="45"/>
      <c r="M221" s="132"/>
      <c r="O221" s="90"/>
      <c r="P221" s="90"/>
    </row>
    <row r="222" spans="1:16">
      <c r="A222" s="107"/>
      <c r="B222" s="126" t="str">
        <f>'Autoproducers Calculations'!$C$416</f>
        <v>EAUTOGENBIO00</v>
      </c>
      <c r="C222" s="133" t="s">
        <v>365</v>
      </c>
      <c r="D222" s="128" t="s">
        <v>116</v>
      </c>
      <c r="E222" s="128" t="s">
        <v>105</v>
      </c>
      <c r="F222" s="129">
        <f>'Autoproducers Calculations'!X$391</f>
        <v>0.23330710091409895</v>
      </c>
      <c r="G222" s="129"/>
      <c r="H222" s="129"/>
      <c r="I222" s="130">
        <f>'Autoproducers Calculations'!X$389</f>
        <v>0.18160241152535175</v>
      </c>
      <c r="J222" s="45">
        <v>1</v>
      </c>
      <c r="K222" s="131">
        <v>31.536000000000001</v>
      </c>
      <c r="L222" s="45">
        <f>'Autoproducers Calculations'!X$418</f>
        <v>0</v>
      </c>
      <c r="M222" s="132">
        <v>0</v>
      </c>
      <c r="O222" s="90">
        <f>L222*K222*I222</f>
        <v>0</v>
      </c>
      <c r="P222" s="90">
        <f>O222/F222</f>
        <v>0</v>
      </c>
    </row>
    <row r="223" spans="1:16">
      <c r="A223" s="107"/>
      <c r="B223" s="126" t="str">
        <f>'Autoproducers Calculations'!$C$423</f>
        <v>EAUTOGENWASTE00</v>
      </c>
      <c r="C223" s="133" t="s">
        <v>367</v>
      </c>
      <c r="D223" s="128" t="s">
        <v>117</v>
      </c>
      <c r="E223" s="128" t="s">
        <v>105</v>
      </c>
      <c r="F223" s="129">
        <f>'Autoproducers Calculations'!X$391</f>
        <v>0.23330710091409895</v>
      </c>
      <c r="G223" s="129"/>
      <c r="H223" s="129"/>
      <c r="I223" s="130">
        <f>'Autoproducers Calculations'!X$389</f>
        <v>0.18160241152535175</v>
      </c>
      <c r="J223" s="45">
        <v>1</v>
      </c>
      <c r="K223" s="131">
        <v>31.536000000000001</v>
      </c>
      <c r="L223" s="45">
        <f>'Autoproducers Calculations'!X$425</f>
        <v>1.244272758148282</v>
      </c>
      <c r="M223" s="132">
        <v>0</v>
      </c>
      <c r="O223" s="90">
        <f>L223*K223*I223</f>
        <v>7.1259670700685076</v>
      </c>
      <c r="P223" s="90">
        <f>O223/F223</f>
        <v>30.543292690830736</v>
      </c>
    </row>
    <row r="224" spans="1:16">
      <c r="A224" s="107"/>
      <c r="B224" s="126"/>
      <c r="C224" s="133"/>
      <c r="D224" s="128" t="s">
        <v>118</v>
      </c>
      <c r="E224" s="128"/>
      <c r="F224" s="129"/>
      <c r="G224" s="129"/>
      <c r="H224" s="129"/>
      <c r="I224" s="130"/>
      <c r="J224" s="45"/>
      <c r="K224" s="131"/>
      <c r="L224" s="45"/>
      <c r="M224" s="132"/>
    </row>
    <row r="225" spans="1:16">
      <c r="A225" s="107" t="str">
        <f>'CHP BY IND'!A926</f>
        <v>PL</v>
      </c>
      <c r="B225" s="126" t="str">
        <f>'Autoproducers Calculations'!$C$388</f>
        <v>EAUTOGENSOLID00</v>
      </c>
      <c r="C225" s="127" t="s">
        <v>368</v>
      </c>
      <c r="D225" s="128" t="s">
        <v>107</v>
      </c>
      <c r="E225" s="128" t="s">
        <v>105</v>
      </c>
      <c r="F225" s="129">
        <f>'Autoproducers Calculations'!Y$391</f>
        <v>0</v>
      </c>
      <c r="G225" s="129"/>
      <c r="H225" s="129"/>
      <c r="I225" s="130">
        <f>'Autoproducers Calculations'!Y$389</f>
        <v>0</v>
      </c>
      <c r="J225" s="45">
        <v>1</v>
      </c>
      <c r="K225" s="131">
        <v>31.536000000000001</v>
      </c>
      <c r="L225" s="45">
        <f>'Autoproducers Calculations'!Y$390</f>
        <v>0</v>
      </c>
      <c r="M225" s="132">
        <v>0</v>
      </c>
      <c r="O225" s="90">
        <f>L225*K225*I225</f>
        <v>0</v>
      </c>
      <c r="P225" s="90" t="e">
        <f>O225/F225</f>
        <v>#DIV/0!</v>
      </c>
    </row>
    <row r="226" spans="1:16">
      <c r="A226" s="107"/>
      <c r="B226" s="126"/>
      <c r="C226" s="127"/>
      <c r="D226" s="128" t="s">
        <v>108</v>
      </c>
      <c r="E226" s="128"/>
      <c r="F226" s="129"/>
      <c r="G226" s="129">
        <f>'Eurostat Resume'!AA45</f>
        <v>0</v>
      </c>
      <c r="H226" s="129"/>
      <c r="I226" s="130"/>
      <c r="J226" s="45"/>
      <c r="K226" s="131"/>
      <c r="L226" s="45"/>
      <c r="M226" s="132"/>
      <c r="O226" s="90"/>
      <c r="P226" s="90"/>
    </row>
    <row r="227" spans="1:16">
      <c r="A227" s="107"/>
      <c r="B227" s="126" t="str">
        <f>'Autoproducers Calculations'!$C$395</f>
        <v>EAUTOGENRFGD00</v>
      </c>
      <c r="C227" s="133" t="s">
        <v>372</v>
      </c>
      <c r="D227" s="128" t="s">
        <v>110</v>
      </c>
      <c r="E227" s="128" t="s">
        <v>105</v>
      </c>
      <c r="F227" s="129">
        <f>'Autoproducers Calculations'!Y$391</f>
        <v>0</v>
      </c>
      <c r="G227" s="129"/>
      <c r="H227" s="129"/>
      <c r="I227" s="130">
        <f>'Autoproducers Calculations'!Y$389</f>
        <v>0</v>
      </c>
      <c r="J227" s="45">
        <v>1</v>
      </c>
      <c r="K227" s="131">
        <v>31.536000000000001</v>
      </c>
      <c r="L227" s="45">
        <f>'Autoproducers Calculations'!Y$397</f>
        <v>0</v>
      </c>
      <c r="M227" s="132">
        <v>0</v>
      </c>
      <c r="O227" s="90">
        <f>L227*K227*I227</f>
        <v>0</v>
      </c>
      <c r="P227" s="90" t="e">
        <f>O227/F227</f>
        <v>#DIV/0!</v>
      </c>
    </row>
    <row r="228" spans="1:16">
      <c r="A228" s="107"/>
      <c r="B228" s="126" t="str">
        <f>'Autoproducers Calculations'!$C$402</f>
        <v>EAUTOGENOIL00</v>
      </c>
      <c r="C228" s="133" t="s">
        <v>366</v>
      </c>
      <c r="D228" s="128" t="s">
        <v>111</v>
      </c>
      <c r="E228" s="128" t="s">
        <v>105</v>
      </c>
      <c r="F228" s="129">
        <f>'Autoproducers Calculations'!Y$391</f>
        <v>0</v>
      </c>
      <c r="G228" s="129"/>
      <c r="H228" s="129">
        <f>'Eurostat Resume'!Z48</f>
        <v>0</v>
      </c>
      <c r="I228" s="130">
        <f>'Autoproducers Calculations'!Y$389</f>
        <v>0</v>
      </c>
      <c r="J228" s="45">
        <v>1</v>
      </c>
      <c r="K228" s="131">
        <v>31.536000000000001</v>
      </c>
      <c r="L228" s="45">
        <f>'Autoproducers Calculations'!Y$404</f>
        <v>0</v>
      </c>
      <c r="M228" s="132">
        <v>0</v>
      </c>
      <c r="O228" s="90">
        <f>L228*K228*I228</f>
        <v>0</v>
      </c>
      <c r="P228" s="90" t="e">
        <f>O228/F228</f>
        <v>#DIV/0!</v>
      </c>
    </row>
    <row r="229" spans="1:16">
      <c r="A229" s="107"/>
      <c r="B229" s="126"/>
      <c r="C229" s="133"/>
      <c r="D229" s="128" t="s">
        <v>112</v>
      </c>
      <c r="E229" s="128"/>
      <c r="F229" s="129"/>
      <c r="G229" s="129"/>
      <c r="H229" s="129"/>
      <c r="I229" s="130"/>
      <c r="J229" s="45"/>
      <c r="K229" s="131"/>
      <c r="L229" s="45"/>
      <c r="M229" s="132"/>
      <c r="O229" s="90"/>
      <c r="P229" s="90"/>
    </row>
    <row r="230" spans="1:16">
      <c r="A230" s="107"/>
      <c r="B230" s="126" t="str">
        <f>'Autoproducers Calculations'!$C$409</f>
        <v>EAUTOGENGAS00</v>
      </c>
      <c r="C230" s="133" t="s">
        <v>364</v>
      </c>
      <c r="D230" s="128" t="s">
        <v>113</v>
      </c>
      <c r="E230" s="128" t="s">
        <v>105</v>
      </c>
      <c r="F230" s="129">
        <f>'Autoproducers Calculations'!Y$391</f>
        <v>0</v>
      </c>
      <c r="G230" s="129"/>
      <c r="H230" s="129"/>
      <c r="I230" s="130">
        <f>'Autoproducers Calculations'!Y$389</f>
        <v>0</v>
      </c>
      <c r="J230" s="45">
        <v>1</v>
      </c>
      <c r="K230" s="131">
        <v>31.536000000000001</v>
      </c>
      <c r="L230" s="45">
        <f>'Autoproducers Calculations'!Y$411</f>
        <v>0</v>
      </c>
      <c r="M230" s="132">
        <v>0</v>
      </c>
      <c r="O230" s="90">
        <f>L230*K230*I230</f>
        <v>0</v>
      </c>
      <c r="P230" s="90" t="e">
        <f>O230/F230</f>
        <v>#DIV/0!</v>
      </c>
    </row>
    <row r="231" spans="1:16">
      <c r="A231" s="107"/>
      <c r="B231" s="126"/>
      <c r="C231" s="133"/>
      <c r="D231" s="128" t="s">
        <v>114</v>
      </c>
      <c r="E231" s="128"/>
      <c r="F231" s="129"/>
      <c r="G231" s="129">
        <f>'Eurostat Resume'!AA46</f>
        <v>0</v>
      </c>
      <c r="H231" s="129"/>
      <c r="I231" s="130"/>
      <c r="J231" s="45"/>
      <c r="K231" s="131"/>
      <c r="L231" s="45"/>
      <c r="M231" s="132"/>
      <c r="O231" s="90"/>
      <c r="P231" s="90"/>
    </row>
    <row r="232" spans="1:16">
      <c r="A232" s="107"/>
      <c r="B232" s="126"/>
      <c r="C232" s="133"/>
      <c r="D232" s="128" t="s">
        <v>115</v>
      </c>
      <c r="E232" s="128"/>
      <c r="F232" s="129"/>
      <c r="G232" s="129">
        <f>'Eurostat Resume'!AA47</f>
        <v>0</v>
      </c>
      <c r="H232" s="129"/>
      <c r="I232" s="130"/>
      <c r="J232" s="45"/>
      <c r="K232" s="131"/>
      <c r="L232" s="45"/>
      <c r="M232" s="132"/>
      <c r="O232" s="90"/>
      <c r="P232" s="90"/>
    </row>
    <row r="233" spans="1:16">
      <c r="A233" s="107"/>
      <c r="B233" s="126" t="str">
        <f>'Autoproducers Calculations'!$C$416</f>
        <v>EAUTOGENBIO00</v>
      </c>
      <c r="C233" s="133" t="s">
        <v>365</v>
      </c>
      <c r="D233" s="128" t="s">
        <v>116</v>
      </c>
      <c r="E233" s="128" t="s">
        <v>105</v>
      </c>
      <c r="F233" s="129">
        <f>'Autoproducers Calculations'!Y$391</f>
        <v>0</v>
      </c>
      <c r="G233" s="129"/>
      <c r="H233" s="129"/>
      <c r="I233" s="130">
        <f>'Autoproducers Calculations'!Y$389</f>
        <v>0</v>
      </c>
      <c r="J233" s="45">
        <v>1</v>
      </c>
      <c r="K233" s="131">
        <v>31.536000000000001</v>
      </c>
      <c r="L233" s="45">
        <f>'Autoproducers Calculations'!Y$418</f>
        <v>9.9999999999988987E-4</v>
      </c>
      <c r="M233" s="132">
        <v>0</v>
      </c>
      <c r="O233" s="90">
        <f>L233*K233*I233</f>
        <v>0</v>
      </c>
      <c r="P233" s="90" t="e">
        <f>O233/F233</f>
        <v>#DIV/0!</v>
      </c>
    </row>
    <row r="234" spans="1:16">
      <c r="A234" s="107"/>
      <c r="B234" s="126" t="str">
        <f>'Autoproducers Calculations'!$C$423</f>
        <v>EAUTOGENWASTE00</v>
      </c>
      <c r="C234" s="133" t="s">
        <v>367</v>
      </c>
      <c r="D234" s="128" t="s">
        <v>117</v>
      </c>
      <c r="E234" s="128" t="s">
        <v>105</v>
      </c>
      <c r="F234" s="129">
        <f>'Autoproducers Calculations'!Y$391</f>
        <v>0</v>
      </c>
      <c r="G234" s="129"/>
      <c r="H234" s="129"/>
      <c r="I234" s="130">
        <f>'Autoproducers Calculations'!Y$389</f>
        <v>0</v>
      </c>
      <c r="J234" s="45">
        <v>1</v>
      </c>
      <c r="K234" s="131">
        <v>31.536000000000001</v>
      </c>
      <c r="L234" s="45">
        <f>'Autoproducers Calculations'!Y$425</f>
        <v>0</v>
      </c>
      <c r="M234" s="132">
        <v>0</v>
      </c>
      <c r="O234" s="90">
        <f>L234*K234*I234</f>
        <v>0</v>
      </c>
      <c r="P234" s="90" t="e">
        <f>O234/F234</f>
        <v>#DIV/0!</v>
      </c>
    </row>
    <row r="235" spans="1:16">
      <c r="A235" s="107"/>
      <c r="B235" s="126"/>
      <c r="C235" s="133"/>
      <c r="D235" s="128" t="s">
        <v>118</v>
      </c>
      <c r="E235" s="128"/>
      <c r="F235" s="129"/>
      <c r="G235" s="129"/>
      <c r="H235" s="129"/>
      <c r="I235" s="130"/>
      <c r="J235" s="45"/>
      <c r="K235" s="131"/>
      <c r="L235" s="45"/>
      <c r="M235" s="132"/>
    </row>
    <row r="236" spans="1:16">
      <c r="A236" s="107" t="str">
        <f>'CHP BY IND'!A972</f>
        <v>PT</v>
      </c>
      <c r="B236" s="126" t="str">
        <f>'Autoproducers Calculations'!$C$388</f>
        <v>EAUTOGENSOLID00</v>
      </c>
      <c r="C236" s="127" t="s">
        <v>368</v>
      </c>
      <c r="D236" s="128" t="s">
        <v>107</v>
      </c>
      <c r="E236" s="128" t="s">
        <v>105</v>
      </c>
      <c r="F236" s="129">
        <f>'Autoproducers Calculations'!Z$391</f>
        <v>0.24364164849994813</v>
      </c>
      <c r="G236" s="129"/>
      <c r="H236" s="129"/>
      <c r="I236" s="130">
        <f>'Autoproducers Calculations'!Z$389</f>
        <v>0.10725261878571532</v>
      </c>
      <c r="J236" s="45">
        <v>1</v>
      </c>
      <c r="K236" s="131">
        <v>31.536000000000001</v>
      </c>
      <c r="L236" s="45">
        <f>'Autoproducers Calculations'!Z$390</f>
        <v>0</v>
      </c>
      <c r="M236" s="132">
        <v>0</v>
      </c>
      <c r="O236" s="90">
        <f>L236*K236*I236</f>
        <v>0</v>
      </c>
      <c r="P236" s="90">
        <f>O236/F236</f>
        <v>0</v>
      </c>
    </row>
    <row r="237" spans="1:16">
      <c r="A237" s="107"/>
      <c r="B237" s="126"/>
      <c r="C237" s="127"/>
      <c r="D237" s="128" t="s">
        <v>108</v>
      </c>
      <c r="E237" s="128"/>
      <c r="F237" s="129"/>
      <c r="G237" s="129">
        <f>'Eurostat Resume'!AB45</f>
        <v>0</v>
      </c>
      <c r="H237" s="129"/>
      <c r="I237" s="130"/>
      <c r="J237" s="45"/>
      <c r="K237" s="131"/>
      <c r="L237" s="45"/>
      <c r="M237" s="132"/>
      <c r="O237" s="90"/>
      <c r="P237" s="90"/>
    </row>
    <row r="238" spans="1:16">
      <c r="A238" s="107"/>
      <c r="B238" s="126" t="str">
        <f>'Autoproducers Calculations'!$C$395</f>
        <v>EAUTOGENRFGD00</v>
      </c>
      <c r="C238" s="133" t="s">
        <v>372</v>
      </c>
      <c r="D238" s="128" t="s">
        <v>110</v>
      </c>
      <c r="E238" s="128" t="s">
        <v>105</v>
      </c>
      <c r="F238" s="129">
        <f>'Autoproducers Calculations'!Z$391</f>
        <v>0.24364164849994813</v>
      </c>
      <c r="G238" s="129"/>
      <c r="H238" s="129"/>
      <c r="I238" s="130">
        <f>'Autoproducers Calculations'!Z$389</f>
        <v>0.10725261878571532</v>
      </c>
      <c r="J238" s="45">
        <v>1</v>
      </c>
      <c r="K238" s="131">
        <v>31.536000000000001</v>
      </c>
      <c r="L238" s="45">
        <f>'Autoproducers Calculations'!Z$397</f>
        <v>0</v>
      </c>
      <c r="M238" s="132">
        <v>0</v>
      </c>
      <c r="O238" s="90">
        <f>L238*K238*I238</f>
        <v>0</v>
      </c>
      <c r="P238" s="90">
        <f>O238/F238</f>
        <v>0</v>
      </c>
    </row>
    <row r="239" spans="1:16">
      <c r="A239" s="107"/>
      <c r="B239" s="126" t="str">
        <f>'Autoproducers Calculations'!$C$402</f>
        <v>EAUTOGENOIL00</v>
      </c>
      <c r="C239" s="133" t="s">
        <v>366</v>
      </c>
      <c r="D239" s="128" t="s">
        <v>111</v>
      </c>
      <c r="E239" s="128" t="s">
        <v>105</v>
      </c>
      <c r="F239" s="129">
        <f>'Autoproducers Calculations'!Z$391</f>
        <v>0.24364164849994813</v>
      </c>
      <c r="G239" s="129"/>
      <c r="H239" s="129">
        <f>'Eurostat Resume'!AA48</f>
        <v>0.74233128834355822</v>
      </c>
      <c r="I239" s="130">
        <f>'Autoproducers Calculations'!Z$389</f>
        <v>0.10725261878571532</v>
      </c>
      <c r="J239" s="45">
        <v>1</v>
      </c>
      <c r="K239" s="131">
        <v>31.536000000000001</v>
      </c>
      <c r="L239" s="45">
        <f>'Autoproducers Calculations'!Z$404</f>
        <v>2.30684469150251E-2</v>
      </c>
      <c r="M239" s="132">
        <v>0</v>
      </c>
      <c r="O239" s="90">
        <f>L239*K239*I239</f>
        <v>7.8024836751450888E-2</v>
      </c>
      <c r="P239" s="90">
        <f>O239/F239</f>
        <v>0.32024424901010923</v>
      </c>
    </row>
    <row r="240" spans="1:16">
      <c r="A240" s="107"/>
      <c r="B240" s="126"/>
      <c r="C240" s="133"/>
      <c r="D240" s="128" t="s">
        <v>112</v>
      </c>
      <c r="E240" s="128"/>
      <c r="F240" s="129"/>
      <c r="G240" s="129"/>
      <c r="H240" s="129"/>
      <c r="I240" s="130"/>
      <c r="J240" s="45"/>
      <c r="K240" s="131"/>
      <c r="L240" s="45"/>
      <c r="M240" s="132"/>
      <c r="O240" s="90"/>
      <c r="P240" s="90"/>
    </row>
    <row r="241" spans="1:16">
      <c r="A241" s="107"/>
      <c r="B241" s="126" t="str">
        <f>'Autoproducers Calculations'!$C$409</f>
        <v>EAUTOGENGAS00</v>
      </c>
      <c r="C241" s="133" t="s">
        <v>364</v>
      </c>
      <c r="D241" s="128" t="s">
        <v>113</v>
      </c>
      <c r="E241" s="128" t="s">
        <v>105</v>
      </c>
      <c r="F241" s="129">
        <f>'Autoproducers Calculations'!Z$391</f>
        <v>0.24364164849994813</v>
      </c>
      <c r="G241" s="129"/>
      <c r="H241" s="129"/>
      <c r="I241" s="130">
        <f>'Autoproducers Calculations'!Z$389</f>
        <v>0.10725261878571532</v>
      </c>
      <c r="J241" s="45">
        <v>1</v>
      </c>
      <c r="K241" s="131">
        <v>31.536000000000001</v>
      </c>
      <c r="L241" s="45">
        <f>'Autoproducers Calculations'!Z$411</f>
        <v>1.0331267636790382E-2</v>
      </c>
      <c r="M241" s="132">
        <v>0</v>
      </c>
      <c r="O241" s="90">
        <f>L241*K241*I241</f>
        <v>3.494363854512831E-2</v>
      </c>
      <c r="P241" s="90">
        <f>O241/F241</f>
        <v>0.14342227102906729</v>
      </c>
    </row>
    <row r="242" spans="1:16">
      <c r="A242" s="107"/>
      <c r="B242" s="126"/>
      <c r="C242" s="133"/>
      <c r="D242" s="128" t="s">
        <v>114</v>
      </c>
      <c r="E242" s="128"/>
      <c r="F242" s="129"/>
      <c r="G242" s="129">
        <f>'Eurostat Resume'!AB46</f>
        <v>1</v>
      </c>
      <c r="H242" s="129"/>
      <c r="I242" s="130"/>
      <c r="J242" s="45"/>
      <c r="K242" s="131"/>
      <c r="L242" s="45"/>
      <c r="M242" s="132"/>
      <c r="O242" s="90"/>
      <c r="P242" s="90"/>
    </row>
    <row r="243" spans="1:16">
      <c r="A243" s="107"/>
      <c r="B243" s="126"/>
      <c r="C243" s="133"/>
      <c r="D243" s="128" t="s">
        <v>115</v>
      </c>
      <c r="E243" s="128"/>
      <c r="F243" s="129"/>
      <c r="G243" s="129">
        <f>'Eurostat Resume'!AB47</f>
        <v>0</v>
      </c>
      <c r="H243" s="129"/>
      <c r="I243" s="130"/>
      <c r="J243" s="45"/>
      <c r="K243" s="131"/>
      <c r="L243" s="45"/>
      <c r="M243" s="132"/>
      <c r="O243" s="90"/>
      <c r="P243" s="90"/>
    </row>
    <row r="244" spans="1:16">
      <c r="A244" s="107"/>
      <c r="B244" s="126" t="str">
        <f>'Autoproducers Calculations'!$C$416</f>
        <v>EAUTOGENBIO00</v>
      </c>
      <c r="C244" s="133" t="s">
        <v>365</v>
      </c>
      <c r="D244" s="128" t="s">
        <v>116</v>
      </c>
      <c r="E244" s="128" t="s">
        <v>105</v>
      </c>
      <c r="F244" s="129">
        <f>'Autoproducers Calculations'!Z$391</f>
        <v>0.24364164849994813</v>
      </c>
      <c r="G244" s="129"/>
      <c r="H244" s="129"/>
      <c r="I244" s="130">
        <f>'Autoproducers Calculations'!Z$389</f>
        <v>0.10725261878571532</v>
      </c>
      <c r="J244" s="45">
        <v>1</v>
      </c>
      <c r="K244" s="131">
        <v>31.536000000000001</v>
      </c>
      <c r="L244" s="45">
        <f>'Autoproducers Calculations'!Z$418</f>
        <v>0</v>
      </c>
      <c r="M244" s="132">
        <v>0</v>
      </c>
      <c r="O244" s="90">
        <f>L244*K244*I244</f>
        <v>0</v>
      </c>
      <c r="P244" s="90">
        <f>O244/F244</f>
        <v>0</v>
      </c>
    </row>
    <row r="245" spans="1:16">
      <c r="A245" s="107"/>
      <c r="B245" s="126" t="str">
        <f>'Autoproducers Calculations'!$C$423</f>
        <v>EAUTOGENWASTE00</v>
      </c>
      <c r="C245" s="133" t="s">
        <v>367</v>
      </c>
      <c r="D245" s="128" t="s">
        <v>117</v>
      </c>
      <c r="E245" s="128" t="s">
        <v>105</v>
      </c>
      <c r="F245" s="129">
        <f>'Autoproducers Calculations'!Z$391</f>
        <v>0.24364164849994813</v>
      </c>
      <c r="G245" s="129"/>
      <c r="H245" s="129"/>
      <c r="I245" s="130">
        <f>'Autoproducers Calculations'!Z$389</f>
        <v>0.10725261878571532</v>
      </c>
      <c r="J245" s="45">
        <v>1</v>
      </c>
      <c r="K245" s="131">
        <v>31.536000000000001</v>
      </c>
      <c r="L245" s="45">
        <f>'Autoproducers Calculations'!Z$425</f>
        <v>0.66063503189777406</v>
      </c>
      <c r="M245" s="132">
        <v>0</v>
      </c>
      <c r="O245" s="90">
        <f>L245*K245*I245</f>
        <v>2.2344781469679309</v>
      </c>
      <c r="P245" s="90">
        <f>O245/F245</f>
        <v>9.171166591283372</v>
      </c>
    </row>
    <row r="246" spans="1:16">
      <c r="A246" s="107"/>
      <c r="B246" s="126"/>
      <c r="C246" s="133"/>
      <c r="D246" s="128" t="s">
        <v>118</v>
      </c>
      <c r="E246" s="128"/>
      <c r="F246" s="129"/>
      <c r="G246" s="129"/>
      <c r="H246" s="129"/>
      <c r="I246" s="130"/>
      <c r="J246" s="45"/>
      <c r="K246" s="131"/>
      <c r="L246" s="45"/>
      <c r="M246" s="132"/>
    </row>
    <row r="247" spans="1:16">
      <c r="A247" s="107" t="str">
        <f>'CHP BY IND'!A1018</f>
        <v>RO</v>
      </c>
      <c r="B247" s="126" t="str">
        <f>'Autoproducers Calculations'!$C$388</f>
        <v>EAUTOGENSOLID00</v>
      </c>
      <c r="C247" s="127" t="s">
        <v>368</v>
      </c>
      <c r="D247" s="128" t="s">
        <v>107</v>
      </c>
      <c r="E247" s="128" t="s">
        <v>105</v>
      </c>
      <c r="F247" s="129">
        <f>'Autoproducers Calculations'!AA$391</f>
        <v>0.5</v>
      </c>
      <c r="G247" s="129"/>
      <c r="H247" s="129"/>
      <c r="I247" s="130">
        <f>'Autoproducers Calculations'!AA$389</f>
        <v>4.2795061522434313E-2</v>
      </c>
      <c r="J247" s="45">
        <v>1</v>
      </c>
      <c r="K247" s="131">
        <v>31.536000000000001</v>
      </c>
      <c r="L247" s="45">
        <f>'Autoproducers Calculations'!AA$390</f>
        <v>0</v>
      </c>
      <c r="M247" s="132">
        <v>0</v>
      </c>
      <c r="O247" s="90">
        <f>L247*K247*I247</f>
        <v>0</v>
      </c>
      <c r="P247" s="90">
        <f>O247/F247</f>
        <v>0</v>
      </c>
    </row>
    <row r="248" spans="1:16">
      <c r="A248" s="107"/>
      <c r="B248" s="126"/>
      <c r="C248" s="127"/>
      <c r="D248" s="128" t="s">
        <v>108</v>
      </c>
      <c r="E248" s="128"/>
      <c r="F248" s="129"/>
      <c r="G248" s="129">
        <f>'Eurostat Resume'!AC45</f>
        <v>0</v>
      </c>
      <c r="H248" s="129"/>
      <c r="I248" s="130"/>
      <c r="J248" s="45"/>
      <c r="K248" s="131"/>
      <c r="L248" s="45"/>
      <c r="M248" s="132"/>
      <c r="O248" s="90"/>
      <c r="P248" s="90"/>
    </row>
    <row r="249" spans="1:16">
      <c r="A249" s="107"/>
      <c r="B249" s="126" t="str">
        <f>'Autoproducers Calculations'!$C$395</f>
        <v>EAUTOGENRFGD00</v>
      </c>
      <c r="C249" s="133" t="s">
        <v>372</v>
      </c>
      <c r="D249" s="128" t="s">
        <v>110</v>
      </c>
      <c r="E249" s="128" t="s">
        <v>105</v>
      </c>
      <c r="F249" s="129">
        <f>'Autoproducers Calculations'!AA$391</f>
        <v>0.5</v>
      </c>
      <c r="G249" s="129"/>
      <c r="H249" s="129"/>
      <c r="I249" s="130">
        <f>'Autoproducers Calculations'!AA$389</f>
        <v>4.2795061522434313E-2</v>
      </c>
      <c r="J249" s="45">
        <v>1</v>
      </c>
      <c r="K249" s="131">
        <v>31.536000000000001</v>
      </c>
      <c r="L249" s="45">
        <f>'Autoproducers Calculations'!AA$397</f>
        <v>0</v>
      </c>
      <c r="M249" s="132">
        <v>0</v>
      </c>
      <c r="O249" s="90">
        <f>L249*K249*I249</f>
        <v>0</v>
      </c>
      <c r="P249" s="90">
        <f>O249/F249</f>
        <v>0</v>
      </c>
    </row>
    <row r="250" spans="1:16">
      <c r="A250" s="107"/>
      <c r="B250" s="126" t="str">
        <f>'Autoproducers Calculations'!$C$402</f>
        <v>EAUTOGENOIL00</v>
      </c>
      <c r="C250" s="133" t="s">
        <v>366</v>
      </c>
      <c r="D250" s="128" t="s">
        <v>111</v>
      </c>
      <c r="E250" s="128" t="s">
        <v>105</v>
      </c>
      <c r="F250" s="129">
        <f>'Autoproducers Calculations'!AA$391</f>
        <v>0.5</v>
      </c>
      <c r="G250" s="129"/>
      <c r="H250" s="129">
        <f>'Eurostat Resume'!AB48</f>
        <v>0.11566617862371888</v>
      </c>
      <c r="I250" s="130">
        <f>'Autoproducers Calculations'!AA$389</f>
        <v>4.2795061522434313E-2</v>
      </c>
      <c r="J250" s="45">
        <v>1</v>
      </c>
      <c r="K250" s="131">
        <v>31.536000000000001</v>
      </c>
      <c r="L250" s="45">
        <f>'Autoproducers Calculations'!AA$404</f>
        <v>0.20009707938147234</v>
      </c>
      <c r="M250" s="132">
        <v>0</v>
      </c>
      <c r="O250" s="90">
        <f>L250*K250*I250</f>
        <v>0.27004802891718349</v>
      </c>
      <c r="P250" s="90">
        <f>O250/F250</f>
        <v>0.54009605783436698</v>
      </c>
    </row>
    <row r="251" spans="1:16">
      <c r="A251" s="107"/>
      <c r="B251" s="126"/>
      <c r="C251" s="133"/>
      <c r="D251" s="128" t="s">
        <v>112</v>
      </c>
      <c r="E251" s="128"/>
      <c r="F251" s="129"/>
      <c r="G251" s="129"/>
      <c r="H251" s="129"/>
      <c r="I251" s="130"/>
      <c r="J251" s="45"/>
      <c r="K251" s="131"/>
      <c r="L251" s="45"/>
      <c r="M251" s="132"/>
      <c r="O251" s="90"/>
      <c r="P251" s="90"/>
    </row>
    <row r="252" spans="1:16">
      <c r="A252" s="107"/>
      <c r="B252" s="126" t="str">
        <f>'Autoproducers Calculations'!$C$409</f>
        <v>EAUTOGENGAS00</v>
      </c>
      <c r="C252" s="133" t="s">
        <v>364</v>
      </c>
      <c r="D252" s="128" t="s">
        <v>113</v>
      </c>
      <c r="E252" s="128" t="s">
        <v>105</v>
      </c>
      <c r="F252" s="129">
        <f>'Autoproducers Calculations'!AA$391</f>
        <v>0.5</v>
      </c>
      <c r="G252" s="129"/>
      <c r="H252" s="129"/>
      <c r="I252" s="130">
        <f>'Autoproducers Calculations'!AA$389</f>
        <v>4.2795061522434313E-2</v>
      </c>
      <c r="J252" s="45">
        <v>1</v>
      </c>
      <c r="K252" s="131">
        <v>31.536000000000001</v>
      </c>
      <c r="L252" s="45">
        <f>'Autoproducers Calculations'!AA$411</f>
        <v>6.621074661817386E-2</v>
      </c>
      <c r="M252" s="132">
        <v>0</v>
      </c>
      <c r="O252" s="90">
        <f>L252*K252*I252</f>
        <v>8.9357034458687354E-2</v>
      </c>
      <c r="P252" s="90">
        <f>O252/F252</f>
        <v>0.17871406891737471</v>
      </c>
    </row>
    <row r="253" spans="1:16">
      <c r="A253" s="107"/>
      <c r="B253" s="126"/>
      <c r="C253" s="133"/>
      <c r="D253" s="128" t="s">
        <v>114</v>
      </c>
      <c r="E253" s="128"/>
      <c r="F253" s="129"/>
      <c r="G253" s="129">
        <f>'Eurostat Resume'!AC46</f>
        <v>1.3067624959163672E-3</v>
      </c>
      <c r="H253" s="129"/>
      <c r="I253" s="130"/>
      <c r="J253" s="45"/>
      <c r="K253" s="131"/>
      <c r="L253" s="45"/>
      <c r="M253" s="132"/>
      <c r="O253" s="90"/>
      <c r="P253" s="90"/>
    </row>
    <row r="254" spans="1:16">
      <c r="A254" s="107"/>
      <c r="B254" s="126"/>
      <c r="C254" s="133"/>
      <c r="D254" s="128" t="s">
        <v>115</v>
      </c>
      <c r="E254" s="128"/>
      <c r="F254" s="129"/>
      <c r="G254" s="129">
        <f>'Eurostat Resume'!AC47</f>
        <v>5.9131002940215616E-2</v>
      </c>
      <c r="H254" s="129"/>
      <c r="I254" s="130"/>
      <c r="J254" s="45"/>
      <c r="K254" s="131"/>
      <c r="L254" s="45"/>
      <c r="M254" s="132"/>
      <c r="O254" s="90"/>
      <c r="P254" s="90"/>
    </row>
    <row r="255" spans="1:16">
      <c r="A255" s="107"/>
      <c r="B255" s="126" t="str">
        <f>'Autoproducers Calculations'!$C$416</f>
        <v>EAUTOGENBIO00</v>
      </c>
      <c r="C255" s="133" t="s">
        <v>365</v>
      </c>
      <c r="D255" s="128" t="s">
        <v>116</v>
      </c>
      <c r="E255" s="128" t="s">
        <v>105</v>
      </c>
      <c r="F255" s="129">
        <f>'Autoproducers Calculations'!AA$391</f>
        <v>0.5</v>
      </c>
      <c r="G255" s="129"/>
      <c r="H255" s="129"/>
      <c r="I255" s="130">
        <f>'Autoproducers Calculations'!AA$389</f>
        <v>4.2795061522434313E-2</v>
      </c>
      <c r="J255" s="45">
        <v>1</v>
      </c>
      <c r="K255" s="131">
        <v>31.536000000000001</v>
      </c>
      <c r="L255" s="45">
        <f>'Autoproducers Calculations'!AA$418</f>
        <v>8.3495853036192696E-2</v>
      </c>
      <c r="M255" s="132">
        <v>0</v>
      </c>
      <c r="O255" s="90">
        <f>L255*K255*I255</f>
        <v>0.11268475584391988</v>
      </c>
      <c r="P255" s="90">
        <f>O255/F255</f>
        <v>0.22536951168783975</v>
      </c>
    </row>
    <row r="256" spans="1:16">
      <c r="A256" s="107"/>
      <c r="B256" s="126" t="str">
        <f>'Autoproducers Calculations'!$C$423</f>
        <v>EAUTOGENWASTE00</v>
      </c>
      <c r="C256" s="133" t="s">
        <v>367</v>
      </c>
      <c r="D256" s="128" t="s">
        <v>117</v>
      </c>
      <c r="E256" s="128" t="s">
        <v>105</v>
      </c>
      <c r="F256" s="129">
        <f>'Autoproducers Calculations'!AA$391</f>
        <v>0.5</v>
      </c>
      <c r="G256" s="129"/>
      <c r="H256" s="129"/>
      <c r="I256" s="130">
        <f>'Autoproducers Calculations'!AA$389</f>
        <v>4.2795061522434313E-2</v>
      </c>
      <c r="J256" s="45">
        <v>1</v>
      </c>
      <c r="K256" s="131">
        <v>31.536000000000001</v>
      </c>
      <c r="L256" s="45">
        <f>'Autoproducers Calculations'!AA$425</f>
        <v>0</v>
      </c>
      <c r="M256" s="132">
        <v>0</v>
      </c>
      <c r="O256" s="90">
        <f>L256*K256*I256</f>
        <v>0</v>
      </c>
      <c r="P256" s="90">
        <f>O256/F256</f>
        <v>0</v>
      </c>
    </row>
    <row r="257" spans="1:16">
      <c r="A257" s="107"/>
      <c r="B257" s="126"/>
      <c r="C257" s="133"/>
      <c r="D257" s="128" t="s">
        <v>118</v>
      </c>
      <c r="E257" s="128"/>
      <c r="F257" s="129"/>
      <c r="G257" s="129"/>
      <c r="H257" s="129"/>
      <c r="I257" s="130"/>
      <c r="J257" s="45"/>
      <c r="K257" s="131"/>
      <c r="L257" s="45"/>
      <c r="M257" s="132"/>
    </row>
    <row r="258" spans="1:16">
      <c r="A258" s="107" t="str">
        <f>'CHP BY IND'!A1064</f>
        <v>SE</v>
      </c>
      <c r="B258" s="126" t="str">
        <f>'Autoproducers Calculations'!$C$388</f>
        <v>EAUTOGENSOLID00</v>
      </c>
      <c r="C258" s="127" t="s">
        <v>368</v>
      </c>
      <c r="D258" s="128" t="s">
        <v>107</v>
      </c>
      <c r="E258" s="128" t="s">
        <v>105</v>
      </c>
      <c r="F258" s="129">
        <f>'Autoproducers Calculations'!AB$391</f>
        <v>0.28668171557562078</v>
      </c>
      <c r="G258" s="129"/>
      <c r="H258" s="129"/>
      <c r="I258" s="130">
        <f>'Autoproducers Calculations'!AB$389</f>
        <v>0.69446722880234524</v>
      </c>
      <c r="J258" s="45">
        <v>1</v>
      </c>
      <c r="K258" s="131">
        <v>31.536000000000001</v>
      </c>
      <c r="L258" s="45">
        <f>'Autoproducers Calculations'!AB$390</f>
        <v>0</v>
      </c>
      <c r="M258" s="132">
        <v>0</v>
      </c>
      <c r="O258" s="90">
        <f>L258*K258*I258</f>
        <v>0</v>
      </c>
      <c r="P258" s="90">
        <f>O258/F258</f>
        <v>0</v>
      </c>
    </row>
    <row r="259" spans="1:16">
      <c r="A259" s="107"/>
      <c r="B259" s="126"/>
      <c r="C259" s="127"/>
      <c r="D259" s="128" t="s">
        <v>108</v>
      </c>
      <c r="E259" s="128"/>
      <c r="F259" s="129"/>
      <c r="G259" s="129">
        <f>'Eurostat Resume'!AD45</f>
        <v>0</v>
      </c>
      <c r="H259" s="129"/>
      <c r="I259" s="130"/>
      <c r="J259" s="45"/>
      <c r="K259" s="131"/>
      <c r="L259" s="45"/>
      <c r="M259" s="132"/>
      <c r="O259" s="90"/>
      <c r="P259" s="90"/>
    </row>
    <row r="260" spans="1:16">
      <c r="A260" s="107"/>
      <c r="B260" s="126" t="str">
        <f>'Autoproducers Calculations'!$C$395</f>
        <v>EAUTOGENRFGD00</v>
      </c>
      <c r="C260" s="133" t="s">
        <v>372</v>
      </c>
      <c r="D260" s="128" t="s">
        <v>110</v>
      </c>
      <c r="E260" s="128" t="s">
        <v>105</v>
      </c>
      <c r="F260" s="129">
        <f>'Autoproducers Calculations'!AB$391</f>
        <v>0.28668171557562078</v>
      </c>
      <c r="G260" s="129"/>
      <c r="H260" s="129"/>
      <c r="I260" s="130">
        <f>'Autoproducers Calculations'!AB$389</f>
        <v>0.69446722880234524</v>
      </c>
      <c r="J260" s="45">
        <v>1</v>
      </c>
      <c r="K260" s="131">
        <v>31.536000000000001</v>
      </c>
      <c r="L260" s="45">
        <f>'Autoproducers Calculations'!AB$397</f>
        <v>0</v>
      </c>
      <c r="M260" s="132">
        <v>0</v>
      </c>
      <c r="O260" s="90">
        <f>L260*K260*I260</f>
        <v>0</v>
      </c>
      <c r="P260" s="90">
        <f>O260/F260</f>
        <v>0</v>
      </c>
    </row>
    <row r="261" spans="1:16">
      <c r="A261" s="107"/>
      <c r="B261" s="126" t="str">
        <f>'Autoproducers Calculations'!$C$402</f>
        <v>EAUTOGENOIL00</v>
      </c>
      <c r="C261" s="133" t="s">
        <v>366</v>
      </c>
      <c r="D261" s="128" t="s">
        <v>111</v>
      </c>
      <c r="E261" s="128" t="s">
        <v>105</v>
      </c>
      <c r="F261" s="129">
        <f>'Autoproducers Calculations'!AB$391</f>
        <v>0.28668171557562078</v>
      </c>
      <c r="G261" s="129"/>
      <c r="H261" s="129">
        <f>'Eurostat Resume'!AC48</f>
        <v>1</v>
      </c>
      <c r="I261" s="130">
        <f>'Autoproducers Calculations'!AB$389</f>
        <v>0.69446722880234524</v>
      </c>
      <c r="J261" s="45">
        <v>1</v>
      </c>
      <c r="K261" s="131">
        <v>31.536000000000001</v>
      </c>
      <c r="L261" s="45">
        <f>'Autoproducers Calculations'!AB$404</f>
        <v>2.6130329847143984E-4</v>
      </c>
      <c r="M261" s="132">
        <v>0</v>
      </c>
      <c r="O261" s="90">
        <f>L261*K261*I261</f>
        <v>5.7227299901331371E-3</v>
      </c>
      <c r="P261" s="90">
        <f>O261/F261</f>
        <v>1.996196366636992E-2</v>
      </c>
    </row>
    <row r="262" spans="1:16">
      <c r="A262" s="107"/>
      <c r="B262" s="126"/>
      <c r="C262" s="133"/>
      <c r="D262" s="128" t="s">
        <v>112</v>
      </c>
      <c r="E262" s="128"/>
      <c r="F262" s="129"/>
      <c r="G262" s="129"/>
      <c r="H262" s="129"/>
      <c r="I262" s="130"/>
      <c r="J262" s="45"/>
      <c r="K262" s="131"/>
      <c r="L262" s="45"/>
      <c r="M262" s="132"/>
      <c r="O262" s="90"/>
      <c r="P262" s="90"/>
    </row>
    <row r="263" spans="1:16">
      <c r="A263" s="107"/>
      <c r="B263" s="126" t="str">
        <f>'Autoproducers Calculations'!$C$409</f>
        <v>EAUTOGENGAS00</v>
      </c>
      <c r="C263" s="133" t="s">
        <v>364</v>
      </c>
      <c r="D263" s="128" t="s">
        <v>113</v>
      </c>
      <c r="E263" s="128" t="s">
        <v>105</v>
      </c>
      <c r="F263" s="129">
        <f>'Autoproducers Calculations'!AB$391</f>
        <v>0.28668171557562078</v>
      </c>
      <c r="G263" s="129"/>
      <c r="H263" s="129"/>
      <c r="I263" s="130">
        <f>'Autoproducers Calculations'!AB$389</f>
        <v>0.69446722880234524</v>
      </c>
      <c r="J263" s="45">
        <v>1</v>
      </c>
      <c r="K263" s="131">
        <v>31.536000000000001</v>
      </c>
      <c r="L263" s="45">
        <f>'Autoproducers Calculations'!AB$411</f>
        <v>1.9996234915526937E-2</v>
      </c>
      <c r="M263" s="132">
        <v>0</v>
      </c>
      <c r="O263" s="90">
        <f>L263*K263*I263</f>
        <v>0.4379319124949384</v>
      </c>
      <c r="P263" s="90">
        <f>O263/F263</f>
        <v>1.5275892695689584</v>
      </c>
    </row>
    <row r="264" spans="1:16">
      <c r="A264" s="107"/>
      <c r="B264" s="126"/>
      <c r="C264" s="133"/>
      <c r="D264" s="128" t="s">
        <v>114</v>
      </c>
      <c r="E264" s="128"/>
      <c r="F264" s="129"/>
      <c r="G264" s="129">
        <f>'Eurostat Resume'!AD46</f>
        <v>0</v>
      </c>
      <c r="H264" s="129"/>
      <c r="I264" s="130"/>
      <c r="J264" s="45"/>
      <c r="K264" s="131"/>
      <c r="L264" s="45"/>
      <c r="M264" s="132"/>
      <c r="O264" s="90"/>
      <c r="P264" s="90"/>
    </row>
    <row r="265" spans="1:16">
      <c r="A265" s="107"/>
      <c r="B265" s="126"/>
      <c r="C265" s="133"/>
      <c r="D265" s="128" t="s">
        <v>115</v>
      </c>
      <c r="E265" s="128"/>
      <c r="F265" s="129"/>
      <c r="G265" s="129">
        <f>'Eurostat Resume'!ADF47</f>
        <v>0</v>
      </c>
      <c r="H265" s="129"/>
      <c r="I265" s="130"/>
      <c r="J265" s="45"/>
      <c r="K265" s="131"/>
      <c r="L265" s="45"/>
      <c r="M265" s="132"/>
      <c r="O265" s="90"/>
      <c r="P265" s="90"/>
    </row>
    <row r="266" spans="1:16">
      <c r="A266" s="107"/>
      <c r="B266" s="126" t="str">
        <f>'Autoproducers Calculations'!$C$416</f>
        <v>EAUTOGENBIO00</v>
      </c>
      <c r="C266" s="133" t="s">
        <v>365</v>
      </c>
      <c r="D266" s="128" t="s">
        <v>116</v>
      </c>
      <c r="E266" s="128" t="s">
        <v>105</v>
      </c>
      <c r="F266" s="129">
        <f>'Autoproducers Calculations'!AB$391</f>
        <v>0.28668171557562078</v>
      </c>
      <c r="G266" s="129"/>
      <c r="H266" s="129"/>
      <c r="I266" s="130">
        <f>'Autoproducers Calculations'!AB$389</f>
        <v>0.69446722880234524</v>
      </c>
      <c r="J266" s="45">
        <v>1</v>
      </c>
      <c r="K266" s="131">
        <v>31.536000000000001</v>
      </c>
      <c r="L266" s="45">
        <f>'Autoproducers Calculations'!AB$418</f>
        <v>2.0342461786001596E-2</v>
      </c>
      <c r="M266" s="132">
        <v>0</v>
      </c>
      <c r="O266" s="90">
        <f>L266*K266*I266</f>
        <v>0.44551452973186478</v>
      </c>
      <c r="P266" s="90">
        <f>O266/F266</f>
        <v>1.5540388714268984</v>
      </c>
    </row>
    <row r="267" spans="1:16">
      <c r="A267" s="107"/>
      <c r="B267" s="126" t="str">
        <f>'Autoproducers Calculations'!$C$423</f>
        <v>EAUTOGENWASTE00</v>
      </c>
      <c r="C267" s="133" t="s">
        <v>367</v>
      </c>
      <c r="D267" s="128" t="s">
        <v>117</v>
      </c>
      <c r="E267" s="128" t="s">
        <v>105</v>
      </c>
      <c r="F267" s="129">
        <f>'Autoproducers Calculations'!AB$391</f>
        <v>0.28668171557562078</v>
      </c>
      <c r="G267" s="129"/>
      <c r="H267" s="129"/>
      <c r="I267" s="130">
        <f>'Autoproducers Calculations'!AB$389</f>
        <v>0.69446722880234524</v>
      </c>
      <c r="J267" s="45">
        <v>1</v>
      </c>
      <c r="K267" s="131">
        <v>31.536000000000001</v>
      </c>
      <c r="L267" s="45">
        <f>'Autoproducers Calculations'!AB$425</f>
        <v>0</v>
      </c>
      <c r="M267" s="132">
        <v>0</v>
      </c>
      <c r="O267" s="90">
        <f>L267*K267*I267</f>
        <v>0</v>
      </c>
      <c r="P267" s="90">
        <f>O267/F267</f>
        <v>0</v>
      </c>
    </row>
    <row r="268" spans="1:16">
      <c r="A268" s="107"/>
      <c r="B268" s="126"/>
      <c r="C268" s="133"/>
      <c r="D268" s="128" t="s">
        <v>118</v>
      </c>
      <c r="E268" s="128"/>
      <c r="F268" s="129"/>
      <c r="G268" s="129"/>
      <c r="H268" s="129"/>
      <c r="I268" s="130"/>
      <c r="J268" s="45"/>
      <c r="K268" s="131"/>
      <c r="L268" s="45"/>
      <c r="M268" s="132"/>
    </row>
    <row r="269" spans="1:16">
      <c r="A269" s="107" t="str">
        <f>'CHP BY IND'!A1110</f>
        <v>SI</v>
      </c>
      <c r="B269" s="126" t="str">
        <f>'Autoproducers Calculations'!$C$388</f>
        <v>EAUTOGENSOLID00</v>
      </c>
      <c r="C269" s="127" t="s">
        <v>368</v>
      </c>
      <c r="D269" s="128" t="s">
        <v>107</v>
      </c>
      <c r="E269" s="128" t="s">
        <v>105</v>
      </c>
      <c r="F269" s="129">
        <f>'Autoproducers Calculations'!AC$391</f>
        <v>0.31683168316831684</v>
      </c>
      <c r="G269" s="129"/>
      <c r="H269" s="129"/>
      <c r="I269" s="130">
        <f>'Autoproducers Calculations'!AC$389</f>
        <v>9.6540368623307532E-3</v>
      </c>
      <c r="J269" s="45">
        <v>1</v>
      </c>
      <c r="K269" s="131">
        <v>31.536000000000001</v>
      </c>
      <c r="L269" s="45">
        <f>'Autoproducers Calculations'!AC$390</f>
        <v>0</v>
      </c>
      <c r="M269" s="132">
        <v>0</v>
      </c>
      <c r="O269" s="90">
        <f>L269*K269*I269</f>
        <v>0</v>
      </c>
      <c r="P269" s="90">
        <f>O269/F269</f>
        <v>0</v>
      </c>
    </row>
    <row r="270" spans="1:16">
      <c r="A270" s="107"/>
      <c r="B270" s="126"/>
      <c r="C270" s="127"/>
      <c r="D270" s="128" t="s">
        <v>108</v>
      </c>
      <c r="E270" s="128"/>
      <c r="F270" s="129"/>
      <c r="G270" s="129">
        <f>'Eurostat Resume'!AE45</f>
        <v>0</v>
      </c>
      <c r="H270" s="129"/>
      <c r="I270" s="130"/>
      <c r="J270" s="45"/>
      <c r="K270" s="131"/>
      <c r="L270" s="45"/>
      <c r="M270" s="132"/>
      <c r="O270" s="90"/>
      <c r="P270" s="90"/>
    </row>
    <row r="271" spans="1:16">
      <c r="A271" s="107"/>
      <c r="B271" s="126" t="str">
        <f>'Autoproducers Calculations'!$C$395</f>
        <v>EAUTOGENRFGD00</v>
      </c>
      <c r="C271" s="133" t="s">
        <v>372</v>
      </c>
      <c r="D271" s="128" t="s">
        <v>110</v>
      </c>
      <c r="E271" s="128" t="s">
        <v>105</v>
      </c>
      <c r="F271" s="129">
        <f>'Autoproducers Calculations'!AC$391</f>
        <v>0.31683168316831684</v>
      </c>
      <c r="G271" s="129"/>
      <c r="H271" s="129"/>
      <c r="I271" s="130">
        <f>'Autoproducers Calculations'!AC$389</f>
        <v>9.6540368623307532E-3</v>
      </c>
      <c r="J271" s="45">
        <v>1</v>
      </c>
      <c r="K271" s="131">
        <v>31.536000000000001</v>
      </c>
      <c r="L271" s="45">
        <f>'Autoproducers Calculations'!AC$397</f>
        <v>0</v>
      </c>
      <c r="M271" s="132">
        <v>0</v>
      </c>
      <c r="O271" s="90">
        <f>L271*K271*I271</f>
        <v>0</v>
      </c>
      <c r="P271" s="90">
        <f>O271/F271</f>
        <v>0</v>
      </c>
    </row>
    <row r="272" spans="1:16">
      <c r="A272" s="107"/>
      <c r="B272" s="126" t="str">
        <f>'Autoproducers Calculations'!$C$402</f>
        <v>EAUTOGENOIL00</v>
      </c>
      <c r="C272" s="133" t="s">
        <v>366</v>
      </c>
      <c r="D272" s="128" t="s">
        <v>111</v>
      </c>
      <c r="E272" s="128" t="s">
        <v>105</v>
      </c>
      <c r="F272" s="129">
        <f>'Autoproducers Calculations'!AC$391</f>
        <v>0.31683168316831684</v>
      </c>
      <c r="G272" s="129"/>
      <c r="H272" s="129">
        <f>'Eurostat Resume'!AD48</f>
        <v>0</v>
      </c>
      <c r="I272" s="130">
        <f>'Autoproducers Calculations'!AC$389</f>
        <v>9.6540368623307532E-3</v>
      </c>
      <c r="J272" s="45">
        <v>1</v>
      </c>
      <c r="K272" s="131">
        <v>31.536000000000001</v>
      </c>
      <c r="L272" s="45">
        <f>'Autoproducers Calculations'!AC$404</f>
        <v>0</v>
      </c>
      <c r="M272" s="132">
        <v>0</v>
      </c>
      <c r="O272" s="90">
        <f>L272*K272*I272</f>
        <v>0</v>
      </c>
      <c r="P272" s="90">
        <f>O272/F272</f>
        <v>0</v>
      </c>
    </row>
    <row r="273" spans="1:16">
      <c r="A273" s="107"/>
      <c r="B273" s="126"/>
      <c r="C273" s="133"/>
      <c r="D273" s="128" t="s">
        <v>112</v>
      </c>
      <c r="E273" s="128"/>
      <c r="F273" s="129"/>
      <c r="G273" s="129"/>
      <c r="H273" s="129"/>
      <c r="I273" s="130"/>
      <c r="J273" s="45"/>
      <c r="K273" s="131"/>
      <c r="L273" s="45"/>
      <c r="M273" s="132"/>
      <c r="O273" s="90"/>
      <c r="P273" s="90"/>
    </row>
    <row r="274" spans="1:16">
      <c r="A274" s="107"/>
      <c r="B274" s="126" t="str">
        <f>'Autoproducers Calculations'!$C$409</f>
        <v>EAUTOGENGAS00</v>
      </c>
      <c r="C274" s="133" t="s">
        <v>364</v>
      </c>
      <c r="D274" s="128" t="s">
        <v>113</v>
      </c>
      <c r="E274" s="128" t="s">
        <v>105</v>
      </c>
      <c r="F274" s="129">
        <f>'Autoproducers Calculations'!AC$391</f>
        <v>0.31683168316831684</v>
      </c>
      <c r="G274" s="129"/>
      <c r="H274" s="129"/>
      <c r="I274" s="130">
        <f>'Autoproducers Calculations'!AC$389</f>
        <v>9.6540368623307532E-3</v>
      </c>
      <c r="J274" s="45">
        <v>1</v>
      </c>
      <c r="K274" s="131">
        <v>31.536000000000001</v>
      </c>
      <c r="L274" s="45">
        <f>'Autoproducers Calculations'!AC$411</f>
        <v>0</v>
      </c>
      <c r="M274" s="132">
        <v>0</v>
      </c>
      <c r="O274" s="90">
        <f>L274*K274*I274</f>
        <v>0</v>
      </c>
      <c r="P274" s="90">
        <f>O274/F274</f>
        <v>0</v>
      </c>
    </row>
    <row r="275" spans="1:16">
      <c r="A275" s="107"/>
      <c r="B275" s="126"/>
      <c r="C275" s="133"/>
      <c r="D275" s="128" t="s">
        <v>114</v>
      </c>
      <c r="E275" s="128"/>
      <c r="F275" s="129"/>
      <c r="G275" s="129">
        <f>'Eurostat Resume'!AE46</f>
        <v>1</v>
      </c>
      <c r="H275" s="129"/>
      <c r="I275" s="130"/>
      <c r="J275" s="45"/>
      <c r="K275" s="131"/>
      <c r="L275" s="45"/>
      <c r="M275" s="132"/>
      <c r="O275" s="90"/>
      <c r="P275" s="90"/>
    </row>
    <row r="276" spans="1:16">
      <c r="A276" s="107"/>
      <c r="B276" s="126"/>
      <c r="C276" s="133"/>
      <c r="D276" s="128" t="s">
        <v>115</v>
      </c>
      <c r="E276" s="128"/>
      <c r="F276" s="129"/>
      <c r="G276" s="129">
        <f>'Eurostat Resume'!AE47</f>
        <v>0</v>
      </c>
      <c r="H276" s="129"/>
      <c r="I276" s="130"/>
      <c r="J276" s="45"/>
      <c r="K276" s="131"/>
      <c r="L276" s="45"/>
      <c r="M276" s="132"/>
      <c r="O276" s="90"/>
      <c r="P276" s="90"/>
    </row>
    <row r="277" spans="1:16">
      <c r="A277" s="107"/>
      <c r="B277" s="126" t="str">
        <f>'Autoproducers Calculations'!$C$416</f>
        <v>EAUTOGENBIO00</v>
      </c>
      <c r="C277" s="133" t="s">
        <v>365</v>
      </c>
      <c r="D277" s="128" t="s">
        <v>116</v>
      </c>
      <c r="E277" s="128" t="s">
        <v>105</v>
      </c>
      <c r="F277" s="129">
        <f>'Autoproducers Calculations'!AC$391</f>
        <v>0.31683168316831684</v>
      </c>
      <c r="G277" s="129"/>
      <c r="H277" s="129"/>
      <c r="I277" s="130">
        <f>'Autoproducers Calculations'!AC$389</f>
        <v>9.6540368623307532E-3</v>
      </c>
      <c r="J277" s="45">
        <v>1</v>
      </c>
      <c r="K277" s="131">
        <v>31.536000000000001</v>
      </c>
      <c r="L277" s="45">
        <f>'Autoproducers Calculations'!AC$418</f>
        <v>2.7054916056707068E-2</v>
      </c>
      <c r="M277" s="132">
        <v>0</v>
      </c>
      <c r="O277" s="90">
        <f>L277*K277*I277</f>
        <v>8.2368612525885714E-3</v>
      </c>
      <c r="P277" s="90">
        <f>O277/F277</f>
        <v>2.5997593328482678E-2</v>
      </c>
    </row>
    <row r="278" spans="1:16">
      <c r="A278" s="107"/>
      <c r="B278" s="126" t="str">
        <f>'Autoproducers Calculations'!$C$423</f>
        <v>EAUTOGENWASTE00</v>
      </c>
      <c r="C278" s="133" t="s">
        <v>367</v>
      </c>
      <c r="D278" s="128" t="s">
        <v>117</v>
      </c>
      <c r="E278" s="128" t="s">
        <v>105</v>
      </c>
      <c r="F278" s="129">
        <f>'Autoproducers Calculations'!AC$391</f>
        <v>0.31683168316831684</v>
      </c>
      <c r="G278" s="129"/>
      <c r="H278" s="129"/>
      <c r="I278" s="130">
        <f>'Autoproducers Calculations'!AC$389</f>
        <v>9.6540368623307532E-3</v>
      </c>
      <c r="J278" s="45">
        <v>1</v>
      </c>
      <c r="K278" s="131">
        <v>31.536000000000001</v>
      </c>
      <c r="L278" s="45">
        <f>'Autoproducers Calculations'!AC$425</f>
        <v>7.8072757763640394E-2</v>
      </c>
      <c r="M278" s="132">
        <v>0</v>
      </c>
      <c r="O278" s="90">
        <f>L278*K278*I278</f>
        <v>2.3769228186041307E-2</v>
      </c>
      <c r="P278" s="90">
        <f>O278/F278</f>
        <v>7.5021626462192875E-2</v>
      </c>
    </row>
    <row r="279" spans="1:16">
      <c r="A279" s="107"/>
      <c r="B279" s="126"/>
      <c r="C279" s="133"/>
      <c r="D279" s="128" t="s">
        <v>118</v>
      </c>
      <c r="E279" s="128"/>
      <c r="F279" s="129"/>
      <c r="G279" s="129"/>
      <c r="H279" s="129"/>
      <c r="I279" s="130"/>
      <c r="J279" s="45"/>
      <c r="K279" s="131"/>
      <c r="L279" s="45"/>
      <c r="M279" s="132"/>
    </row>
    <row r="280" spans="1:16">
      <c r="A280" s="107" t="str">
        <f>'CHP BY IND'!A1156</f>
        <v>SK</v>
      </c>
      <c r="B280" s="126" t="str">
        <f>'Autoproducers Calculations'!$C$388</f>
        <v>EAUTOGENSOLID00</v>
      </c>
      <c r="C280" s="127" t="s">
        <v>368</v>
      </c>
      <c r="D280" s="128" t="s">
        <v>107</v>
      </c>
      <c r="E280" s="128" t="s">
        <v>105</v>
      </c>
      <c r="F280" s="129">
        <f>'Autoproducers Calculations'!AD$391</f>
        <v>0.66666666666666663</v>
      </c>
      <c r="G280" s="129"/>
      <c r="H280" s="129"/>
      <c r="I280" s="130">
        <f>'Autoproducers Calculations'!AD$389</f>
        <v>1.44688988126243E-3</v>
      </c>
      <c r="J280" s="45">
        <v>1</v>
      </c>
      <c r="K280" s="131">
        <v>31.536000000000001</v>
      </c>
      <c r="L280" s="45">
        <f>'Autoproducers Calculations'!AD$390</f>
        <v>0</v>
      </c>
      <c r="M280" s="132">
        <v>0</v>
      </c>
      <c r="O280" s="90">
        <f>L280*K280*I280</f>
        <v>0</v>
      </c>
      <c r="P280" s="90">
        <f>O280/F280</f>
        <v>0</v>
      </c>
    </row>
    <row r="281" spans="1:16">
      <c r="A281" s="107"/>
      <c r="B281" s="126"/>
      <c r="C281" s="127"/>
      <c r="D281" s="128" t="s">
        <v>108</v>
      </c>
      <c r="E281" s="128"/>
      <c r="F281" s="129"/>
      <c r="G281" s="129">
        <f>'Eurostat Resume'!AF45</f>
        <v>1</v>
      </c>
      <c r="H281" s="129"/>
      <c r="I281" s="130"/>
      <c r="J281" s="45"/>
      <c r="K281" s="131"/>
      <c r="L281" s="45"/>
      <c r="M281" s="132"/>
      <c r="O281" s="90"/>
      <c r="P281" s="90"/>
    </row>
    <row r="282" spans="1:16">
      <c r="A282" s="107"/>
      <c r="B282" s="126" t="str">
        <f>'Autoproducers Calculations'!$C$395</f>
        <v>EAUTOGENRFGD00</v>
      </c>
      <c r="C282" s="133" t="s">
        <v>372</v>
      </c>
      <c r="D282" s="128" t="s">
        <v>110</v>
      </c>
      <c r="E282" s="128" t="s">
        <v>105</v>
      </c>
      <c r="F282" s="129">
        <f>'Autoproducers Calculations'!AD$391</f>
        <v>0.66666666666666663</v>
      </c>
      <c r="G282" s="129"/>
      <c r="H282" s="129"/>
      <c r="I282" s="130">
        <f>'Autoproducers Calculations'!AD$389</f>
        <v>1.44688988126243E-3</v>
      </c>
      <c r="J282" s="45">
        <v>1</v>
      </c>
      <c r="K282" s="131">
        <v>31.536000000000001</v>
      </c>
      <c r="L282" s="45">
        <f>'Autoproducers Calculations'!AD$397</f>
        <v>0</v>
      </c>
      <c r="M282" s="132">
        <v>0</v>
      </c>
      <c r="O282" s="90">
        <f>L282*K282*I282</f>
        <v>0</v>
      </c>
      <c r="P282" s="90">
        <f>O282/F282</f>
        <v>0</v>
      </c>
    </row>
    <row r="283" spans="1:16">
      <c r="A283" s="107"/>
      <c r="B283" s="126" t="str">
        <f>'Autoproducers Calculations'!$C$402</f>
        <v>EAUTOGENOIL00</v>
      </c>
      <c r="C283" s="133" t="s">
        <v>366</v>
      </c>
      <c r="D283" s="128" t="s">
        <v>111</v>
      </c>
      <c r="E283" s="128" t="s">
        <v>105</v>
      </c>
      <c r="F283" s="129">
        <f>'Autoproducers Calculations'!AD$391</f>
        <v>0.66666666666666663</v>
      </c>
      <c r="G283" s="129"/>
      <c r="H283" s="129">
        <f>'Eurostat Resume'!AE48</f>
        <v>0</v>
      </c>
      <c r="I283" s="130">
        <f>'Autoproducers Calculations'!AD$389</f>
        <v>1.44688988126243E-3</v>
      </c>
      <c r="J283" s="45">
        <v>1</v>
      </c>
      <c r="K283" s="131">
        <v>31.536000000000001</v>
      </c>
      <c r="L283" s="45">
        <f>'Autoproducers Calculations'!AD$404</f>
        <v>0</v>
      </c>
      <c r="M283" s="132">
        <v>0</v>
      </c>
      <c r="O283" s="90">
        <f>L283*K283*I283</f>
        <v>0</v>
      </c>
      <c r="P283" s="90">
        <f>O283/F283</f>
        <v>0</v>
      </c>
    </row>
    <row r="284" spans="1:16">
      <c r="A284" s="107"/>
      <c r="B284" s="126"/>
      <c r="C284" s="133"/>
      <c r="D284" s="128" t="s">
        <v>112</v>
      </c>
      <c r="E284" s="128"/>
      <c r="F284" s="129"/>
      <c r="G284" s="129"/>
      <c r="H284" s="129"/>
      <c r="I284" s="130"/>
      <c r="J284" s="45"/>
      <c r="K284" s="131"/>
      <c r="L284" s="45"/>
      <c r="M284" s="132"/>
      <c r="O284" s="90"/>
      <c r="P284" s="90"/>
    </row>
    <row r="285" spans="1:16">
      <c r="A285" s="107"/>
      <c r="B285" s="126" t="str">
        <f>'Autoproducers Calculations'!$C$409</f>
        <v>EAUTOGENGAS00</v>
      </c>
      <c r="C285" s="133" t="s">
        <v>364</v>
      </c>
      <c r="D285" s="128" t="s">
        <v>113</v>
      </c>
      <c r="E285" s="128" t="s">
        <v>105</v>
      </c>
      <c r="F285" s="129">
        <f>'Autoproducers Calculations'!AD$391</f>
        <v>0.66666666666666663</v>
      </c>
      <c r="G285" s="129"/>
      <c r="H285" s="129"/>
      <c r="I285" s="130">
        <f>'Autoproducers Calculations'!AD$389</f>
        <v>1.44688988126243E-3</v>
      </c>
      <c r="J285" s="45">
        <v>1</v>
      </c>
      <c r="K285" s="131">
        <v>31.536000000000001</v>
      </c>
      <c r="L285" s="45">
        <f>'Autoproducers Calculations'!AD$411</f>
        <v>0</v>
      </c>
      <c r="M285" s="132">
        <v>0</v>
      </c>
      <c r="O285" s="90">
        <f>L285*K285*I285</f>
        <v>0</v>
      </c>
      <c r="P285" s="90">
        <f>O285/F285</f>
        <v>0</v>
      </c>
    </row>
    <row r="286" spans="1:16">
      <c r="A286" s="107"/>
      <c r="B286" s="126"/>
      <c r="C286" s="133"/>
      <c r="D286" s="128" t="s">
        <v>114</v>
      </c>
      <c r="E286" s="128"/>
      <c r="F286" s="129"/>
      <c r="G286" s="129">
        <f>'Eurostat Resume'!AF46</f>
        <v>3.5482284299258808E-2</v>
      </c>
      <c r="H286" s="129"/>
      <c r="I286" s="130"/>
      <c r="J286" s="45"/>
      <c r="K286" s="131"/>
      <c r="L286" s="45"/>
      <c r="M286" s="132"/>
      <c r="O286" s="90"/>
      <c r="P286" s="90"/>
    </row>
    <row r="287" spans="1:16">
      <c r="A287" s="107"/>
      <c r="B287" s="126"/>
      <c r="C287" s="133"/>
      <c r="D287" s="128" t="s">
        <v>115</v>
      </c>
      <c r="E287" s="128"/>
      <c r="F287" s="129"/>
      <c r="G287" s="129">
        <f>'Eurostat Resume'!AF47</f>
        <v>0.1112128767448566</v>
      </c>
      <c r="H287" s="129"/>
      <c r="I287" s="130"/>
      <c r="J287" s="45"/>
      <c r="K287" s="131"/>
      <c r="L287" s="45"/>
      <c r="M287" s="132"/>
      <c r="O287" s="90"/>
      <c r="P287" s="90"/>
    </row>
    <row r="288" spans="1:16">
      <c r="A288" s="107"/>
      <c r="B288" s="126" t="str">
        <f>'Autoproducers Calculations'!$C$416</f>
        <v>EAUTOGENBIO00</v>
      </c>
      <c r="C288" s="133" t="s">
        <v>365</v>
      </c>
      <c r="D288" s="128" t="s">
        <v>116</v>
      </c>
      <c r="E288" s="128" t="s">
        <v>105</v>
      </c>
      <c r="F288" s="129">
        <f>'Autoproducers Calculations'!AD$391</f>
        <v>0.66666666666666663</v>
      </c>
      <c r="G288" s="129"/>
      <c r="H288" s="129"/>
      <c r="I288" s="130">
        <f>'Autoproducers Calculations'!AD$389</f>
        <v>1.44688988126243E-3</v>
      </c>
      <c r="J288" s="45">
        <v>1</v>
      </c>
      <c r="K288" s="131">
        <v>31.536000000000001</v>
      </c>
      <c r="L288" s="45">
        <f>'Autoproducers Calculations'!AD$418</f>
        <v>0</v>
      </c>
      <c r="M288" s="132">
        <v>0</v>
      </c>
      <c r="O288" s="90">
        <f>L288*K288*I288</f>
        <v>0</v>
      </c>
      <c r="P288" s="90">
        <f>O288/F288</f>
        <v>0</v>
      </c>
    </row>
    <row r="289" spans="1:16">
      <c r="A289" s="107"/>
      <c r="B289" s="126" t="str">
        <f>'Autoproducers Calculations'!$C$423</f>
        <v>EAUTOGENWASTE00</v>
      </c>
      <c r="C289" s="133" t="s">
        <v>367</v>
      </c>
      <c r="D289" s="128" t="s">
        <v>117</v>
      </c>
      <c r="E289" s="128" t="s">
        <v>105</v>
      </c>
      <c r="F289" s="129">
        <f>'Autoproducers Calculations'!AD$391</f>
        <v>0.66666666666666663</v>
      </c>
      <c r="G289" s="129"/>
      <c r="H289" s="129"/>
      <c r="I289" s="130">
        <f>'Autoproducers Calculations'!AD$389</f>
        <v>1.44688988126243E-3</v>
      </c>
      <c r="J289" s="45">
        <v>1</v>
      </c>
      <c r="K289" s="131">
        <v>31.536000000000001</v>
      </c>
      <c r="L289" s="45">
        <f>'Autoproducers Calculations'!AD$425</f>
        <v>8.7679999999999911E-2</v>
      </c>
      <c r="M289" s="132">
        <v>0</v>
      </c>
      <c r="O289" s="90">
        <f>L289*K289*I289</f>
        <v>4.0007611798287337E-3</v>
      </c>
      <c r="P289" s="90">
        <f>O289/F289</f>
        <v>6.0011417697431006E-3</v>
      </c>
    </row>
    <row r="290" spans="1:16">
      <c r="A290" s="107"/>
      <c r="B290" s="126"/>
      <c r="C290" s="133"/>
      <c r="D290" s="128" t="s">
        <v>118</v>
      </c>
      <c r="E290" s="128"/>
      <c r="F290" s="129"/>
      <c r="G290" s="129"/>
      <c r="H290" s="129"/>
      <c r="I290" s="130"/>
      <c r="J290" s="45"/>
      <c r="K290" s="131"/>
      <c r="L290" s="45"/>
      <c r="M290" s="132"/>
    </row>
    <row r="291" spans="1:16">
      <c r="A291" s="107" t="str">
        <f>'CHP BY IND'!A1202</f>
        <v>UK</v>
      </c>
      <c r="B291" s="126" t="str">
        <f>'Autoproducers Calculations'!$C$388</f>
        <v>EAUTOGENSOLID00</v>
      </c>
      <c r="C291" s="127" t="s">
        <v>368</v>
      </c>
      <c r="D291" s="128" t="s">
        <v>107</v>
      </c>
      <c r="E291" s="128" t="s">
        <v>105</v>
      </c>
      <c r="F291" s="129">
        <f>'Autoproducers Calculations'!AE$391</f>
        <v>0.28529666582823282</v>
      </c>
      <c r="G291" s="129"/>
      <c r="H291" s="129"/>
      <c r="I291" s="130">
        <f>'Autoproducers Calculations'!AE$389</f>
        <v>0.3509959768204487</v>
      </c>
      <c r="J291" s="45">
        <v>1</v>
      </c>
      <c r="K291" s="131">
        <v>31.536000000000001</v>
      </c>
      <c r="L291" s="45">
        <f>'Autoproducers Calculations'!AE$390</f>
        <v>0.93565575517482968</v>
      </c>
      <c r="M291" s="132">
        <v>0</v>
      </c>
      <c r="O291" s="90">
        <f>L291*K291*I291</f>
        <v>10.356782091898005</v>
      </c>
      <c r="P291" s="90">
        <f>O291/F291</f>
        <v>36.30179855706222</v>
      </c>
    </row>
    <row r="292" spans="1:16">
      <c r="A292" s="107"/>
      <c r="B292" s="126"/>
      <c r="C292" s="127"/>
      <c r="D292" s="128" t="s">
        <v>108</v>
      </c>
      <c r="E292" s="128"/>
      <c r="F292" s="129"/>
      <c r="G292" s="129">
        <f>'Eurostat Resume'!AG45</f>
        <v>0</v>
      </c>
      <c r="H292" s="129"/>
      <c r="I292" s="130"/>
      <c r="J292" s="45"/>
      <c r="K292" s="131"/>
      <c r="L292" s="45"/>
      <c r="M292" s="132"/>
      <c r="O292" s="90"/>
      <c r="P292" s="90"/>
    </row>
    <row r="293" spans="1:16">
      <c r="A293" s="107"/>
      <c r="B293" s="126" t="str">
        <f>'Autoproducers Calculations'!$C$395</f>
        <v>EAUTOGENRFGD00</v>
      </c>
      <c r="C293" s="133" t="s">
        <v>372</v>
      </c>
      <c r="D293" s="128" t="s">
        <v>110</v>
      </c>
      <c r="E293" s="128" t="s">
        <v>105</v>
      </c>
      <c r="F293" s="129">
        <f>'Autoproducers Calculations'!AE$391</f>
        <v>0.28529666582823282</v>
      </c>
      <c r="G293" s="129"/>
      <c r="H293" s="129"/>
      <c r="I293" s="130">
        <f>'Autoproducers Calculations'!AE$389</f>
        <v>0.3509959768204487</v>
      </c>
      <c r="J293" s="45">
        <v>1</v>
      </c>
      <c r="K293" s="131">
        <v>31.536000000000001</v>
      </c>
      <c r="L293" s="45">
        <f>'Autoproducers Calculations'!AE$397</f>
        <v>0</v>
      </c>
      <c r="M293" s="132">
        <v>0</v>
      </c>
      <c r="O293" s="90">
        <f>L293*K293*I293</f>
        <v>0</v>
      </c>
      <c r="P293" s="90">
        <f>O293/F293</f>
        <v>0</v>
      </c>
    </row>
    <row r="294" spans="1:16">
      <c r="A294" s="107"/>
      <c r="B294" s="126" t="str">
        <f>'Autoproducers Calculations'!$C$402</f>
        <v>EAUTOGENOIL00</v>
      </c>
      <c r="C294" s="133" t="s">
        <v>366</v>
      </c>
      <c r="D294" s="128" t="s">
        <v>111</v>
      </c>
      <c r="E294" s="128" t="s">
        <v>105</v>
      </c>
      <c r="F294" s="129">
        <f>'Autoproducers Calculations'!AE$391</f>
        <v>0.28529666582823282</v>
      </c>
      <c r="G294" s="129"/>
      <c r="H294" s="129">
        <f>'Eurostat Resume'!AF48</f>
        <v>1</v>
      </c>
      <c r="I294" s="130">
        <f>'Autoproducers Calculations'!AE$389</f>
        <v>0.3509959768204487</v>
      </c>
      <c r="J294" s="45">
        <v>1</v>
      </c>
      <c r="K294" s="131">
        <v>31.536000000000001</v>
      </c>
      <c r="L294" s="45">
        <f>'Autoproducers Calculations'!AE$404</f>
        <v>1.9974442392204323E-2</v>
      </c>
      <c r="M294" s="132">
        <v>0</v>
      </c>
      <c r="O294" s="90">
        <f>L294*K294*I294</f>
        <v>0.22109728510628965</v>
      </c>
      <c r="P294" s="90">
        <f>O294/F294</f>
        <v>0.77497325271724216</v>
      </c>
    </row>
    <row r="295" spans="1:16">
      <c r="A295" s="107"/>
      <c r="B295" s="126"/>
      <c r="C295" s="133"/>
      <c r="D295" s="128" t="s">
        <v>112</v>
      </c>
      <c r="E295" s="128"/>
      <c r="F295" s="129"/>
      <c r="G295" s="129"/>
      <c r="H295" s="129"/>
      <c r="I295" s="130"/>
      <c r="J295" s="45"/>
      <c r="K295" s="131"/>
      <c r="L295" s="45"/>
      <c r="M295" s="132"/>
      <c r="O295" s="90"/>
      <c r="P295" s="90"/>
    </row>
    <row r="296" spans="1:16">
      <c r="A296" s="107"/>
      <c r="B296" s="126" t="str">
        <f>'Autoproducers Calculations'!$C$409</f>
        <v>EAUTOGENGAS00</v>
      </c>
      <c r="C296" s="133" t="s">
        <v>364</v>
      </c>
      <c r="D296" s="128" t="s">
        <v>113</v>
      </c>
      <c r="E296" s="128" t="s">
        <v>105</v>
      </c>
      <c r="F296" s="129">
        <f>'Autoproducers Calculations'!AE$391</f>
        <v>0.28529666582823282</v>
      </c>
      <c r="G296" s="129"/>
      <c r="H296" s="129"/>
      <c r="I296" s="130">
        <f>'Autoproducers Calculations'!AE$389</f>
        <v>0.3509959768204487</v>
      </c>
      <c r="J296" s="45">
        <v>1</v>
      </c>
      <c r="K296" s="131">
        <v>31.536000000000001</v>
      </c>
      <c r="L296" s="45">
        <f>'Autoproducers Calculations'!AE$411</f>
        <v>1.7318722779440805</v>
      </c>
      <c r="M296" s="132">
        <v>0</v>
      </c>
      <c r="O296" s="90">
        <f>L296*K296*I296</f>
        <v>19.170110047914314</v>
      </c>
      <c r="P296" s="90">
        <f>O296/F296</f>
        <v>67.193600010229247</v>
      </c>
    </row>
    <row r="297" spans="1:16">
      <c r="A297" s="107"/>
      <c r="B297" s="126"/>
      <c r="C297" s="133"/>
      <c r="D297" s="128" t="s">
        <v>114</v>
      </c>
      <c r="E297" s="128"/>
      <c r="F297" s="129"/>
      <c r="G297" s="129">
        <f>'Eurostat Resume'!AG46</f>
        <v>0</v>
      </c>
      <c r="H297" s="129"/>
      <c r="I297" s="130"/>
      <c r="J297" s="45"/>
      <c r="K297" s="131"/>
      <c r="L297" s="45"/>
      <c r="M297" s="132"/>
      <c r="O297" s="90"/>
      <c r="P297" s="90"/>
    </row>
    <row r="298" spans="1:16">
      <c r="A298" s="107"/>
      <c r="B298" s="126"/>
      <c r="C298" s="133"/>
      <c r="D298" s="128" t="s">
        <v>115</v>
      </c>
      <c r="E298" s="128"/>
      <c r="F298" s="129"/>
      <c r="G298" s="129">
        <f>'Eurostat Resume'!AG47</f>
        <v>0</v>
      </c>
      <c r="H298" s="129"/>
      <c r="I298" s="130"/>
      <c r="J298" s="45"/>
      <c r="K298" s="131"/>
      <c r="L298" s="45"/>
      <c r="M298" s="132"/>
      <c r="O298" s="90"/>
      <c r="P298" s="90"/>
    </row>
    <row r="299" spans="1:16">
      <c r="A299" s="107"/>
      <c r="B299" s="126" t="str">
        <f>'Autoproducers Calculations'!$C$416</f>
        <v>EAUTOGENBIO00</v>
      </c>
      <c r="C299" s="133" t="s">
        <v>365</v>
      </c>
      <c r="D299" s="128" t="s">
        <v>116</v>
      </c>
      <c r="E299" s="128" t="s">
        <v>105</v>
      </c>
      <c r="F299" s="129">
        <f>'Autoproducers Calculations'!AE$391</f>
        <v>0.28529666582823282</v>
      </c>
      <c r="G299" s="129"/>
      <c r="H299" s="129"/>
      <c r="I299" s="130">
        <f>'Autoproducers Calculations'!AE$389</f>
        <v>0.3509959768204487</v>
      </c>
      <c r="J299" s="45">
        <v>1</v>
      </c>
      <c r="K299" s="131">
        <v>31.536000000000001</v>
      </c>
      <c r="L299" s="45">
        <f>'Autoproducers Calculations'!AE$418</f>
        <v>0</v>
      </c>
      <c r="M299" s="132">
        <v>0</v>
      </c>
      <c r="O299" s="90">
        <f>L299*K299*I299</f>
        <v>0</v>
      </c>
      <c r="P299" s="90">
        <f>O299/F299</f>
        <v>0</v>
      </c>
    </row>
    <row r="300" spans="1:16">
      <c r="A300" s="107"/>
      <c r="B300" s="126" t="str">
        <f>'Autoproducers Calculations'!$C$423</f>
        <v>EAUTOGENWASTE00</v>
      </c>
      <c r="C300" s="133" t="s">
        <v>367</v>
      </c>
      <c r="D300" s="128" t="s">
        <v>117</v>
      </c>
      <c r="E300" s="128" t="s">
        <v>105</v>
      </c>
      <c r="F300" s="129">
        <f>'Autoproducers Calculations'!AE$391</f>
        <v>0.28529666582823282</v>
      </c>
      <c r="G300" s="129"/>
      <c r="H300" s="129"/>
      <c r="I300" s="130">
        <f>'Autoproducers Calculations'!AE$389</f>
        <v>0.3509959768204487</v>
      </c>
      <c r="J300" s="45">
        <v>1</v>
      </c>
      <c r="K300" s="131">
        <v>31.536000000000001</v>
      </c>
      <c r="L300" s="45">
        <f>'Autoproducers Calculations'!AE$425</f>
        <v>1.9245375244888865</v>
      </c>
      <c r="M300" s="132">
        <v>0</v>
      </c>
      <c r="O300" s="90">
        <f>L300*K300*I300</f>
        <v>21.302723419991004</v>
      </c>
      <c r="P300" s="90">
        <f>O300/F300</f>
        <v>74.668672899306273</v>
      </c>
    </row>
    <row r="301" spans="1:16">
      <c r="A301" s="107"/>
      <c r="B301" s="126"/>
      <c r="C301" s="133"/>
      <c r="D301" s="128" t="s">
        <v>118</v>
      </c>
      <c r="E301" s="128"/>
      <c r="F301" s="129"/>
      <c r="G301" s="129"/>
      <c r="H301" s="129"/>
      <c r="I301" s="130"/>
      <c r="J301" s="45"/>
      <c r="K301" s="131"/>
      <c r="L301" s="45"/>
      <c r="M301" s="132"/>
    </row>
    <row r="302" spans="1:16">
      <c r="A302" s="107" t="str">
        <f>'CHP BY IND'!A1248</f>
        <v>CH</v>
      </c>
      <c r="B302" s="126" t="str">
        <f>'Autoproducers Calculations'!$C$388</f>
        <v>EAUTOGENSOLID00</v>
      </c>
      <c r="C302" s="127" t="s">
        <v>368</v>
      </c>
      <c r="D302" s="128" t="s">
        <v>107</v>
      </c>
      <c r="E302" s="128" t="s">
        <v>105</v>
      </c>
      <c r="F302" s="129">
        <f>'Autoproducers Calculations'!AF$391</f>
        <v>0.22821100917431195</v>
      </c>
      <c r="G302" s="129"/>
      <c r="H302" s="129"/>
      <c r="I302" s="130">
        <f>'Autoproducers Calculations'!AF$389</f>
        <v>2.3591605985405145E-2</v>
      </c>
      <c r="J302" s="45">
        <v>1</v>
      </c>
      <c r="K302" s="131">
        <v>31.536000000000001</v>
      </c>
      <c r="L302" s="45">
        <f>'Autoproducers Calculations'!AF$390</f>
        <v>0</v>
      </c>
      <c r="M302" s="132">
        <v>0</v>
      </c>
      <c r="O302" s="90">
        <f>L302*K302*I302</f>
        <v>0</v>
      </c>
      <c r="P302" s="90">
        <f>O302/F302</f>
        <v>0</v>
      </c>
    </row>
    <row r="303" spans="1:16">
      <c r="A303" s="107"/>
      <c r="B303" s="126"/>
      <c r="C303" s="127"/>
      <c r="D303" s="128" t="s">
        <v>108</v>
      </c>
      <c r="E303" s="128"/>
      <c r="F303" s="129"/>
      <c r="G303" s="129">
        <f>'Eurostat Resume'!AH45</f>
        <v>0</v>
      </c>
      <c r="H303" s="129"/>
      <c r="I303" s="130"/>
      <c r="J303" s="45"/>
      <c r="K303" s="131"/>
      <c r="L303" s="45"/>
      <c r="M303" s="132"/>
      <c r="O303" s="90"/>
      <c r="P303" s="90"/>
    </row>
    <row r="304" spans="1:16">
      <c r="A304" s="107"/>
      <c r="B304" s="126" t="str">
        <f>'Autoproducers Calculations'!$C$395</f>
        <v>EAUTOGENRFGD00</v>
      </c>
      <c r="C304" s="133" t="s">
        <v>372</v>
      </c>
      <c r="D304" s="128" t="s">
        <v>110</v>
      </c>
      <c r="E304" s="128" t="s">
        <v>105</v>
      </c>
      <c r="F304" s="129">
        <f>'Autoproducers Calculations'!AF$391</f>
        <v>0.22821100917431195</v>
      </c>
      <c r="G304" s="129"/>
      <c r="H304" s="129"/>
      <c r="I304" s="130">
        <f>'Autoproducers Calculations'!AF$389</f>
        <v>2.3591605985405145E-2</v>
      </c>
      <c r="J304" s="45">
        <v>1</v>
      </c>
      <c r="K304" s="131">
        <v>31.536000000000001</v>
      </c>
      <c r="L304" s="45">
        <f>'Autoproducers Calculations'!AF$397</f>
        <v>0</v>
      </c>
      <c r="M304" s="132">
        <v>0</v>
      </c>
      <c r="O304" s="90">
        <f>L304*K304*I304</f>
        <v>0</v>
      </c>
      <c r="P304" s="90">
        <f>O304/F304</f>
        <v>0</v>
      </c>
    </row>
    <row r="305" spans="1:16">
      <c r="A305" s="107"/>
      <c r="B305" s="126" t="str">
        <f>'Autoproducers Calculations'!$C$402</f>
        <v>EAUTOGENOIL00</v>
      </c>
      <c r="C305" s="133" t="s">
        <v>366</v>
      </c>
      <c r="D305" s="128" t="s">
        <v>111</v>
      </c>
      <c r="E305" s="128" t="s">
        <v>105</v>
      </c>
      <c r="F305" s="129">
        <f>'Autoproducers Calculations'!AF$391</f>
        <v>0.22821100917431195</v>
      </c>
      <c r="G305" s="129"/>
      <c r="H305" s="129">
        <f>'Eurostat Resume'!AG48</f>
        <v>0</v>
      </c>
      <c r="I305" s="130">
        <f>'Autoproducers Calculations'!AF$389</f>
        <v>2.3591605985405145E-2</v>
      </c>
      <c r="J305" s="45">
        <v>1</v>
      </c>
      <c r="K305" s="131">
        <v>31.536000000000001</v>
      </c>
      <c r="L305" s="45">
        <f>'Autoproducers Calculations'!AF$404</f>
        <v>0.14540399418611835</v>
      </c>
      <c r="M305" s="132">
        <v>0</v>
      </c>
      <c r="O305" s="90">
        <f>L305*K305*I305</f>
        <v>0.10817837409022946</v>
      </c>
      <c r="P305" s="90">
        <f>O305/F305</f>
        <v>0.47402785028482453</v>
      </c>
    </row>
    <row r="306" spans="1:16">
      <c r="A306" s="107"/>
      <c r="B306" s="126"/>
      <c r="C306" s="133"/>
      <c r="D306" s="128" t="s">
        <v>112</v>
      </c>
      <c r="E306" s="128"/>
      <c r="F306" s="129"/>
      <c r="G306" s="129"/>
      <c r="H306" s="129"/>
      <c r="I306" s="130"/>
      <c r="J306" s="45"/>
      <c r="K306" s="131"/>
      <c r="L306" s="45"/>
      <c r="M306" s="132"/>
      <c r="O306" s="90"/>
      <c r="P306" s="90"/>
    </row>
    <row r="307" spans="1:16">
      <c r="A307" s="107"/>
      <c r="B307" s="126" t="str">
        <f>'Autoproducers Calculations'!$C$409</f>
        <v>EAUTOGENGAS00</v>
      </c>
      <c r="C307" s="133" t="s">
        <v>364</v>
      </c>
      <c r="D307" s="128" t="s">
        <v>113</v>
      </c>
      <c r="E307" s="128" t="s">
        <v>105</v>
      </c>
      <c r="F307" s="129">
        <f>'Autoproducers Calculations'!AF$391</f>
        <v>0.22821100917431195</v>
      </c>
      <c r="G307" s="129"/>
      <c r="H307" s="129"/>
      <c r="I307" s="130">
        <f>'Autoproducers Calculations'!AF$389</f>
        <v>2.3591605985405145E-2</v>
      </c>
      <c r="J307" s="45">
        <v>1</v>
      </c>
      <c r="K307" s="131">
        <v>31.536000000000001</v>
      </c>
      <c r="L307" s="45">
        <f>'Autoproducers Calculations'!AF$411</f>
        <v>0.64728229669949466</v>
      </c>
      <c r="M307" s="132">
        <v>0</v>
      </c>
      <c r="O307" s="90">
        <f>L307*K307*I307</f>
        <v>0.48156824595005376</v>
      </c>
      <c r="P307" s="90">
        <f>O307/F307</f>
        <v>2.1101884948163159</v>
      </c>
    </row>
    <row r="308" spans="1:16">
      <c r="A308" s="107"/>
      <c r="B308" s="126"/>
      <c r="C308" s="133"/>
      <c r="D308" s="128" t="s">
        <v>114</v>
      </c>
      <c r="E308" s="128"/>
      <c r="F308" s="129"/>
      <c r="G308" s="129">
        <f>'Eurostat Resume'!AH46</f>
        <v>0</v>
      </c>
      <c r="H308" s="129"/>
      <c r="I308" s="130"/>
      <c r="J308" s="45"/>
      <c r="K308" s="131"/>
      <c r="L308" s="45"/>
      <c r="M308" s="132"/>
      <c r="O308" s="90"/>
      <c r="P308" s="90"/>
    </row>
    <row r="309" spans="1:16">
      <c r="A309" s="107"/>
      <c r="B309" s="126"/>
      <c r="C309" s="133"/>
      <c r="D309" s="128" t="s">
        <v>115</v>
      </c>
      <c r="E309" s="128"/>
      <c r="F309" s="129"/>
      <c r="G309" s="129">
        <f>'Eurostat Resume'!AH47</f>
        <v>0</v>
      </c>
      <c r="H309" s="129"/>
      <c r="I309" s="130"/>
      <c r="J309" s="45"/>
      <c r="K309" s="131"/>
      <c r="L309" s="45"/>
      <c r="M309" s="132"/>
      <c r="O309" s="90"/>
      <c r="P309" s="90"/>
    </row>
    <row r="310" spans="1:16">
      <c r="A310" s="107"/>
      <c r="B310" s="126" t="str">
        <f>'Autoproducers Calculations'!$C$416</f>
        <v>EAUTOGENBIO00</v>
      </c>
      <c r="C310" s="133" t="s">
        <v>365</v>
      </c>
      <c r="D310" s="128" t="s">
        <v>116</v>
      </c>
      <c r="E310" s="128" t="s">
        <v>105</v>
      </c>
      <c r="F310" s="129">
        <f>'Autoproducers Calculations'!AF$391</f>
        <v>0.22821100917431195</v>
      </c>
      <c r="G310" s="129"/>
      <c r="H310" s="129"/>
      <c r="I310" s="130">
        <f>'Autoproducers Calculations'!AF$389</f>
        <v>2.3591605985405145E-2</v>
      </c>
      <c r="J310" s="45">
        <v>1</v>
      </c>
      <c r="K310" s="131">
        <v>31.536000000000001</v>
      </c>
      <c r="L310" s="45">
        <f>'Autoproducers Calculations'!AF$418</f>
        <v>0</v>
      </c>
      <c r="M310" s="132">
        <v>0</v>
      </c>
      <c r="O310" s="90">
        <f>L310*K310*I310</f>
        <v>0</v>
      </c>
      <c r="P310" s="90">
        <f>O310/F310</f>
        <v>0</v>
      </c>
    </row>
    <row r="311" spans="1:16">
      <c r="A311" s="107"/>
      <c r="B311" s="126" t="str">
        <f>'Autoproducers Calculations'!$C$423</f>
        <v>EAUTOGENWASTE00</v>
      </c>
      <c r="C311" s="133" t="s">
        <v>367</v>
      </c>
      <c r="D311" s="128" t="s">
        <v>117</v>
      </c>
      <c r="E311" s="128" t="s">
        <v>105</v>
      </c>
      <c r="F311" s="129">
        <f>'Autoproducers Calculations'!AF$391</f>
        <v>0.22821100917431195</v>
      </c>
      <c r="G311" s="129"/>
      <c r="H311" s="129"/>
      <c r="I311" s="130">
        <f>'Autoproducers Calculations'!AF$389</f>
        <v>2.3591605985405145E-2</v>
      </c>
      <c r="J311" s="45">
        <v>1</v>
      </c>
      <c r="K311" s="131">
        <v>31.536000000000001</v>
      </c>
      <c r="L311" s="45">
        <f>'Autoproducers Calculations'!AF$425</f>
        <v>0.27743151578880643</v>
      </c>
      <c r="M311" s="132">
        <v>0</v>
      </c>
      <c r="O311" s="90">
        <f>L311*K311*I311</f>
        <v>0.20640485474563491</v>
      </c>
      <c r="P311" s="90">
        <f>O311/F311</f>
        <v>0.90444740370951571</v>
      </c>
    </row>
    <row r="312" spans="1:16">
      <c r="A312" s="107"/>
      <c r="B312" s="126"/>
      <c r="C312" s="133"/>
      <c r="D312" s="128" t="s">
        <v>118</v>
      </c>
      <c r="E312" s="128"/>
      <c r="F312" s="129"/>
      <c r="G312" s="129"/>
      <c r="H312" s="129"/>
      <c r="I312" s="130"/>
      <c r="J312" s="45"/>
      <c r="K312" s="131"/>
      <c r="L312" s="45"/>
      <c r="M312" s="132"/>
    </row>
    <row r="313" spans="1:16">
      <c r="A313" s="107" t="str">
        <f>'CHP BY IND'!A1294</f>
        <v>IS</v>
      </c>
      <c r="B313" s="126" t="str">
        <f>'Autoproducers Calculations'!$C$388</f>
        <v>EAUTOGENSOLID00</v>
      </c>
      <c r="C313" s="127" t="s">
        <v>368</v>
      </c>
      <c r="D313" s="128" t="s">
        <v>107</v>
      </c>
      <c r="E313" s="128" t="s">
        <v>105</v>
      </c>
      <c r="F313" s="129" t="e">
        <f>'Autoproducers Calculations'!AG$391</f>
        <v>#DIV/0!</v>
      </c>
      <c r="G313" s="129"/>
      <c r="H313" s="129"/>
      <c r="I313" s="130">
        <f>'Autoproducers Calculations'!AG$389</f>
        <v>4.0923646706157984E-3</v>
      </c>
      <c r="J313" s="45">
        <v>1</v>
      </c>
      <c r="K313" s="131">
        <v>31.536000000000001</v>
      </c>
      <c r="L313" s="45">
        <f>'Autoproducers Calculations'!AG$390</f>
        <v>0</v>
      </c>
      <c r="M313" s="132">
        <v>0</v>
      </c>
      <c r="O313" s="90">
        <f>L313*K313*I313</f>
        <v>0</v>
      </c>
      <c r="P313" s="90" t="e">
        <f>O313/F313</f>
        <v>#DIV/0!</v>
      </c>
    </row>
    <row r="314" spans="1:16">
      <c r="A314" s="107"/>
      <c r="B314" s="126"/>
      <c r="C314" s="127"/>
      <c r="D314" s="128" t="s">
        <v>108</v>
      </c>
      <c r="E314" s="128"/>
      <c r="F314" s="129"/>
      <c r="G314" s="129">
        <f>'Eurostat Resume'!AI45</f>
        <v>0</v>
      </c>
      <c r="H314" s="129"/>
      <c r="I314" s="130"/>
      <c r="J314" s="45"/>
      <c r="K314" s="131"/>
      <c r="L314" s="45"/>
      <c r="M314" s="132"/>
      <c r="O314" s="90"/>
      <c r="P314" s="90"/>
    </row>
    <row r="315" spans="1:16">
      <c r="A315" s="107"/>
      <c r="B315" s="126" t="str">
        <f>'Autoproducers Calculations'!$C$395</f>
        <v>EAUTOGENRFGD00</v>
      </c>
      <c r="C315" s="133" t="s">
        <v>372</v>
      </c>
      <c r="D315" s="128" t="s">
        <v>110</v>
      </c>
      <c r="E315" s="128" t="s">
        <v>105</v>
      </c>
      <c r="F315" s="129" t="e">
        <f>'Autoproducers Calculations'!AG$391</f>
        <v>#DIV/0!</v>
      </c>
      <c r="G315" s="129"/>
      <c r="H315" s="129"/>
      <c r="I315" s="130">
        <f>'Autoproducers Calculations'!AG$389</f>
        <v>4.0923646706157984E-3</v>
      </c>
      <c r="J315" s="45">
        <v>1</v>
      </c>
      <c r="K315" s="131">
        <v>31.536000000000001</v>
      </c>
      <c r="L315" s="45">
        <f>'Autoproducers Calculations'!AG$397</f>
        <v>0</v>
      </c>
      <c r="M315" s="132">
        <v>0</v>
      </c>
      <c r="O315" s="90">
        <f>L315*K315*I315</f>
        <v>0</v>
      </c>
      <c r="P315" s="90" t="e">
        <f>O315/F315</f>
        <v>#DIV/0!</v>
      </c>
    </row>
    <row r="316" spans="1:16">
      <c r="A316" s="107"/>
      <c r="B316" s="126" t="str">
        <f>'Autoproducers Calculations'!$C$402</f>
        <v>EAUTOGENOIL00</v>
      </c>
      <c r="C316" s="133" t="s">
        <v>366</v>
      </c>
      <c r="D316" s="128" t="s">
        <v>111</v>
      </c>
      <c r="E316" s="128" t="s">
        <v>105</v>
      </c>
      <c r="F316" s="129" t="e">
        <f>'Autoproducers Calculations'!AG$391</f>
        <v>#DIV/0!</v>
      </c>
      <c r="G316" s="129"/>
      <c r="H316" s="129">
        <f>'Eurostat Resume'!AH48</f>
        <v>0</v>
      </c>
      <c r="I316" s="130">
        <f>'Autoproducers Calculations'!AG$389</f>
        <v>4.0923646706157984E-3</v>
      </c>
      <c r="J316" s="45">
        <v>1</v>
      </c>
      <c r="K316" s="131">
        <v>31.536000000000001</v>
      </c>
      <c r="L316" s="45">
        <f>'Autoproducers Calculations'!AG$404</f>
        <v>0</v>
      </c>
      <c r="M316" s="132">
        <v>0</v>
      </c>
      <c r="O316" s="90">
        <f>L316*K316*I316</f>
        <v>0</v>
      </c>
      <c r="P316" s="90" t="e">
        <f>O316/F316</f>
        <v>#DIV/0!</v>
      </c>
    </row>
    <row r="317" spans="1:16">
      <c r="A317" s="107"/>
      <c r="B317" s="126"/>
      <c r="C317" s="133"/>
      <c r="D317" s="128" t="s">
        <v>112</v>
      </c>
      <c r="E317" s="128"/>
      <c r="F317" s="129"/>
      <c r="G317" s="129"/>
      <c r="H317" s="129"/>
      <c r="I317" s="130"/>
      <c r="J317" s="45"/>
      <c r="K317" s="131"/>
      <c r="L317" s="45"/>
      <c r="M317" s="132"/>
      <c r="O317" s="90"/>
      <c r="P317" s="90"/>
    </row>
    <row r="318" spans="1:16">
      <c r="A318" s="107"/>
      <c r="B318" s="126" t="str">
        <f>'Autoproducers Calculations'!$C$409</f>
        <v>EAUTOGENGAS00</v>
      </c>
      <c r="C318" s="133" t="s">
        <v>364</v>
      </c>
      <c r="D318" s="128" t="s">
        <v>113</v>
      </c>
      <c r="E318" s="128" t="s">
        <v>105</v>
      </c>
      <c r="F318" s="129" t="e">
        <f>'Autoproducers Calculations'!AG$391</f>
        <v>#DIV/0!</v>
      </c>
      <c r="G318" s="129"/>
      <c r="H318" s="129"/>
      <c r="I318" s="130">
        <f>'Autoproducers Calculations'!AG$389</f>
        <v>4.0923646706157984E-3</v>
      </c>
      <c r="J318" s="45">
        <v>1</v>
      </c>
      <c r="K318" s="131">
        <v>31.536000000000001</v>
      </c>
      <c r="L318" s="45">
        <f>'Autoproducers Calculations'!AG$411</f>
        <v>0</v>
      </c>
      <c r="M318" s="132">
        <v>0</v>
      </c>
      <c r="O318" s="90">
        <f>L318*K318*I318</f>
        <v>0</v>
      </c>
      <c r="P318" s="90" t="e">
        <f>O318/F318</f>
        <v>#DIV/0!</v>
      </c>
    </row>
    <row r="319" spans="1:16">
      <c r="A319" s="107"/>
      <c r="B319" s="126"/>
      <c r="C319" s="133"/>
      <c r="D319" s="128" t="s">
        <v>114</v>
      </c>
      <c r="E319" s="128"/>
      <c r="F319" s="129"/>
      <c r="G319" s="129">
        <f>'Eurostat Resume'!AI46</f>
        <v>0</v>
      </c>
      <c r="H319" s="129"/>
      <c r="I319" s="130"/>
      <c r="J319" s="45"/>
      <c r="K319" s="131"/>
      <c r="L319" s="45"/>
      <c r="M319" s="132"/>
      <c r="O319" s="90"/>
      <c r="P319" s="90"/>
    </row>
    <row r="320" spans="1:16">
      <c r="A320" s="107"/>
      <c r="B320" s="126"/>
      <c r="C320" s="133"/>
      <c r="D320" s="128" t="s">
        <v>115</v>
      </c>
      <c r="E320" s="128"/>
      <c r="F320" s="129"/>
      <c r="G320" s="129">
        <f>'Eurostat Resume'!AI47</f>
        <v>0</v>
      </c>
      <c r="H320" s="129"/>
      <c r="I320" s="130"/>
      <c r="J320" s="45"/>
      <c r="K320" s="131"/>
      <c r="L320" s="45"/>
      <c r="M320" s="132"/>
      <c r="O320" s="90"/>
      <c r="P320" s="90"/>
    </row>
    <row r="321" spans="1:16">
      <c r="A321" s="107"/>
      <c r="B321" s="126" t="str">
        <f>'Autoproducers Calculations'!$C$416</f>
        <v>EAUTOGENBIO00</v>
      </c>
      <c r="C321" s="133" t="s">
        <v>365</v>
      </c>
      <c r="D321" s="128" t="s">
        <v>116</v>
      </c>
      <c r="E321" s="128" t="s">
        <v>105</v>
      </c>
      <c r="F321" s="129" t="e">
        <f>'Autoproducers Calculations'!AG$391</f>
        <v>#DIV/0!</v>
      </c>
      <c r="G321" s="129"/>
      <c r="H321" s="129"/>
      <c r="I321" s="130">
        <f>'Autoproducers Calculations'!AG$389</f>
        <v>4.0923646706157984E-3</v>
      </c>
      <c r="J321" s="45">
        <v>1</v>
      </c>
      <c r="K321" s="131">
        <v>31.536000000000001</v>
      </c>
      <c r="L321" s="45">
        <f>'Autoproducers Calculations'!AG$418</f>
        <v>0</v>
      </c>
      <c r="M321" s="132">
        <v>0</v>
      </c>
      <c r="O321" s="90">
        <f>L321*K321*I321</f>
        <v>0</v>
      </c>
      <c r="P321" s="90" t="e">
        <f>O321/F321</f>
        <v>#DIV/0!</v>
      </c>
    </row>
    <row r="322" spans="1:16">
      <c r="A322" s="107"/>
      <c r="B322" s="126" t="str">
        <f>'Autoproducers Calculations'!$C$423</f>
        <v>EAUTOGENWASTE00</v>
      </c>
      <c r="C322" s="133" t="s">
        <v>367</v>
      </c>
      <c r="D322" s="128" t="s">
        <v>117</v>
      </c>
      <c r="E322" s="128" t="s">
        <v>105</v>
      </c>
      <c r="F322" s="129" t="e">
        <f>'Autoproducers Calculations'!AG$391</f>
        <v>#DIV/0!</v>
      </c>
      <c r="G322" s="129"/>
      <c r="H322" s="129"/>
      <c r="I322" s="130">
        <f>'Autoproducers Calculations'!AG$389</f>
        <v>4.0923646706157984E-3</v>
      </c>
      <c r="J322" s="45">
        <v>1</v>
      </c>
      <c r="K322" s="131">
        <v>31.536000000000001</v>
      </c>
      <c r="L322" s="45">
        <f>'Autoproducers Calculations'!AG$425</f>
        <v>0</v>
      </c>
      <c r="M322" s="132">
        <v>0</v>
      </c>
      <c r="O322" s="90">
        <f>L322*K322*I322</f>
        <v>0</v>
      </c>
      <c r="P322" s="90" t="e">
        <f>O322/F322</f>
        <v>#DIV/0!</v>
      </c>
    </row>
    <row r="323" spans="1:16">
      <c r="A323" s="107"/>
      <c r="B323" s="126"/>
      <c r="C323" s="133"/>
      <c r="D323" s="128" t="s">
        <v>118</v>
      </c>
      <c r="E323" s="128"/>
      <c r="F323" s="129"/>
      <c r="G323" s="129"/>
      <c r="H323" s="129"/>
      <c r="I323" s="130"/>
      <c r="J323" s="45"/>
      <c r="K323" s="131"/>
      <c r="L323" s="45"/>
      <c r="M323" s="132"/>
    </row>
    <row r="324" spans="1:16">
      <c r="A324" s="107" t="str">
        <f>'CHP BY IND'!A1340</f>
        <v>NO</v>
      </c>
      <c r="B324" s="126" t="str">
        <f>'Autoproducers Calculations'!$C$388</f>
        <v>EAUTOGENSOLID00</v>
      </c>
      <c r="C324" s="127" t="s">
        <v>368</v>
      </c>
      <c r="D324" s="128" t="s">
        <v>107</v>
      </c>
      <c r="E324" s="128" t="s">
        <v>105</v>
      </c>
      <c r="F324" s="129">
        <f>'Autoproducers Calculations'!AH$391</f>
        <v>0.6767813600650231</v>
      </c>
      <c r="G324" s="129"/>
      <c r="H324" s="129"/>
      <c r="I324" s="130">
        <f>'Autoproducers Calculations'!AH$389</f>
        <v>7.5597455954949003E-2</v>
      </c>
      <c r="J324" s="45">
        <v>1</v>
      </c>
      <c r="K324" s="131">
        <v>31.536000000000001</v>
      </c>
      <c r="L324" s="45">
        <f>'Autoproducers Calculations'!AH$390</f>
        <v>0</v>
      </c>
      <c r="M324" s="132">
        <v>0</v>
      </c>
      <c r="O324" s="90">
        <f>L324*K324*I324</f>
        <v>0</v>
      </c>
      <c r="P324" s="90">
        <f>O324/F324</f>
        <v>0</v>
      </c>
    </row>
    <row r="325" spans="1:16">
      <c r="A325" s="107"/>
      <c r="B325" s="126"/>
      <c r="C325" s="127"/>
      <c r="D325" s="128" t="s">
        <v>108</v>
      </c>
      <c r="E325" s="128"/>
      <c r="F325" s="129"/>
      <c r="G325" s="129">
        <f>'Eurostat Resume'!AJ45</f>
        <v>0</v>
      </c>
      <c r="H325" s="129"/>
      <c r="I325" s="130"/>
      <c r="J325" s="45"/>
      <c r="K325" s="131"/>
      <c r="L325" s="45"/>
      <c r="M325" s="132"/>
      <c r="O325" s="90"/>
      <c r="P325" s="90"/>
    </row>
    <row r="326" spans="1:16">
      <c r="A326" s="107"/>
      <c r="B326" s="126" t="str">
        <f>'Autoproducers Calculations'!$C$395</f>
        <v>EAUTOGENRFGD00</v>
      </c>
      <c r="C326" s="133" t="s">
        <v>372</v>
      </c>
      <c r="D326" s="128" t="s">
        <v>110</v>
      </c>
      <c r="E326" s="128" t="s">
        <v>105</v>
      </c>
      <c r="F326" s="129">
        <f>'Autoproducers Calculations'!AH$391</f>
        <v>0.6767813600650231</v>
      </c>
      <c r="G326" s="129"/>
      <c r="H326" s="129"/>
      <c r="I326" s="130">
        <f>'Autoproducers Calculations'!AH$389</f>
        <v>7.5597455954949003E-2</v>
      </c>
      <c r="J326" s="45">
        <v>1</v>
      </c>
      <c r="K326" s="131">
        <v>31.536000000000001</v>
      </c>
      <c r="L326" s="45">
        <f>'Autoproducers Calculations'!AH$397</f>
        <v>0</v>
      </c>
      <c r="M326" s="132">
        <v>0</v>
      </c>
      <c r="O326" s="90">
        <f>L326*K326*I326</f>
        <v>0</v>
      </c>
      <c r="P326" s="90">
        <f>O326/F326</f>
        <v>0</v>
      </c>
    </row>
    <row r="327" spans="1:16">
      <c r="A327" s="107"/>
      <c r="B327" s="126" t="str">
        <f>'Autoproducers Calculations'!$C$402</f>
        <v>EAUTOGENOIL00</v>
      </c>
      <c r="C327" s="133" t="s">
        <v>366</v>
      </c>
      <c r="D327" s="128" t="s">
        <v>111</v>
      </c>
      <c r="E327" s="128" t="s">
        <v>105</v>
      </c>
      <c r="F327" s="129">
        <f>'Autoproducers Calculations'!AH$391</f>
        <v>0.6767813600650231</v>
      </c>
      <c r="G327" s="129"/>
      <c r="H327" s="129">
        <f>'Eurostat Resume'!AI48</f>
        <v>0</v>
      </c>
      <c r="I327" s="130">
        <f>'Autoproducers Calculations'!AH$389</f>
        <v>7.5597455954949003E-2</v>
      </c>
      <c r="J327" s="45">
        <v>1</v>
      </c>
      <c r="K327" s="131">
        <v>31.536000000000001</v>
      </c>
      <c r="L327" s="45">
        <f>'Autoproducers Calculations'!AH$404</f>
        <v>2.455347298787211E-2</v>
      </c>
      <c r="M327" s="132">
        <v>0</v>
      </c>
      <c r="O327" s="90">
        <f>L327*K327*I327</f>
        <v>5.8536495404702002E-2</v>
      </c>
      <c r="P327" s="90">
        <f>O327/F327</f>
        <v>8.6492475796138932E-2</v>
      </c>
    </row>
    <row r="328" spans="1:16">
      <c r="B328" s="126"/>
      <c r="C328" s="133"/>
      <c r="D328" s="128" t="s">
        <v>112</v>
      </c>
      <c r="E328" s="128"/>
      <c r="F328" s="129"/>
      <c r="G328" s="129"/>
      <c r="H328" s="129"/>
      <c r="I328" s="130"/>
      <c r="J328" s="45"/>
      <c r="K328" s="131"/>
      <c r="L328" s="45"/>
      <c r="M328" s="132"/>
      <c r="O328" s="90"/>
      <c r="P328" s="90"/>
    </row>
    <row r="329" spans="1:16">
      <c r="B329" s="126" t="str">
        <f>'Autoproducers Calculations'!$C$409</f>
        <v>EAUTOGENGAS00</v>
      </c>
      <c r="C329" s="133" t="s">
        <v>364</v>
      </c>
      <c r="D329" s="128" t="s">
        <v>113</v>
      </c>
      <c r="E329" s="128" t="s">
        <v>105</v>
      </c>
      <c r="F329" s="129">
        <f>'Autoproducers Calculations'!AH$391</f>
        <v>0.6767813600650231</v>
      </c>
      <c r="G329" s="129"/>
      <c r="H329" s="129"/>
      <c r="I329" s="130">
        <f>'Autoproducers Calculations'!AH$389</f>
        <v>7.5597455954949003E-2</v>
      </c>
      <c r="J329" s="45">
        <v>1</v>
      </c>
      <c r="K329" s="131">
        <v>31.536000000000001</v>
      </c>
      <c r="L329" s="45">
        <f>'Autoproducers Calculations'!AH$411</f>
        <v>0.58639470782800451</v>
      </c>
      <c r="M329" s="132">
        <v>0</v>
      </c>
      <c r="O329" s="90">
        <f>L329*K329*I329</f>
        <v>1.3979892431946477</v>
      </c>
      <c r="P329" s="90">
        <f>O329/F329</f>
        <v>2.0656438337195531</v>
      </c>
    </row>
    <row r="330" spans="1:16">
      <c r="B330" s="126"/>
      <c r="C330" s="133"/>
      <c r="D330" s="128" t="s">
        <v>114</v>
      </c>
      <c r="E330" s="128"/>
      <c r="F330" s="129"/>
      <c r="G330" s="129">
        <f>'Eurostat Resume'!AG46</f>
        <v>0</v>
      </c>
      <c r="H330" s="129"/>
      <c r="I330" s="130"/>
      <c r="J330" s="45"/>
      <c r="K330" s="131"/>
      <c r="L330" s="45"/>
      <c r="M330" s="132"/>
      <c r="O330" s="90"/>
      <c r="P330" s="90"/>
    </row>
    <row r="331" spans="1:16">
      <c r="B331" s="126"/>
      <c r="C331" s="133"/>
      <c r="D331" s="128" t="s">
        <v>115</v>
      </c>
      <c r="E331" s="128"/>
      <c r="F331" s="129"/>
      <c r="G331" s="129">
        <f>'Eurostat Resume'!AG46</f>
        <v>0</v>
      </c>
      <c r="H331" s="129"/>
      <c r="I331" s="130"/>
      <c r="J331" s="45"/>
      <c r="K331" s="131"/>
      <c r="L331" s="45"/>
      <c r="M331" s="132"/>
      <c r="O331" s="90"/>
      <c r="P331" s="90"/>
    </row>
    <row r="332" spans="1:16">
      <c r="B332" s="126" t="str">
        <f>'Autoproducers Calculations'!$C$416</f>
        <v>EAUTOGENBIO00</v>
      </c>
      <c r="C332" s="133" t="s">
        <v>365</v>
      </c>
      <c r="D332" s="128" t="s">
        <v>116</v>
      </c>
      <c r="E332" s="128" t="s">
        <v>105</v>
      </c>
      <c r="F332" s="129">
        <f>'Autoproducers Calculations'!AH$391</f>
        <v>0.6767813600650231</v>
      </c>
      <c r="G332" s="129"/>
      <c r="H332" s="129"/>
      <c r="I332" s="130">
        <f>'Autoproducers Calculations'!AH$389</f>
        <v>7.5597455954949003E-2</v>
      </c>
      <c r="J332" s="45">
        <v>1</v>
      </c>
      <c r="K332" s="131">
        <v>31.536000000000001</v>
      </c>
      <c r="L332" s="45">
        <f>'Autoproducers Calculations'!AH$418</f>
        <v>0.4370518191841235</v>
      </c>
      <c r="M332" s="132">
        <v>0</v>
      </c>
      <c r="O332" s="90">
        <f>L332*K332*I332</f>
        <v>1.0419496182036956</v>
      </c>
      <c r="P332" s="90">
        <f>O332/F332</f>
        <v>1.5395660691712729</v>
      </c>
    </row>
    <row r="333" spans="1:16">
      <c r="B333" s="126" t="str">
        <f>'Autoproducers Calculations'!$C$423</f>
        <v>EAUTOGENWASTE00</v>
      </c>
      <c r="C333" s="133" t="s">
        <v>367</v>
      </c>
      <c r="D333" s="128" t="s">
        <v>117</v>
      </c>
      <c r="E333" s="128" t="s">
        <v>105</v>
      </c>
      <c r="F333" s="129">
        <f>'Autoproducers Calculations'!AH$391</f>
        <v>0.6767813600650231</v>
      </c>
      <c r="G333" s="129"/>
      <c r="H333" s="129"/>
      <c r="I333" s="130">
        <f>'Autoproducers Calculations'!AH$389</f>
        <v>7.5597455954949003E-2</v>
      </c>
      <c r="J333" s="45">
        <v>1</v>
      </c>
      <c r="K333" s="131">
        <v>31.536000000000001</v>
      </c>
      <c r="L333" s="45">
        <f>'Autoproducers Calculations'!AH$425</f>
        <v>0</v>
      </c>
      <c r="M333" s="132">
        <v>0</v>
      </c>
      <c r="O333" s="90">
        <f>L333*K333*I333</f>
        <v>0</v>
      </c>
      <c r="P333" s="90">
        <f>O333/F333</f>
        <v>0</v>
      </c>
    </row>
    <row r="334" spans="1:16">
      <c r="B334" s="126"/>
      <c r="C334" s="133"/>
      <c r="D334" s="128" t="s">
        <v>118</v>
      </c>
      <c r="E334" s="128"/>
      <c r="F334" s="129"/>
      <c r="G334" s="129"/>
      <c r="H334" s="129"/>
      <c r="I334" s="130"/>
      <c r="J334" s="45"/>
      <c r="K334" s="131"/>
      <c r="L334" s="45"/>
      <c r="M334" s="132"/>
    </row>
  </sheetData>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G26"/>
  <sheetViews>
    <sheetView workbookViewId="0">
      <selection activeCell="B20" sqref="B20"/>
    </sheetView>
  </sheetViews>
  <sheetFormatPr defaultColWidth="9.140625" defaultRowHeight="12.75"/>
  <cols>
    <col min="1" max="1" width="9.140625" style="713"/>
    <col min="2" max="2" width="56.140625" style="713" bestFit="1" customWidth="1"/>
    <col min="3" max="3" width="9.5703125" style="713" bestFit="1" customWidth="1"/>
    <col min="4" max="33" width="9.28515625" style="713" bestFit="1" customWidth="1"/>
    <col min="34" max="16384" width="9.140625" style="713"/>
  </cols>
  <sheetData>
    <row r="1" spans="1:33">
      <c r="A1" s="712"/>
    </row>
    <row r="3" spans="1:33">
      <c r="B3" s="712" t="s">
        <v>1307</v>
      </c>
    </row>
    <row r="5" spans="1:33">
      <c r="B5" s="712" t="s">
        <v>1343</v>
      </c>
      <c r="C5" s="714" t="str">
        <f>'Autoproducers Calculations'!D2</f>
        <v>TOTAL</v>
      </c>
      <c r="D5" s="715" t="str">
        <f>'Autoproducers Calculations'!E2</f>
        <v>AT</v>
      </c>
      <c r="E5" s="715" t="str">
        <f>'Autoproducers Calculations'!F2</f>
        <v>BE</v>
      </c>
      <c r="F5" s="715" t="str">
        <f>'Autoproducers Calculations'!G2</f>
        <v>BG</v>
      </c>
      <c r="G5" s="715" t="str">
        <f>'Autoproducers Calculations'!H2</f>
        <v>CY</v>
      </c>
      <c r="H5" s="715" t="str">
        <f>'Autoproducers Calculations'!I2</f>
        <v>CZ</v>
      </c>
      <c r="I5" s="715" t="str">
        <f>'Autoproducers Calculations'!J2</f>
        <v>DE</v>
      </c>
      <c r="J5" s="715" t="str">
        <f>'Autoproducers Calculations'!K2</f>
        <v>DK</v>
      </c>
      <c r="K5" s="715" t="str">
        <f>'Autoproducers Calculations'!L2</f>
        <v>EE</v>
      </c>
      <c r="L5" s="715" t="str">
        <f>'Autoproducers Calculations'!M2</f>
        <v>ES</v>
      </c>
      <c r="M5" s="715" t="str">
        <f>'Autoproducers Calculations'!N2</f>
        <v>FI</v>
      </c>
      <c r="N5" s="715" t="str">
        <f>'Autoproducers Calculations'!O2</f>
        <v>FR</v>
      </c>
      <c r="O5" s="715" t="str">
        <f>'Autoproducers Calculations'!P2</f>
        <v>GR</v>
      </c>
      <c r="P5" s="715" t="str">
        <f>'Autoproducers Calculations'!Q2</f>
        <v>HU</v>
      </c>
      <c r="Q5" s="715" t="str">
        <f>'Autoproducers Calculations'!R2</f>
        <v>IE</v>
      </c>
      <c r="R5" s="715" t="str">
        <f>'Autoproducers Calculations'!S2</f>
        <v>IT</v>
      </c>
      <c r="S5" s="715" t="str">
        <f>'Autoproducers Calculations'!T2</f>
        <v>LT</v>
      </c>
      <c r="T5" s="715" t="str">
        <f>'Autoproducers Calculations'!U2</f>
        <v>LU</v>
      </c>
      <c r="U5" s="715" t="str">
        <f>'Autoproducers Calculations'!V2</f>
        <v>LV</v>
      </c>
      <c r="V5" s="715" t="str">
        <f>'Autoproducers Calculations'!W2</f>
        <v>MT</v>
      </c>
      <c r="W5" s="715" t="str">
        <f>'Autoproducers Calculations'!X2</f>
        <v>NL</v>
      </c>
      <c r="X5" s="715" t="str">
        <f>'Autoproducers Calculations'!Y2</f>
        <v>PL</v>
      </c>
      <c r="Y5" s="715" t="str">
        <f>'Autoproducers Calculations'!Z2</f>
        <v>PT</v>
      </c>
      <c r="Z5" s="715" t="str">
        <f>'Autoproducers Calculations'!AA2</f>
        <v>RO</v>
      </c>
      <c r="AA5" s="715" t="str">
        <f>'Autoproducers Calculations'!AB2</f>
        <v>SE</v>
      </c>
      <c r="AB5" s="715" t="str">
        <f>'Autoproducers Calculations'!AC2</f>
        <v>SI</v>
      </c>
      <c r="AC5" s="715" t="str">
        <f>'Autoproducers Calculations'!AD2</f>
        <v>SK</v>
      </c>
      <c r="AD5" s="715" t="str">
        <f>'Autoproducers Calculations'!AE2</f>
        <v>UK</v>
      </c>
      <c r="AE5" s="715" t="str">
        <f>'Autoproducers Calculations'!AF2</f>
        <v>CH</v>
      </c>
      <c r="AF5" s="715" t="str">
        <f>'Autoproducers Calculations'!AG2</f>
        <v>IS</v>
      </c>
      <c r="AG5" s="715" t="str">
        <f>'Autoproducers Calculations'!AH2</f>
        <v>NO</v>
      </c>
    </row>
    <row r="6" spans="1:33">
      <c r="B6" s="713" t="str">
        <f>'Autoproducers Calculations'!C205</f>
        <v>CHPAUTOGENSOLID00</v>
      </c>
      <c r="C6" s="716">
        <f>'Autoproducers Calculations'!D208</f>
        <v>4.0219668568390112</v>
      </c>
      <c r="D6" s="717">
        <f>'Autoproducers Calculations'!E208</f>
        <v>4.5020450850185467E-2</v>
      </c>
      <c r="E6" s="717">
        <f>'Autoproducers Calculations'!F208</f>
        <v>6.589916600281559E-2</v>
      </c>
      <c r="F6" s="717">
        <f>'Autoproducers Calculations'!G208</f>
        <v>8.3150745881017993E-2</v>
      </c>
      <c r="G6" s="717">
        <f>'Autoproducers Calculations'!H208</f>
        <v>0</v>
      </c>
      <c r="H6" s="717">
        <f>'Autoproducers Calculations'!I208</f>
        <v>0.74147947933956482</v>
      </c>
      <c r="I6" s="717">
        <f>'Autoproducers Calculations'!J208</f>
        <v>0.44006858905124197</v>
      </c>
      <c r="J6" s="717">
        <f>'Autoproducers Calculations'!K208</f>
        <v>1.990351868286379E-3</v>
      </c>
      <c r="K6" s="717">
        <f>'Autoproducers Calculations'!L208</f>
        <v>6.9571509088597596E-3</v>
      </c>
      <c r="L6" s="717">
        <f>'Autoproducers Calculations'!M208</f>
        <v>4.8309759109010419E-2</v>
      </c>
      <c r="M6" s="717">
        <f>'Autoproducers Calculations'!N208</f>
        <v>0.11344415593271366</v>
      </c>
      <c r="N6" s="717">
        <f>'Autoproducers Calculations'!O208</f>
        <v>0.40258315775384818</v>
      </c>
      <c r="O6" s="717">
        <f>'Autoproducers Calculations'!P208</f>
        <v>0</v>
      </c>
      <c r="P6" s="717">
        <f>'Autoproducers Calculations'!Q208</f>
        <v>0</v>
      </c>
      <c r="Q6" s="717">
        <f>'Autoproducers Calculations'!R208</f>
        <v>2.2257055676040499E-2</v>
      </c>
      <c r="R6" s="717">
        <f>'Autoproducers Calculations'!S208</f>
        <v>2.9670708401215523E-2</v>
      </c>
      <c r="S6" s="717">
        <f>'Autoproducers Calculations'!T208</f>
        <v>0</v>
      </c>
      <c r="T6" s="717">
        <f>'Autoproducers Calculations'!U208</f>
        <v>0</v>
      </c>
      <c r="U6" s="717">
        <f>'Autoproducers Calculations'!V208</f>
        <v>0</v>
      </c>
      <c r="V6" s="717">
        <f>'Autoproducers Calculations'!W208</f>
        <v>0</v>
      </c>
      <c r="W6" s="717">
        <f>'Autoproducers Calculations'!X208</f>
        <v>0</v>
      </c>
      <c r="X6" s="717">
        <f>'Autoproducers Calculations'!Y208</f>
        <v>1.5069765941181761</v>
      </c>
      <c r="Y6" s="717">
        <f>'Autoproducers Calculations'!Z208</f>
        <v>0</v>
      </c>
      <c r="Z6" s="717">
        <f>'Autoproducers Calculations'!AA208</f>
        <v>0.20153343786154926</v>
      </c>
      <c r="AA6" s="717">
        <f>'Autoproducers Calculations'!AB208</f>
        <v>2.74719457666234E-3</v>
      </c>
      <c r="AB6" s="717">
        <f>'Autoproducers Calculations'!AC208</f>
        <v>1.1054423614718452E-2</v>
      </c>
      <c r="AC6" s="717">
        <f>'Autoproducers Calculations'!AD208</f>
        <v>0.18074051635111879</v>
      </c>
      <c r="AD6" s="717">
        <f>'Autoproducers Calculations'!AE208</f>
        <v>0.11808391954198678</v>
      </c>
      <c r="AE6" s="717">
        <f>'Autoproducers Calculations'!AF208</f>
        <v>0</v>
      </c>
      <c r="AF6" s="717">
        <f>'Autoproducers Calculations'!AG208</f>
        <v>0</v>
      </c>
      <c r="AG6" s="717">
        <f>'Autoproducers Calculations'!AH208</f>
        <v>0</v>
      </c>
    </row>
    <row r="7" spans="1:33">
      <c r="B7" s="713" t="str">
        <f>'Autoproducers Calculations'!C214</f>
        <v>CHPAUTOGENRFG00</v>
      </c>
      <c r="C7" s="716">
        <f>'Autoproducers Calculations'!D217</f>
        <v>0.69557172334299111</v>
      </c>
      <c r="D7" s="717">
        <f>'Autoproducers Calculations'!E217</f>
        <v>0</v>
      </c>
      <c r="E7" s="717">
        <f>'Autoproducers Calculations'!F217</f>
        <v>0</v>
      </c>
      <c r="F7" s="717">
        <f>'Autoproducers Calculations'!G217</f>
        <v>5.219561672135188E-3</v>
      </c>
      <c r="G7" s="717">
        <f>'Autoproducers Calculations'!H217</f>
        <v>0</v>
      </c>
      <c r="H7" s="717">
        <f>'Autoproducers Calculations'!I217</f>
        <v>0</v>
      </c>
      <c r="I7" s="717">
        <f>'Autoproducers Calculations'!J217</f>
        <v>3.630787094958824E-2</v>
      </c>
      <c r="J7" s="717">
        <f>'Autoproducers Calculations'!K217</f>
        <v>2.3345480560351514E-2</v>
      </c>
      <c r="K7" s="717">
        <f>'Autoproducers Calculations'!L217</f>
        <v>0</v>
      </c>
      <c r="L7" s="717">
        <f>'Autoproducers Calculations'!M217</f>
        <v>0</v>
      </c>
      <c r="M7" s="717">
        <f>'Autoproducers Calculations'!N217</f>
        <v>0</v>
      </c>
      <c r="N7" s="717">
        <f>'Autoproducers Calculations'!O217</f>
        <v>9.7816565895737766E-3</v>
      </c>
      <c r="O7" s="717">
        <f>'Autoproducers Calculations'!P217</f>
        <v>0</v>
      </c>
      <c r="P7" s="717">
        <f>'Autoproducers Calculations'!Q217</f>
        <v>0</v>
      </c>
      <c r="Q7" s="717">
        <f>'Autoproducers Calculations'!R217</f>
        <v>0</v>
      </c>
      <c r="R7" s="717">
        <f>'Autoproducers Calculations'!S217</f>
        <v>0.31020645152344961</v>
      </c>
      <c r="S7" s="717">
        <f>'Autoproducers Calculations'!T217</f>
        <v>0</v>
      </c>
      <c r="T7" s="717">
        <f>'Autoproducers Calculations'!U217</f>
        <v>0</v>
      </c>
      <c r="U7" s="717">
        <f>'Autoproducers Calculations'!V217</f>
        <v>0</v>
      </c>
      <c r="V7" s="717">
        <f>'Autoproducers Calculations'!W217</f>
        <v>0</v>
      </c>
      <c r="W7" s="717">
        <f>'Autoproducers Calculations'!X217</f>
        <v>0.2818067590014558</v>
      </c>
      <c r="X7" s="717">
        <f>'Autoproducers Calculations'!Y217</f>
        <v>0</v>
      </c>
      <c r="Y7" s="717">
        <f>'Autoproducers Calculations'!Z217</f>
        <v>0</v>
      </c>
      <c r="Z7" s="717">
        <f>'Autoproducers Calculations'!AA217</f>
        <v>3.7591613748459681E-3</v>
      </c>
      <c r="AA7" s="717">
        <f>'Autoproducers Calculations'!AB217</f>
        <v>0</v>
      </c>
      <c r="AB7" s="717">
        <f>'Autoproducers Calculations'!AC217</f>
        <v>0</v>
      </c>
      <c r="AC7" s="717">
        <f>'Autoproducers Calculations'!AD217</f>
        <v>3.1216523235800347E-3</v>
      </c>
      <c r="AD7" s="717">
        <f>'Autoproducers Calculations'!AE217</f>
        <v>0</v>
      </c>
      <c r="AE7" s="717">
        <f>'Autoproducers Calculations'!AF217</f>
        <v>2.2023129348010918E-2</v>
      </c>
      <c r="AF7" s="717">
        <f>'Autoproducers Calculations'!AG217</f>
        <v>0</v>
      </c>
      <c r="AG7" s="717">
        <f>'Autoproducers Calculations'!AH217</f>
        <v>0</v>
      </c>
    </row>
    <row r="8" spans="1:33">
      <c r="B8" s="713" t="str">
        <f>'Autoproducers Calculations'!C223</f>
        <v>CHPAUTOGENOIL00</v>
      </c>
      <c r="C8" s="716">
        <f>'Autoproducers Calculations'!D226</f>
        <v>4.2186515486719882</v>
      </c>
      <c r="D8" s="717">
        <f>'Autoproducers Calculations'!E226</f>
        <v>1.2761702603202179E-2</v>
      </c>
      <c r="E8" s="717">
        <f>'Autoproducers Calculations'!F226</f>
        <v>0.13027507115141093</v>
      </c>
      <c r="F8" s="717">
        <f>'Autoproducers Calculations'!G226</f>
        <v>5.3924493615907704E-2</v>
      </c>
      <c r="G8" s="717">
        <f>'Autoproducers Calculations'!H226</f>
        <v>0</v>
      </c>
      <c r="H8" s="717">
        <f>'Autoproducers Calculations'!I226</f>
        <v>1.9250569290352636E-2</v>
      </c>
      <c r="I8" s="717">
        <f>'Autoproducers Calculations'!J226</f>
        <v>0.63510961725815263</v>
      </c>
      <c r="J8" s="717">
        <f>'Autoproducers Calculations'!K226</f>
        <v>0.37405146577306803</v>
      </c>
      <c r="K8" s="717">
        <f>'Autoproducers Calculations'!L226</f>
        <v>0</v>
      </c>
      <c r="L8" s="717">
        <f>'Autoproducers Calculations'!M226</f>
        <v>0.88987723542049135</v>
      </c>
      <c r="M8" s="717">
        <f>'Autoproducers Calculations'!N226</f>
        <v>8.5128148767546E-2</v>
      </c>
      <c r="N8" s="717">
        <f>'Autoproducers Calculations'!O226</f>
        <v>0.29316458213639618</v>
      </c>
      <c r="O8" s="717">
        <f>'Autoproducers Calculations'!P226</f>
        <v>5.9710234933605714E-2</v>
      </c>
      <c r="P8" s="717">
        <f>'Autoproducers Calculations'!Q226</f>
        <v>8.6214537013307099E-3</v>
      </c>
      <c r="Q8" s="717">
        <f>'Autoproducers Calculations'!R226</f>
        <v>0</v>
      </c>
      <c r="R8" s="717">
        <f>'Autoproducers Calculations'!S226</f>
        <v>0.90318065605971309</v>
      </c>
      <c r="S8" s="717">
        <f>'Autoproducers Calculations'!T226</f>
        <v>0</v>
      </c>
      <c r="T8" s="717">
        <f>'Autoproducers Calculations'!U226</f>
        <v>0</v>
      </c>
      <c r="U8" s="717">
        <f>'Autoproducers Calculations'!V226</f>
        <v>0</v>
      </c>
      <c r="V8" s="717">
        <f>'Autoproducers Calculations'!W226</f>
        <v>0</v>
      </c>
      <c r="W8" s="717">
        <f>'Autoproducers Calculations'!X226</f>
        <v>0.11835840122644796</v>
      </c>
      <c r="X8" s="717">
        <f>'Autoproducers Calculations'!Y226</f>
        <v>2.4926252360823818E-2</v>
      </c>
      <c r="Y8" s="717">
        <f>'Autoproducers Calculations'!Z226</f>
        <v>0.18146133394103611</v>
      </c>
      <c r="Z8" s="717">
        <f>'Autoproducers Calculations'!AA226</f>
        <v>1.6509076661044605E-2</v>
      </c>
      <c r="AA8" s="717">
        <f>'Autoproducers Calculations'!AB226</f>
        <v>5.3920092312130394E-2</v>
      </c>
      <c r="AB8" s="717">
        <f>'Autoproducers Calculations'!AC226</f>
        <v>5.4254839826839022E-3</v>
      </c>
      <c r="AC8" s="717">
        <f>'Autoproducers Calculations'!AD226</f>
        <v>0.11729845094664372</v>
      </c>
      <c r="AD8" s="717">
        <f>'Autoproducers Calculations'!AE226</f>
        <v>0.20266253250798355</v>
      </c>
      <c r="AE8" s="717">
        <f>'Autoproducers Calculations'!AF226</f>
        <v>3.3034694022016364E-2</v>
      </c>
      <c r="AF8" s="717">
        <f>'Autoproducers Calculations'!AG226</f>
        <v>0</v>
      </c>
      <c r="AG8" s="717">
        <f>'Autoproducers Calculations'!AH226</f>
        <v>0</v>
      </c>
    </row>
    <row r="9" spans="1:33">
      <c r="B9" s="713" t="str">
        <f>'Autoproducers Calculations'!C232</f>
        <v>CHPAUTOGENGAS00</v>
      </c>
      <c r="C9" s="716">
        <f>'Autoproducers Calculations'!D235</f>
        <v>21.18757632889038</v>
      </c>
      <c r="D9" s="717">
        <f>'Autoproducers Calculations'!E235</f>
        <v>0.40904801760652759</v>
      </c>
      <c r="E9" s="717">
        <f>'Autoproducers Calculations'!F235</f>
        <v>0.21782630215350057</v>
      </c>
      <c r="F9" s="717">
        <f>'Autoproducers Calculations'!G235</f>
        <v>9.8891758368592889E-2</v>
      </c>
      <c r="G9" s="717">
        <f>'Autoproducers Calculations'!H235</f>
        <v>0</v>
      </c>
      <c r="H9" s="717">
        <f>'Autoproducers Calculations'!I235</f>
        <v>0.47609527387088318</v>
      </c>
      <c r="I9" s="717">
        <f>'Autoproducers Calculations'!J235</f>
        <v>5.9394468362791262</v>
      </c>
      <c r="J9" s="717">
        <f>'Autoproducers Calculations'!K235</f>
        <v>0.17360956409015252</v>
      </c>
      <c r="K9" s="717">
        <f>'Autoproducers Calculations'!L235</f>
        <v>1.648613959445441E-2</v>
      </c>
      <c r="L9" s="717">
        <f>'Autoproducers Calculations'!M235</f>
        <v>3.0201455702356776</v>
      </c>
      <c r="M9" s="717">
        <f>'Autoproducers Calculations'!N235</f>
        <v>0.4502461291988108</v>
      </c>
      <c r="N9" s="717">
        <f>'Autoproducers Calculations'!O235</f>
        <v>2.5582541096207025</v>
      </c>
      <c r="O9" s="717">
        <f>'Autoproducers Calculations'!P235</f>
        <v>0.18385776506639429</v>
      </c>
      <c r="P9" s="717">
        <f>'Autoproducers Calculations'!Q235</f>
        <v>0.11854498839329726</v>
      </c>
      <c r="Q9" s="717">
        <f>'Autoproducers Calculations'!R235</f>
        <v>0.10230788350056244</v>
      </c>
      <c r="R9" s="717">
        <f>'Autoproducers Calculations'!S235</f>
        <v>1.5249349112043167</v>
      </c>
      <c r="S9" s="717">
        <f>'Autoproducers Calculations'!T235</f>
        <v>1.8877884399523641E-2</v>
      </c>
      <c r="T9" s="717">
        <f>'Autoproducers Calculations'!U235</f>
        <v>9.1520000000000004E-2</v>
      </c>
      <c r="U9" s="717">
        <f>'Autoproducers Calculations'!V235</f>
        <v>1.9557073170731704E-2</v>
      </c>
      <c r="V9" s="717">
        <f>'Autoproducers Calculations'!W235</f>
        <v>0</v>
      </c>
      <c r="W9" s="717">
        <f>'Autoproducers Calculations'!X235</f>
        <v>1.2496765686609856</v>
      </c>
      <c r="X9" s="717">
        <f>'Autoproducers Calculations'!Y235</f>
        <v>0.33664288605090387</v>
      </c>
      <c r="Y9" s="717">
        <f>'Autoproducers Calculations'!Z235</f>
        <v>0.30575795040468612</v>
      </c>
      <c r="Z9" s="717">
        <f>'Autoproducers Calculations'!AA235</f>
        <v>5.501538249477838E-2</v>
      </c>
      <c r="AA9" s="717">
        <f>'Autoproducers Calculations'!AB235</f>
        <v>7.166594547814798E-3</v>
      </c>
      <c r="AB9" s="717">
        <f>'Autoproducers Calculations'!AC235</f>
        <v>2.8856792932900006E-2</v>
      </c>
      <c r="AC9" s="717">
        <f>'Autoproducers Calculations'!AD235</f>
        <v>0.14728523235800345</v>
      </c>
      <c r="AD9" s="717">
        <f>'Autoproducers Calculations'!AE235</f>
        <v>3.3924285977495061</v>
      </c>
      <c r="AE9" s="717">
        <f>'Autoproducers Calculations'!AF235</f>
        <v>0.2450961169375408</v>
      </c>
      <c r="AF9" s="717">
        <f>'Autoproducers Calculations'!AG235</f>
        <v>0</v>
      </c>
      <c r="AG9" s="717">
        <f>'Autoproducers Calculations'!AH235</f>
        <v>0</v>
      </c>
    </row>
    <row r="10" spans="1:33">
      <c r="B10" s="713" t="str">
        <f>'Autoproducers Calculations'!C241</f>
        <v>CHPAUTOGENBIO00</v>
      </c>
      <c r="C10" s="716">
        <f>'Autoproducers Calculations'!D244</f>
        <v>4.2795836173042527</v>
      </c>
      <c r="D10" s="717">
        <f>'Autoproducers Calculations'!E244</f>
        <v>0.32120496468781928</v>
      </c>
      <c r="E10" s="717">
        <f>'Autoproducers Calculations'!F244</f>
        <v>6.1800868942651507E-2</v>
      </c>
      <c r="F10" s="717">
        <f>'Autoproducers Calculations'!G244</f>
        <v>0</v>
      </c>
      <c r="G10" s="717">
        <f>'Autoproducers Calculations'!H244</f>
        <v>0</v>
      </c>
      <c r="H10" s="717">
        <f>'Autoproducers Calculations'!I244</f>
        <v>6.4821018607495409E-2</v>
      </c>
      <c r="I10" s="717">
        <f>'Autoproducers Calculations'!J244</f>
        <v>0.91298113657289826</v>
      </c>
      <c r="J10" s="717">
        <f>'Autoproducers Calculations'!K244</f>
        <v>2.4243383658826573E-3</v>
      </c>
      <c r="K10" s="717">
        <f>'Autoproducers Calculations'!L244</f>
        <v>3.3631724772686992E-3</v>
      </c>
      <c r="L10" s="717">
        <f>'Autoproducers Calculations'!M244</f>
        <v>0.31784180179929211</v>
      </c>
      <c r="M10" s="717">
        <f>'Autoproducers Calculations'!N244</f>
        <v>1.2517044134271629</v>
      </c>
      <c r="N10" s="717">
        <f>'Autoproducers Calculations'!O244</f>
        <v>0.13132860909947935</v>
      </c>
      <c r="O10" s="717">
        <f>'Autoproducers Calculations'!P244</f>
        <v>0</v>
      </c>
      <c r="P10" s="717">
        <f>'Autoproducers Calculations'!Q244</f>
        <v>2.3277924993592917E-3</v>
      </c>
      <c r="Q10" s="717">
        <f>'Autoproducers Calculations'!R244</f>
        <v>2.9255408233970753E-3</v>
      </c>
      <c r="R10" s="717">
        <f>'Autoproducers Calculations'!S244</f>
        <v>8.3485754561105508E-3</v>
      </c>
      <c r="S10" s="717">
        <f>'Autoproducers Calculations'!T244</f>
        <v>3.0765152903660547E-3</v>
      </c>
      <c r="T10" s="717">
        <f>'Autoproducers Calculations'!U244</f>
        <v>0</v>
      </c>
      <c r="U10" s="717">
        <f>'Autoproducers Calculations'!V244</f>
        <v>2.0292682926829265E-4</v>
      </c>
      <c r="V10" s="717">
        <f>'Autoproducers Calculations'!W244</f>
        <v>0</v>
      </c>
      <c r="W10" s="717">
        <f>'Autoproducers Calculations'!X244</f>
        <v>0</v>
      </c>
      <c r="X10" s="717">
        <f>'Autoproducers Calculations'!Y244</f>
        <v>0.14295667326198397</v>
      </c>
      <c r="Y10" s="717">
        <f>'Autoproducers Calculations'!Z244</f>
        <v>0.13074596920468837</v>
      </c>
      <c r="Z10" s="717">
        <f>'Autoproducers Calculations'!AA244</f>
        <v>3.7926257194291664E-4</v>
      </c>
      <c r="AA10" s="717">
        <f>'Autoproducers Calculations'!AB244</f>
        <v>0.88256611856339251</v>
      </c>
      <c r="AB10" s="717">
        <f>'Autoproducers Calculations'!AC244</f>
        <v>2.8415972359306936E-2</v>
      </c>
      <c r="AC10" s="717">
        <f>'Autoproducers Calculations'!AD244</f>
        <v>7.063132530120482E-3</v>
      </c>
      <c r="AD10" s="717">
        <f>'Autoproducers Calculations'!AE244</f>
        <v>0</v>
      </c>
      <c r="AE10" s="717">
        <f>'Autoproducers Calculations'!AF244</f>
        <v>3.1048139343671298E-3</v>
      </c>
      <c r="AF10" s="717">
        <f>'Autoproducers Calculations'!AG244</f>
        <v>0</v>
      </c>
      <c r="AG10" s="717">
        <f>'Autoproducers Calculations'!AH244</f>
        <v>0</v>
      </c>
    </row>
    <row r="11" spans="1:33">
      <c r="B11" s="713" t="str">
        <f>'Autoproducers Calculations'!C250</f>
        <v>CHPAUTOGENWASTE00</v>
      </c>
      <c r="C11" s="716">
        <f>'Autoproducers Calculations'!D253</f>
        <v>0.22698841073093814</v>
      </c>
      <c r="D11" s="717">
        <f>'Autoproducers Calculations'!E253</f>
        <v>1.3293440211668936E-2</v>
      </c>
      <c r="E11" s="717">
        <f>'Autoproducers Calculations'!F253</f>
        <v>1.3564275225675859E-2</v>
      </c>
      <c r="F11" s="717">
        <f>'Autoproducers Calculations'!G253</f>
        <v>0</v>
      </c>
      <c r="G11" s="717">
        <f>'Autoproducers Calculations'!H253</f>
        <v>0</v>
      </c>
      <c r="H11" s="717">
        <f>'Autoproducers Calculations'!I253</f>
        <v>3.5536588917037953E-3</v>
      </c>
      <c r="I11" s="717">
        <f>'Autoproducers Calculations'!J253</f>
        <v>0</v>
      </c>
      <c r="J11" s="717">
        <f>'Autoproducers Calculations'!K253</f>
        <v>3.5766473422589929E-3</v>
      </c>
      <c r="K11" s="717">
        <f>'Autoproducers Calculations'!L253</f>
        <v>0</v>
      </c>
      <c r="L11" s="717">
        <f>'Autoproducers Calculations'!M253</f>
        <v>0</v>
      </c>
      <c r="M11" s="717">
        <f>'Autoproducers Calculations'!N253</f>
        <v>1.4085952673766606E-2</v>
      </c>
      <c r="N11" s="717">
        <f>'Autoproducers Calculations'!O253</f>
        <v>0</v>
      </c>
      <c r="O11" s="717">
        <f>'Autoproducers Calculations'!P253</f>
        <v>0</v>
      </c>
      <c r="P11" s="717">
        <f>'Autoproducers Calculations'!Q253</f>
        <v>5.2590867578117331E-3</v>
      </c>
      <c r="Q11" s="717">
        <f>'Autoproducers Calculations'!R253</f>
        <v>0</v>
      </c>
      <c r="R11" s="717">
        <f>'Autoproducers Calculations'!S253</f>
        <v>9.8186973551942867E-3</v>
      </c>
      <c r="S11" s="717">
        <f>'Autoproducers Calculations'!T253</f>
        <v>0</v>
      </c>
      <c r="T11" s="717">
        <f>'Autoproducers Calculations'!U253</f>
        <v>0</v>
      </c>
      <c r="U11" s="717">
        <f>'Autoproducers Calculations'!V253</f>
        <v>0</v>
      </c>
      <c r="V11" s="717">
        <f>'Autoproducers Calculations'!W253</f>
        <v>0</v>
      </c>
      <c r="W11" s="717">
        <f>'Autoproducers Calculations'!X253</f>
        <v>0</v>
      </c>
      <c r="X11" s="717">
        <f>'Autoproducers Calculations'!Y253</f>
        <v>4.1497594208112241E-2</v>
      </c>
      <c r="Y11" s="717">
        <f>'Autoproducers Calculations'!Z253</f>
        <v>0</v>
      </c>
      <c r="Z11" s="717">
        <f>'Autoproducers Calculations'!AA253</f>
        <v>0</v>
      </c>
      <c r="AA11" s="717">
        <f>'Autoproducers Calculations'!AB253</f>
        <v>0</v>
      </c>
      <c r="AB11" s="717">
        <f>'Autoproducers Calculations'!AC253</f>
        <v>3.1196532900432438E-3</v>
      </c>
      <c r="AC11" s="717">
        <f>'Autoproducers Calculations'!AD253</f>
        <v>2.0811015490533567E-2</v>
      </c>
      <c r="AD11" s="717">
        <f>'Autoproducers Calculations'!AE253</f>
        <v>4.2784950200523551E-2</v>
      </c>
      <c r="AE11" s="717">
        <f>'Autoproducers Calculations'!AF253</f>
        <v>5.5623439083645303E-2</v>
      </c>
      <c r="AF11" s="717">
        <f>'Autoproducers Calculations'!AG253</f>
        <v>0</v>
      </c>
      <c r="AG11" s="717">
        <f>'Autoproducers Calculations'!AH253</f>
        <v>0</v>
      </c>
    </row>
    <row r="12" spans="1:33">
      <c r="C12" s="715"/>
      <c r="D12" s="715"/>
      <c r="E12" s="715"/>
      <c r="F12" s="715"/>
      <c r="G12" s="715"/>
      <c r="H12" s="715"/>
      <c r="I12" s="715"/>
      <c r="J12" s="715"/>
      <c r="K12" s="715"/>
      <c r="L12" s="715"/>
      <c r="M12" s="715"/>
      <c r="N12" s="715"/>
      <c r="O12" s="715"/>
      <c r="P12" s="715"/>
      <c r="Q12" s="715"/>
      <c r="R12" s="715"/>
      <c r="S12" s="715"/>
      <c r="T12" s="715"/>
      <c r="U12" s="715"/>
      <c r="V12" s="715"/>
      <c r="W12" s="715"/>
      <c r="X12" s="715"/>
      <c r="Y12" s="715"/>
      <c r="Z12" s="715"/>
      <c r="AA12" s="715"/>
      <c r="AB12" s="715"/>
      <c r="AC12" s="715"/>
      <c r="AD12" s="715"/>
      <c r="AE12" s="715"/>
      <c r="AF12" s="715"/>
      <c r="AG12" s="715"/>
    </row>
    <row r="13" spans="1:33">
      <c r="C13" s="715"/>
      <c r="D13" s="715"/>
      <c r="E13" s="715"/>
      <c r="F13" s="715"/>
      <c r="G13" s="715"/>
      <c r="H13" s="715"/>
      <c r="I13" s="715"/>
      <c r="J13" s="715"/>
      <c r="K13" s="715"/>
      <c r="L13" s="715"/>
      <c r="M13" s="715"/>
      <c r="N13" s="715"/>
      <c r="O13" s="715"/>
      <c r="P13" s="715"/>
      <c r="Q13" s="715"/>
      <c r="R13" s="715"/>
      <c r="S13" s="715"/>
      <c r="T13" s="715"/>
      <c r="U13" s="715"/>
      <c r="V13" s="715"/>
      <c r="W13" s="715"/>
      <c r="X13" s="715"/>
      <c r="Y13" s="715"/>
      <c r="Z13" s="715"/>
      <c r="AA13" s="715"/>
      <c r="AB13" s="715"/>
      <c r="AC13" s="715"/>
      <c r="AD13" s="715"/>
      <c r="AE13" s="715"/>
      <c r="AF13" s="715"/>
      <c r="AG13" s="715"/>
    </row>
    <row r="14" spans="1:33">
      <c r="C14" s="715"/>
      <c r="D14" s="715"/>
      <c r="E14" s="715"/>
      <c r="F14" s="715"/>
      <c r="G14" s="715"/>
      <c r="H14" s="715"/>
      <c r="I14" s="715"/>
      <c r="J14" s="715"/>
      <c r="K14" s="715"/>
      <c r="L14" s="715"/>
      <c r="M14" s="715"/>
      <c r="N14" s="715"/>
      <c r="O14" s="715"/>
      <c r="P14" s="715"/>
      <c r="Q14" s="715"/>
      <c r="R14" s="715"/>
      <c r="S14" s="715"/>
      <c r="T14" s="715"/>
      <c r="U14" s="715"/>
      <c r="V14" s="715"/>
      <c r="W14" s="715"/>
      <c r="X14" s="715"/>
      <c r="Y14" s="715"/>
      <c r="Z14" s="715"/>
      <c r="AA14" s="715"/>
      <c r="AB14" s="715"/>
      <c r="AC14" s="715"/>
      <c r="AD14" s="715"/>
      <c r="AE14" s="715"/>
      <c r="AF14" s="715"/>
      <c r="AG14" s="715"/>
    </row>
    <row r="15" spans="1:33">
      <c r="C15" s="715"/>
      <c r="D15" s="715"/>
      <c r="E15" s="715"/>
      <c r="F15" s="715"/>
      <c r="G15" s="715"/>
      <c r="H15" s="715"/>
      <c r="I15" s="715"/>
      <c r="J15" s="715"/>
      <c r="K15" s="715"/>
      <c r="L15" s="715"/>
      <c r="M15" s="715"/>
      <c r="N15" s="715"/>
      <c r="O15" s="715"/>
      <c r="P15" s="715"/>
      <c r="Q15" s="715"/>
      <c r="R15" s="715"/>
      <c r="S15" s="715"/>
      <c r="T15" s="715"/>
      <c r="U15" s="715"/>
      <c r="V15" s="715"/>
      <c r="W15" s="715"/>
      <c r="X15" s="715"/>
      <c r="Y15" s="715"/>
      <c r="Z15" s="715"/>
      <c r="AA15" s="715"/>
      <c r="AB15" s="715"/>
      <c r="AC15" s="715"/>
      <c r="AD15" s="715"/>
      <c r="AE15" s="715"/>
      <c r="AF15" s="715"/>
      <c r="AG15" s="715"/>
    </row>
    <row r="16" spans="1:33">
      <c r="C16" s="715"/>
      <c r="D16" s="715"/>
      <c r="E16" s="715"/>
      <c r="F16" s="715"/>
      <c r="G16" s="715"/>
      <c r="H16" s="715"/>
      <c r="I16" s="715"/>
      <c r="J16" s="715"/>
      <c r="K16" s="715"/>
      <c r="L16" s="715"/>
      <c r="M16" s="715"/>
      <c r="N16" s="715"/>
      <c r="O16" s="715"/>
      <c r="P16" s="715"/>
      <c r="Q16" s="715"/>
      <c r="R16" s="715"/>
      <c r="S16" s="715"/>
      <c r="T16" s="715"/>
      <c r="U16" s="715"/>
      <c r="V16" s="715"/>
      <c r="W16" s="715"/>
      <c r="X16" s="715"/>
      <c r="Y16" s="715"/>
      <c r="Z16" s="715"/>
      <c r="AA16" s="715"/>
      <c r="AB16" s="715"/>
      <c r="AC16" s="715"/>
      <c r="AD16" s="715"/>
      <c r="AE16" s="715"/>
      <c r="AF16" s="715"/>
      <c r="AG16" s="715"/>
    </row>
    <row r="17" spans="2:33">
      <c r="C17" s="715"/>
      <c r="D17" s="715"/>
      <c r="E17" s="715"/>
      <c r="F17" s="715"/>
      <c r="G17" s="715"/>
      <c r="H17" s="715"/>
      <c r="I17" s="715"/>
      <c r="J17" s="715"/>
      <c r="K17" s="715"/>
      <c r="L17" s="715"/>
      <c r="M17" s="715"/>
      <c r="N17" s="715"/>
      <c r="O17" s="715"/>
      <c r="P17" s="715"/>
      <c r="Q17" s="715"/>
      <c r="R17" s="715"/>
      <c r="S17" s="715"/>
      <c r="T17" s="715"/>
      <c r="U17" s="715"/>
      <c r="V17" s="715"/>
      <c r="W17" s="715"/>
      <c r="X17" s="715"/>
      <c r="Y17" s="715"/>
      <c r="Z17" s="715"/>
      <c r="AA17" s="715"/>
      <c r="AB17" s="715"/>
      <c r="AC17" s="715"/>
      <c r="AD17" s="715"/>
      <c r="AE17" s="715"/>
      <c r="AF17" s="715"/>
      <c r="AG17" s="715"/>
    </row>
    <row r="18" spans="2:33">
      <c r="B18" s="712" t="s">
        <v>1308</v>
      </c>
      <c r="C18" s="715"/>
      <c r="D18" s="715"/>
      <c r="E18" s="715"/>
      <c r="F18" s="715"/>
      <c r="G18" s="715"/>
      <c r="H18" s="715"/>
      <c r="I18" s="715"/>
      <c r="J18" s="715"/>
      <c r="K18" s="715"/>
      <c r="L18" s="715"/>
      <c r="M18" s="715"/>
      <c r="N18" s="715"/>
      <c r="O18" s="715"/>
      <c r="P18" s="715"/>
      <c r="Q18" s="715"/>
      <c r="R18" s="715"/>
      <c r="S18" s="715"/>
      <c r="T18" s="715"/>
      <c r="U18" s="715"/>
      <c r="V18" s="715"/>
      <c r="W18" s="715"/>
      <c r="X18" s="715"/>
      <c r="Y18" s="715"/>
      <c r="Z18" s="715"/>
      <c r="AA18" s="715"/>
      <c r="AB18" s="715"/>
      <c r="AC18" s="715"/>
      <c r="AD18" s="715"/>
      <c r="AE18" s="715"/>
      <c r="AF18" s="715"/>
      <c r="AG18" s="715"/>
    </row>
    <row r="19" spans="2:33">
      <c r="C19" s="715"/>
      <c r="D19" s="715"/>
      <c r="E19" s="715"/>
      <c r="F19" s="715"/>
      <c r="G19" s="715"/>
      <c r="H19" s="715"/>
      <c r="I19" s="715"/>
      <c r="J19" s="715"/>
      <c r="K19" s="715"/>
      <c r="L19" s="715"/>
      <c r="M19" s="715"/>
      <c r="N19" s="715"/>
      <c r="O19" s="715"/>
      <c r="P19" s="715"/>
      <c r="Q19" s="715"/>
      <c r="R19" s="715"/>
      <c r="S19" s="715"/>
      <c r="T19" s="715"/>
      <c r="U19" s="715"/>
      <c r="V19" s="715"/>
      <c r="W19" s="715"/>
      <c r="X19" s="715"/>
      <c r="Y19" s="715"/>
      <c r="Z19" s="715"/>
      <c r="AA19" s="715"/>
      <c r="AB19" s="715"/>
      <c r="AC19" s="715"/>
      <c r="AD19" s="715"/>
      <c r="AE19" s="715"/>
      <c r="AF19" s="715"/>
      <c r="AG19" s="715"/>
    </row>
    <row r="20" spans="2:33">
      <c r="B20" s="712" t="s">
        <v>1343</v>
      </c>
      <c r="C20" s="714" t="str">
        <f>C5</f>
        <v>TOTAL</v>
      </c>
      <c r="D20" s="715" t="str">
        <f t="shared" ref="D20:AG20" si="0">D5</f>
        <v>AT</v>
      </c>
      <c r="E20" s="715" t="str">
        <f t="shared" si="0"/>
        <v>BE</v>
      </c>
      <c r="F20" s="715" t="str">
        <f t="shared" si="0"/>
        <v>BG</v>
      </c>
      <c r="G20" s="715" t="str">
        <f t="shared" si="0"/>
        <v>CY</v>
      </c>
      <c r="H20" s="715" t="str">
        <f t="shared" si="0"/>
        <v>CZ</v>
      </c>
      <c r="I20" s="715" t="str">
        <f t="shared" si="0"/>
        <v>DE</v>
      </c>
      <c r="J20" s="715" t="str">
        <f t="shared" si="0"/>
        <v>DK</v>
      </c>
      <c r="K20" s="715" t="str">
        <f t="shared" si="0"/>
        <v>EE</v>
      </c>
      <c r="L20" s="715" t="str">
        <f t="shared" si="0"/>
        <v>ES</v>
      </c>
      <c r="M20" s="715" t="str">
        <f t="shared" si="0"/>
        <v>FI</v>
      </c>
      <c r="N20" s="715" t="str">
        <f t="shared" si="0"/>
        <v>FR</v>
      </c>
      <c r="O20" s="715" t="str">
        <f t="shared" si="0"/>
        <v>GR</v>
      </c>
      <c r="P20" s="715" t="str">
        <f t="shared" si="0"/>
        <v>HU</v>
      </c>
      <c r="Q20" s="715" t="str">
        <f t="shared" si="0"/>
        <v>IE</v>
      </c>
      <c r="R20" s="715" t="str">
        <f t="shared" si="0"/>
        <v>IT</v>
      </c>
      <c r="S20" s="715" t="str">
        <f t="shared" si="0"/>
        <v>LT</v>
      </c>
      <c r="T20" s="715" t="str">
        <f t="shared" si="0"/>
        <v>LU</v>
      </c>
      <c r="U20" s="715" t="str">
        <f t="shared" si="0"/>
        <v>LV</v>
      </c>
      <c r="V20" s="715" t="str">
        <f t="shared" si="0"/>
        <v>MT</v>
      </c>
      <c r="W20" s="715" t="str">
        <f t="shared" si="0"/>
        <v>NL</v>
      </c>
      <c r="X20" s="715" t="str">
        <f t="shared" si="0"/>
        <v>PL</v>
      </c>
      <c r="Y20" s="715" t="str">
        <f t="shared" si="0"/>
        <v>PT</v>
      </c>
      <c r="Z20" s="715" t="str">
        <f t="shared" si="0"/>
        <v>RO</v>
      </c>
      <c r="AA20" s="715" t="str">
        <f t="shared" si="0"/>
        <v>SE</v>
      </c>
      <c r="AB20" s="715" t="str">
        <f t="shared" si="0"/>
        <v>SI</v>
      </c>
      <c r="AC20" s="715" t="str">
        <f t="shared" si="0"/>
        <v>SK</v>
      </c>
      <c r="AD20" s="715" t="str">
        <f t="shared" si="0"/>
        <v>UK</v>
      </c>
      <c r="AE20" s="715" t="str">
        <f t="shared" si="0"/>
        <v>CH</v>
      </c>
      <c r="AF20" s="715" t="str">
        <f t="shared" si="0"/>
        <v>IS</v>
      </c>
      <c r="AG20" s="715" t="str">
        <f t="shared" si="0"/>
        <v>NO</v>
      </c>
    </row>
    <row r="21" spans="2:33">
      <c r="B21" s="713" t="str">
        <f>'Autoproducers Calculations'!C388</f>
        <v>EAUTOGENSOLID00</v>
      </c>
      <c r="C21" s="716">
        <f>'Autoproducers Calculations'!D390</f>
        <v>3.4984294277281345</v>
      </c>
      <c r="D21" s="717">
        <f>'Autoproducers Calculations'!E390</f>
        <v>8.4021148501408956E-3</v>
      </c>
      <c r="E21" s="717">
        <f>'Autoproducers Calculations'!F390</f>
        <v>0</v>
      </c>
      <c r="F21" s="717">
        <f>'Autoproducers Calculations'!G390</f>
        <v>0</v>
      </c>
      <c r="G21" s="717">
        <f>'Autoproducers Calculations'!H390</f>
        <v>0</v>
      </c>
      <c r="H21" s="717">
        <f>'Autoproducers Calculations'!I390</f>
        <v>0.74224331838565027</v>
      </c>
      <c r="I21" s="717">
        <f>'Autoproducers Calculations'!J390</f>
        <v>1.4256982957857971</v>
      </c>
      <c r="J21" s="717">
        <f>'Autoproducers Calculations'!K390</f>
        <v>0</v>
      </c>
      <c r="K21" s="717">
        <f>'Autoproducers Calculations'!L390</f>
        <v>0</v>
      </c>
      <c r="L21" s="717">
        <f>'Autoproducers Calculations'!M390</f>
        <v>0</v>
      </c>
      <c r="M21" s="717">
        <f>'Autoproducers Calculations'!N390</f>
        <v>3.1707606337013903E-3</v>
      </c>
      <c r="N21" s="717">
        <f>'Autoproducers Calculations'!O390</f>
        <v>0.31096378184366724</v>
      </c>
      <c r="O21" s="717">
        <f>'Autoproducers Calculations'!P390</f>
        <v>0</v>
      </c>
      <c r="P21" s="717">
        <f>'Autoproducers Calculations'!Q390</f>
        <v>0</v>
      </c>
      <c r="Q21" s="717">
        <f>'Autoproducers Calculations'!R390</f>
        <v>0</v>
      </c>
      <c r="R21" s="717">
        <f>'Autoproducers Calculations'!S390</f>
        <v>7.2295401054348604E-2</v>
      </c>
      <c r="S21" s="717">
        <f>'Autoproducers Calculations'!T390</f>
        <v>0</v>
      </c>
      <c r="T21" s="717">
        <f>'Autoproducers Calculations'!U390</f>
        <v>0</v>
      </c>
      <c r="U21" s="717">
        <f>'Autoproducers Calculations'!V390</f>
        <v>0</v>
      </c>
      <c r="V21" s="717">
        <f>'Autoproducers Calculations'!W390</f>
        <v>0</v>
      </c>
      <c r="W21" s="717">
        <f>'Autoproducers Calculations'!X390</f>
        <v>0</v>
      </c>
      <c r="X21" s="717">
        <f>'Autoproducers Calculations'!Y390</f>
        <v>0</v>
      </c>
      <c r="Y21" s="717">
        <f>'Autoproducers Calculations'!Z390</f>
        <v>0</v>
      </c>
      <c r="Z21" s="717">
        <f>'Autoproducers Calculations'!AA390</f>
        <v>0</v>
      </c>
      <c r="AA21" s="717">
        <f>'Autoproducers Calculations'!AB390</f>
        <v>0</v>
      </c>
      <c r="AB21" s="717">
        <f>'Autoproducers Calculations'!AC390</f>
        <v>0</v>
      </c>
      <c r="AC21" s="717">
        <f>'Autoproducers Calculations'!AD390</f>
        <v>0</v>
      </c>
      <c r="AD21" s="717">
        <f>'Autoproducers Calculations'!AE390</f>
        <v>0.93565575517482968</v>
      </c>
      <c r="AE21" s="717">
        <f>'Autoproducers Calculations'!AF390</f>
        <v>0</v>
      </c>
      <c r="AF21" s="717">
        <f>'Autoproducers Calculations'!AG390</f>
        <v>0</v>
      </c>
      <c r="AG21" s="717">
        <f>'Autoproducers Calculations'!AH390</f>
        <v>0</v>
      </c>
    </row>
    <row r="22" spans="2:33">
      <c r="B22" s="713" t="str">
        <f>'Autoproducers Calculations'!C395</f>
        <v>EAUTOGENRFGD00</v>
      </c>
      <c r="C22" s="716">
        <f>'Autoproducers Calculations'!D397</f>
        <v>5.6688700605182551E-2</v>
      </c>
      <c r="D22" s="717">
        <f>'Autoproducers Calculations'!E397</f>
        <v>0</v>
      </c>
      <c r="E22" s="717">
        <f>'Autoproducers Calculations'!F397</f>
        <v>0</v>
      </c>
      <c r="F22" s="717">
        <f>'Autoproducers Calculations'!G397</f>
        <v>2.4945484645631046E-3</v>
      </c>
      <c r="G22" s="717">
        <f>'Autoproducers Calculations'!H397</f>
        <v>0</v>
      </c>
      <c r="H22" s="717">
        <f>'Autoproducers Calculations'!I397</f>
        <v>0</v>
      </c>
      <c r="I22" s="717">
        <f>'Autoproducers Calculations'!J397</f>
        <v>5.1766502676067784E-2</v>
      </c>
      <c r="J22" s="717">
        <f>'Autoproducers Calculations'!K397</f>
        <v>0</v>
      </c>
      <c r="K22" s="717">
        <f>'Autoproducers Calculations'!L397</f>
        <v>0</v>
      </c>
      <c r="L22" s="717">
        <f>'Autoproducers Calculations'!M397</f>
        <v>0</v>
      </c>
      <c r="M22" s="717">
        <f>'Autoproducers Calculations'!N397</f>
        <v>0</v>
      </c>
      <c r="N22" s="717">
        <f>'Autoproducers Calculations'!O397</f>
        <v>0</v>
      </c>
      <c r="O22" s="717">
        <f>'Autoproducers Calculations'!P397</f>
        <v>0</v>
      </c>
      <c r="P22" s="717">
        <f>'Autoproducers Calculations'!Q397</f>
        <v>0</v>
      </c>
      <c r="Q22" s="717">
        <f>'Autoproducers Calculations'!R397</f>
        <v>0</v>
      </c>
      <c r="R22" s="717">
        <f>'Autoproducers Calculations'!S397</f>
        <v>2.4276494645516654E-3</v>
      </c>
      <c r="S22" s="717">
        <f>'Autoproducers Calculations'!T397</f>
        <v>0</v>
      </c>
      <c r="T22" s="717">
        <f>'Autoproducers Calculations'!U397</f>
        <v>0</v>
      </c>
      <c r="U22" s="717">
        <f>'Autoproducers Calculations'!V397</f>
        <v>0</v>
      </c>
      <c r="V22" s="717">
        <f>'Autoproducers Calculations'!W397</f>
        <v>0</v>
      </c>
      <c r="W22" s="717">
        <f>'Autoproducers Calculations'!X397</f>
        <v>0</v>
      </c>
      <c r="X22" s="717">
        <f>'Autoproducers Calculations'!Y397</f>
        <v>0</v>
      </c>
      <c r="Y22" s="717">
        <f>'Autoproducers Calculations'!Z397</f>
        <v>0</v>
      </c>
      <c r="Z22" s="717">
        <f>'Autoproducers Calculations'!AA397</f>
        <v>0</v>
      </c>
      <c r="AA22" s="717">
        <f>'Autoproducers Calculations'!AB397</f>
        <v>0</v>
      </c>
      <c r="AB22" s="717">
        <f>'Autoproducers Calculations'!AC397</f>
        <v>0</v>
      </c>
      <c r="AC22" s="717">
        <f>'Autoproducers Calculations'!AD397</f>
        <v>0</v>
      </c>
      <c r="AD22" s="717">
        <f>'Autoproducers Calculations'!AE397</f>
        <v>0</v>
      </c>
      <c r="AE22" s="717">
        <f>'Autoproducers Calculations'!AF397</f>
        <v>0</v>
      </c>
      <c r="AF22" s="717">
        <f>'Autoproducers Calculations'!AG397</f>
        <v>0</v>
      </c>
      <c r="AG22" s="717">
        <f>'Autoproducers Calculations'!AH397</f>
        <v>0</v>
      </c>
    </row>
    <row r="23" spans="2:33">
      <c r="B23" s="713" t="str">
        <f>'Autoproducers Calculations'!C402</f>
        <v>EAUTOGENOIL00</v>
      </c>
      <c r="C23" s="716">
        <f>'Autoproducers Calculations'!D404</f>
        <v>2.2079148758024729</v>
      </c>
      <c r="D23" s="717">
        <f>'Autoproducers Calculations'!E404</f>
        <v>4.8707912174729834E-3</v>
      </c>
      <c r="E23" s="717">
        <f>'Autoproducers Calculations'!F404</f>
        <v>0</v>
      </c>
      <c r="F23" s="717">
        <f>'Autoproducers Calculations'!G404</f>
        <v>1.9069437151326848E-2</v>
      </c>
      <c r="G23" s="717">
        <f>'Autoproducers Calculations'!H404</f>
        <v>0</v>
      </c>
      <c r="H23" s="717">
        <f>'Autoproducers Calculations'!I404</f>
        <v>0.1426414349775785</v>
      </c>
      <c r="I23" s="717">
        <f>'Autoproducers Calculations'!J404</f>
        <v>0.20231325487545102</v>
      </c>
      <c r="J23" s="717">
        <f>'Autoproducers Calculations'!K404</f>
        <v>0</v>
      </c>
      <c r="K23" s="717">
        <f>'Autoproducers Calculations'!L404</f>
        <v>0</v>
      </c>
      <c r="L23" s="717">
        <f>'Autoproducers Calculations'!M404</f>
        <v>0</v>
      </c>
      <c r="M23" s="717">
        <f>'Autoproducers Calculations'!N404</f>
        <v>2.3780704752760427E-2</v>
      </c>
      <c r="N23" s="717">
        <f>'Autoproducers Calculations'!O404</f>
        <v>0.44028856075780543</v>
      </c>
      <c r="O23" s="717">
        <f>'Autoproducers Calculations'!P404</f>
        <v>0</v>
      </c>
      <c r="P23" s="717">
        <f>'Autoproducers Calculations'!Q404</f>
        <v>0</v>
      </c>
      <c r="Q23" s="717">
        <f>'Autoproducers Calculations'!R404</f>
        <v>0</v>
      </c>
      <c r="R23" s="717">
        <f>'Autoproducers Calculations'!S404</f>
        <v>0.96159195290891475</v>
      </c>
      <c r="S23" s="717">
        <f>'Autoproducers Calculations'!T404</f>
        <v>0</v>
      </c>
      <c r="T23" s="717">
        <f>'Autoproducers Calculations'!U404</f>
        <v>0</v>
      </c>
      <c r="U23" s="717">
        <f>'Autoproducers Calculations'!V404</f>
        <v>0</v>
      </c>
      <c r="V23" s="717">
        <f>'Autoproducers Calculations'!W404</f>
        <v>0</v>
      </c>
      <c r="W23" s="717">
        <f>'Autoproducers Calculations'!X404</f>
        <v>0</v>
      </c>
      <c r="X23" s="717">
        <f>'Autoproducers Calculations'!Y404</f>
        <v>0</v>
      </c>
      <c r="Y23" s="717">
        <f>'Autoproducers Calculations'!Z404</f>
        <v>2.30684469150251E-2</v>
      </c>
      <c r="Z23" s="717">
        <f>'Autoproducers Calculations'!AA404</f>
        <v>0.20009707938147234</v>
      </c>
      <c r="AA23" s="717">
        <f>'Autoproducers Calculations'!AB404</f>
        <v>2.6130329847143984E-4</v>
      </c>
      <c r="AB23" s="717">
        <f>'Autoproducers Calculations'!AC404</f>
        <v>0</v>
      </c>
      <c r="AC23" s="717">
        <f>'Autoproducers Calculations'!AD404</f>
        <v>0</v>
      </c>
      <c r="AD23" s="717">
        <f>'Autoproducers Calculations'!AE404</f>
        <v>1.9974442392204323E-2</v>
      </c>
      <c r="AE23" s="717">
        <f>'Autoproducers Calculations'!AF404</f>
        <v>0.14540399418611835</v>
      </c>
      <c r="AF23" s="717">
        <f>'Autoproducers Calculations'!AG404</f>
        <v>0</v>
      </c>
      <c r="AG23" s="717">
        <f>'Autoproducers Calculations'!AH404</f>
        <v>2.455347298787211E-2</v>
      </c>
    </row>
    <row r="24" spans="2:33">
      <c r="B24" s="713" t="str">
        <f>'Autoproducers Calculations'!C409</f>
        <v>EAUTOGENGAS00</v>
      </c>
      <c r="C24" s="716">
        <f>'Autoproducers Calculations'!D411</f>
        <v>7.8728691297365954</v>
      </c>
      <c r="D24" s="717">
        <f>'Autoproducers Calculations'!E411</f>
        <v>0.89853920984332858</v>
      </c>
      <c r="E24" s="717">
        <f>'Autoproducers Calculations'!F411</f>
        <v>0</v>
      </c>
      <c r="F24" s="717">
        <f>'Autoproducers Calculations'!G411</f>
        <v>0</v>
      </c>
      <c r="G24" s="717">
        <f>'Autoproducers Calculations'!H411</f>
        <v>0</v>
      </c>
      <c r="H24" s="717">
        <f>'Autoproducers Calculations'!I411</f>
        <v>5.0675246636771309E-2</v>
      </c>
      <c r="I24" s="717">
        <f>'Autoproducers Calculations'!J411</f>
        <v>0.97730789655167871</v>
      </c>
      <c r="J24" s="717">
        <f>'Autoproducers Calculations'!K411</f>
        <v>0</v>
      </c>
      <c r="K24" s="717">
        <f>'Autoproducers Calculations'!L411</f>
        <v>4.7491702156167367E-3</v>
      </c>
      <c r="L24" s="717">
        <f>'Autoproducers Calculations'!M411</f>
        <v>0.32843168298937181</v>
      </c>
      <c r="M24" s="717">
        <f>'Autoproducers Calculations'!N411</f>
        <v>0.52343973461353788</v>
      </c>
      <c r="N24" s="717">
        <f>'Autoproducers Calculations'!O411</f>
        <v>1.5256032867315559</v>
      </c>
      <c r="O24" s="717">
        <f>'Autoproducers Calculations'!P411</f>
        <v>1.3431999999999999E-2</v>
      </c>
      <c r="P24" s="717">
        <f>'Autoproducers Calculations'!Q411</f>
        <v>2.4667864820102081E-4</v>
      </c>
      <c r="Q24" s="717">
        <f>'Autoproducers Calculations'!R411</f>
        <v>0</v>
      </c>
      <c r="R24" s="717">
        <f>'Autoproducers Calculations'!S411</f>
        <v>0.34642557859152268</v>
      </c>
      <c r="S24" s="717">
        <f>'Autoproducers Calculations'!T411</f>
        <v>4.0045600310110299E-2</v>
      </c>
      <c r="T24" s="717">
        <f>'Autoproducers Calculations'!U411</f>
        <v>0</v>
      </c>
      <c r="U24" s="717">
        <f>'Autoproducers Calculations'!V411</f>
        <v>0</v>
      </c>
      <c r="V24" s="717">
        <f>'Autoproducers Calculations'!W411</f>
        <v>0</v>
      </c>
      <c r="W24" s="717">
        <f>'Autoproducers Calculations'!X411</f>
        <v>0.10188551296282861</v>
      </c>
      <c r="X24" s="717">
        <f>'Autoproducers Calculations'!Y411</f>
        <v>0</v>
      </c>
      <c r="Y24" s="717">
        <f>'Autoproducers Calculations'!Z411</f>
        <v>1.0331267636790382E-2</v>
      </c>
      <c r="Z24" s="717">
        <f>'Autoproducers Calculations'!AA411</f>
        <v>6.621074661817386E-2</v>
      </c>
      <c r="AA24" s="717">
        <f>'Autoproducers Calculations'!AB411</f>
        <v>1.9996234915526937E-2</v>
      </c>
      <c r="AB24" s="717">
        <f>'Autoproducers Calculations'!AC411</f>
        <v>0</v>
      </c>
      <c r="AC24" s="717">
        <f>'Autoproducers Calculations'!AD411</f>
        <v>0</v>
      </c>
      <c r="AD24" s="717">
        <f>'Autoproducers Calculations'!AE411</f>
        <v>1.7318722779440805</v>
      </c>
      <c r="AE24" s="717">
        <f>'Autoproducers Calculations'!AF411</f>
        <v>0.64728229669949466</v>
      </c>
      <c r="AF24" s="717">
        <f>'Autoproducers Calculations'!AG411</f>
        <v>0</v>
      </c>
      <c r="AG24" s="717">
        <f>'Autoproducers Calculations'!AH411</f>
        <v>0.58639470782800451</v>
      </c>
    </row>
    <row r="25" spans="2:33">
      <c r="B25" s="713" t="str">
        <f>'Autoproducers Calculations'!C416</f>
        <v>EAUTOGENBIO00</v>
      </c>
      <c r="C25" s="716">
        <f>'Autoproducers Calculations'!D418</f>
        <v>1.4635790498026258</v>
      </c>
      <c r="D25" s="717">
        <f>'Autoproducers Calculations'!E418</f>
        <v>0</v>
      </c>
      <c r="E25" s="717">
        <f>'Autoproducers Calculations'!F418</f>
        <v>4.6318484909282608E-3</v>
      </c>
      <c r="F25" s="717">
        <f>'Autoproducers Calculations'!G418</f>
        <v>2.4945484645631045E-4</v>
      </c>
      <c r="G25" s="717">
        <f>'Autoproducers Calculations'!H418</f>
        <v>6.0000000000000001E-3</v>
      </c>
      <c r="H25" s="717">
        <f>'Autoproducers Calculations'!I418</f>
        <v>0</v>
      </c>
      <c r="I25" s="717">
        <f>'Autoproducers Calculations'!J418</f>
        <v>0</v>
      </c>
      <c r="J25" s="717">
        <f>'Autoproducers Calculations'!K418</f>
        <v>0</v>
      </c>
      <c r="K25" s="717">
        <f>'Autoproducers Calculations'!L418</f>
        <v>0</v>
      </c>
      <c r="L25" s="717">
        <f>'Autoproducers Calculations'!M418</f>
        <v>0</v>
      </c>
      <c r="M25" s="717">
        <f>'Autoproducers Calculations'!N418</f>
        <v>0</v>
      </c>
      <c r="N25" s="717">
        <f>'Autoproducers Calculations'!O418</f>
        <v>0.22427555199617399</v>
      </c>
      <c r="O25" s="717">
        <f>'Autoproducers Calculations'!P418</f>
        <v>0</v>
      </c>
      <c r="P25" s="717">
        <f>'Autoproducers Calculations'!Q418</f>
        <v>0</v>
      </c>
      <c r="Q25" s="717">
        <f>'Autoproducers Calculations'!R418</f>
        <v>1.7509519999999973E-2</v>
      </c>
      <c r="R25" s="717">
        <f>'Autoproducers Calculations'!S418</f>
        <v>0.64196762440604238</v>
      </c>
      <c r="S25" s="717">
        <f>'Autoproducers Calculations'!T418</f>
        <v>0</v>
      </c>
      <c r="T25" s="717">
        <f>'Autoproducers Calculations'!U418</f>
        <v>0</v>
      </c>
      <c r="U25" s="717">
        <f>'Autoproducers Calculations'!V418</f>
        <v>0</v>
      </c>
      <c r="V25" s="717">
        <f>'Autoproducers Calculations'!W418</f>
        <v>0</v>
      </c>
      <c r="W25" s="717">
        <f>'Autoproducers Calculations'!X418</f>
        <v>0</v>
      </c>
      <c r="X25" s="717">
        <f>'Autoproducers Calculations'!Y418</f>
        <v>9.9999999999988987E-4</v>
      </c>
      <c r="Y25" s="717">
        <f>'Autoproducers Calculations'!Z418</f>
        <v>0</v>
      </c>
      <c r="Z25" s="717">
        <f>'Autoproducers Calculations'!AA418</f>
        <v>8.3495853036192696E-2</v>
      </c>
      <c r="AA25" s="717">
        <f>'Autoproducers Calculations'!AB418</f>
        <v>2.0342461786001596E-2</v>
      </c>
      <c r="AB25" s="717">
        <f>'Autoproducers Calculations'!AC418</f>
        <v>2.7054916056707068E-2</v>
      </c>
      <c r="AC25" s="717">
        <f>'Autoproducers Calculations'!AD418</f>
        <v>0</v>
      </c>
      <c r="AD25" s="717">
        <f>'Autoproducers Calculations'!AE418</f>
        <v>0</v>
      </c>
      <c r="AE25" s="717">
        <f>'Autoproducers Calculations'!AF418</f>
        <v>0</v>
      </c>
      <c r="AF25" s="717">
        <f>'Autoproducers Calculations'!AG418</f>
        <v>0</v>
      </c>
      <c r="AG25" s="717">
        <f>'Autoproducers Calculations'!AH418</f>
        <v>0.4370518191841235</v>
      </c>
    </row>
    <row r="26" spans="2:33">
      <c r="B26" s="713" t="str">
        <f>'Autoproducers Calculations'!C423</f>
        <v>EAUTOGENWASTE00</v>
      </c>
      <c r="C26" s="716">
        <f>'Autoproducers Calculations'!D425</f>
        <v>7.1997003305454337</v>
      </c>
      <c r="D26" s="717">
        <f>'Autoproducers Calculations'!E425</f>
        <v>3.9859308129653916E-2</v>
      </c>
      <c r="E26" s="717">
        <f>'Autoproducers Calculations'!F425</f>
        <v>2.468033017208956E-6</v>
      </c>
      <c r="F26" s="717">
        <f>'Autoproducers Calculations'!G425</f>
        <v>0</v>
      </c>
      <c r="G26" s="717">
        <f>'Autoproducers Calculations'!H425</f>
        <v>0</v>
      </c>
      <c r="H26" s="717">
        <f>'Autoproducers Calculations'!I425</f>
        <v>4.9240000000000006E-2</v>
      </c>
      <c r="I26" s="717">
        <f>'Autoproducers Calculations'!J425</f>
        <v>0</v>
      </c>
      <c r="J26" s="717">
        <f>'Autoproducers Calculations'!K425</f>
        <v>6.000215199999992E-2</v>
      </c>
      <c r="K26" s="717">
        <f>'Autoproducers Calculations'!L425</f>
        <v>4.4436680380039638E-4</v>
      </c>
      <c r="L26" s="717">
        <f>'Autoproducers Calculations'!M425</f>
        <v>1.8763939504461566</v>
      </c>
      <c r="M26" s="717">
        <f>'Autoproducers Calculations'!N425</f>
        <v>0</v>
      </c>
      <c r="N26" s="717">
        <f>'Autoproducers Calculations'!O425</f>
        <v>0.85875670347079691</v>
      </c>
      <c r="O26" s="717">
        <f>'Autoproducers Calculations'!P425</f>
        <v>0</v>
      </c>
      <c r="P26" s="717">
        <f>'Autoproducers Calculations'!Q425</f>
        <v>0</v>
      </c>
      <c r="Q26" s="717">
        <f>'Autoproducers Calculations'!R425</f>
        <v>0</v>
      </c>
      <c r="R26" s="717">
        <f>'Autoproducers Calculations'!S425</f>
        <v>2.9131793574619987E-2</v>
      </c>
      <c r="S26" s="717">
        <f>'Autoproducers Calculations'!T425</f>
        <v>0</v>
      </c>
      <c r="T26" s="717">
        <f>'Autoproducers Calculations'!U425</f>
        <v>0</v>
      </c>
      <c r="U26" s="717">
        <f>'Autoproducers Calculations'!V425</f>
        <v>1.324E-2</v>
      </c>
      <c r="V26" s="717">
        <f>'Autoproducers Calculations'!W425</f>
        <v>0</v>
      </c>
      <c r="W26" s="717">
        <f>'Autoproducers Calculations'!X425</f>
        <v>1.244272758148282</v>
      </c>
      <c r="X26" s="717">
        <f>'Autoproducers Calculations'!Y425</f>
        <v>0</v>
      </c>
      <c r="Y26" s="717">
        <f>'Autoproducers Calculations'!Z425</f>
        <v>0.66063503189777406</v>
      </c>
      <c r="Z26" s="717">
        <f>'Autoproducers Calculations'!AA425</f>
        <v>0</v>
      </c>
      <c r="AA26" s="717">
        <f>'Autoproducers Calculations'!AB425</f>
        <v>0</v>
      </c>
      <c r="AB26" s="717">
        <f>'Autoproducers Calculations'!AC425</f>
        <v>7.8072757763640394E-2</v>
      </c>
      <c r="AC26" s="717">
        <f>'Autoproducers Calculations'!AD425</f>
        <v>8.7679999999999911E-2</v>
      </c>
      <c r="AD26" s="717">
        <f>'Autoproducers Calculations'!AE425</f>
        <v>1.9245375244888865</v>
      </c>
      <c r="AE26" s="717">
        <f>'Autoproducers Calculations'!AF425</f>
        <v>0.27743151578880643</v>
      </c>
      <c r="AF26" s="717">
        <f>'Autoproducers Calculations'!AG425</f>
        <v>0</v>
      </c>
      <c r="AG26" s="717">
        <f>'Autoproducers Calculations'!AH425</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B0F0"/>
  </sheetPr>
  <dimension ref="A2:O128"/>
  <sheetViews>
    <sheetView workbookViewId="0">
      <selection activeCell="B31" sqref="B31"/>
    </sheetView>
  </sheetViews>
  <sheetFormatPr defaultRowHeight="12.75"/>
  <cols>
    <col min="2" max="2" width="11.28515625" customWidth="1"/>
    <col min="5" max="5" width="11" customWidth="1"/>
    <col min="7" max="7" width="11" customWidth="1"/>
    <col min="9" max="10" width="13.140625" customWidth="1"/>
    <col min="14" max="14" width="10" customWidth="1"/>
    <col min="17" max="17" width="9.85546875" customWidth="1"/>
    <col min="18" max="18" width="9.5703125" customWidth="1"/>
  </cols>
  <sheetData>
    <row r="2" spans="1:14">
      <c r="A2" s="199" t="s">
        <v>472</v>
      </c>
    </row>
    <row r="3" spans="1:14">
      <c r="A3" t="s">
        <v>15</v>
      </c>
      <c r="B3" t="s">
        <v>16</v>
      </c>
      <c r="C3" t="s">
        <v>17</v>
      </c>
      <c r="D3" s="1">
        <v>39479</v>
      </c>
      <c r="G3" s="92" t="s">
        <v>200</v>
      </c>
    </row>
    <row r="4" spans="1:14">
      <c r="A4" t="s">
        <v>18</v>
      </c>
      <c r="B4" t="s">
        <v>19</v>
      </c>
      <c r="C4" t="s">
        <v>20</v>
      </c>
      <c r="D4" t="s">
        <v>21</v>
      </c>
    </row>
    <row r="5" spans="1:14">
      <c r="A5" t="s">
        <v>22</v>
      </c>
      <c r="B5" t="s">
        <v>23</v>
      </c>
      <c r="C5" t="s">
        <v>20</v>
      </c>
      <c r="D5" t="s">
        <v>24</v>
      </c>
      <c r="G5" s="92" t="s">
        <v>311</v>
      </c>
    </row>
    <row r="6" spans="1:14">
      <c r="A6" t="s">
        <v>25</v>
      </c>
      <c r="B6" t="s">
        <v>26</v>
      </c>
      <c r="G6" s="92" t="s">
        <v>310</v>
      </c>
    </row>
    <row r="7" spans="1:14">
      <c r="A7" t="s">
        <v>27</v>
      </c>
      <c r="B7" t="s">
        <v>28</v>
      </c>
      <c r="C7" t="s">
        <v>29</v>
      </c>
    </row>
    <row r="8" spans="1:14">
      <c r="A8" t="s">
        <v>30</v>
      </c>
      <c r="B8" t="s">
        <v>31</v>
      </c>
      <c r="C8" t="s">
        <v>32</v>
      </c>
      <c r="D8">
        <v>2008</v>
      </c>
    </row>
    <row r="11" spans="1:14" ht="15.75">
      <c r="A11" s="163" t="s">
        <v>430</v>
      </c>
    </row>
    <row r="12" spans="1:14" ht="15.75">
      <c r="A12" s="163"/>
    </row>
    <row r="13" spans="1:14">
      <c r="B13" t="s">
        <v>0</v>
      </c>
      <c r="C13" t="s">
        <v>4</v>
      </c>
      <c r="D13" t="s">
        <v>7</v>
      </c>
      <c r="E13" s="487" t="s">
        <v>33</v>
      </c>
    </row>
    <row r="14" spans="1:14">
      <c r="B14" t="s">
        <v>1</v>
      </c>
      <c r="C14" t="s">
        <v>5</v>
      </c>
      <c r="E14" s="487" t="s">
        <v>0</v>
      </c>
      <c r="F14" t="s">
        <v>0</v>
      </c>
      <c r="G14" t="s">
        <v>12</v>
      </c>
      <c r="H14" t="s">
        <v>4</v>
      </c>
      <c r="I14" t="s">
        <v>7</v>
      </c>
      <c r="N14" t="s">
        <v>12</v>
      </c>
    </row>
    <row r="15" spans="1:14">
      <c r="B15" t="s">
        <v>2</v>
      </c>
      <c r="C15" t="s">
        <v>6</v>
      </c>
      <c r="E15" s="487" t="s">
        <v>1</v>
      </c>
      <c r="F15" t="s">
        <v>9</v>
      </c>
      <c r="G15" t="s">
        <v>13</v>
      </c>
      <c r="H15" t="s">
        <v>5</v>
      </c>
      <c r="N15" t="s">
        <v>13</v>
      </c>
    </row>
    <row r="16" spans="1:14">
      <c r="B16" t="s">
        <v>3</v>
      </c>
      <c r="E16" s="487" t="s">
        <v>8</v>
      </c>
      <c r="F16" t="s">
        <v>10</v>
      </c>
      <c r="H16" t="s">
        <v>6</v>
      </c>
      <c r="N16" s="159" t="s">
        <v>452</v>
      </c>
    </row>
    <row r="17" spans="1:15">
      <c r="F17" t="s">
        <v>11</v>
      </c>
      <c r="G17" t="s">
        <v>14</v>
      </c>
      <c r="L17" s="159" t="s">
        <v>428</v>
      </c>
      <c r="N17" t="s">
        <v>14</v>
      </c>
    </row>
    <row r="19" spans="1:15">
      <c r="A19" t="s">
        <v>35</v>
      </c>
      <c r="B19">
        <v>365.7</v>
      </c>
      <c r="C19" t="s">
        <v>36</v>
      </c>
      <c r="D19" t="s">
        <v>36</v>
      </c>
      <c r="E19" s="2">
        <v>0.111</v>
      </c>
      <c r="F19">
        <v>101.6</v>
      </c>
      <c r="G19">
        <v>3112.4</v>
      </c>
      <c r="H19" t="s">
        <v>36</v>
      </c>
      <c r="I19" t="s">
        <v>36</v>
      </c>
      <c r="L19" s="161">
        <f>B19/F19*1000</f>
        <v>3599.4094488188975</v>
      </c>
    </row>
    <row r="20" spans="1:15">
      <c r="A20" t="s">
        <v>37</v>
      </c>
      <c r="B20">
        <v>347.5</v>
      </c>
      <c r="C20" t="s">
        <v>36</v>
      </c>
      <c r="D20" t="s">
        <v>36</v>
      </c>
      <c r="E20" s="2">
        <v>0.108</v>
      </c>
      <c r="F20">
        <v>95.2</v>
      </c>
      <c r="G20">
        <v>2966.6</v>
      </c>
      <c r="H20" t="s">
        <v>36</v>
      </c>
      <c r="I20" t="s">
        <v>36</v>
      </c>
      <c r="J20" s="64">
        <f>SUM(J22:J49)</f>
        <v>1907.6630999999998</v>
      </c>
      <c r="L20" s="161">
        <f t="shared" ref="L20:L51" si="0">B20/F20*1000</f>
        <v>3650.2100840336134</v>
      </c>
    </row>
    <row r="21" spans="1:15">
      <c r="A21" t="s">
        <v>38</v>
      </c>
      <c r="B21">
        <v>290</v>
      </c>
      <c r="C21" t="s">
        <v>36</v>
      </c>
      <c r="D21" t="s">
        <v>36</v>
      </c>
      <c r="E21" s="2">
        <v>0.10199999999999999</v>
      </c>
      <c r="F21">
        <v>76.099999999999994</v>
      </c>
      <c r="G21">
        <v>2434.6999999999998</v>
      </c>
      <c r="L21" s="161">
        <f t="shared" si="0"/>
        <v>3810.7752956636009</v>
      </c>
    </row>
    <row r="22" spans="1:15">
      <c r="A22" t="s">
        <v>56</v>
      </c>
      <c r="B22">
        <v>10.130000000000001</v>
      </c>
      <c r="C22" s="2">
        <v>0.47399999999999998</v>
      </c>
      <c r="D22" s="2">
        <v>0.52600000000000002</v>
      </c>
      <c r="E22" s="2">
        <v>0.154</v>
      </c>
      <c r="F22">
        <v>3.25</v>
      </c>
      <c r="G22">
        <v>95.8</v>
      </c>
      <c r="H22" s="2">
        <v>0.31900000000000001</v>
      </c>
      <c r="I22" s="2">
        <v>0.68100000000000005</v>
      </c>
      <c r="J22" s="504">
        <f>G22*I22</f>
        <v>65.239800000000002</v>
      </c>
      <c r="L22" s="161">
        <f t="shared" si="0"/>
        <v>3116.9230769230771</v>
      </c>
      <c r="N22" s="493">
        <f>G22*D22</f>
        <v>50.390799999999999</v>
      </c>
      <c r="O22" s="90"/>
    </row>
    <row r="23" spans="1:15" ht="12.75" customHeight="1">
      <c r="A23" t="s">
        <v>39</v>
      </c>
      <c r="B23">
        <v>7.36</v>
      </c>
      <c r="C23" s="2">
        <v>0.71699999999999997</v>
      </c>
      <c r="D23" s="2">
        <v>0.28299999999999997</v>
      </c>
      <c r="E23" s="2">
        <v>8.5000000000000006E-2</v>
      </c>
      <c r="F23">
        <v>1.89</v>
      </c>
      <c r="G23">
        <v>75.900000000000006</v>
      </c>
      <c r="H23" s="2">
        <v>0.35299999999999998</v>
      </c>
      <c r="I23" s="2">
        <v>0.64700000000000002</v>
      </c>
      <c r="J23" s="504">
        <f t="shared" ref="J23:J52" si="1">G23*I23</f>
        <v>49.107300000000002</v>
      </c>
      <c r="L23" s="161">
        <f t="shared" si="0"/>
        <v>3894.1798941798943</v>
      </c>
      <c r="N23" s="493">
        <f>G23*D23</f>
        <v>21.479700000000001</v>
      </c>
      <c r="O23" s="90"/>
    </row>
    <row r="24" spans="1:15">
      <c r="A24" t="s">
        <v>40</v>
      </c>
      <c r="B24">
        <v>2.72</v>
      </c>
      <c r="C24" s="2">
        <v>0.84099999999999997</v>
      </c>
      <c r="D24" s="2">
        <v>0.159</v>
      </c>
      <c r="E24" s="2">
        <v>6.0999999999999999E-2</v>
      </c>
      <c r="F24">
        <v>1.19</v>
      </c>
      <c r="G24">
        <v>50.4</v>
      </c>
      <c r="H24" s="2">
        <v>0.67300000000000004</v>
      </c>
      <c r="I24" s="2">
        <v>0.32700000000000001</v>
      </c>
      <c r="J24" s="504">
        <f t="shared" si="1"/>
        <v>16.480799999999999</v>
      </c>
      <c r="L24" s="161">
        <f t="shared" si="0"/>
        <v>2285.7142857142862</v>
      </c>
      <c r="N24" s="493">
        <f t="shared" ref="N24:N51" si="2">G24*D24</f>
        <v>8.0136000000000003</v>
      </c>
      <c r="O24" s="90"/>
    </row>
    <row r="25" spans="1:15">
      <c r="A25" t="s">
        <v>49</v>
      </c>
      <c r="B25">
        <v>0.01</v>
      </c>
      <c r="C25" s="2">
        <v>0</v>
      </c>
      <c r="D25" s="2">
        <v>1</v>
      </c>
      <c r="E25" s="2">
        <v>3.0000000000000001E-3</v>
      </c>
      <c r="F25">
        <v>0.01</v>
      </c>
      <c r="G25">
        <v>0.1</v>
      </c>
      <c r="H25" s="2">
        <v>0</v>
      </c>
      <c r="I25" s="2">
        <v>1</v>
      </c>
      <c r="J25" s="504">
        <f t="shared" si="1"/>
        <v>0.1</v>
      </c>
      <c r="L25" s="161">
        <f t="shared" si="0"/>
        <v>1000</v>
      </c>
      <c r="N25" s="493">
        <f t="shared" si="2"/>
        <v>0.1</v>
      </c>
      <c r="O25" s="90"/>
    </row>
    <row r="26" spans="1:15">
      <c r="A26" t="s">
        <v>41</v>
      </c>
      <c r="B26">
        <v>13.87</v>
      </c>
      <c r="C26" s="2">
        <v>0.71099999999999997</v>
      </c>
      <c r="D26" s="2">
        <v>0.28899999999999998</v>
      </c>
      <c r="E26" s="2">
        <v>0.16800000000000001</v>
      </c>
      <c r="F26">
        <v>5.2</v>
      </c>
      <c r="G26">
        <v>150.69999999999999</v>
      </c>
      <c r="H26" s="2">
        <v>0.67500000000000004</v>
      </c>
      <c r="I26" s="2">
        <v>0.32500000000000001</v>
      </c>
      <c r="J26" s="504">
        <f t="shared" si="1"/>
        <v>48.977499999999999</v>
      </c>
      <c r="L26" s="161">
        <f t="shared" si="0"/>
        <v>2667.3076923076924</v>
      </c>
      <c r="N26" s="493">
        <f t="shared" si="2"/>
        <v>43.552299999999995</v>
      </c>
      <c r="O26" s="90"/>
    </row>
    <row r="27" spans="1:15">
      <c r="A27" t="s">
        <v>43</v>
      </c>
      <c r="B27">
        <v>77.849999999999994</v>
      </c>
      <c r="C27" s="2">
        <v>0.67200000000000004</v>
      </c>
      <c r="D27" s="2">
        <v>0.32800000000000001</v>
      </c>
      <c r="E27" s="2">
        <v>0.126</v>
      </c>
      <c r="F27">
        <v>20.84</v>
      </c>
      <c r="G27">
        <v>652.5</v>
      </c>
      <c r="H27" s="2">
        <v>0.56000000000000005</v>
      </c>
      <c r="I27" s="2">
        <v>0.44</v>
      </c>
      <c r="J27" s="504">
        <f t="shared" si="1"/>
        <v>287.10000000000002</v>
      </c>
      <c r="L27" s="161">
        <f>B27/F27*1000</f>
        <v>3735.6046065259115</v>
      </c>
      <c r="N27" s="493">
        <f t="shared" si="2"/>
        <v>214.02</v>
      </c>
      <c r="O27" s="90"/>
    </row>
    <row r="28" spans="1:15">
      <c r="A28" t="s">
        <v>42</v>
      </c>
      <c r="B28">
        <v>18.89</v>
      </c>
      <c r="C28" t="s">
        <v>36</v>
      </c>
      <c r="D28" t="s">
        <v>36</v>
      </c>
      <c r="E28" s="2">
        <v>0.52100000000000002</v>
      </c>
      <c r="F28">
        <v>5.69</v>
      </c>
      <c r="G28">
        <v>119</v>
      </c>
      <c r="H28" t="s">
        <v>36</v>
      </c>
      <c r="I28">
        <v>1</v>
      </c>
      <c r="J28" s="504">
        <f t="shared" si="1"/>
        <v>119</v>
      </c>
      <c r="L28" s="161">
        <f t="shared" si="0"/>
        <v>3319.8594024604567</v>
      </c>
      <c r="N28" s="493" t="e">
        <f t="shared" si="2"/>
        <v>#VALUE!</v>
      </c>
      <c r="O28" s="90"/>
    </row>
    <row r="29" spans="1:15">
      <c r="A29" t="s">
        <v>44</v>
      </c>
      <c r="B29">
        <v>1.04</v>
      </c>
      <c r="C29" s="2">
        <v>0.88800000000000001</v>
      </c>
      <c r="D29" s="2">
        <v>0.112</v>
      </c>
      <c r="E29" s="2">
        <v>0.10199999999999999</v>
      </c>
      <c r="F29">
        <v>1.6</v>
      </c>
      <c r="G29">
        <v>11.5</v>
      </c>
      <c r="H29" s="2">
        <v>0.80900000000000005</v>
      </c>
      <c r="I29" s="2">
        <v>0.191</v>
      </c>
      <c r="J29" s="504">
        <f t="shared" si="1"/>
        <v>2.1964999999999999</v>
      </c>
      <c r="L29" s="161">
        <f t="shared" si="0"/>
        <v>650</v>
      </c>
      <c r="N29" s="493">
        <f t="shared" si="2"/>
        <v>1.288</v>
      </c>
      <c r="O29" s="90"/>
    </row>
    <row r="30" spans="1:15">
      <c r="A30" t="s">
        <v>45</v>
      </c>
      <c r="B30">
        <v>22.88</v>
      </c>
      <c r="C30" s="2">
        <v>0</v>
      </c>
      <c r="D30" s="2">
        <v>1</v>
      </c>
      <c r="E30" s="2">
        <v>7.8E-2</v>
      </c>
      <c r="F30">
        <v>3.05</v>
      </c>
      <c r="G30">
        <v>192.5</v>
      </c>
      <c r="H30" s="93">
        <v>0</v>
      </c>
      <c r="I30" s="93">
        <v>1</v>
      </c>
      <c r="J30" s="504">
        <f t="shared" si="1"/>
        <v>192.5</v>
      </c>
      <c r="L30" s="161">
        <f t="shared" si="0"/>
        <v>7501.6393442622948</v>
      </c>
      <c r="N30" s="493">
        <f t="shared" si="2"/>
        <v>192.5</v>
      </c>
      <c r="O30" s="90"/>
    </row>
    <row r="31" spans="1:15">
      <c r="A31" t="s">
        <v>62</v>
      </c>
      <c r="B31">
        <v>27.46</v>
      </c>
      <c r="C31" s="2">
        <v>0.69099999999999995</v>
      </c>
      <c r="D31" s="2">
        <v>0.309</v>
      </c>
      <c r="E31" s="2">
        <v>0.38900000000000001</v>
      </c>
      <c r="F31">
        <v>5.83</v>
      </c>
      <c r="G31">
        <v>250</v>
      </c>
      <c r="H31" s="2">
        <v>0.50700000000000001</v>
      </c>
      <c r="I31" s="2">
        <v>0.49299999999999999</v>
      </c>
      <c r="J31" s="504">
        <f t="shared" si="1"/>
        <v>123.25</v>
      </c>
      <c r="L31" s="161">
        <f t="shared" si="0"/>
        <v>4710.120068610634</v>
      </c>
      <c r="N31" s="493">
        <f t="shared" si="2"/>
        <v>77.25</v>
      </c>
      <c r="O31" s="90"/>
    </row>
    <row r="32" spans="1:15">
      <c r="A32" t="s">
        <v>46</v>
      </c>
      <c r="B32">
        <v>23.21</v>
      </c>
      <c r="C32" s="2">
        <v>0.41899999999999998</v>
      </c>
      <c r="D32" s="2">
        <v>0.58099999999999996</v>
      </c>
      <c r="E32" s="2">
        <v>0.04</v>
      </c>
      <c r="F32">
        <v>6.6</v>
      </c>
      <c r="G32">
        <v>209.2</v>
      </c>
      <c r="H32" s="2">
        <v>0.26700000000000002</v>
      </c>
      <c r="I32" s="2">
        <v>0.73299999999999998</v>
      </c>
      <c r="J32" s="504">
        <f t="shared" si="1"/>
        <v>153.34359999999998</v>
      </c>
      <c r="L32" s="161">
        <f t="shared" si="0"/>
        <v>3516.666666666667</v>
      </c>
      <c r="N32" s="493">
        <f t="shared" si="2"/>
        <v>121.54519999999998</v>
      </c>
      <c r="O32" s="90"/>
    </row>
    <row r="33" spans="1:15">
      <c r="A33" t="s">
        <v>82</v>
      </c>
      <c r="B33">
        <v>1.02</v>
      </c>
      <c r="C33" s="2">
        <v>9.0999999999999998E-2</v>
      </c>
      <c r="D33" s="2">
        <v>0.90900000000000003</v>
      </c>
      <c r="E33" s="2">
        <v>1.7000000000000001E-2</v>
      </c>
      <c r="F33">
        <v>0.24</v>
      </c>
      <c r="G33">
        <v>9.6999999999999993</v>
      </c>
      <c r="H33" s="2">
        <v>0.222</v>
      </c>
      <c r="I33" s="2">
        <v>0.77800000000000002</v>
      </c>
      <c r="J33" s="504">
        <f t="shared" si="1"/>
        <v>7.5465999999999998</v>
      </c>
      <c r="L33" s="161">
        <f t="shared" si="0"/>
        <v>4250</v>
      </c>
      <c r="N33" s="493">
        <f t="shared" si="2"/>
        <v>8.8172999999999995</v>
      </c>
      <c r="O33" s="90"/>
    </row>
    <row r="34" spans="1:15">
      <c r="A34" t="s">
        <v>53</v>
      </c>
      <c r="B34">
        <v>6.84</v>
      </c>
      <c r="C34" s="2">
        <v>0.93400000000000005</v>
      </c>
      <c r="D34" s="2">
        <v>6.6000000000000003E-2</v>
      </c>
      <c r="E34" s="2">
        <v>0.191</v>
      </c>
      <c r="F34">
        <v>2.0499999999999998</v>
      </c>
      <c r="G34">
        <v>47.4</v>
      </c>
      <c r="H34" s="2">
        <v>0.82599999999999996</v>
      </c>
      <c r="I34" s="2">
        <v>0.17399999999999999</v>
      </c>
      <c r="J34" s="504">
        <f t="shared" si="1"/>
        <v>8.2475999999999985</v>
      </c>
      <c r="L34" s="161">
        <f t="shared" si="0"/>
        <v>3336.5853658536589</v>
      </c>
      <c r="N34" s="493">
        <f t="shared" si="2"/>
        <v>3.1284000000000001</v>
      </c>
      <c r="O34" s="90"/>
    </row>
    <row r="35" spans="1:15">
      <c r="A35" t="s">
        <v>47</v>
      </c>
      <c r="B35">
        <v>0.6</v>
      </c>
      <c r="C35" s="2">
        <v>0</v>
      </c>
      <c r="D35" s="2">
        <v>1</v>
      </c>
      <c r="E35" s="2">
        <v>2.4E-2</v>
      </c>
      <c r="F35">
        <v>0.11</v>
      </c>
      <c r="G35">
        <v>4.4000000000000004</v>
      </c>
      <c r="H35" s="93">
        <v>0</v>
      </c>
      <c r="I35" s="93">
        <v>1</v>
      </c>
      <c r="J35" s="504">
        <f t="shared" si="1"/>
        <v>4.4000000000000004</v>
      </c>
      <c r="L35" s="161">
        <f t="shared" si="0"/>
        <v>5454.545454545454</v>
      </c>
      <c r="N35" s="493">
        <f t="shared" si="2"/>
        <v>4.4000000000000004</v>
      </c>
      <c r="O35" s="90"/>
    </row>
    <row r="36" spans="1:15">
      <c r="A36" t="s">
        <v>48</v>
      </c>
      <c r="B36">
        <v>27.39</v>
      </c>
      <c r="C36" s="93">
        <v>0.59099999999999997</v>
      </c>
      <c r="D36" s="93">
        <v>0.40899999999999997</v>
      </c>
      <c r="E36" s="2">
        <v>0.09</v>
      </c>
      <c r="F36">
        <v>5.89</v>
      </c>
      <c r="G36">
        <v>193.1</v>
      </c>
      <c r="H36" s="93">
        <v>0.39600000000000002</v>
      </c>
      <c r="I36" s="93">
        <v>0.60399999999999998</v>
      </c>
      <c r="J36" s="504">
        <f t="shared" si="1"/>
        <v>116.63239999999999</v>
      </c>
      <c r="L36" s="161">
        <f t="shared" si="0"/>
        <v>4650.2546689303908</v>
      </c>
      <c r="N36" s="493">
        <f t="shared" si="2"/>
        <v>78.977899999999991</v>
      </c>
      <c r="O36" s="90"/>
    </row>
    <row r="37" spans="1:15">
      <c r="A37" t="s">
        <v>51</v>
      </c>
      <c r="B37">
        <v>2.2999999999999998</v>
      </c>
      <c r="C37" s="2">
        <v>0.92500000000000004</v>
      </c>
      <c r="D37" s="2">
        <v>7.4999999999999997E-2</v>
      </c>
      <c r="E37" s="2">
        <v>0.155</v>
      </c>
      <c r="F37">
        <v>1.04</v>
      </c>
      <c r="G37">
        <v>19.899999999999999</v>
      </c>
      <c r="H37" s="2">
        <v>0.94</v>
      </c>
      <c r="I37" s="2">
        <v>0.06</v>
      </c>
      <c r="J37" s="504">
        <f t="shared" si="1"/>
        <v>1.194</v>
      </c>
      <c r="L37" s="161">
        <f t="shared" si="0"/>
        <v>2211.5384615384614</v>
      </c>
      <c r="N37" s="493">
        <f t="shared" si="2"/>
        <v>1.4924999999999999</v>
      </c>
      <c r="O37" s="90"/>
    </row>
    <row r="38" spans="1:15">
      <c r="A38" t="s">
        <v>52</v>
      </c>
      <c r="B38">
        <v>0.42</v>
      </c>
      <c r="C38" s="2">
        <v>0</v>
      </c>
      <c r="D38" s="2">
        <v>1</v>
      </c>
      <c r="E38" s="2">
        <v>0.10100000000000001</v>
      </c>
      <c r="F38">
        <v>0.1</v>
      </c>
      <c r="G38">
        <v>1.2</v>
      </c>
      <c r="H38" s="2">
        <v>0</v>
      </c>
      <c r="I38" s="2">
        <v>1</v>
      </c>
      <c r="J38" s="504">
        <f t="shared" si="1"/>
        <v>1.2</v>
      </c>
      <c r="L38" s="161">
        <f t="shared" si="0"/>
        <v>4199.9999999999991</v>
      </c>
      <c r="N38" s="493">
        <f t="shared" si="2"/>
        <v>1.2</v>
      </c>
      <c r="O38" s="90"/>
    </row>
    <row r="39" spans="1:15">
      <c r="A39" t="s">
        <v>50</v>
      </c>
      <c r="B39">
        <v>1.51</v>
      </c>
      <c r="C39" s="2">
        <v>0.96299999999999997</v>
      </c>
      <c r="D39" s="2">
        <v>3.6999999999999998E-2</v>
      </c>
      <c r="E39" s="2">
        <v>0.307</v>
      </c>
      <c r="F39">
        <v>0.59</v>
      </c>
      <c r="G39">
        <v>11.9</v>
      </c>
      <c r="H39" s="2">
        <v>0.93</v>
      </c>
      <c r="I39" s="2">
        <v>7.0000000000000007E-2</v>
      </c>
      <c r="J39" s="504">
        <f t="shared" si="1"/>
        <v>0.83300000000000007</v>
      </c>
      <c r="L39" s="161">
        <f t="shared" si="0"/>
        <v>2559.3220338983056</v>
      </c>
      <c r="N39" s="493">
        <f t="shared" si="2"/>
        <v>0.44029999999999997</v>
      </c>
      <c r="O39" s="90"/>
    </row>
    <row r="40" spans="1:15">
      <c r="A40" t="s">
        <v>54</v>
      </c>
      <c r="B40">
        <v>0</v>
      </c>
      <c r="C40" s="2">
        <v>0</v>
      </c>
      <c r="D40" s="2">
        <v>0</v>
      </c>
      <c r="E40" s="2">
        <v>0</v>
      </c>
      <c r="F40">
        <v>0</v>
      </c>
      <c r="G40">
        <v>0</v>
      </c>
      <c r="H40" s="2">
        <v>0</v>
      </c>
      <c r="I40" s="2">
        <v>0</v>
      </c>
      <c r="J40" s="504">
        <f t="shared" si="1"/>
        <v>0</v>
      </c>
      <c r="L40" s="161" t="e">
        <f t="shared" si="0"/>
        <v>#DIV/0!</v>
      </c>
      <c r="N40" s="493">
        <f t="shared" si="2"/>
        <v>0</v>
      </c>
      <c r="O40" s="90"/>
    </row>
    <row r="41" spans="1:15">
      <c r="A41" t="s">
        <v>55</v>
      </c>
      <c r="B41">
        <v>29.47</v>
      </c>
      <c r="C41" t="s">
        <v>36</v>
      </c>
      <c r="D41" t="s">
        <v>36</v>
      </c>
      <c r="E41" s="2">
        <v>0.29399999999999998</v>
      </c>
      <c r="F41">
        <v>7.16</v>
      </c>
      <c r="G41">
        <v>220.3</v>
      </c>
      <c r="H41" t="s">
        <v>36</v>
      </c>
      <c r="I41">
        <v>1</v>
      </c>
      <c r="J41" s="504">
        <f t="shared" si="1"/>
        <v>220.3</v>
      </c>
      <c r="L41" s="161">
        <f t="shared" si="0"/>
        <v>4115.921787709497</v>
      </c>
      <c r="N41" s="493" t="e">
        <f t="shared" si="2"/>
        <v>#VALUE!</v>
      </c>
      <c r="O41" s="90"/>
    </row>
    <row r="42" spans="1:15">
      <c r="A42" t="s">
        <v>57</v>
      </c>
      <c r="B42">
        <v>26.3</v>
      </c>
      <c r="C42" s="2">
        <v>0.77400000000000002</v>
      </c>
      <c r="D42" s="2">
        <v>0.22600000000000001</v>
      </c>
      <c r="E42" s="2">
        <v>0.16800000000000001</v>
      </c>
      <c r="F42">
        <v>8.31</v>
      </c>
      <c r="G42">
        <v>275.39999999999998</v>
      </c>
      <c r="H42" s="2">
        <v>0.61599999999999999</v>
      </c>
      <c r="I42" s="2">
        <v>0.38400000000000001</v>
      </c>
      <c r="J42" s="504">
        <f t="shared" si="1"/>
        <v>105.75359999999999</v>
      </c>
      <c r="L42" s="161">
        <f t="shared" si="0"/>
        <v>3164.861612515042</v>
      </c>
      <c r="N42" s="493">
        <f t="shared" si="2"/>
        <v>62.240399999999994</v>
      </c>
      <c r="O42" s="90"/>
    </row>
    <row r="43" spans="1:15">
      <c r="A43" t="s">
        <v>58</v>
      </c>
      <c r="B43">
        <v>5.42</v>
      </c>
      <c r="C43" s="2">
        <v>0.68100000000000005</v>
      </c>
      <c r="D43" s="2">
        <v>0.31900000000000001</v>
      </c>
      <c r="E43" s="2">
        <v>0.11600000000000001</v>
      </c>
      <c r="F43">
        <v>1.08</v>
      </c>
      <c r="G43">
        <v>59.6</v>
      </c>
      <c r="H43" s="2">
        <v>0.46400000000000002</v>
      </c>
      <c r="I43" s="2">
        <v>0.53600000000000003</v>
      </c>
      <c r="J43" s="504">
        <f t="shared" si="1"/>
        <v>31.945600000000002</v>
      </c>
      <c r="L43" s="161">
        <f t="shared" si="0"/>
        <v>5018.5185185185182</v>
      </c>
      <c r="N43" s="493">
        <f t="shared" si="2"/>
        <v>19.0124</v>
      </c>
      <c r="O43" s="90"/>
    </row>
    <row r="44" spans="1:15">
      <c r="A44" t="s">
        <v>59</v>
      </c>
      <c r="B44">
        <v>15.55</v>
      </c>
      <c r="C44" s="2">
        <v>0.94599999999999995</v>
      </c>
      <c r="D44" s="2">
        <v>5.3999999999999999E-2</v>
      </c>
      <c r="E44" s="2">
        <v>0.26200000000000001</v>
      </c>
      <c r="F44">
        <v>5.25</v>
      </c>
      <c r="G44">
        <v>95.4</v>
      </c>
      <c r="H44" s="2">
        <v>0.85499999999999998</v>
      </c>
      <c r="I44" s="2">
        <v>0.14499999999999999</v>
      </c>
      <c r="J44" s="504">
        <f t="shared" si="1"/>
        <v>13.833</v>
      </c>
      <c r="L44" s="161">
        <f t="shared" si="0"/>
        <v>2961.9047619047619</v>
      </c>
      <c r="N44" s="493">
        <f t="shared" si="2"/>
        <v>5.1516000000000002</v>
      </c>
      <c r="O44" s="90"/>
    </row>
    <row r="45" spans="1:15">
      <c r="A45" t="s">
        <v>60</v>
      </c>
      <c r="B45">
        <v>1.1000000000000001</v>
      </c>
      <c r="C45" s="93">
        <v>0.74199999999999999</v>
      </c>
      <c r="D45" s="93">
        <v>0.25800000000000001</v>
      </c>
      <c r="E45" s="2">
        <v>7.2999999999999995E-2</v>
      </c>
      <c r="F45">
        <v>0.34</v>
      </c>
      <c r="G45">
        <v>15</v>
      </c>
      <c r="H45" s="93">
        <v>0.50900000000000001</v>
      </c>
      <c r="I45" s="93">
        <v>0.49099999999999999</v>
      </c>
      <c r="J45" s="504">
        <f t="shared" si="1"/>
        <v>7.3650000000000002</v>
      </c>
      <c r="L45" s="161">
        <f t="shared" si="0"/>
        <v>3235.294117647059</v>
      </c>
      <c r="N45" s="493">
        <f t="shared" si="2"/>
        <v>3.87</v>
      </c>
      <c r="O45" s="90"/>
    </row>
    <row r="46" spans="1:15">
      <c r="A46" t="s">
        <v>61</v>
      </c>
      <c r="B46">
        <v>4.8</v>
      </c>
      <c r="C46" s="2">
        <v>0.55000000000000004</v>
      </c>
      <c r="D46" s="2">
        <v>0.45</v>
      </c>
      <c r="E46" s="2">
        <v>0.153</v>
      </c>
      <c r="F46">
        <v>5.41</v>
      </c>
      <c r="G46">
        <v>33.700000000000003</v>
      </c>
      <c r="H46" s="2">
        <v>0.58399999999999996</v>
      </c>
      <c r="I46" s="2">
        <v>0.41599999999999998</v>
      </c>
      <c r="J46" s="504">
        <f t="shared" si="1"/>
        <v>14.0192</v>
      </c>
      <c r="L46" s="161">
        <f t="shared" si="0"/>
        <v>887.24584103512007</v>
      </c>
      <c r="N46" s="493">
        <f t="shared" si="2"/>
        <v>15.165000000000001</v>
      </c>
      <c r="O46" s="90"/>
    </row>
    <row r="47" spans="1:15" ht="11.25" customHeight="1">
      <c r="A47" t="s">
        <v>63</v>
      </c>
      <c r="B47">
        <v>10.67</v>
      </c>
      <c r="C47" s="93">
        <v>0.621</v>
      </c>
      <c r="D47" s="93">
        <v>0.379</v>
      </c>
      <c r="E47" s="2">
        <v>6.7000000000000004E-2</v>
      </c>
      <c r="F47">
        <v>3.49</v>
      </c>
      <c r="G47">
        <v>132.69999999999999</v>
      </c>
      <c r="H47" s="2">
        <v>0.48399999999999999</v>
      </c>
      <c r="I47" s="2">
        <v>0.51600000000000001</v>
      </c>
      <c r="J47" s="504">
        <f t="shared" si="1"/>
        <v>68.473199999999991</v>
      </c>
      <c r="L47" s="161">
        <f t="shared" si="0"/>
        <v>3057.3065902578796</v>
      </c>
      <c r="N47" s="493">
        <f t="shared" si="2"/>
        <v>50.293299999999995</v>
      </c>
      <c r="O47" s="90"/>
    </row>
    <row r="48" spans="1:15">
      <c r="A48" t="s">
        <v>64</v>
      </c>
      <c r="B48">
        <v>27.24</v>
      </c>
      <c r="C48" s="2">
        <v>9.4E-2</v>
      </c>
      <c r="D48" s="2">
        <v>0.90600000000000003</v>
      </c>
      <c r="E48" s="2">
        <v>6.8000000000000005E-2</v>
      </c>
      <c r="F48">
        <v>5.44</v>
      </c>
      <c r="G48">
        <v>185.2</v>
      </c>
      <c r="H48" s="2">
        <v>7.2999999999999995E-2</v>
      </c>
      <c r="I48" s="2">
        <v>0.92700000000000005</v>
      </c>
      <c r="J48" s="504">
        <f t="shared" si="1"/>
        <v>171.68039999999999</v>
      </c>
      <c r="L48" s="161">
        <f t="shared" si="0"/>
        <v>5007.3529411764703</v>
      </c>
      <c r="N48" s="493">
        <f t="shared" si="2"/>
        <v>167.7912</v>
      </c>
      <c r="O48" s="90"/>
    </row>
    <row r="49" spans="1:14">
      <c r="A49" t="s">
        <v>65</v>
      </c>
      <c r="B49">
        <v>7.19</v>
      </c>
      <c r="C49" s="2">
        <v>0.29699999999999999</v>
      </c>
      <c r="D49" s="2">
        <v>0.70299999999999996</v>
      </c>
      <c r="E49" s="2">
        <v>4.3999999999999997E-2</v>
      </c>
      <c r="F49" t="s">
        <v>36</v>
      </c>
      <c r="G49">
        <v>91.6</v>
      </c>
      <c r="H49" s="2">
        <v>0.16</v>
      </c>
      <c r="I49" s="2">
        <v>0.84</v>
      </c>
      <c r="J49" s="504">
        <f t="shared" si="1"/>
        <v>76.943999999999988</v>
      </c>
      <c r="L49" s="161" t="e">
        <f t="shared" si="0"/>
        <v>#VALUE!</v>
      </c>
      <c r="N49" s="493">
        <f t="shared" si="2"/>
        <v>64.394799999999989</v>
      </c>
    </row>
    <row r="50" spans="1:14">
      <c r="A50" s="92" t="s">
        <v>84</v>
      </c>
      <c r="B50" s="92">
        <v>0.09</v>
      </c>
      <c r="C50" s="93">
        <v>1</v>
      </c>
      <c r="D50" s="93">
        <v>0</v>
      </c>
      <c r="E50" s="93">
        <v>1E-3</v>
      </c>
      <c r="F50" s="92" t="s">
        <v>36</v>
      </c>
      <c r="G50" s="92">
        <v>3.6</v>
      </c>
      <c r="H50" s="93">
        <v>1</v>
      </c>
      <c r="I50" s="93">
        <v>0</v>
      </c>
      <c r="J50" s="504">
        <f t="shared" si="1"/>
        <v>0</v>
      </c>
      <c r="L50" s="161" t="e">
        <f t="shared" si="0"/>
        <v>#VALUE!</v>
      </c>
      <c r="N50" s="493">
        <f t="shared" si="2"/>
        <v>0</v>
      </c>
    </row>
    <row r="51" spans="1:14">
      <c r="A51" s="92" t="s">
        <v>83</v>
      </c>
      <c r="B51" s="92">
        <v>1.43</v>
      </c>
      <c r="C51" s="93">
        <v>1</v>
      </c>
      <c r="D51" s="93">
        <v>0</v>
      </c>
      <c r="E51" s="93">
        <v>0.14399999999999999</v>
      </c>
      <c r="F51" s="92">
        <v>0.17</v>
      </c>
      <c r="G51" s="92">
        <v>8.6999999999999993</v>
      </c>
      <c r="H51" s="93">
        <v>1</v>
      </c>
      <c r="I51" s="93">
        <v>0</v>
      </c>
      <c r="J51" s="504">
        <f t="shared" si="1"/>
        <v>0</v>
      </c>
      <c r="L51" s="162">
        <f t="shared" si="0"/>
        <v>8411.7647058823513</v>
      </c>
      <c r="N51" s="493">
        <f t="shared" si="2"/>
        <v>0</v>
      </c>
    </row>
    <row r="52" spans="1:14">
      <c r="A52" t="s">
        <v>66</v>
      </c>
      <c r="B52" t="s">
        <v>67</v>
      </c>
      <c r="J52" s="504">
        <f t="shared" si="1"/>
        <v>0</v>
      </c>
    </row>
    <row r="54" spans="1:14"/>
    <row r="55" spans="1:14" ht="15.75">
      <c r="A55" s="163" t="s">
        <v>431</v>
      </c>
    </row>
    <row r="56" spans="1:14" ht="25.5">
      <c r="B56" s="89" t="s">
        <v>68</v>
      </c>
      <c r="C56" s="89" t="s">
        <v>546</v>
      </c>
      <c r="D56" s="89" t="s">
        <v>70</v>
      </c>
      <c r="E56" s="89" t="s">
        <v>71</v>
      </c>
      <c r="F56" s="89" t="s">
        <v>72</v>
      </c>
      <c r="G56" s="89" t="s">
        <v>73</v>
      </c>
    </row>
    <row r="57" spans="1:14">
      <c r="A57" t="s">
        <v>35</v>
      </c>
      <c r="B57">
        <v>8259.4</v>
      </c>
      <c r="C57" s="2">
        <v>0.35399999999999998</v>
      </c>
      <c r="D57" s="2">
        <v>6.5000000000000002E-2</v>
      </c>
      <c r="E57" s="2">
        <v>0.39200000000000002</v>
      </c>
      <c r="F57" s="2">
        <v>0.09</v>
      </c>
      <c r="G57" s="2">
        <v>9.9000000000000005E-2</v>
      </c>
    </row>
    <row r="58" spans="1:14">
      <c r="A58" t="s">
        <v>37</v>
      </c>
      <c r="B58">
        <v>7884</v>
      </c>
      <c r="C58" s="2">
        <v>0.34799999999999998</v>
      </c>
      <c r="D58" s="2">
        <v>6.4000000000000001E-2</v>
      </c>
      <c r="E58" s="2">
        <v>0.39200000000000002</v>
      </c>
      <c r="F58" s="2">
        <v>9.4E-2</v>
      </c>
      <c r="G58" s="2">
        <v>0.10199999999999999</v>
      </c>
    </row>
    <row r="59" spans="1:14">
      <c r="A59" t="s">
        <v>38</v>
      </c>
      <c r="B59">
        <v>5570.1</v>
      </c>
      <c r="C59" s="2">
        <v>0.16600000000000001</v>
      </c>
      <c r="D59" s="2">
        <v>7.9000000000000001E-2</v>
      </c>
      <c r="E59" s="2">
        <v>0.52300000000000002</v>
      </c>
      <c r="F59" s="2">
        <v>0.129</v>
      </c>
      <c r="G59" s="2">
        <v>0.10299999999999999</v>
      </c>
    </row>
    <row r="60" spans="1:14">
      <c r="A60" t="s">
        <v>56</v>
      </c>
      <c r="B60">
        <v>252.6</v>
      </c>
      <c r="C60" s="2">
        <v>0.14899999999999999</v>
      </c>
      <c r="D60" s="2">
        <v>9.2999999999999999E-2</v>
      </c>
      <c r="E60" s="2">
        <v>0.45</v>
      </c>
      <c r="F60" s="2">
        <v>0.20200000000000001</v>
      </c>
      <c r="G60" s="2">
        <v>0.106</v>
      </c>
    </row>
    <row r="61" spans="1:14">
      <c r="A61" t="s">
        <v>39</v>
      </c>
      <c r="B61">
        <v>141.1</v>
      </c>
      <c r="C61" s="2">
        <v>1.7999999999999999E-2</v>
      </c>
      <c r="D61" s="2">
        <v>3.2000000000000001E-2</v>
      </c>
      <c r="E61" s="2">
        <v>0.60399999999999998</v>
      </c>
      <c r="F61" s="2">
        <v>1.4E-2</v>
      </c>
      <c r="G61" s="2">
        <v>0.33100000000000002</v>
      </c>
    </row>
    <row r="62" spans="1:14">
      <c r="A62" t="s">
        <v>40</v>
      </c>
      <c r="B62">
        <v>110</v>
      </c>
      <c r="C62" s="2">
        <v>0.55300000000000005</v>
      </c>
      <c r="D62" s="2">
        <v>8.2000000000000003E-2</v>
      </c>
      <c r="E62" s="2">
        <v>0.30499999999999999</v>
      </c>
      <c r="F62" s="2">
        <v>0</v>
      </c>
      <c r="G62" s="2">
        <v>0.06</v>
      </c>
    </row>
    <row r="63" spans="1:14">
      <c r="A63" t="s">
        <v>49</v>
      </c>
      <c r="B63">
        <v>0.3</v>
      </c>
      <c r="C63" s="2">
        <v>0</v>
      </c>
      <c r="D63" s="2">
        <v>1</v>
      </c>
      <c r="E63" s="2">
        <v>0</v>
      </c>
      <c r="F63" s="2">
        <v>0</v>
      </c>
      <c r="G63" s="2">
        <v>0</v>
      </c>
    </row>
    <row r="64" spans="1:14">
      <c r="A64" t="s">
        <v>41</v>
      </c>
      <c r="B64">
        <v>431.3</v>
      </c>
      <c r="C64" s="2">
        <v>0.79100000000000004</v>
      </c>
      <c r="D64" s="2">
        <v>1.7000000000000001E-2</v>
      </c>
      <c r="E64" s="2">
        <v>9.1999999999999998E-2</v>
      </c>
      <c r="F64" s="2">
        <v>0.05</v>
      </c>
      <c r="G64" s="2">
        <v>0.05</v>
      </c>
    </row>
    <row r="65" spans="1:7">
      <c r="A65" t="s">
        <v>43</v>
      </c>
      <c r="B65">
        <v>1204.8</v>
      </c>
      <c r="C65" s="2">
        <v>0.31</v>
      </c>
      <c r="D65" s="2">
        <v>5.1999999999999998E-2</v>
      </c>
      <c r="E65" s="2">
        <v>0.50600000000000001</v>
      </c>
      <c r="F65" s="2">
        <v>5.2999999999999999E-2</v>
      </c>
      <c r="G65" s="2">
        <v>7.9000000000000001E-2</v>
      </c>
    </row>
    <row r="66" spans="1:7">
      <c r="A66" t="s">
        <v>42</v>
      </c>
      <c r="B66">
        <v>299.2</v>
      </c>
      <c r="C66" s="2">
        <v>0.46400000000000002</v>
      </c>
      <c r="D66" s="2">
        <v>4.5999999999999999E-2</v>
      </c>
      <c r="E66" s="2">
        <v>0.29099999999999998</v>
      </c>
      <c r="F66" s="2">
        <v>0.16900000000000001</v>
      </c>
      <c r="G66" s="2">
        <v>0.03</v>
      </c>
    </row>
    <row r="67" spans="1:7">
      <c r="A67" t="s">
        <v>44</v>
      </c>
      <c r="B67">
        <v>21.8</v>
      </c>
      <c r="C67" s="2">
        <v>0.49099999999999999</v>
      </c>
      <c r="D67" s="2">
        <v>4.0000000000000001E-3</v>
      </c>
      <c r="E67" s="2">
        <v>0.433</v>
      </c>
      <c r="F67" s="2">
        <v>7.0999999999999994E-2</v>
      </c>
      <c r="G67" s="2">
        <v>0</v>
      </c>
    </row>
    <row r="68" spans="1:7">
      <c r="A68" t="s">
        <v>45</v>
      </c>
      <c r="B68">
        <v>406.3</v>
      </c>
      <c r="C68" s="2">
        <v>1.7999999999999999E-2</v>
      </c>
      <c r="D68" s="2">
        <v>0.09</v>
      </c>
      <c r="E68" s="2">
        <v>0.76100000000000001</v>
      </c>
      <c r="F68" s="2">
        <v>0</v>
      </c>
      <c r="G68" s="2">
        <v>0.13100000000000001</v>
      </c>
    </row>
    <row r="69" spans="1:7">
      <c r="A69" t="s">
        <v>62</v>
      </c>
      <c r="B69">
        <v>466.9</v>
      </c>
      <c r="C69" s="2">
        <v>0.27200000000000002</v>
      </c>
      <c r="D69" s="2">
        <v>2.3E-2</v>
      </c>
      <c r="E69" s="2">
        <v>0.23300000000000001</v>
      </c>
      <c r="F69" s="2">
        <v>0.44600000000000001</v>
      </c>
      <c r="G69" s="2">
        <v>2.7E-2</v>
      </c>
    </row>
    <row r="70" spans="1:7">
      <c r="A70" t="s">
        <v>46</v>
      </c>
      <c r="B70">
        <v>407.5</v>
      </c>
      <c r="C70" s="2">
        <v>0.05</v>
      </c>
      <c r="D70" s="2">
        <v>4.2999999999999997E-2</v>
      </c>
      <c r="E70" s="2">
        <v>0.53500000000000003</v>
      </c>
      <c r="F70" s="2">
        <v>0.23200000000000001</v>
      </c>
      <c r="G70" s="2">
        <v>0.14000000000000001</v>
      </c>
    </row>
    <row r="71" spans="1:7">
      <c r="A71" t="s">
        <v>82</v>
      </c>
      <c r="B71">
        <v>85.3</v>
      </c>
      <c r="C71" s="2">
        <v>0.82899999999999996</v>
      </c>
      <c r="D71" s="2">
        <v>3.3000000000000002E-2</v>
      </c>
      <c r="E71" s="2">
        <v>3.7999999999999999E-2</v>
      </c>
      <c r="F71" s="2">
        <v>4.0000000000000001E-3</v>
      </c>
      <c r="G71" s="2">
        <v>9.7000000000000003E-2</v>
      </c>
    </row>
    <row r="72" spans="1:7">
      <c r="A72" t="s">
        <v>53</v>
      </c>
      <c r="B72">
        <v>97.7</v>
      </c>
      <c r="C72" s="2">
        <v>7.0000000000000007E-2</v>
      </c>
      <c r="D72" s="2">
        <v>1.7000000000000001E-2</v>
      </c>
      <c r="E72" s="2">
        <v>0.79600000000000004</v>
      </c>
      <c r="F72" s="2">
        <v>1.2E-2</v>
      </c>
      <c r="G72" s="2">
        <v>0.105</v>
      </c>
    </row>
    <row r="73" spans="1:7">
      <c r="A73" t="s">
        <v>47</v>
      </c>
      <c r="B73">
        <v>8.4</v>
      </c>
      <c r="C73" s="2">
        <v>0.14599999999999999</v>
      </c>
      <c r="D73" s="2">
        <v>1E-3</v>
      </c>
      <c r="E73" s="2">
        <v>0.76900000000000002</v>
      </c>
      <c r="F73" s="2">
        <v>1.7999999999999999E-2</v>
      </c>
      <c r="G73" s="2">
        <v>6.7000000000000004E-2</v>
      </c>
    </row>
    <row r="74" spans="1:7">
      <c r="A74" t="s">
        <v>48</v>
      </c>
      <c r="B74">
        <v>887.8</v>
      </c>
      <c r="C74" s="2">
        <v>8.0000000000000002E-3</v>
      </c>
      <c r="D74" s="2">
        <v>0.188</v>
      </c>
      <c r="E74" s="2">
        <v>0.67400000000000004</v>
      </c>
      <c r="F74" s="2">
        <v>3.5000000000000003E-2</v>
      </c>
      <c r="G74" s="2">
        <v>9.5000000000000001E-2</v>
      </c>
    </row>
    <row r="75" spans="1:7">
      <c r="A75" t="s">
        <v>51</v>
      </c>
      <c r="B75">
        <v>45</v>
      </c>
      <c r="C75" s="2">
        <v>0</v>
      </c>
      <c r="D75" s="2">
        <v>0.126</v>
      </c>
      <c r="E75" s="2">
        <v>0.86899999999999999</v>
      </c>
      <c r="F75" s="2">
        <v>5.0000000000000001E-3</v>
      </c>
      <c r="G75" s="2">
        <v>0</v>
      </c>
    </row>
    <row r="76" spans="1:7">
      <c r="A76" t="s">
        <v>52</v>
      </c>
      <c r="B76">
        <v>4.8</v>
      </c>
      <c r="C76" s="2">
        <v>0</v>
      </c>
      <c r="D76" s="2">
        <v>0</v>
      </c>
      <c r="E76" s="2">
        <v>1</v>
      </c>
      <c r="F76" s="2">
        <v>0</v>
      </c>
      <c r="G76" s="2">
        <v>0</v>
      </c>
    </row>
    <row r="77" spans="1:7">
      <c r="A77" t="s">
        <v>50</v>
      </c>
      <c r="B77">
        <v>21.9</v>
      </c>
      <c r="C77" s="2">
        <v>0</v>
      </c>
      <c r="D77" s="2">
        <v>2.4E-2</v>
      </c>
      <c r="E77" s="2">
        <v>0.91900000000000004</v>
      </c>
      <c r="F77" s="2">
        <v>5.7000000000000002E-2</v>
      </c>
      <c r="G77" s="2">
        <v>0</v>
      </c>
    </row>
    <row r="78" spans="1:7">
      <c r="A78" t="s">
        <v>54</v>
      </c>
      <c r="B78">
        <v>0</v>
      </c>
    </row>
    <row r="79" spans="1:7">
      <c r="A79" t="s">
        <v>55</v>
      </c>
      <c r="B79">
        <v>597.5</v>
      </c>
      <c r="C79" s="2">
        <v>0.14099999999999999</v>
      </c>
      <c r="D79" s="2">
        <v>2.4E-2</v>
      </c>
      <c r="E79" s="2">
        <v>0.69499999999999995</v>
      </c>
      <c r="F79" s="2">
        <v>2.1000000000000001E-2</v>
      </c>
      <c r="G79" s="2">
        <v>0.11899999999999999</v>
      </c>
    </row>
    <row r="80" spans="1:7">
      <c r="A80" t="s">
        <v>57</v>
      </c>
      <c r="B80">
        <v>1489.8</v>
      </c>
      <c r="C80" s="2">
        <v>0.92100000000000004</v>
      </c>
      <c r="D80" s="2">
        <v>2.9000000000000001E-2</v>
      </c>
      <c r="E80" s="2">
        <v>2.7E-2</v>
      </c>
      <c r="F80" s="2">
        <v>0.01</v>
      </c>
      <c r="G80" s="2">
        <v>1.2E-2</v>
      </c>
    </row>
    <row r="81" spans="1:10">
      <c r="A81" t="s">
        <v>58</v>
      </c>
      <c r="B81">
        <v>103.7</v>
      </c>
      <c r="C81" s="2">
        <v>0</v>
      </c>
      <c r="D81" s="2">
        <v>0.371</v>
      </c>
      <c r="E81" s="2">
        <v>0.21</v>
      </c>
      <c r="F81" s="2">
        <v>0.36799999999999999</v>
      </c>
      <c r="G81" s="2">
        <v>5.0999999999999997E-2</v>
      </c>
    </row>
    <row r="82" spans="1:10">
      <c r="A82" t="s">
        <v>59</v>
      </c>
      <c r="B82">
        <v>265.39999999999998</v>
      </c>
      <c r="C82" s="2">
        <v>0.45500000000000002</v>
      </c>
      <c r="D82" s="2">
        <v>0.105</v>
      </c>
      <c r="E82" s="2">
        <v>0.42899999999999999</v>
      </c>
      <c r="F82" s="2">
        <v>0</v>
      </c>
      <c r="G82" s="2">
        <v>1.0999999999999999E-2</v>
      </c>
    </row>
    <row r="83" spans="1:10">
      <c r="A83" t="s">
        <v>60</v>
      </c>
      <c r="B83">
        <v>64</v>
      </c>
      <c r="C83" s="2">
        <v>0.84</v>
      </c>
      <c r="D83" s="2">
        <v>1.7999999999999999E-2</v>
      </c>
      <c r="E83" s="2">
        <v>8.5999999999999993E-2</v>
      </c>
      <c r="F83" s="2">
        <v>5.5E-2</v>
      </c>
      <c r="G83" s="2">
        <v>2E-3</v>
      </c>
    </row>
    <row r="84" spans="1:10">
      <c r="A84" t="s">
        <v>61</v>
      </c>
      <c r="B84">
        <v>327.7</v>
      </c>
      <c r="C84" s="2">
        <v>0.25700000000000001</v>
      </c>
      <c r="D84" s="2">
        <v>4.4999999999999998E-2</v>
      </c>
      <c r="E84" s="2">
        <v>8.2000000000000003E-2</v>
      </c>
      <c r="F84" s="2">
        <v>2E-3</v>
      </c>
      <c r="G84" s="2">
        <v>0.61399999999999999</v>
      </c>
    </row>
    <row r="85" spans="1:10">
      <c r="A85" t="s">
        <v>63</v>
      </c>
      <c r="B85">
        <v>211.4</v>
      </c>
      <c r="C85" s="2">
        <v>9.6000000000000002E-2</v>
      </c>
      <c r="D85" s="2">
        <v>0.112</v>
      </c>
      <c r="E85" s="2">
        <v>4.2000000000000003E-2</v>
      </c>
      <c r="F85" s="2">
        <v>0.65600000000000003</v>
      </c>
      <c r="G85" s="2">
        <v>9.4E-2</v>
      </c>
    </row>
    <row r="86" spans="1:10">
      <c r="A86" t="s">
        <v>64</v>
      </c>
      <c r="B86">
        <v>343.4</v>
      </c>
      <c r="C86" s="2">
        <v>0.03</v>
      </c>
      <c r="D86" s="2">
        <v>0.04</v>
      </c>
      <c r="E86" s="2">
        <v>0.71699999999999997</v>
      </c>
      <c r="F86" s="2">
        <v>1.9E-2</v>
      </c>
      <c r="G86" s="2">
        <v>0.193</v>
      </c>
    </row>
    <row r="87" spans="1:10">
      <c r="A87" t="s">
        <v>65</v>
      </c>
      <c r="B87">
        <v>258.39999999999998</v>
      </c>
      <c r="C87" s="2">
        <v>0.08</v>
      </c>
      <c r="D87" s="2">
        <v>0.20799999999999999</v>
      </c>
      <c r="E87" s="2">
        <v>0.625</v>
      </c>
      <c r="F87" s="2">
        <v>2E-3</v>
      </c>
      <c r="G87" s="2">
        <v>8.5000000000000006E-2</v>
      </c>
    </row>
    <row r="95" spans="1:10">
      <c r="A95" t="s">
        <v>135</v>
      </c>
    </row>
    <row r="96" spans="1:10" ht="51">
      <c r="A96" s="499"/>
      <c r="B96" s="494" t="s">
        <v>74</v>
      </c>
      <c r="C96" s="494" t="s">
        <v>75</v>
      </c>
      <c r="D96" s="494" t="s">
        <v>76</v>
      </c>
      <c r="E96" s="494" t="s">
        <v>77</v>
      </c>
      <c r="F96" s="494" t="s">
        <v>78</v>
      </c>
      <c r="H96" s="4"/>
      <c r="I96" s="4"/>
      <c r="J96" s="4"/>
    </row>
    <row r="97" spans="1:10">
      <c r="A97" s="3"/>
      <c r="B97" s="3" t="s">
        <v>3</v>
      </c>
      <c r="C97" s="3" t="s">
        <v>79</v>
      </c>
      <c r="D97" s="3" t="s">
        <v>79</v>
      </c>
      <c r="E97" s="3" t="s">
        <v>79</v>
      </c>
      <c r="F97" s="3" t="s">
        <v>14</v>
      </c>
      <c r="H97" s="495"/>
      <c r="I97" s="495"/>
      <c r="J97" s="495"/>
    </row>
    <row r="98" spans="1:10">
      <c r="A98" s="5" t="s">
        <v>80</v>
      </c>
      <c r="B98" s="6">
        <v>2005</v>
      </c>
      <c r="C98" s="6">
        <v>2005</v>
      </c>
      <c r="D98" s="6">
        <v>2005</v>
      </c>
      <c r="E98" s="6">
        <v>2005</v>
      </c>
      <c r="F98" s="6">
        <v>2005</v>
      </c>
      <c r="H98" s="495"/>
      <c r="I98" s="495"/>
      <c r="J98" s="495"/>
    </row>
    <row r="99" spans="1:10">
      <c r="A99" s="7" t="s">
        <v>56</v>
      </c>
      <c r="B99" s="8">
        <v>10.24</v>
      </c>
      <c r="C99" s="9">
        <v>0.47799999999999998</v>
      </c>
      <c r="D99" s="10">
        <v>0.52200000000000002</v>
      </c>
      <c r="E99" s="11">
        <v>0.161</v>
      </c>
      <c r="F99" s="8">
        <v>98.9</v>
      </c>
      <c r="H99" s="59"/>
      <c r="I99" s="59"/>
      <c r="J99" s="59"/>
    </row>
    <row r="100" spans="1:10">
      <c r="A100" s="7" t="s">
        <v>39</v>
      </c>
      <c r="B100" s="12">
        <v>7.44</v>
      </c>
      <c r="C100" s="13">
        <v>0.67300000000000004</v>
      </c>
      <c r="D100" s="14">
        <v>0.32700000000000001</v>
      </c>
      <c r="E100" s="15">
        <v>8.6999999999999994E-2</v>
      </c>
      <c r="F100" s="12">
        <v>74.5</v>
      </c>
      <c r="H100" s="59"/>
      <c r="I100" s="59"/>
      <c r="J100" s="59"/>
    </row>
    <row r="101" spans="1:10">
      <c r="A101" s="7" t="s">
        <v>40</v>
      </c>
      <c r="B101" s="12">
        <v>2.77</v>
      </c>
      <c r="C101" s="13">
        <v>0.81599999999999995</v>
      </c>
      <c r="D101" s="14">
        <v>0.184</v>
      </c>
      <c r="E101" s="16">
        <v>0.06</v>
      </c>
      <c r="F101" s="12">
        <v>48</v>
      </c>
      <c r="H101" s="59"/>
      <c r="I101" s="59"/>
      <c r="J101" s="59"/>
    </row>
    <row r="102" spans="1:10">
      <c r="A102" s="7" t="s">
        <v>81</v>
      </c>
      <c r="B102" s="17"/>
      <c r="C102" s="18"/>
      <c r="D102" s="19"/>
      <c r="E102" s="20"/>
      <c r="F102" s="17"/>
    </row>
    <row r="103" spans="1:10">
      <c r="A103" s="7" t="s">
        <v>49</v>
      </c>
      <c r="B103" s="12">
        <v>0.01</v>
      </c>
      <c r="C103" s="21">
        <v>0</v>
      </c>
      <c r="D103" s="22">
        <v>1</v>
      </c>
      <c r="E103" s="15">
        <v>3.0000000000000001E-3</v>
      </c>
      <c r="F103" s="12">
        <v>0.1</v>
      </c>
    </row>
    <row r="104" spans="1:10">
      <c r="A104" s="7" t="s">
        <v>41</v>
      </c>
      <c r="B104" s="12">
        <v>12.71</v>
      </c>
      <c r="C104" s="13">
        <v>0.70299999999999996</v>
      </c>
      <c r="D104" s="14">
        <v>0.29699999999999999</v>
      </c>
      <c r="E104" s="15">
        <v>0.151</v>
      </c>
      <c r="F104" s="12">
        <v>143.19999999999999</v>
      </c>
    </row>
    <row r="105" spans="1:10">
      <c r="A105" s="7" t="s">
        <v>43</v>
      </c>
      <c r="B105" s="12">
        <v>79.72</v>
      </c>
      <c r="C105" s="13">
        <v>0.67700000000000005</v>
      </c>
      <c r="D105" s="14">
        <v>0.32300000000000001</v>
      </c>
      <c r="E105" s="15">
        <v>0.125</v>
      </c>
      <c r="F105" s="12">
        <v>646.5</v>
      </c>
    </row>
    <row r="106" spans="1:10">
      <c r="A106" s="7" t="s">
        <v>42</v>
      </c>
      <c r="B106" s="12">
        <v>18.63</v>
      </c>
      <c r="C106" s="23"/>
      <c r="D106" s="24"/>
      <c r="E106" s="15">
        <v>0.40699999999999997</v>
      </c>
      <c r="F106" s="12">
        <v>117.2</v>
      </c>
    </row>
    <row r="107" spans="1:10">
      <c r="A107" s="7" t="s">
        <v>44</v>
      </c>
      <c r="B107" s="12">
        <v>1.04</v>
      </c>
      <c r="C107" s="13">
        <v>0.89300000000000002</v>
      </c>
      <c r="D107" s="14">
        <v>0.107</v>
      </c>
      <c r="E107" s="15">
        <v>0.107</v>
      </c>
      <c r="F107" s="12">
        <v>11.6</v>
      </c>
    </row>
    <row r="108" spans="1:10">
      <c r="A108" s="7" t="s">
        <v>45</v>
      </c>
      <c r="B108" s="12">
        <v>21.94</v>
      </c>
      <c r="C108" s="21">
        <v>0</v>
      </c>
      <c r="D108" s="22">
        <v>1</v>
      </c>
      <c r="E108" s="15">
        <v>7.1999999999999995E-2</v>
      </c>
      <c r="F108" s="12">
        <v>188.8</v>
      </c>
    </row>
    <row r="109" spans="1:10">
      <c r="A109" s="7" t="s">
        <v>62</v>
      </c>
      <c r="B109" s="12">
        <v>28.75</v>
      </c>
      <c r="C109" s="13">
        <v>0.67400000000000004</v>
      </c>
      <c r="D109" s="14">
        <v>0.32600000000000001</v>
      </c>
      <c r="E109" s="15">
        <v>0.34899999999999998</v>
      </c>
      <c r="F109" s="12">
        <v>274.5</v>
      </c>
    </row>
    <row r="110" spans="1:10">
      <c r="A110" s="7" t="s">
        <v>46</v>
      </c>
      <c r="B110" s="12">
        <v>18.420000000000002</v>
      </c>
      <c r="C110" s="13">
        <v>0.45300000000000001</v>
      </c>
      <c r="D110" s="14">
        <v>0.54700000000000004</v>
      </c>
      <c r="E110" s="15">
        <v>3.2000000000000001E-2</v>
      </c>
      <c r="F110" s="12">
        <v>187.4</v>
      </c>
    </row>
    <row r="111" spans="1:10">
      <c r="A111" s="7" t="s">
        <v>82</v>
      </c>
      <c r="B111" s="12">
        <v>1.05</v>
      </c>
      <c r="C111" s="21">
        <v>0.2</v>
      </c>
      <c r="D111" s="22">
        <v>0.8</v>
      </c>
      <c r="E111" s="15">
        <v>1.7000000000000001E-2</v>
      </c>
      <c r="F111" s="12">
        <v>8.3000000000000007</v>
      </c>
    </row>
    <row r="112" spans="1:10">
      <c r="A112" s="7" t="s">
        <v>53</v>
      </c>
      <c r="B112" s="12">
        <v>8.02</v>
      </c>
      <c r="C112" s="13">
        <v>0.88900000000000001</v>
      </c>
      <c r="D112" s="14">
        <v>0.111</v>
      </c>
      <c r="E112" s="15">
        <v>0.224</v>
      </c>
      <c r="F112" s="12">
        <v>46.9</v>
      </c>
    </row>
    <row r="113" spans="1:11">
      <c r="A113" s="7" t="s">
        <v>47</v>
      </c>
      <c r="B113" s="12">
        <v>1.54</v>
      </c>
      <c r="C113" s="21">
        <v>0</v>
      </c>
      <c r="D113" s="22">
        <v>1</v>
      </c>
      <c r="E113" s="15">
        <v>5.6000000000000001E-2</v>
      </c>
      <c r="F113" s="12">
        <v>10</v>
      </c>
    </row>
    <row r="114" spans="1:11">
      <c r="A114" s="7" t="s">
        <v>83</v>
      </c>
      <c r="B114" s="12">
        <v>1.43</v>
      </c>
      <c r="C114" s="21">
        <v>1</v>
      </c>
      <c r="D114" s="22">
        <v>0</v>
      </c>
      <c r="E114" s="15">
        <v>0.14399999999999999</v>
      </c>
      <c r="F114" s="12">
        <v>8.6999999999999993</v>
      </c>
    </row>
    <row r="115" spans="1:11">
      <c r="A115" s="7" t="s">
        <v>48</v>
      </c>
      <c r="B115" s="12">
        <v>30.89</v>
      </c>
      <c r="C115" s="13">
        <v>0.59099999999999997</v>
      </c>
      <c r="D115" s="14">
        <v>0.40899999999999997</v>
      </c>
      <c r="E115" s="15">
        <v>9.8000000000000004E-2</v>
      </c>
      <c r="F115" s="12">
        <v>208.3</v>
      </c>
    </row>
    <row r="116" spans="1:11">
      <c r="A116" s="7" t="s">
        <v>51</v>
      </c>
      <c r="B116" s="12">
        <v>1.78</v>
      </c>
      <c r="C116" s="13">
        <v>0.90600000000000003</v>
      </c>
      <c r="D116" s="14">
        <v>9.4E-2</v>
      </c>
      <c r="E116" s="15">
        <v>0.14299999999999999</v>
      </c>
      <c r="F116" s="12">
        <v>16.899999999999999</v>
      </c>
    </row>
    <row r="117" spans="1:11">
      <c r="A117" s="7" t="s">
        <v>52</v>
      </c>
      <c r="B117" s="12">
        <v>0.47</v>
      </c>
      <c r="C117" s="13">
        <v>0.90200000000000002</v>
      </c>
      <c r="D117" s="14">
        <v>9.8000000000000004E-2</v>
      </c>
      <c r="E117" s="15">
        <v>0.109</v>
      </c>
      <c r="F117" s="12">
        <v>2.7</v>
      </c>
    </row>
    <row r="118" spans="1:11">
      <c r="A118" s="7" t="s">
        <v>50</v>
      </c>
      <c r="B118" s="12">
        <v>2.08</v>
      </c>
      <c r="C118" s="13">
        <v>0.97499999999999998</v>
      </c>
      <c r="D118" s="14">
        <v>2.5000000000000001E-2</v>
      </c>
      <c r="E118" s="15">
        <v>0.42599999999999999</v>
      </c>
      <c r="F118" s="12">
        <v>12.1</v>
      </c>
    </row>
    <row r="119" spans="1:11">
      <c r="A119" s="7" t="s">
        <v>54</v>
      </c>
      <c r="B119" s="12">
        <v>0</v>
      </c>
      <c r="C119" s="13">
        <v>0</v>
      </c>
      <c r="D119" s="14">
        <v>0</v>
      </c>
      <c r="E119" s="16">
        <v>0</v>
      </c>
      <c r="F119" s="12">
        <v>0</v>
      </c>
    </row>
    <row r="120" spans="1:11">
      <c r="A120" s="7" t="s">
        <v>55</v>
      </c>
      <c r="B120" s="12">
        <v>29.42</v>
      </c>
      <c r="C120" s="18"/>
      <c r="D120" s="19"/>
      <c r="E120" s="15">
        <v>0.29899999999999999</v>
      </c>
      <c r="F120" s="12">
        <v>219.9</v>
      </c>
    </row>
    <row r="121" spans="1:11">
      <c r="A121" s="7" t="s">
        <v>84</v>
      </c>
      <c r="B121" s="12">
        <v>0.09</v>
      </c>
      <c r="C121" s="21">
        <v>1</v>
      </c>
      <c r="D121" s="14">
        <v>0</v>
      </c>
      <c r="E121" s="15">
        <v>1E-3</v>
      </c>
      <c r="F121" s="12">
        <v>3.6</v>
      </c>
    </row>
    <row r="122" spans="1:11">
      <c r="A122" s="7" t="s">
        <v>57</v>
      </c>
      <c r="B122" s="12">
        <v>25.96</v>
      </c>
      <c r="C122" s="13">
        <v>0.77300000000000002</v>
      </c>
      <c r="D122" s="14">
        <v>0.22700000000000001</v>
      </c>
      <c r="E122" s="16">
        <v>0.16</v>
      </c>
      <c r="F122" s="12">
        <v>264.60000000000002</v>
      </c>
    </row>
    <row r="123" spans="1:11">
      <c r="A123" s="7" t="s">
        <v>58</v>
      </c>
      <c r="B123" s="12">
        <v>5.7</v>
      </c>
      <c r="C123" s="13">
        <v>0.69199999999999995</v>
      </c>
      <c r="D123" s="14">
        <v>0.308</v>
      </c>
      <c r="E123" s="15">
        <v>0.11600000000000001</v>
      </c>
      <c r="F123" s="12">
        <v>63.3</v>
      </c>
    </row>
    <row r="124" spans="1:11">
      <c r="A124" s="7" t="s">
        <v>59</v>
      </c>
      <c r="B124" s="12">
        <v>11.3</v>
      </c>
      <c r="C124" s="13">
        <v>0.91800000000000004</v>
      </c>
      <c r="D124" s="14">
        <v>8.2000000000000003E-2</v>
      </c>
      <c r="E124" s="16">
        <v>0.18</v>
      </c>
      <c r="F124" s="12">
        <v>99.6</v>
      </c>
    </row>
    <row r="125" spans="1:11">
      <c r="A125" s="7" t="s">
        <v>63</v>
      </c>
      <c r="B125" s="12">
        <v>11.43</v>
      </c>
      <c r="C125" s="13">
        <v>0.621</v>
      </c>
      <c r="D125" s="14">
        <v>0.379</v>
      </c>
      <c r="E125" s="16">
        <v>0.08</v>
      </c>
      <c r="F125" s="12">
        <v>141.5</v>
      </c>
    </row>
    <row r="126" spans="1:11">
      <c r="A126" s="7" t="s">
        <v>60</v>
      </c>
      <c r="B126" s="12">
        <v>1.1200000000000001</v>
      </c>
      <c r="C126" s="13">
        <v>0.74199999999999999</v>
      </c>
      <c r="D126" s="14">
        <v>0.25800000000000001</v>
      </c>
      <c r="E126" s="15">
        <v>7.3999999999999996E-2</v>
      </c>
      <c r="F126" s="12">
        <v>13.5</v>
      </c>
    </row>
    <row r="127" spans="1:11">
      <c r="A127" s="7" t="s">
        <v>61</v>
      </c>
      <c r="B127" s="12">
        <v>8.66</v>
      </c>
      <c r="C127" s="13">
        <v>0.70399999999999996</v>
      </c>
      <c r="D127" s="14">
        <v>0.29599999999999999</v>
      </c>
      <c r="E127" s="15">
        <v>0.27600000000000002</v>
      </c>
      <c r="F127" s="12">
        <v>43.6</v>
      </c>
      <c r="K127" s="92"/>
    </row>
    <row r="128" spans="1:11">
      <c r="A128" s="7" t="s">
        <v>64</v>
      </c>
      <c r="B128" s="25">
        <v>25.21</v>
      </c>
      <c r="C128" s="26">
        <v>9.8000000000000004E-2</v>
      </c>
      <c r="D128" s="27">
        <v>0.90200000000000002</v>
      </c>
      <c r="E128" s="28">
        <v>6.3E-2</v>
      </c>
      <c r="F128" s="25">
        <v>165.5</v>
      </c>
      <c r="K128" s="92"/>
    </row>
  </sheetData>
  <phoneticPr fontId="5" type="noConversion"/>
  <hyperlinks>
    <hyperlink ref="A2" r:id="rId1"/>
  </hyperlinks>
  <pageMargins left="0.75" right="0.75" top="1" bottom="1" header="0.5" footer="0.5"/>
  <pageSetup paperSize="9" orientation="portrait" horizontalDpi="300" verticalDpi="300"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F0"/>
  </sheetPr>
  <dimension ref="A3:AE57"/>
  <sheetViews>
    <sheetView workbookViewId="0">
      <pane xSplit="1" topLeftCell="B1" activePane="topRight" state="frozen"/>
      <selection pane="topRight" activeCell="T14" sqref="T14"/>
    </sheetView>
  </sheetViews>
  <sheetFormatPr defaultRowHeight="12.75"/>
  <cols>
    <col min="1" max="1" width="22.7109375" style="99" customWidth="1"/>
    <col min="2" max="27" width="9.140625" style="99" customWidth="1"/>
  </cols>
  <sheetData>
    <row r="3" spans="1:27" ht="18">
      <c r="A3" s="108" t="s">
        <v>268</v>
      </c>
    </row>
    <row r="5" spans="1:27">
      <c r="A5" s="99" t="s">
        <v>269</v>
      </c>
      <c r="B5" s="99" t="s">
        <v>270</v>
      </c>
    </row>
    <row r="6" spans="1:27">
      <c r="A6" s="99" t="s">
        <v>271</v>
      </c>
      <c r="B6" s="99" t="s">
        <v>272</v>
      </c>
    </row>
    <row r="7" spans="1:27">
      <c r="A7" s="99" t="s">
        <v>273</v>
      </c>
      <c r="B7" s="99" t="s">
        <v>67</v>
      </c>
    </row>
    <row r="8" spans="1:27">
      <c r="Q8" s="156" t="s">
        <v>169</v>
      </c>
    </row>
    <row r="9" spans="1:27">
      <c r="Q9" s="114">
        <f>SUM(Q13:Q45)-Q40-Q41-Q42</f>
        <v>57224</v>
      </c>
      <c r="R9" s="114"/>
      <c r="S9" s="114"/>
      <c r="T9" s="114"/>
      <c r="U9" s="114"/>
      <c r="V9" s="114"/>
    </row>
    <row r="11" spans="1:27" ht="127.5">
      <c r="A11" s="109" t="s">
        <v>274</v>
      </c>
      <c r="B11" s="109" t="s">
        <v>275</v>
      </c>
      <c r="C11" s="109" t="s">
        <v>276</v>
      </c>
      <c r="D11" s="109" t="s">
        <v>277</v>
      </c>
      <c r="E11" s="109" t="s">
        <v>278</v>
      </c>
      <c r="F11" s="109" t="s">
        <v>279</v>
      </c>
      <c r="G11" s="109" t="s">
        <v>280</v>
      </c>
      <c r="H11" s="109" t="s">
        <v>281</v>
      </c>
      <c r="I11" s="109" t="s">
        <v>282</v>
      </c>
      <c r="J11" s="109" t="s">
        <v>283</v>
      </c>
      <c r="K11" s="496" t="s">
        <v>284</v>
      </c>
      <c r="L11" s="109" t="s">
        <v>285</v>
      </c>
      <c r="M11" s="109" t="s">
        <v>286</v>
      </c>
      <c r="N11" s="109" t="s">
        <v>287</v>
      </c>
      <c r="O11" s="109" t="s">
        <v>288</v>
      </c>
      <c r="P11" s="109" t="s">
        <v>289</v>
      </c>
      <c r="Q11" s="496" t="s">
        <v>290</v>
      </c>
      <c r="R11" s="109" t="s">
        <v>291</v>
      </c>
      <c r="S11" s="109" t="s">
        <v>292</v>
      </c>
      <c r="T11" s="109" t="s">
        <v>293</v>
      </c>
      <c r="U11" s="109" t="s">
        <v>294</v>
      </c>
      <c r="V11" s="109" t="s">
        <v>295</v>
      </c>
      <c r="W11" s="109" t="s">
        <v>296</v>
      </c>
      <c r="X11" s="110"/>
      <c r="AA11" s="110"/>
    </row>
    <row r="12" spans="1:27">
      <c r="A12" s="111" t="s">
        <v>297</v>
      </c>
      <c r="B12" s="111" t="s">
        <v>298</v>
      </c>
      <c r="C12" s="111" t="s">
        <v>298</v>
      </c>
      <c r="D12" s="111" t="s">
        <v>298</v>
      </c>
      <c r="E12" s="111" t="s">
        <v>298</v>
      </c>
      <c r="F12" s="111" t="s">
        <v>298</v>
      </c>
      <c r="G12" s="111" t="s">
        <v>298</v>
      </c>
      <c r="H12" s="111" t="s">
        <v>298</v>
      </c>
      <c r="I12" s="111" t="s">
        <v>298</v>
      </c>
      <c r="J12" s="111" t="s">
        <v>298</v>
      </c>
      <c r="K12" s="111" t="s">
        <v>298</v>
      </c>
      <c r="L12" s="111" t="s">
        <v>298</v>
      </c>
      <c r="M12" s="111" t="s">
        <v>298</v>
      </c>
      <c r="N12" s="111" t="s">
        <v>298</v>
      </c>
      <c r="O12" s="111" t="s">
        <v>298</v>
      </c>
      <c r="P12" s="111" t="s">
        <v>298</v>
      </c>
      <c r="Q12" s="111" t="s">
        <v>298</v>
      </c>
      <c r="R12" s="111" t="s">
        <v>298</v>
      </c>
      <c r="S12" s="111" t="s">
        <v>298</v>
      </c>
      <c r="T12" s="111" t="s">
        <v>298</v>
      </c>
      <c r="U12" s="111" t="s">
        <v>298</v>
      </c>
      <c r="V12" s="111" t="s">
        <v>298</v>
      </c>
      <c r="W12" s="111" t="s">
        <v>298</v>
      </c>
    </row>
    <row r="13" spans="1:27">
      <c r="A13" s="111" t="s">
        <v>192</v>
      </c>
      <c r="B13" s="112">
        <v>18892</v>
      </c>
      <c r="C13" s="112">
        <v>6254</v>
      </c>
      <c r="D13" s="113" t="s">
        <v>36</v>
      </c>
      <c r="E13" s="112">
        <v>11811</v>
      </c>
      <c r="F13" s="112">
        <v>3580</v>
      </c>
      <c r="G13" s="112">
        <v>0</v>
      </c>
      <c r="H13" s="112">
        <v>827</v>
      </c>
      <c r="I13" s="112">
        <v>4051</v>
      </c>
      <c r="J13" s="112">
        <v>505</v>
      </c>
      <c r="K13" s="497">
        <v>1487</v>
      </c>
      <c r="L13" s="112">
        <v>211</v>
      </c>
      <c r="M13" s="112">
        <v>328</v>
      </c>
      <c r="N13" s="112">
        <v>734</v>
      </c>
      <c r="O13" s="112">
        <v>7169</v>
      </c>
      <c r="P13" s="112">
        <v>17263</v>
      </c>
      <c r="Q13" s="166">
        <v>1753</v>
      </c>
      <c r="R13" s="112">
        <v>22</v>
      </c>
      <c r="S13" s="113" t="s">
        <v>36</v>
      </c>
      <c r="T13" s="112">
        <v>364</v>
      </c>
      <c r="U13" s="112">
        <v>766</v>
      </c>
      <c r="V13" s="112">
        <v>0</v>
      </c>
      <c r="W13" s="112">
        <v>0</v>
      </c>
    </row>
    <row r="14" spans="1:27">
      <c r="A14" s="111" t="s">
        <v>180</v>
      </c>
      <c r="B14" s="112">
        <v>16094</v>
      </c>
      <c r="C14" s="112">
        <v>8713</v>
      </c>
      <c r="D14" s="112">
        <v>5802</v>
      </c>
      <c r="E14" s="112">
        <v>1412</v>
      </c>
      <c r="F14" s="112">
        <v>1307</v>
      </c>
      <c r="G14" s="113" t="s">
        <v>36</v>
      </c>
      <c r="H14" s="112">
        <v>167</v>
      </c>
      <c r="I14" s="112">
        <v>3484</v>
      </c>
      <c r="J14" s="112">
        <v>1313</v>
      </c>
      <c r="K14" s="497">
        <v>3364</v>
      </c>
      <c r="L14" s="112">
        <v>433</v>
      </c>
      <c r="M14" s="112">
        <v>8</v>
      </c>
      <c r="N14" s="112">
        <v>54</v>
      </c>
      <c r="O14" s="112">
        <v>55</v>
      </c>
      <c r="P14" s="112">
        <v>15602</v>
      </c>
      <c r="Q14" s="166">
        <v>494</v>
      </c>
      <c r="R14" s="112">
        <v>2</v>
      </c>
      <c r="S14" s="113" t="s">
        <v>36</v>
      </c>
      <c r="T14" s="112">
        <v>139</v>
      </c>
      <c r="U14" s="112">
        <v>293</v>
      </c>
      <c r="V14" s="112">
        <v>56</v>
      </c>
      <c r="W14" s="112">
        <v>17</v>
      </c>
    </row>
    <row r="15" spans="1:27">
      <c r="A15" s="111" t="s">
        <v>181</v>
      </c>
      <c r="B15" s="112">
        <v>12260</v>
      </c>
      <c r="C15" s="112">
        <v>6682</v>
      </c>
      <c r="D15" s="112">
        <v>2722</v>
      </c>
      <c r="E15" s="112">
        <v>2848</v>
      </c>
      <c r="F15" s="112">
        <v>864</v>
      </c>
      <c r="G15" s="113" t="s">
        <v>36</v>
      </c>
      <c r="H15" s="112">
        <v>8</v>
      </c>
      <c r="I15" s="112">
        <v>6682</v>
      </c>
      <c r="J15" s="113" t="s">
        <v>36</v>
      </c>
      <c r="K15" s="498" t="s">
        <v>36</v>
      </c>
      <c r="L15" s="113" t="s">
        <v>36</v>
      </c>
      <c r="M15" s="112">
        <v>25</v>
      </c>
      <c r="N15" s="112">
        <v>200</v>
      </c>
      <c r="O15" s="112">
        <v>1759</v>
      </c>
      <c r="P15" s="112">
        <v>11997</v>
      </c>
      <c r="Q15" s="166">
        <v>263</v>
      </c>
      <c r="R15" s="113" t="s">
        <v>36</v>
      </c>
      <c r="S15" s="113" t="s">
        <v>36</v>
      </c>
      <c r="T15" s="113" t="s">
        <v>36</v>
      </c>
      <c r="U15" s="113" t="s">
        <v>36</v>
      </c>
      <c r="V15" s="113" t="s">
        <v>36</v>
      </c>
      <c r="W15" s="112">
        <v>7</v>
      </c>
    </row>
    <row r="16" spans="1:27">
      <c r="A16" s="111" t="s">
        <v>215</v>
      </c>
      <c r="B16" s="112">
        <v>17412</v>
      </c>
      <c r="C16" s="112">
        <v>11456</v>
      </c>
      <c r="D16" s="112">
        <v>3760</v>
      </c>
      <c r="E16" s="112">
        <v>2167</v>
      </c>
      <c r="F16" s="112">
        <v>1147</v>
      </c>
      <c r="G16" s="113" t="s">
        <v>36</v>
      </c>
      <c r="H16" s="112">
        <v>29</v>
      </c>
      <c r="I16" s="112">
        <v>10693</v>
      </c>
      <c r="J16" s="113" t="s">
        <v>36</v>
      </c>
      <c r="K16" s="497">
        <v>734</v>
      </c>
      <c r="L16" s="112">
        <v>29</v>
      </c>
      <c r="M16" s="112">
        <v>123</v>
      </c>
      <c r="N16" s="112">
        <v>154</v>
      </c>
      <c r="O16" s="112">
        <v>743</v>
      </c>
      <c r="P16" s="112">
        <v>15122</v>
      </c>
      <c r="Q16" s="166">
        <v>2290</v>
      </c>
      <c r="R16" s="112">
        <v>0</v>
      </c>
      <c r="S16" s="113" t="s">
        <v>36</v>
      </c>
      <c r="T16" s="112">
        <v>3</v>
      </c>
      <c r="U16" s="112">
        <v>1182</v>
      </c>
      <c r="V16" s="112">
        <v>36</v>
      </c>
      <c r="W16" s="112">
        <v>0</v>
      </c>
    </row>
    <row r="17" spans="1:23">
      <c r="A17" s="111" t="s">
        <v>182</v>
      </c>
      <c r="B17" s="112">
        <v>13345</v>
      </c>
      <c r="C17" s="112">
        <v>10205</v>
      </c>
      <c r="D17" s="113" t="s">
        <v>36</v>
      </c>
      <c r="E17" s="112">
        <v>11</v>
      </c>
      <c r="F17" s="113" t="s">
        <v>36</v>
      </c>
      <c r="G17" s="113" t="s">
        <v>36</v>
      </c>
      <c r="H17" s="112">
        <v>3129</v>
      </c>
      <c r="I17" s="112">
        <v>7476</v>
      </c>
      <c r="J17" s="112">
        <v>586</v>
      </c>
      <c r="K17" s="497">
        <v>1063</v>
      </c>
      <c r="L17" s="112">
        <v>1080</v>
      </c>
      <c r="M17" s="112">
        <v>7</v>
      </c>
      <c r="N17" s="112">
        <v>4</v>
      </c>
      <c r="O17" s="112">
        <v>0</v>
      </c>
      <c r="P17" s="112">
        <v>12710</v>
      </c>
      <c r="Q17" s="166">
        <v>638</v>
      </c>
      <c r="R17" s="112">
        <v>3</v>
      </c>
      <c r="S17" s="113" t="s">
        <v>36</v>
      </c>
      <c r="T17" s="112">
        <v>306</v>
      </c>
      <c r="U17" s="112">
        <v>584</v>
      </c>
      <c r="V17" s="112">
        <v>65</v>
      </c>
      <c r="W17" s="112">
        <v>0</v>
      </c>
    </row>
    <row r="18" spans="1:23">
      <c r="A18" s="111" t="s">
        <v>216</v>
      </c>
      <c r="B18" s="112">
        <v>123522</v>
      </c>
      <c r="C18" s="112">
        <v>76375</v>
      </c>
      <c r="D18" s="112">
        <v>20378</v>
      </c>
      <c r="E18" s="112">
        <v>8341</v>
      </c>
      <c r="F18" s="112">
        <v>4198</v>
      </c>
      <c r="G18" s="113" t="s">
        <v>36</v>
      </c>
      <c r="H18" s="112">
        <v>18428</v>
      </c>
      <c r="I18" s="113" t="s">
        <v>36</v>
      </c>
      <c r="J18" s="113" t="s">
        <v>36</v>
      </c>
      <c r="K18" s="498" t="s">
        <v>36</v>
      </c>
      <c r="L18" s="113" t="s">
        <v>36</v>
      </c>
      <c r="M18" s="112">
        <v>641</v>
      </c>
      <c r="N18" s="112">
        <v>1073</v>
      </c>
      <c r="O18" s="112">
        <v>2429</v>
      </c>
      <c r="P18" s="112">
        <v>114409</v>
      </c>
      <c r="Q18" s="166">
        <v>10621</v>
      </c>
      <c r="R18" s="112">
        <v>1508</v>
      </c>
      <c r="S18" s="113" t="s">
        <v>36</v>
      </c>
      <c r="T18" s="112">
        <v>1256</v>
      </c>
      <c r="U18" s="112">
        <v>1008</v>
      </c>
      <c r="V18" s="112">
        <v>1074</v>
      </c>
      <c r="W18" s="112">
        <v>0</v>
      </c>
    </row>
    <row r="19" spans="1:23">
      <c r="A19" s="111" t="s">
        <v>217</v>
      </c>
      <c r="B19" s="112">
        <v>2290</v>
      </c>
      <c r="C19" s="112">
        <v>2254</v>
      </c>
      <c r="D19" s="113" t="s">
        <v>36</v>
      </c>
      <c r="E19" s="112">
        <v>5</v>
      </c>
      <c r="F19" s="113" t="s">
        <v>36</v>
      </c>
      <c r="G19" s="113" t="s">
        <v>36</v>
      </c>
      <c r="H19" s="112">
        <v>31</v>
      </c>
      <c r="I19" s="112">
        <v>2236</v>
      </c>
      <c r="J19" s="113" t="s">
        <v>36</v>
      </c>
      <c r="K19" s="498" t="s">
        <v>36</v>
      </c>
      <c r="L19" s="112">
        <v>18</v>
      </c>
      <c r="M19" s="112">
        <v>5</v>
      </c>
      <c r="N19" s="112">
        <v>0</v>
      </c>
      <c r="O19" s="112">
        <v>0</v>
      </c>
      <c r="P19" s="112">
        <v>2262</v>
      </c>
      <c r="Q19" s="166">
        <v>27</v>
      </c>
      <c r="R19" s="113" t="s">
        <v>36</v>
      </c>
      <c r="S19" s="113" t="s">
        <v>36</v>
      </c>
      <c r="T19" s="113" t="s">
        <v>36</v>
      </c>
      <c r="U19" s="112">
        <v>10</v>
      </c>
      <c r="V19" s="112">
        <v>2</v>
      </c>
      <c r="W19" s="113" t="s">
        <v>36</v>
      </c>
    </row>
    <row r="20" spans="1:23">
      <c r="A20" s="111" t="s">
        <v>218</v>
      </c>
      <c r="B20" s="112">
        <v>6150</v>
      </c>
      <c r="C20" s="112">
        <v>5132</v>
      </c>
      <c r="D20" s="113" t="s">
        <v>36</v>
      </c>
      <c r="E20" s="112">
        <v>526</v>
      </c>
      <c r="F20" s="112">
        <v>292</v>
      </c>
      <c r="G20" s="113" t="s">
        <v>36</v>
      </c>
      <c r="H20" s="112">
        <v>492</v>
      </c>
      <c r="I20" s="112">
        <v>2768</v>
      </c>
      <c r="J20" s="112">
        <v>804</v>
      </c>
      <c r="K20" s="497">
        <v>1481</v>
      </c>
      <c r="L20" s="112">
        <v>64</v>
      </c>
      <c r="M20" s="112">
        <v>18</v>
      </c>
      <c r="N20" s="112">
        <v>20</v>
      </c>
      <c r="O20" s="112">
        <v>196</v>
      </c>
      <c r="P20" s="112">
        <v>6123</v>
      </c>
      <c r="Q20" s="166">
        <v>145</v>
      </c>
      <c r="R20" s="112">
        <v>0</v>
      </c>
      <c r="S20" s="113" t="s">
        <v>36</v>
      </c>
      <c r="T20" s="112">
        <v>0</v>
      </c>
      <c r="U20" s="112">
        <v>0</v>
      </c>
      <c r="V20" s="112">
        <v>18</v>
      </c>
      <c r="W20" s="112">
        <v>0</v>
      </c>
    </row>
    <row r="21" spans="1:23">
      <c r="A21" s="111" t="s">
        <v>183</v>
      </c>
      <c r="B21" s="112">
        <v>13304</v>
      </c>
      <c r="C21" s="112">
        <v>9708</v>
      </c>
      <c r="D21" s="113" t="s">
        <v>36</v>
      </c>
      <c r="E21" s="112">
        <v>3105</v>
      </c>
      <c r="F21" s="112">
        <v>699</v>
      </c>
      <c r="G21" s="112">
        <v>0</v>
      </c>
      <c r="H21" s="112">
        <v>491</v>
      </c>
      <c r="I21" s="112">
        <v>6104</v>
      </c>
      <c r="J21" s="112">
        <v>523</v>
      </c>
      <c r="K21" s="497">
        <v>2306</v>
      </c>
      <c r="L21" s="112">
        <v>775</v>
      </c>
      <c r="M21" s="112">
        <v>26</v>
      </c>
      <c r="N21" s="112">
        <v>63</v>
      </c>
      <c r="O21" s="112">
        <v>2318</v>
      </c>
      <c r="P21" s="112">
        <v>13048</v>
      </c>
      <c r="Q21" s="166">
        <v>257</v>
      </c>
      <c r="R21" s="112">
        <v>1</v>
      </c>
      <c r="S21" s="113" t="s">
        <v>36</v>
      </c>
      <c r="T21" s="112">
        <v>0</v>
      </c>
      <c r="U21" s="112">
        <v>0</v>
      </c>
      <c r="V21" s="112">
        <v>24</v>
      </c>
      <c r="W21" s="112">
        <v>0</v>
      </c>
    </row>
    <row r="22" spans="1:23">
      <c r="A22" s="111" t="s">
        <v>184</v>
      </c>
      <c r="B22" s="112">
        <v>76514</v>
      </c>
      <c r="C22" s="112">
        <v>40799</v>
      </c>
      <c r="D22" s="112">
        <v>7577</v>
      </c>
      <c r="E22" s="112">
        <v>18220</v>
      </c>
      <c r="F22" s="112">
        <v>5347</v>
      </c>
      <c r="G22" s="113" t="s">
        <v>36</v>
      </c>
      <c r="H22" s="112">
        <v>9918</v>
      </c>
      <c r="I22" s="112">
        <v>29701</v>
      </c>
      <c r="J22" s="112">
        <v>2199</v>
      </c>
      <c r="K22" s="497">
        <v>5524</v>
      </c>
      <c r="L22" s="112">
        <v>3375</v>
      </c>
      <c r="M22" s="112">
        <v>252</v>
      </c>
      <c r="N22" s="112">
        <v>1536</v>
      </c>
      <c r="O22" s="112">
        <v>11084</v>
      </c>
      <c r="P22" s="112">
        <v>62947</v>
      </c>
      <c r="Q22" s="166">
        <v>6481</v>
      </c>
      <c r="R22" s="112">
        <v>37</v>
      </c>
      <c r="S22" s="112">
        <v>0</v>
      </c>
      <c r="T22" s="112">
        <v>189</v>
      </c>
      <c r="U22" s="112">
        <v>344</v>
      </c>
      <c r="V22" s="112">
        <v>141</v>
      </c>
      <c r="W22" s="112">
        <v>0</v>
      </c>
    </row>
    <row r="23" spans="1:23">
      <c r="A23" s="111" t="s">
        <v>185</v>
      </c>
      <c r="B23" s="112">
        <v>115540</v>
      </c>
      <c r="C23" s="112">
        <v>26447</v>
      </c>
      <c r="D23" s="112">
        <v>63260</v>
      </c>
      <c r="E23" s="112">
        <v>25110</v>
      </c>
      <c r="F23" s="112">
        <v>4303</v>
      </c>
      <c r="G23" s="113" t="s">
        <v>36</v>
      </c>
      <c r="H23" s="112">
        <v>723</v>
      </c>
      <c r="I23" s="113" t="s">
        <v>36</v>
      </c>
      <c r="J23" s="113" t="s">
        <v>36</v>
      </c>
      <c r="K23" s="498" t="s">
        <v>36</v>
      </c>
      <c r="L23" s="113" t="s">
        <v>36</v>
      </c>
      <c r="M23" s="112">
        <v>433</v>
      </c>
      <c r="N23" s="112">
        <v>1603</v>
      </c>
      <c r="O23" s="112">
        <v>18770</v>
      </c>
      <c r="P23" s="112">
        <v>109028</v>
      </c>
      <c r="Q23" s="166">
        <v>6765</v>
      </c>
      <c r="R23" s="112">
        <v>16</v>
      </c>
      <c r="S23" s="113" t="s">
        <v>36</v>
      </c>
      <c r="T23" s="112">
        <v>668</v>
      </c>
      <c r="U23" s="112">
        <v>228</v>
      </c>
      <c r="V23" s="112">
        <v>74</v>
      </c>
      <c r="W23" s="112">
        <v>0</v>
      </c>
    </row>
    <row r="24" spans="1:23">
      <c r="A24" s="111" t="s">
        <v>186</v>
      </c>
      <c r="B24" s="112">
        <v>85231</v>
      </c>
      <c r="C24" s="112">
        <v>61932</v>
      </c>
      <c r="D24" s="112">
        <v>0</v>
      </c>
      <c r="E24" s="112">
        <v>20993</v>
      </c>
      <c r="F24" s="112">
        <v>7103</v>
      </c>
      <c r="G24" s="112">
        <v>671</v>
      </c>
      <c r="H24" s="112">
        <v>1635</v>
      </c>
      <c r="I24" s="112">
        <v>32038</v>
      </c>
      <c r="J24" s="112">
        <v>3953</v>
      </c>
      <c r="K24" s="497">
        <v>24837</v>
      </c>
      <c r="L24" s="112">
        <v>1104</v>
      </c>
      <c r="M24" s="112">
        <v>419</v>
      </c>
      <c r="N24" s="112">
        <v>1986</v>
      </c>
      <c r="O24" s="112">
        <v>14920</v>
      </c>
      <c r="P24" s="112">
        <v>80658</v>
      </c>
      <c r="Q24" s="166">
        <v>4840</v>
      </c>
      <c r="R24" s="112">
        <v>7</v>
      </c>
      <c r="S24" s="112">
        <v>0</v>
      </c>
      <c r="T24" s="112">
        <v>1162</v>
      </c>
      <c r="U24" s="112">
        <v>510</v>
      </c>
      <c r="V24" s="112">
        <v>284</v>
      </c>
      <c r="W24" s="112">
        <v>34</v>
      </c>
    </row>
    <row r="25" spans="1:23">
      <c r="A25" s="111" t="s">
        <v>187</v>
      </c>
      <c r="B25" s="112">
        <v>1124</v>
      </c>
      <c r="C25" s="112">
        <v>1124</v>
      </c>
      <c r="D25" s="113" t="s">
        <v>36</v>
      </c>
      <c r="E25" s="113" t="s">
        <v>36</v>
      </c>
      <c r="F25" s="113" t="s">
        <v>36</v>
      </c>
      <c r="G25" s="113" t="s">
        <v>36</v>
      </c>
      <c r="H25" s="113" t="s">
        <v>36</v>
      </c>
      <c r="I25" s="112">
        <v>930</v>
      </c>
      <c r="J25" s="112">
        <v>188</v>
      </c>
      <c r="K25" s="498" t="s">
        <v>36</v>
      </c>
      <c r="L25" s="112">
        <v>6</v>
      </c>
      <c r="M25" s="113" t="s">
        <v>36</v>
      </c>
      <c r="N25" s="113" t="s">
        <v>36</v>
      </c>
      <c r="O25" s="113" t="s">
        <v>36</v>
      </c>
      <c r="P25" s="112">
        <v>1119</v>
      </c>
      <c r="Q25" s="166">
        <v>6</v>
      </c>
      <c r="R25" s="113" t="s">
        <v>36</v>
      </c>
      <c r="S25" s="112">
        <v>0</v>
      </c>
      <c r="T25" s="113" t="s">
        <v>36</v>
      </c>
      <c r="U25" s="113" t="s">
        <v>36</v>
      </c>
      <c r="V25" s="113" t="s">
        <v>36</v>
      </c>
      <c r="W25" s="113" t="s">
        <v>36</v>
      </c>
    </row>
    <row r="26" spans="1:23">
      <c r="A26" s="111" t="s">
        <v>219</v>
      </c>
      <c r="B26" s="112">
        <v>2165</v>
      </c>
      <c r="C26" s="112">
        <v>603</v>
      </c>
      <c r="D26" s="113" t="s">
        <v>36</v>
      </c>
      <c r="E26" s="112">
        <v>1536</v>
      </c>
      <c r="F26" s="113" t="s">
        <v>36</v>
      </c>
      <c r="G26" s="113" t="s">
        <v>36</v>
      </c>
      <c r="H26" s="112">
        <v>26</v>
      </c>
      <c r="I26" s="112">
        <v>429</v>
      </c>
      <c r="J26" s="112">
        <v>1</v>
      </c>
      <c r="K26" s="497">
        <v>146</v>
      </c>
      <c r="L26" s="112">
        <v>27</v>
      </c>
      <c r="M26" s="112">
        <v>18</v>
      </c>
      <c r="N26" s="112">
        <v>7</v>
      </c>
      <c r="O26" s="112">
        <v>1511</v>
      </c>
      <c r="P26" s="112">
        <v>2132</v>
      </c>
      <c r="Q26" s="166">
        <v>33</v>
      </c>
      <c r="R26" s="113" t="s">
        <v>36</v>
      </c>
      <c r="S26" s="113" t="s">
        <v>36</v>
      </c>
      <c r="T26" s="113" t="s">
        <v>36</v>
      </c>
      <c r="U26" s="112">
        <v>3</v>
      </c>
      <c r="V26" s="112">
        <v>7</v>
      </c>
      <c r="W26" s="113" t="s">
        <v>36</v>
      </c>
    </row>
    <row r="27" spans="1:23">
      <c r="A27" s="111" t="s">
        <v>188</v>
      </c>
      <c r="B27" s="112">
        <v>4531</v>
      </c>
      <c r="C27" s="112">
        <v>2470</v>
      </c>
      <c r="D27" s="112">
        <v>1183</v>
      </c>
      <c r="E27" s="112">
        <v>877</v>
      </c>
      <c r="F27" s="112">
        <v>760</v>
      </c>
      <c r="G27" s="113" t="s">
        <v>36</v>
      </c>
      <c r="H27" s="112">
        <v>1</v>
      </c>
      <c r="I27" s="112">
        <v>2442</v>
      </c>
      <c r="J27" s="112">
        <v>23</v>
      </c>
      <c r="K27" s="497">
        <v>5</v>
      </c>
      <c r="L27" s="113" t="s">
        <v>36</v>
      </c>
      <c r="M27" s="112">
        <v>19</v>
      </c>
      <c r="N27" s="112">
        <v>8</v>
      </c>
      <c r="O27" s="112">
        <v>90</v>
      </c>
      <c r="P27" s="112">
        <v>4494</v>
      </c>
      <c r="Q27" s="166">
        <v>62</v>
      </c>
      <c r="R27" s="113" t="s">
        <v>36</v>
      </c>
      <c r="S27" s="113" t="s">
        <v>36</v>
      </c>
      <c r="T27" s="113" t="s">
        <v>36</v>
      </c>
      <c r="U27" s="112">
        <v>2</v>
      </c>
      <c r="V27" s="112">
        <v>3</v>
      </c>
      <c r="W27" s="113" t="s">
        <v>36</v>
      </c>
    </row>
    <row r="28" spans="1:23">
      <c r="A28" s="111" t="s">
        <v>220</v>
      </c>
      <c r="B28" s="112">
        <v>1276</v>
      </c>
      <c r="C28" s="112">
        <v>101</v>
      </c>
      <c r="D28" s="113" t="s">
        <v>36</v>
      </c>
      <c r="E28" s="112">
        <v>1140</v>
      </c>
      <c r="F28" s="112">
        <v>1100</v>
      </c>
      <c r="G28" s="113" t="s">
        <v>36</v>
      </c>
      <c r="H28" s="112">
        <v>35</v>
      </c>
      <c r="I28" s="112">
        <v>9</v>
      </c>
      <c r="J28" s="112">
        <v>378</v>
      </c>
      <c r="K28" s="498" t="s">
        <v>36</v>
      </c>
      <c r="L28" s="112">
        <v>73</v>
      </c>
      <c r="M28" s="112">
        <v>2</v>
      </c>
      <c r="N28" s="112">
        <v>38</v>
      </c>
      <c r="O28" s="112">
        <v>0</v>
      </c>
      <c r="P28" s="112">
        <v>1491</v>
      </c>
      <c r="Q28" s="166">
        <v>167</v>
      </c>
      <c r="R28" s="112">
        <v>25</v>
      </c>
      <c r="S28" s="112">
        <v>1</v>
      </c>
      <c r="T28" s="112">
        <v>9</v>
      </c>
      <c r="U28" s="112">
        <v>0</v>
      </c>
      <c r="V28" s="112">
        <v>5</v>
      </c>
      <c r="W28" s="112">
        <v>0</v>
      </c>
    </row>
    <row r="29" spans="1:23">
      <c r="A29" s="111" t="s">
        <v>189</v>
      </c>
      <c r="B29" s="112">
        <v>8586</v>
      </c>
      <c r="C29" s="112">
        <v>6654</v>
      </c>
      <c r="D29" s="112">
        <v>1866</v>
      </c>
      <c r="E29" s="112">
        <v>49</v>
      </c>
      <c r="F29" s="113" t="s">
        <v>36</v>
      </c>
      <c r="G29" s="113" t="s">
        <v>36</v>
      </c>
      <c r="H29" s="112">
        <v>17</v>
      </c>
      <c r="I29" s="112">
        <v>4608</v>
      </c>
      <c r="J29" s="112">
        <v>633</v>
      </c>
      <c r="K29" s="497">
        <v>950</v>
      </c>
      <c r="L29" s="112">
        <v>425</v>
      </c>
      <c r="M29" s="112">
        <v>5</v>
      </c>
      <c r="N29" s="112">
        <v>7</v>
      </c>
      <c r="O29" s="112">
        <v>37</v>
      </c>
      <c r="P29" s="112">
        <v>8451</v>
      </c>
      <c r="Q29" s="166">
        <v>135</v>
      </c>
      <c r="R29" s="113" t="s">
        <v>36</v>
      </c>
      <c r="S29" s="113" t="s">
        <v>36</v>
      </c>
      <c r="T29" s="112">
        <v>24</v>
      </c>
      <c r="U29" s="112">
        <v>390</v>
      </c>
      <c r="V29" s="112">
        <v>6</v>
      </c>
      <c r="W29" s="112">
        <v>2</v>
      </c>
    </row>
    <row r="30" spans="1:23">
      <c r="A30" s="111" t="s">
        <v>190</v>
      </c>
      <c r="B30" s="112">
        <v>571</v>
      </c>
      <c r="C30" s="112">
        <v>571</v>
      </c>
      <c r="D30" s="113" t="s">
        <v>36</v>
      </c>
      <c r="E30" s="113" t="s">
        <v>36</v>
      </c>
      <c r="F30" s="113" t="s">
        <v>36</v>
      </c>
      <c r="G30" s="113" t="s">
        <v>36</v>
      </c>
      <c r="H30" s="113" t="s">
        <v>36</v>
      </c>
      <c r="I30" s="112">
        <v>350</v>
      </c>
      <c r="J30" s="112">
        <v>111</v>
      </c>
      <c r="K30" s="497">
        <v>110</v>
      </c>
      <c r="L30" s="113" t="s">
        <v>36</v>
      </c>
      <c r="M30" s="113" t="s">
        <v>36</v>
      </c>
      <c r="N30" s="113" t="s">
        <v>36</v>
      </c>
      <c r="O30" s="113" t="s">
        <v>36</v>
      </c>
      <c r="P30" s="112">
        <v>571</v>
      </c>
      <c r="Q30" s="166">
        <v>0</v>
      </c>
      <c r="R30" s="113" t="s">
        <v>36</v>
      </c>
      <c r="S30" s="113" t="s">
        <v>36</v>
      </c>
      <c r="T30" s="113" t="s">
        <v>36</v>
      </c>
      <c r="U30" s="113" t="s">
        <v>36</v>
      </c>
      <c r="V30" s="113" t="s">
        <v>36</v>
      </c>
      <c r="W30" s="113" t="s">
        <v>36</v>
      </c>
    </row>
    <row r="31" spans="1:23">
      <c r="A31" s="111" t="s">
        <v>191</v>
      </c>
      <c r="B31" s="112">
        <v>21677</v>
      </c>
      <c r="C31" s="112">
        <v>19967</v>
      </c>
      <c r="D31" s="112">
        <v>449</v>
      </c>
      <c r="E31" s="112">
        <v>37</v>
      </c>
      <c r="F31" s="113" t="s">
        <v>36</v>
      </c>
      <c r="G31" s="113" t="s">
        <v>36</v>
      </c>
      <c r="H31" s="112">
        <v>1224</v>
      </c>
      <c r="I31" s="112">
        <v>9759</v>
      </c>
      <c r="J31" s="112">
        <v>1193</v>
      </c>
      <c r="K31" s="497">
        <v>7339</v>
      </c>
      <c r="L31" s="112">
        <v>1676</v>
      </c>
      <c r="M31" s="112">
        <v>0</v>
      </c>
      <c r="N31" s="112">
        <v>0</v>
      </c>
      <c r="O31" s="112">
        <v>37</v>
      </c>
      <c r="P31" s="112">
        <v>18804</v>
      </c>
      <c r="Q31" s="166">
        <v>2996</v>
      </c>
      <c r="R31" s="112">
        <v>51</v>
      </c>
      <c r="S31" s="113" t="s">
        <v>36</v>
      </c>
      <c r="T31" s="112">
        <v>429</v>
      </c>
      <c r="U31" s="112">
        <v>343</v>
      </c>
      <c r="V31" s="112">
        <v>0</v>
      </c>
      <c r="W31" s="112">
        <v>0</v>
      </c>
    </row>
    <row r="32" spans="1:23">
      <c r="A32" s="111" t="s">
        <v>193</v>
      </c>
      <c r="B32" s="112">
        <v>32257</v>
      </c>
      <c r="C32" s="112">
        <v>29815</v>
      </c>
      <c r="D32" s="113" t="s">
        <v>36</v>
      </c>
      <c r="E32" s="112">
        <v>2321</v>
      </c>
      <c r="F32" s="112">
        <v>1406</v>
      </c>
      <c r="G32" s="113" t="s">
        <v>36</v>
      </c>
      <c r="H32" s="112">
        <v>121</v>
      </c>
      <c r="I32" s="112">
        <v>28998</v>
      </c>
      <c r="J32" s="112">
        <v>85</v>
      </c>
      <c r="K32" s="497">
        <v>705</v>
      </c>
      <c r="L32" s="112">
        <v>27</v>
      </c>
      <c r="M32" s="112">
        <v>72</v>
      </c>
      <c r="N32" s="112">
        <v>174</v>
      </c>
      <c r="O32" s="112">
        <v>669</v>
      </c>
      <c r="P32" s="112">
        <v>30203</v>
      </c>
      <c r="Q32" s="166">
        <v>2054</v>
      </c>
      <c r="R32" s="113" t="s">
        <v>36</v>
      </c>
      <c r="S32" s="113" t="s">
        <v>36</v>
      </c>
      <c r="T32" s="113" t="s">
        <v>36</v>
      </c>
      <c r="U32" s="112">
        <v>25</v>
      </c>
      <c r="V32" s="112">
        <v>30</v>
      </c>
      <c r="W32" s="112">
        <v>3</v>
      </c>
    </row>
    <row r="33" spans="1:25">
      <c r="A33" s="111" t="s">
        <v>194</v>
      </c>
      <c r="B33" s="112">
        <v>13389</v>
      </c>
      <c r="C33" s="112">
        <v>7277</v>
      </c>
      <c r="D33" s="113" t="s">
        <v>36</v>
      </c>
      <c r="E33" s="112">
        <v>5034</v>
      </c>
      <c r="F33" s="112">
        <v>537</v>
      </c>
      <c r="G33" s="112">
        <v>14</v>
      </c>
      <c r="H33" s="112">
        <v>1064</v>
      </c>
      <c r="I33" s="112">
        <v>4077</v>
      </c>
      <c r="J33" s="112">
        <v>419</v>
      </c>
      <c r="K33" s="497">
        <v>1774</v>
      </c>
      <c r="L33" s="112">
        <v>1007</v>
      </c>
      <c r="M33" s="112">
        <v>28</v>
      </c>
      <c r="N33" s="112">
        <v>323</v>
      </c>
      <c r="O33" s="112">
        <v>4146</v>
      </c>
      <c r="P33" s="112">
        <v>12079</v>
      </c>
      <c r="Q33" s="166">
        <v>1312</v>
      </c>
      <c r="R33" s="112">
        <v>2</v>
      </c>
      <c r="S33" s="113" t="s">
        <v>36</v>
      </c>
      <c r="T33" s="112">
        <v>77</v>
      </c>
      <c r="U33" s="112">
        <v>273</v>
      </c>
      <c r="V33" s="112">
        <v>8</v>
      </c>
      <c r="W33" s="112">
        <v>4</v>
      </c>
    </row>
    <row r="34" spans="1:25">
      <c r="A34" s="111" t="s">
        <v>195</v>
      </c>
      <c r="B34" s="112">
        <v>18951</v>
      </c>
      <c r="C34" s="112">
        <v>11954</v>
      </c>
      <c r="D34" s="112">
        <v>707</v>
      </c>
      <c r="E34" s="112">
        <v>6289</v>
      </c>
      <c r="F34" s="113" t="s">
        <v>36</v>
      </c>
      <c r="G34" s="113" t="s">
        <v>36</v>
      </c>
      <c r="H34" s="112">
        <v>1</v>
      </c>
      <c r="I34" s="112">
        <v>11846</v>
      </c>
      <c r="J34" s="113" t="s">
        <v>36</v>
      </c>
      <c r="K34" s="498" t="s">
        <v>36</v>
      </c>
      <c r="L34" s="112">
        <v>108</v>
      </c>
      <c r="M34" s="112">
        <v>63</v>
      </c>
      <c r="N34" s="112">
        <v>262</v>
      </c>
      <c r="O34" s="112">
        <v>5964</v>
      </c>
      <c r="P34" s="112">
        <v>18323</v>
      </c>
      <c r="Q34" s="166">
        <v>627</v>
      </c>
      <c r="R34" s="113" t="s">
        <v>36</v>
      </c>
      <c r="S34" s="113" t="s">
        <v>36</v>
      </c>
      <c r="T34" s="112">
        <v>0</v>
      </c>
      <c r="U34" s="112">
        <v>0</v>
      </c>
      <c r="V34" s="112">
        <v>0</v>
      </c>
      <c r="W34" s="113" t="s">
        <v>36</v>
      </c>
    </row>
    <row r="35" spans="1:25">
      <c r="A35" s="111" t="s">
        <v>196</v>
      </c>
      <c r="B35" s="112">
        <v>2992</v>
      </c>
      <c r="C35" s="112">
        <v>1357</v>
      </c>
      <c r="D35" s="112">
        <v>656</v>
      </c>
      <c r="E35" s="112">
        <v>979</v>
      </c>
      <c r="F35" s="113" t="s">
        <v>36</v>
      </c>
      <c r="G35" s="113" t="s">
        <v>36</v>
      </c>
      <c r="H35" s="113" t="s">
        <v>36</v>
      </c>
      <c r="I35" s="112">
        <v>1003</v>
      </c>
      <c r="J35" s="112">
        <v>321</v>
      </c>
      <c r="K35" s="498" t="s">
        <v>36</v>
      </c>
      <c r="L35" s="112">
        <v>33</v>
      </c>
      <c r="M35" s="112">
        <v>107</v>
      </c>
      <c r="N35" s="112">
        <v>36</v>
      </c>
      <c r="O35" s="112">
        <v>836</v>
      </c>
      <c r="P35" s="112">
        <v>2810</v>
      </c>
      <c r="Q35" s="166">
        <v>182</v>
      </c>
      <c r="R35" s="113" t="s">
        <v>36</v>
      </c>
      <c r="S35" s="113" t="s">
        <v>36</v>
      </c>
      <c r="T35" s="113" t="s">
        <v>36</v>
      </c>
      <c r="U35" s="112">
        <v>13</v>
      </c>
      <c r="V35" s="112">
        <v>5</v>
      </c>
      <c r="W35" s="112">
        <v>0</v>
      </c>
    </row>
    <row r="36" spans="1:25">
      <c r="A36" s="111" t="s">
        <v>197</v>
      </c>
      <c r="B36" s="112">
        <v>8247</v>
      </c>
      <c r="C36" s="112">
        <v>3090</v>
      </c>
      <c r="D36" s="112">
        <v>2640</v>
      </c>
      <c r="E36" s="112">
        <v>2512</v>
      </c>
      <c r="F36" s="112">
        <v>916</v>
      </c>
      <c r="G36" s="113" t="s">
        <v>36</v>
      </c>
      <c r="H36" s="112">
        <v>5</v>
      </c>
      <c r="I36" s="112">
        <v>2770</v>
      </c>
      <c r="J36" s="112">
        <v>17</v>
      </c>
      <c r="K36" s="497">
        <v>254</v>
      </c>
      <c r="L36" s="112">
        <v>20</v>
      </c>
      <c r="M36" s="112">
        <v>16</v>
      </c>
      <c r="N36" s="112">
        <v>46</v>
      </c>
      <c r="O36" s="112">
        <v>1535</v>
      </c>
      <c r="P36" s="112">
        <v>7693</v>
      </c>
      <c r="Q36" s="166">
        <v>564</v>
      </c>
      <c r="R36" s="113" t="s">
        <v>36</v>
      </c>
      <c r="S36" s="113" t="s">
        <v>36</v>
      </c>
      <c r="T36" s="112">
        <v>6</v>
      </c>
      <c r="U36" s="112">
        <v>44</v>
      </c>
      <c r="V36" s="112">
        <v>2</v>
      </c>
      <c r="W36" s="113" t="s">
        <v>36</v>
      </c>
    </row>
    <row r="37" spans="1:25">
      <c r="A37" s="111" t="s">
        <v>198</v>
      </c>
      <c r="B37" s="112">
        <v>16464</v>
      </c>
      <c r="C37" s="112">
        <v>10676</v>
      </c>
      <c r="D37" s="112">
        <v>2671</v>
      </c>
      <c r="E37" s="112">
        <v>3035</v>
      </c>
      <c r="F37" s="113" t="s">
        <v>36</v>
      </c>
      <c r="G37" s="113" t="s">
        <v>36</v>
      </c>
      <c r="H37" s="112">
        <v>82</v>
      </c>
      <c r="I37" s="112">
        <v>7193</v>
      </c>
      <c r="J37" s="112">
        <v>1847</v>
      </c>
      <c r="K37" s="497">
        <v>1586</v>
      </c>
      <c r="L37" s="112">
        <v>50</v>
      </c>
      <c r="M37" s="112">
        <v>31</v>
      </c>
      <c r="N37" s="112">
        <v>275</v>
      </c>
      <c r="O37" s="112">
        <v>2729</v>
      </c>
      <c r="P37" s="112">
        <v>14198</v>
      </c>
      <c r="Q37" s="166">
        <v>2270</v>
      </c>
      <c r="R37" s="112">
        <v>4</v>
      </c>
      <c r="S37" s="113" t="s">
        <v>36</v>
      </c>
      <c r="T37" s="112">
        <v>0</v>
      </c>
      <c r="U37" s="112">
        <v>1720</v>
      </c>
      <c r="V37" s="112">
        <v>0</v>
      </c>
      <c r="W37" s="112">
        <v>0</v>
      </c>
    </row>
    <row r="38" spans="1:25">
      <c r="A38" s="111" t="s">
        <v>199</v>
      </c>
      <c r="B38" s="112">
        <v>33733</v>
      </c>
      <c r="C38" s="112">
        <v>7424</v>
      </c>
      <c r="D38" s="112">
        <v>9471</v>
      </c>
      <c r="E38" s="112">
        <v>16345</v>
      </c>
      <c r="F38" s="112">
        <v>43</v>
      </c>
      <c r="G38" s="113" t="s">
        <v>36</v>
      </c>
      <c r="H38" s="112">
        <v>493</v>
      </c>
      <c r="I38" s="112">
        <v>5553</v>
      </c>
      <c r="J38" s="112">
        <v>1681</v>
      </c>
      <c r="K38" s="497">
        <v>111</v>
      </c>
      <c r="L38" s="112">
        <v>79</v>
      </c>
      <c r="M38" s="112">
        <v>140</v>
      </c>
      <c r="N38" s="112">
        <v>765</v>
      </c>
      <c r="O38" s="112">
        <v>15397</v>
      </c>
      <c r="P38" s="112">
        <v>32708</v>
      </c>
      <c r="Q38" s="166">
        <v>987</v>
      </c>
      <c r="R38" s="112">
        <v>5</v>
      </c>
      <c r="S38" s="113" t="s">
        <v>36</v>
      </c>
      <c r="T38" s="112">
        <v>291</v>
      </c>
      <c r="U38" s="112">
        <v>2526</v>
      </c>
      <c r="V38" s="112">
        <v>42</v>
      </c>
      <c r="W38" s="112">
        <v>120</v>
      </c>
    </row>
    <row r="39" spans="1:25">
      <c r="A39" s="111" t="s">
        <v>221</v>
      </c>
      <c r="B39" s="112">
        <v>80802</v>
      </c>
      <c r="C39" s="112">
        <v>63096</v>
      </c>
      <c r="D39" s="112">
        <v>11852</v>
      </c>
      <c r="E39" s="112">
        <v>4289</v>
      </c>
      <c r="F39" s="112">
        <v>2788</v>
      </c>
      <c r="G39" s="113" t="s">
        <v>36</v>
      </c>
      <c r="H39" s="112">
        <v>1565</v>
      </c>
      <c r="I39" s="112">
        <v>32611</v>
      </c>
      <c r="J39" s="112">
        <v>1672</v>
      </c>
      <c r="K39" s="497">
        <v>26445</v>
      </c>
      <c r="L39" s="112">
        <v>163</v>
      </c>
      <c r="M39" s="112">
        <v>56</v>
      </c>
      <c r="N39" s="112">
        <v>102</v>
      </c>
      <c r="O39" s="112">
        <v>1343</v>
      </c>
      <c r="P39" s="112">
        <v>74011</v>
      </c>
      <c r="Q39" s="166">
        <v>8368</v>
      </c>
      <c r="R39" s="112">
        <v>11</v>
      </c>
      <c r="S39" s="113" t="s">
        <v>36</v>
      </c>
      <c r="T39" s="112">
        <v>234</v>
      </c>
      <c r="U39" s="112">
        <v>475</v>
      </c>
      <c r="V39" s="112">
        <v>900</v>
      </c>
      <c r="W39" s="112">
        <v>0</v>
      </c>
      <c r="X39"/>
      <c r="Y39"/>
    </row>
    <row r="40" spans="1:25">
      <c r="A40" s="111" t="s">
        <v>299</v>
      </c>
      <c r="B40" s="112">
        <v>3866</v>
      </c>
      <c r="C40" s="112">
        <v>1800</v>
      </c>
      <c r="D40" s="113" t="s">
        <v>36</v>
      </c>
      <c r="E40" s="112">
        <v>2060</v>
      </c>
      <c r="F40" s="112">
        <v>256</v>
      </c>
      <c r="G40" s="113" t="s">
        <v>36</v>
      </c>
      <c r="H40" s="112">
        <v>6</v>
      </c>
      <c r="I40" s="112">
        <v>1395</v>
      </c>
      <c r="J40" s="112">
        <v>130</v>
      </c>
      <c r="K40" s="497">
        <v>262</v>
      </c>
      <c r="L40" s="112">
        <v>13</v>
      </c>
      <c r="M40" s="112">
        <v>1</v>
      </c>
      <c r="N40" s="112">
        <v>32</v>
      </c>
      <c r="O40" s="112">
        <v>1771</v>
      </c>
      <c r="P40" s="112">
        <v>3653</v>
      </c>
      <c r="Q40" s="112">
        <v>213</v>
      </c>
      <c r="R40" s="113" t="s">
        <v>36</v>
      </c>
      <c r="S40" s="113" t="s">
        <v>36</v>
      </c>
      <c r="T40" s="113" t="s">
        <v>36</v>
      </c>
      <c r="U40" s="112">
        <v>0</v>
      </c>
      <c r="V40" s="113" t="s">
        <v>36</v>
      </c>
      <c r="W40" s="113" t="s">
        <v>36</v>
      </c>
      <c r="X40"/>
      <c r="Y40"/>
    </row>
    <row r="41" spans="1:25">
      <c r="A41" s="111" t="s">
        <v>300</v>
      </c>
      <c r="B41" s="112">
        <v>38842</v>
      </c>
      <c r="C41" s="112">
        <v>25901</v>
      </c>
      <c r="D41" s="113" t="s">
        <v>36</v>
      </c>
      <c r="E41" s="112">
        <v>12905</v>
      </c>
      <c r="F41" s="113" t="s">
        <v>36</v>
      </c>
      <c r="G41" s="112">
        <v>15</v>
      </c>
      <c r="H41" s="112">
        <v>21</v>
      </c>
      <c r="I41" s="112">
        <v>9429</v>
      </c>
      <c r="J41" s="112">
        <v>851</v>
      </c>
      <c r="K41" s="497">
        <v>14079</v>
      </c>
      <c r="L41" s="112">
        <v>1503</v>
      </c>
      <c r="M41" s="112">
        <v>15</v>
      </c>
      <c r="N41" s="112">
        <v>160</v>
      </c>
      <c r="O41" s="112">
        <v>12731</v>
      </c>
      <c r="P41" s="112">
        <v>34780</v>
      </c>
      <c r="Q41" s="112">
        <v>4062</v>
      </c>
      <c r="R41" s="113" t="s">
        <v>36</v>
      </c>
      <c r="S41" s="113" t="s">
        <v>36</v>
      </c>
      <c r="T41" s="113" t="s">
        <v>36</v>
      </c>
      <c r="U41" s="112">
        <v>72</v>
      </c>
      <c r="V41" s="112">
        <v>9</v>
      </c>
      <c r="W41" s="112">
        <v>27</v>
      </c>
      <c r="X41"/>
      <c r="Y41"/>
    </row>
    <row r="42" spans="1:25">
      <c r="A42" s="111" t="s">
        <v>301</v>
      </c>
      <c r="B42" s="112">
        <v>666367</v>
      </c>
      <c r="C42" s="112">
        <v>354522</v>
      </c>
      <c r="D42" s="112">
        <v>121460</v>
      </c>
      <c r="E42" s="112">
        <v>148930</v>
      </c>
      <c r="F42" s="112">
        <v>32061</v>
      </c>
      <c r="G42" s="112">
        <v>917</v>
      </c>
      <c r="H42" s="112">
        <v>40538</v>
      </c>
      <c r="I42" s="113" t="s">
        <v>36</v>
      </c>
      <c r="J42" s="113" t="s">
        <v>36</v>
      </c>
      <c r="K42" s="498" t="s">
        <v>36</v>
      </c>
      <c r="L42" s="113" t="s">
        <v>36</v>
      </c>
      <c r="M42" s="112">
        <v>2448</v>
      </c>
      <c r="N42" s="112">
        <v>9565</v>
      </c>
      <c r="O42" s="112">
        <v>107118</v>
      </c>
      <c r="P42" s="112">
        <v>614545</v>
      </c>
      <c r="Q42" s="112">
        <v>47430</v>
      </c>
      <c r="R42" s="112">
        <v>1701</v>
      </c>
      <c r="S42" s="112">
        <v>1</v>
      </c>
      <c r="T42" s="112">
        <v>5150</v>
      </c>
      <c r="U42" s="112">
        <v>9149</v>
      </c>
      <c r="V42" s="112">
        <v>2692</v>
      </c>
      <c r="W42" s="112">
        <v>180</v>
      </c>
      <c r="X42"/>
      <c r="Y42"/>
    </row>
    <row r="43" spans="1:25">
      <c r="A43" s="111" t="s">
        <v>179</v>
      </c>
      <c r="B43" s="112">
        <v>1538</v>
      </c>
      <c r="C43" s="112">
        <v>143</v>
      </c>
      <c r="D43" s="113" t="s">
        <v>36</v>
      </c>
      <c r="E43" s="112">
        <v>1163</v>
      </c>
      <c r="F43" s="113" t="s">
        <v>36</v>
      </c>
      <c r="G43" s="112">
        <v>232</v>
      </c>
      <c r="H43" s="113" t="s">
        <v>36</v>
      </c>
      <c r="I43" s="112">
        <v>0</v>
      </c>
      <c r="J43" s="112">
        <v>35</v>
      </c>
      <c r="K43" s="498" t="s">
        <v>36</v>
      </c>
      <c r="L43" s="112">
        <v>108</v>
      </c>
      <c r="M43" s="112">
        <v>10</v>
      </c>
      <c r="N43" s="112">
        <v>46</v>
      </c>
      <c r="O43" s="112">
        <v>1107</v>
      </c>
      <c r="P43" s="112">
        <v>1507</v>
      </c>
      <c r="Q43" s="166">
        <v>0</v>
      </c>
      <c r="R43" s="113" t="s">
        <v>36</v>
      </c>
      <c r="S43" s="113" t="s">
        <v>36</v>
      </c>
      <c r="T43" s="113" t="s">
        <v>36</v>
      </c>
      <c r="U43" s="113" t="s">
        <v>36</v>
      </c>
      <c r="V43" s="112">
        <v>1</v>
      </c>
      <c r="W43" s="113" t="s">
        <v>36</v>
      </c>
    </row>
    <row r="44" spans="1:25">
      <c r="A44" s="111" t="s">
        <v>178</v>
      </c>
      <c r="B44" s="112">
        <v>28896</v>
      </c>
      <c r="C44" s="112">
        <v>273</v>
      </c>
      <c r="D44" s="112">
        <v>0</v>
      </c>
      <c r="E44" s="112">
        <v>28358</v>
      </c>
      <c r="F44" s="112">
        <v>764</v>
      </c>
      <c r="G44" s="113" t="s">
        <v>36</v>
      </c>
      <c r="H44" s="112">
        <v>265</v>
      </c>
      <c r="I44" s="112">
        <v>210</v>
      </c>
      <c r="J44" s="112">
        <v>40</v>
      </c>
      <c r="K44" s="497">
        <v>0</v>
      </c>
      <c r="L44" s="112">
        <v>23</v>
      </c>
      <c r="M44" s="112">
        <v>49</v>
      </c>
      <c r="N44" s="112">
        <v>943</v>
      </c>
      <c r="O44" s="112">
        <v>25418</v>
      </c>
      <c r="P44" s="112">
        <v>27959</v>
      </c>
      <c r="Q44" s="166">
        <v>972</v>
      </c>
      <c r="R44" s="112">
        <v>7</v>
      </c>
      <c r="S44" s="113" t="s">
        <v>36</v>
      </c>
      <c r="T44" s="112">
        <v>26</v>
      </c>
      <c r="U44" s="112">
        <v>79</v>
      </c>
      <c r="V44" s="112">
        <v>0</v>
      </c>
      <c r="W44" s="112">
        <v>5</v>
      </c>
    </row>
    <row r="45" spans="1:25">
      <c r="A45" s="111" t="s">
        <v>222</v>
      </c>
      <c r="B45" s="112">
        <v>19097</v>
      </c>
      <c r="C45" s="112">
        <v>855</v>
      </c>
      <c r="D45" s="112">
        <v>3220</v>
      </c>
      <c r="E45" s="112">
        <v>15010</v>
      </c>
      <c r="F45" s="112">
        <v>1655</v>
      </c>
      <c r="G45" s="113" t="s">
        <v>36</v>
      </c>
      <c r="H45" s="112">
        <v>12</v>
      </c>
      <c r="I45" s="112">
        <v>478</v>
      </c>
      <c r="J45" s="112">
        <v>49</v>
      </c>
      <c r="K45" s="497">
        <v>246</v>
      </c>
      <c r="L45" s="112">
        <v>0</v>
      </c>
      <c r="M45" s="112">
        <v>0</v>
      </c>
      <c r="N45" s="112">
        <v>0</v>
      </c>
      <c r="O45" s="112">
        <v>13355</v>
      </c>
      <c r="P45" s="112">
        <v>17208</v>
      </c>
      <c r="Q45" s="166">
        <v>1915</v>
      </c>
      <c r="R45" s="112">
        <v>26</v>
      </c>
      <c r="S45" s="113" t="s">
        <v>36</v>
      </c>
      <c r="T45" s="112">
        <v>302</v>
      </c>
      <c r="U45" s="113" t="s">
        <v>36</v>
      </c>
      <c r="V45" s="112">
        <v>7</v>
      </c>
      <c r="W45" s="113" t="s">
        <v>36</v>
      </c>
    </row>
    <row r="47" spans="1:25">
      <c r="A47" s="176" t="s">
        <v>123</v>
      </c>
      <c r="Q47" s="177">
        <v>0</v>
      </c>
    </row>
    <row r="48" spans="1:25">
      <c r="A48" s="176" t="s">
        <v>455</v>
      </c>
      <c r="Q48" s="177">
        <v>0</v>
      </c>
    </row>
    <row r="49" spans="1:31">
      <c r="A49" s="176" t="s">
        <v>126</v>
      </c>
      <c r="Q49" s="99">
        <v>209</v>
      </c>
    </row>
    <row r="50" spans="1:31">
      <c r="A50" s="176" t="s">
        <v>128</v>
      </c>
      <c r="Q50" s="177">
        <v>0</v>
      </c>
    </row>
    <row r="51" spans="1:31">
      <c r="A51" s="176" t="s">
        <v>129</v>
      </c>
      <c r="Q51" s="179">
        <v>26.441088084923695</v>
      </c>
    </row>
    <row r="52" spans="1:31">
      <c r="A52" s="176" t="s">
        <v>130</v>
      </c>
      <c r="Q52" s="99">
        <v>250</v>
      </c>
    </row>
    <row r="53" spans="1:31">
      <c r="A53" s="176" t="s">
        <v>456</v>
      </c>
      <c r="Q53" s="99">
        <v>0</v>
      </c>
    </row>
    <row r="56" spans="1:31">
      <c r="B56" s="99" t="s">
        <v>56</v>
      </c>
      <c r="C56" s="99" t="s">
        <v>39</v>
      </c>
      <c r="D56" s="99" t="s">
        <v>40</v>
      </c>
      <c r="E56" s="99" t="s">
        <v>49</v>
      </c>
      <c r="F56" s="99" t="s">
        <v>41</v>
      </c>
      <c r="G56" s="99" t="s">
        <v>43</v>
      </c>
      <c r="H56" s="99" t="s">
        <v>42</v>
      </c>
      <c r="I56" s="99" t="s">
        <v>44</v>
      </c>
      <c r="J56" s="99" t="s">
        <v>45</v>
      </c>
      <c r="K56" s="99" t="s">
        <v>62</v>
      </c>
      <c r="L56" s="99" t="s">
        <v>46</v>
      </c>
      <c r="M56" s="99" t="s">
        <v>82</v>
      </c>
      <c r="N56" s="99" t="s">
        <v>53</v>
      </c>
      <c r="O56" s="99" t="s">
        <v>47</v>
      </c>
      <c r="P56" s="99" t="s">
        <v>48</v>
      </c>
      <c r="Q56" s="99" t="s">
        <v>51</v>
      </c>
      <c r="R56" s="99" t="s">
        <v>52</v>
      </c>
      <c r="S56" s="99" t="s">
        <v>50</v>
      </c>
      <c r="T56" s="99" t="s">
        <v>54</v>
      </c>
      <c r="U56" s="99" t="s">
        <v>55</v>
      </c>
      <c r="V56" s="99" t="s">
        <v>57</v>
      </c>
      <c r="W56" s="99" t="s">
        <v>58</v>
      </c>
      <c r="X56" s="99" t="s">
        <v>59</v>
      </c>
      <c r="Y56" s="99" t="s">
        <v>63</v>
      </c>
      <c r="Z56" s="99" t="s">
        <v>60</v>
      </c>
      <c r="AA56" s="99" t="s">
        <v>61</v>
      </c>
      <c r="AB56" t="s">
        <v>64</v>
      </c>
      <c r="AC56" t="s">
        <v>81</v>
      </c>
      <c r="AD56" t="s">
        <v>83</v>
      </c>
      <c r="AE56" t="s">
        <v>84</v>
      </c>
    </row>
    <row r="57" spans="1:31">
      <c r="B57" s="99">
        <v>1.651</v>
      </c>
      <c r="C57" s="99">
        <v>0.49399999999999999</v>
      </c>
      <c r="D57" s="99">
        <v>0.26300000000000001</v>
      </c>
      <c r="E57" s="99">
        <v>6.0000000000000001E-3</v>
      </c>
      <c r="F57" s="99">
        <v>2.29</v>
      </c>
      <c r="G57" s="99">
        <v>10.621</v>
      </c>
      <c r="H57" s="99">
        <v>0.63800000000000001</v>
      </c>
      <c r="I57" s="99">
        <v>2.7E-2</v>
      </c>
      <c r="J57" s="99">
        <v>6.4809999999999999</v>
      </c>
      <c r="K57" s="99">
        <v>2.27</v>
      </c>
      <c r="L57" s="99">
        <v>6.7649999999999997</v>
      </c>
      <c r="M57" s="99">
        <v>0.25700000000000001</v>
      </c>
      <c r="N57" s="99">
        <v>0.13500000000000001</v>
      </c>
      <c r="O57" s="99">
        <v>0.14499999999999999</v>
      </c>
      <c r="P57" s="99">
        <v>4.84</v>
      </c>
      <c r="Q57" s="99">
        <v>6.2E-2</v>
      </c>
      <c r="R57" s="99">
        <v>0.16700000000000001</v>
      </c>
      <c r="S57" s="99">
        <v>3.3000000000000002E-2</v>
      </c>
      <c r="T57" s="99">
        <v>0</v>
      </c>
      <c r="U57" s="99">
        <v>2.996</v>
      </c>
      <c r="V57" s="99">
        <v>2.0539999999999998</v>
      </c>
      <c r="W57" s="99">
        <v>1.3120000000000001</v>
      </c>
      <c r="X57" s="99">
        <v>0.627</v>
      </c>
      <c r="Y57" s="99">
        <v>0.98699999999999999</v>
      </c>
      <c r="Z57" s="99">
        <v>0.182</v>
      </c>
      <c r="AA57" s="99">
        <v>0.56399999999999995</v>
      </c>
      <c r="AB57">
        <v>6.8029999999999999</v>
      </c>
      <c r="AC57">
        <v>1.915</v>
      </c>
      <c r="AD57">
        <v>3.1E-2</v>
      </c>
      <c r="AE57">
        <v>0.97199999999999998</v>
      </c>
    </row>
  </sheetData>
  <phoneticPr fontId="5"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F0"/>
  </sheetPr>
  <dimension ref="A1:BI2032"/>
  <sheetViews>
    <sheetView topLeftCell="A1784" zoomScale="115" zoomScaleNormal="115" zoomScaleSheetLayoutView="75" workbookViewId="0">
      <selection activeCell="E1861" sqref="E1861"/>
    </sheetView>
  </sheetViews>
  <sheetFormatPr defaultColWidth="9.140625" defaultRowHeight="12.75"/>
  <cols>
    <col min="1" max="1" width="49.5703125" style="214" customWidth="1"/>
    <col min="2" max="2" width="9.85546875" style="214" customWidth="1"/>
    <col min="3" max="3" width="7.85546875" style="214" customWidth="1"/>
    <col min="4" max="4" width="9.5703125" style="214" customWidth="1"/>
    <col min="5" max="5" width="9.42578125" style="214" customWidth="1"/>
    <col min="6" max="6" width="9.5703125" style="214" customWidth="1"/>
    <col min="7" max="7" width="12.140625" style="214" bestFit="1" customWidth="1"/>
    <col min="8" max="8" width="11" style="214" customWidth="1"/>
    <col min="9" max="9" width="8.5703125" style="214" customWidth="1"/>
    <col min="10" max="10" width="2.5703125" style="214" customWidth="1"/>
    <col min="11" max="11" width="51.5703125" style="214" customWidth="1"/>
    <col min="12" max="12" width="10.28515625" style="214" bestFit="1" customWidth="1"/>
    <col min="13" max="13" width="8.42578125" style="214" customWidth="1"/>
    <col min="14" max="14" width="8.7109375" style="214" customWidth="1"/>
    <col min="15" max="15" width="9.85546875" style="214" customWidth="1"/>
    <col min="16" max="16" width="0" style="214" hidden="1" customWidth="1"/>
    <col min="17" max="17" width="9.5703125" style="214" customWidth="1"/>
    <col min="18" max="18" width="8.5703125" style="214" customWidth="1"/>
    <col min="19" max="19" width="10.28515625" style="214" customWidth="1"/>
    <col min="20" max="20" width="10" style="214" customWidth="1"/>
    <col min="21" max="21" width="26.85546875" style="214" customWidth="1"/>
    <col min="22" max="22" width="8.7109375" style="214" customWidth="1"/>
    <col min="23" max="23" width="3.85546875" style="214" customWidth="1"/>
    <col min="24" max="24" width="16" style="214" customWidth="1"/>
    <col min="25" max="25" width="6.7109375" style="214" customWidth="1"/>
    <col min="26" max="26" width="8.5703125" style="214" customWidth="1"/>
    <col min="27" max="30" width="6.7109375" style="214" customWidth="1"/>
    <col min="31" max="31" width="28.42578125" style="214" bestFit="1" customWidth="1"/>
    <col min="32" max="37" width="6.7109375" style="214" customWidth="1"/>
    <col min="38" max="16384" width="9.140625" style="214"/>
  </cols>
  <sheetData>
    <row r="1" spans="1:61" ht="13.15" customHeight="1">
      <c r="B1" s="220"/>
      <c r="C1" s="220"/>
      <c r="D1" s="220"/>
      <c r="E1" s="220"/>
      <c r="F1" s="220"/>
      <c r="G1" s="220"/>
      <c r="H1" s="220"/>
      <c r="I1" s="220"/>
    </row>
    <row r="2" spans="1:61" ht="13.15" customHeight="1">
      <c r="A2" s="221" t="s">
        <v>180</v>
      </c>
      <c r="D2" s="220"/>
      <c r="I2" s="221">
        <v>2002</v>
      </c>
      <c r="K2" s="221" t="str">
        <f>+A2</f>
        <v>Belgium</v>
      </c>
      <c r="M2" s="220"/>
      <c r="S2" s="221">
        <v>2002</v>
      </c>
      <c r="U2" s="222"/>
    </row>
    <row r="3" spans="1:61" ht="13.15" customHeight="1" thickBot="1">
      <c r="A3" s="223"/>
      <c r="B3" s="223"/>
      <c r="C3" s="223"/>
      <c r="D3" s="223"/>
    </row>
    <row r="4" spans="1:61" ht="13.15" customHeight="1">
      <c r="A4" s="224" t="s">
        <v>475</v>
      </c>
      <c r="B4" s="225" t="s">
        <v>476</v>
      </c>
      <c r="C4" s="225"/>
      <c r="D4" s="226"/>
      <c r="E4" s="227" t="s">
        <v>477</v>
      </c>
      <c r="F4" s="228"/>
      <c r="G4" s="229"/>
      <c r="H4" s="200" t="s">
        <v>138</v>
      </c>
      <c r="I4" s="200" t="s">
        <v>478</v>
      </c>
      <c r="J4" s="230"/>
      <c r="K4" s="231" t="s">
        <v>475</v>
      </c>
      <c r="L4" s="232" t="s">
        <v>479</v>
      </c>
      <c r="M4" s="233"/>
      <c r="N4" s="234"/>
      <c r="O4" s="235" t="s">
        <v>480</v>
      </c>
      <c r="P4" s="233"/>
      <c r="Q4" s="233"/>
      <c r="R4" s="236"/>
      <c r="S4" s="237"/>
      <c r="T4" s="238"/>
      <c r="AE4" s="577"/>
      <c r="AF4" s="577" t="s">
        <v>56</v>
      </c>
      <c r="AG4" s="577" t="s">
        <v>39</v>
      </c>
      <c r="AH4" s="577" t="s">
        <v>40</v>
      </c>
      <c r="AI4" s="577" t="s">
        <v>49</v>
      </c>
      <c r="AJ4" s="577" t="s">
        <v>41</v>
      </c>
      <c r="AK4" s="577" t="s">
        <v>43</v>
      </c>
      <c r="AL4" s="577" t="s">
        <v>42</v>
      </c>
      <c r="AM4" s="577" t="s">
        <v>44</v>
      </c>
      <c r="AN4" s="577" t="s">
        <v>45</v>
      </c>
      <c r="AO4" s="577" t="s">
        <v>62</v>
      </c>
      <c r="AP4" s="577" t="s">
        <v>46</v>
      </c>
      <c r="AQ4" s="577" t="s">
        <v>82</v>
      </c>
      <c r="AR4" s="577" t="s">
        <v>53</v>
      </c>
      <c r="AS4" s="577" t="s">
        <v>47</v>
      </c>
      <c r="AT4" s="577" t="s">
        <v>48</v>
      </c>
      <c r="AU4" s="577" t="s">
        <v>51</v>
      </c>
      <c r="AV4" s="577" t="s">
        <v>52</v>
      </c>
      <c r="AW4" s="577" t="s">
        <v>50</v>
      </c>
      <c r="AX4" s="577" t="s">
        <v>54</v>
      </c>
      <c r="AY4" s="577" t="s">
        <v>55</v>
      </c>
      <c r="AZ4" s="577" t="s">
        <v>57</v>
      </c>
      <c r="BA4" s="577" t="s">
        <v>58</v>
      </c>
      <c r="BB4" s="577" t="s">
        <v>59</v>
      </c>
      <c r="BC4" s="577" t="s">
        <v>63</v>
      </c>
      <c r="BD4" s="577" t="s">
        <v>60</v>
      </c>
      <c r="BE4" s="577" t="s">
        <v>61</v>
      </c>
      <c r="BF4" s="577" t="s">
        <v>64</v>
      </c>
      <c r="BG4" s="577" t="s">
        <v>81</v>
      </c>
      <c r="BH4" s="577" t="s">
        <v>83</v>
      </c>
      <c r="BI4" s="577" t="s">
        <v>84</v>
      </c>
    </row>
    <row r="5" spans="1:61" ht="13.15" customHeight="1">
      <c r="A5" s="239"/>
      <c r="B5" s="240" t="s">
        <v>481</v>
      </c>
      <c r="C5" s="240"/>
      <c r="D5" s="241" t="s">
        <v>34</v>
      </c>
      <c r="E5" s="242" t="s">
        <v>482</v>
      </c>
      <c r="F5" s="243"/>
      <c r="G5" s="244" t="s">
        <v>34</v>
      </c>
      <c r="H5" s="241" t="s">
        <v>170</v>
      </c>
      <c r="I5" s="241" t="s">
        <v>483</v>
      </c>
      <c r="J5" s="230"/>
      <c r="K5" s="245"/>
      <c r="L5" s="246" t="s">
        <v>484</v>
      </c>
      <c r="M5" s="247"/>
      <c r="N5" s="248" t="s">
        <v>485</v>
      </c>
      <c r="O5" s="248" t="s">
        <v>486</v>
      </c>
      <c r="P5" s="248" t="s">
        <v>486</v>
      </c>
      <c r="Q5" s="247" t="s">
        <v>487</v>
      </c>
      <c r="R5" s="249"/>
      <c r="S5" s="250" t="s">
        <v>485</v>
      </c>
      <c r="T5" s="230"/>
      <c r="U5" s="214" t="str">
        <f>A2</f>
        <v>Belgium</v>
      </c>
      <c r="AE5" s="577" t="s">
        <v>547</v>
      </c>
      <c r="AF5" s="577">
        <f>V706</f>
        <v>57.275287200000008</v>
      </c>
      <c r="AG5" s="577">
        <f>V6</f>
        <v>21.375891299999999</v>
      </c>
      <c r="AH5" s="577">
        <f>V1267</f>
        <v>15.607591199999998</v>
      </c>
      <c r="AI5" s="577">
        <v>0</v>
      </c>
      <c r="AJ5" s="577">
        <f>V1337</f>
        <v>53.59</v>
      </c>
      <c r="AK5" s="577">
        <f>V146</f>
        <v>287.435</v>
      </c>
      <c r="AL5" s="577">
        <f>V76</f>
        <v>26.694361902075034</v>
      </c>
      <c r="AM5" s="577">
        <f>V1407</f>
        <v>2.2090000000000001</v>
      </c>
      <c r="AN5" s="577">
        <f>V286</f>
        <v>160.20621471959996</v>
      </c>
      <c r="AO5" s="577">
        <f>V846</f>
        <v>165.10540320000001</v>
      </c>
      <c r="AP5" s="577">
        <f>V356</f>
        <v>182.55672000000001</v>
      </c>
      <c r="AQ5" s="577">
        <f>V216</f>
        <v>9.423</v>
      </c>
      <c r="AR5" s="577">
        <f>V1477</f>
        <v>9.5770050000000015</v>
      </c>
      <c r="AS5" s="577">
        <f>V426</f>
        <v>5.4026512220000003</v>
      </c>
      <c r="AT5" s="577">
        <f>V496</f>
        <v>133.898</v>
      </c>
      <c r="AU5" s="577">
        <f>V1617</f>
        <v>1.014</v>
      </c>
      <c r="AV5" s="577">
        <f>V566</f>
        <v>2.097</v>
      </c>
      <c r="AW5" s="577">
        <f>V1547</f>
        <v>0.70199999999999996</v>
      </c>
      <c r="AX5" s="577">
        <v>0</v>
      </c>
      <c r="AY5" s="577">
        <f>V636</f>
        <v>108.102279</v>
      </c>
      <c r="AZ5" s="577">
        <f>V1687</f>
        <v>169.75399999999999</v>
      </c>
      <c r="BA5" s="577">
        <f>V776</f>
        <v>39.417076284930737</v>
      </c>
      <c r="BB5" s="577">
        <f>V1757</f>
        <v>14.497988000000003</v>
      </c>
      <c r="BC5" s="577">
        <f>V916</f>
        <v>62.612000000000002</v>
      </c>
      <c r="BD5" s="577">
        <f>V1897</f>
        <v>8.6749199999999984</v>
      </c>
      <c r="BE5" s="577">
        <f>V1827</f>
        <v>5.0039999999999996</v>
      </c>
      <c r="BF5" s="577">
        <f>V986</f>
        <v>140.40950000000004</v>
      </c>
      <c r="BG5" s="577">
        <v>0</v>
      </c>
      <c r="BH5" s="577">
        <f>V1196</f>
        <v>0</v>
      </c>
      <c r="BI5" s="577">
        <f>V1126</f>
        <v>0</v>
      </c>
    </row>
    <row r="6" spans="1:61" ht="13.15" customHeight="1">
      <c r="A6" s="251" t="s">
        <v>488</v>
      </c>
      <c r="B6" s="252" t="s">
        <v>0</v>
      </c>
      <c r="C6" s="252" t="s">
        <v>489</v>
      </c>
      <c r="D6" s="252" t="s">
        <v>490</v>
      </c>
      <c r="E6" s="252" t="s">
        <v>491</v>
      </c>
      <c r="F6" s="252" t="s">
        <v>489</v>
      </c>
      <c r="G6" s="230" t="s">
        <v>490</v>
      </c>
      <c r="H6" s="248"/>
      <c r="I6" s="241" t="s">
        <v>492</v>
      </c>
      <c r="J6" s="230"/>
      <c r="K6" s="253" t="s">
        <v>488</v>
      </c>
      <c r="L6" s="254" t="s">
        <v>88</v>
      </c>
      <c r="M6" s="252" t="s">
        <v>34</v>
      </c>
      <c r="N6" s="252" t="s">
        <v>493</v>
      </c>
      <c r="O6" s="248" t="s">
        <v>494</v>
      </c>
      <c r="P6" s="248" t="s">
        <v>495</v>
      </c>
      <c r="Q6" s="230" t="s">
        <v>88</v>
      </c>
      <c r="R6" s="248" t="s">
        <v>34</v>
      </c>
      <c r="S6" s="255" t="s">
        <v>88</v>
      </c>
      <c r="T6" s="230"/>
      <c r="U6" s="214" t="s">
        <v>547</v>
      </c>
      <c r="V6" s="214">
        <f>G34/1000</f>
        <v>21.375891299999999</v>
      </c>
      <c r="AE6" s="577" t="s">
        <v>548</v>
      </c>
      <c r="AF6" s="577">
        <f t="shared" ref="AF6:AF36" si="0">V707</f>
        <v>2.2712003999999997</v>
      </c>
      <c r="AG6" s="577">
        <f t="shared" ref="AG6:AG36" si="1">V7</f>
        <v>0</v>
      </c>
      <c r="AH6" s="577">
        <f t="shared" ref="AH6:AH36" si="2">V1268</f>
        <v>4.9249907999999998</v>
      </c>
      <c r="AI6" s="577">
        <v>0</v>
      </c>
      <c r="AJ6" s="577">
        <f t="shared" ref="AJ6:AJ36" si="3">V1338</f>
        <v>10.442</v>
      </c>
      <c r="AK6" s="577">
        <f t="shared" ref="AK6:AK36" si="4">V147</f>
        <v>7.4039999999999999</v>
      </c>
      <c r="AL6" s="577">
        <f t="shared" ref="AL6:AL17" si="5">V77</f>
        <v>0</v>
      </c>
      <c r="AM6" s="577">
        <f t="shared" ref="AM6:AM17" si="6">V1408</f>
        <v>0</v>
      </c>
      <c r="AN6" s="577">
        <f t="shared" ref="AN6:AN17" si="7">V287</f>
        <v>1.3788555912</v>
      </c>
      <c r="AO6" s="577">
        <f t="shared" ref="AO6:AO17" si="8">V847</f>
        <v>1.3226184000000001</v>
      </c>
      <c r="AP6" s="577">
        <f t="shared" ref="AP6:AP17" si="9">V357</f>
        <v>0.49002479999999998</v>
      </c>
      <c r="AQ6" s="577">
        <f t="shared" ref="AQ6:AQ17" si="10">V217</f>
        <v>0</v>
      </c>
      <c r="AR6" s="577">
        <f t="shared" ref="AR6:AR17" si="11">V1478</f>
        <v>0</v>
      </c>
      <c r="AS6" s="577">
        <f t="shared" ref="AS6:AS17" si="12">V427</f>
        <v>0</v>
      </c>
      <c r="AT6" s="577">
        <f t="shared" ref="AT6:AT17" si="13">V497</f>
        <v>6.7000000000000004E-2</v>
      </c>
      <c r="AU6" s="577">
        <f t="shared" ref="AU6:AU17" si="14">V1618</f>
        <v>0</v>
      </c>
      <c r="AV6" s="577">
        <f t="shared" ref="AV6:AV17" si="15">V567</f>
        <v>0</v>
      </c>
      <c r="AW6" s="577">
        <f t="shared" ref="AW6:AW16" si="16">V1548</f>
        <v>0</v>
      </c>
      <c r="AX6" s="577">
        <v>0</v>
      </c>
      <c r="AY6" s="577">
        <f t="shared" ref="AY6:AY17" si="17">V637</f>
        <v>2.9480049999999998</v>
      </c>
      <c r="AZ6" s="577">
        <f t="shared" ref="AZ6:AZ17" si="18">V1688</f>
        <v>6.117</v>
      </c>
      <c r="BA6" s="577">
        <f t="shared" ref="BA6:BA17" si="19">V777</f>
        <v>0</v>
      </c>
      <c r="BB6" s="577">
        <f t="shared" ref="BB6:BB17" si="20">V1758</f>
        <v>0</v>
      </c>
      <c r="BC6" s="577">
        <f t="shared" ref="BC6:BC17" si="21">V917</f>
        <v>0</v>
      </c>
      <c r="BD6" s="577">
        <f t="shared" ref="BD6:BD17" si="22">V1898</f>
        <v>0</v>
      </c>
      <c r="BE6" s="577">
        <f t="shared" ref="BE6:BE17" si="23">V1828</f>
        <v>0.32100000000000001</v>
      </c>
      <c r="BF6" s="577">
        <f t="shared" ref="BF6:BF17" si="24">V987</f>
        <v>0</v>
      </c>
      <c r="BG6" s="577">
        <v>0</v>
      </c>
      <c r="BH6" s="577">
        <f t="shared" ref="BH6:BH17" si="25">V1197</f>
        <v>0</v>
      </c>
      <c r="BI6" s="577">
        <f t="shared" ref="BI6:BI17" si="26">V1127</f>
        <v>0</v>
      </c>
    </row>
    <row r="7" spans="1:61" ht="13.15" customHeight="1">
      <c r="A7" s="239"/>
      <c r="B7" s="252" t="s">
        <v>496</v>
      </c>
      <c r="C7" s="252" t="s">
        <v>496</v>
      </c>
      <c r="D7" s="252" t="s">
        <v>496</v>
      </c>
      <c r="E7" s="256" t="s">
        <v>473</v>
      </c>
      <c r="F7" s="256" t="s">
        <v>473</v>
      </c>
      <c r="G7" s="230" t="s">
        <v>451</v>
      </c>
      <c r="H7" s="257" t="s">
        <v>497</v>
      </c>
      <c r="I7" s="257" t="s">
        <v>498</v>
      </c>
      <c r="J7" s="230"/>
      <c r="K7" s="245"/>
      <c r="L7" s="258" t="s">
        <v>496</v>
      </c>
      <c r="M7" s="256" t="s">
        <v>496</v>
      </c>
      <c r="N7" s="256"/>
      <c r="O7" s="257" t="s">
        <v>79</v>
      </c>
      <c r="P7" s="257" t="s">
        <v>79</v>
      </c>
      <c r="Q7" s="259"/>
      <c r="R7" s="257"/>
      <c r="S7" s="260"/>
      <c r="T7" s="230"/>
      <c r="U7" s="214" t="s">
        <v>548</v>
      </c>
      <c r="V7" s="214">
        <f>G40/1000</f>
        <v>0</v>
      </c>
      <c r="AE7" s="577" t="s">
        <v>549</v>
      </c>
      <c r="AF7" s="577">
        <f t="shared" si="0"/>
        <v>9.0088163999999988</v>
      </c>
      <c r="AG7" s="577">
        <f t="shared" si="1"/>
        <v>0.59424999999999994</v>
      </c>
      <c r="AH7" s="577">
        <f t="shared" si="2"/>
        <v>7.8251328000000004</v>
      </c>
      <c r="AI7" s="577">
        <v>0</v>
      </c>
      <c r="AJ7" s="577">
        <f t="shared" si="3"/>
        <v>22.619</v>
      </c>
      <c r="AK7" s="577">
        <f t="shared" si="4"/>
        <v>118.303</v>
      </c>
      <c r="AL7" s="577">
        <f t="shared" si="5"/>
        <v>2.7189081999995501</v>
      </c>
      <c r="AM7" s="577">
        <f t="shared" si="6"/>
        <v>0</v>
      </c>
      <c r="AN7" s="577">
        <f t="shared" si="7"/>
        <v>26.337563629199998</v>
      </c>
      <c r="AO7" s="577">
        <f t="shared" si="8"/>
        <v>6.5008800000000004</v>
      </c>
      <c r="AP7" s="577">
        <f t="shared" si="9"/>
        <v>32.926841999999994</v>
      </c>
      <c r="AQ7" s="577">
        <f t="shared" si="10"/>
        <v>2.2709999999999999</v>
      </c>
      <c r="AR7" s="577">
        <f t="shared" si="11"/>
        <v>3.3601199999999998</v>
      </c>
      <c r="AS7" s="577">
        <f t="shared" si="12"/>
        <v>0.49623581</v>
      </c>
      <c r="AT7" s="577">
        <f t="shared" si="13"/>
        <v>34.216999999999999</v>
      </c>
      <c r="AU7" s="577">
        <f t="shared" si="14"/>
        <v>0</v>
      </c>
      <c r="AV7" s="577">
        <f t="shared" si="15"/>
        <v>1.278</v>
      </c>
      <c r="AW7" s="577">
        <f t="shared" si="16"/>
        <v>0</v>
      </c>
      <c r="AX7" s="577">
        <v>0</v>
      </c>
      <c r="AY7" s="577">
        <f t="shared" si="17"/>
        <v>35.917614</v>
      </c>
      <c r="AZ7" s="577">
        <f t="shared" si="18"/>
        <v>40.127000000000002</v>
      </c>
      <c r="BA7" s="577">
        <f t="shared" si="19"/>
        <v>3.2626706472000002</v>
      </c>
      <c r="BB7" s="577">
        <f t="shared" si="20"/>
        <v>6.8362959999999999</v>
      </c>
      <c r="BC7" s="577">
        <f t="shared" si="21"/>
        <v>0.83799999999999997</v>
      </c>
      <c r="BD7" s="577">
        <f t="shared" si="22"/>
        <v>0.42121499999999995</v>
      </c>
      <c r="BE7" s="577">
        <f t="shared" si="23"/>
        <v>0.90700000000000003</v>
      </c>
      <c r="BF7" s="577">
        <f t="shared" si="24"/>
        <v>56.918999999999997</v>
      </c>
      <c r="BG7" s="577">
        <v>0</v>
      </c>
      <c r="BH7" s="577">
        <f t="shared" si="25"/>
        <v>0</v>
      </c>
      <c r="BI7" s="577">
        <f t="shared" si="26"/>
        <v>0</v>
      </c>
    </row>
    <row r="8" spans="1:61" ht="13.15" customHeight="1">
      <c r="A8" s="261" t="s">
        <v>262</v>
      </c>
      <c r="B8" s="262">
        <v>0</v>
      </c>
      <c r="C8" s="263">
        <v>0</v>
      </c>
      <c r="D8" s="262">
        <v>0</v>
      </c>
      <c r="E8" s="262">
        <v>0</v>
      </c>
      <c r="F8" s="263">
        <v>0</v>
      </c>
      <c r="G8" s="262">
        <v>0</v>
      </c>
      <c r="H8" s="262">
        <v>0</v>
      </c>
      <c r="I8" s="264">
        <v>0</v>
      </c>
      <c r="J8" s="230"/>
      <c r="K8" s="265" t="s">
        <v>262</v>
      </c>
      <c r="L8" s="266" t="e">
        <f>C8/I8</f>
        <v>#DIV/0!</v>
      </c>
      <c r="M8" s="267" t="e">
        <f>D8/I8</f>
        <v>#DIV/0!</v>
      </c>
      <c r="N8" s="267" t="e">
        <f>D8/C8</f>
        <v>#DIV/0!</v>
      </c>
      <c r="O8" s="239" t="e">
        <f>(F8*3.6+G8)*100/H8</f>
        <v>#DIV/0!</v>
      </c>
      <c r="P8" s="239" t="e">
        <f>(F8*3.6+G8)*100/H8</f>
        <v>#DIV/0!</v>
      </c>
      <c r="Q8" s="267" t="e">
        <f>F8/(C8*8760)*1000</f>
        <v>#DIV/0!</v>
      </c>
      <c r="R8" s="267" t="e">
        <f>G8/(D8*8761)*1000/3.6</f>
        <v>#DIV/0!</v>
      </c>
      <c r="S8" s="268" t="e">
        <f>G8/(F8*3.6)</f>
        <v>#DIV/0!</v>
      </c>
      <c r="T8" s="269"/>
      <c r="U8" s="214" t="s">
        <v>549</v>
      </c>
      <c r="V8" s="214">
        <f>G42/1000</f>
        <v>0.59424999999999994</v>
      </c>
      <c r="Z8" s="214">
        <f t="shared" ref="Z8:Z13" si="27">C8-B8</f>
        <v>0</v>
      </c>
      <c r="AA8" s="214">
        <f t="shared" ref="AA8:AA13" si="28">F8-E8</f>
        <v>0</v>
      </c>
      <c r="AE8" s="577" t="s">
        <v>550</v>
      </c>
      <c r="AF8" s="577">
        <f t="shared" si="0"/>
        <v>28.328248799999997</v>
      </c>
      <c r="AG8" s="577">
        <f t="shared" si="1"/>
        <v>7.3134509999999997</v>
      </c>
      <c r="AH8" s="577">
        <f t="shared" si="2"/>
        <v>2.2635900000000002</v>
      </c>
      <c r="AI8" s="577">
        <v>0</v>
      </c>
      <c r="AJ8" s="577">
        <f t="shared" si="3"/>
        <v>5.9640000000000004</v>
      </c>
      <c r="AK8" s="577">
        <f t="shared" si="4"/>
        <v>65.760999999999996</v>
      </c>
      <c r="AL8" s="577">
        <f t="shared" si="5"/>
        <v>1.5179967999997299</v>
      </c>
      <c r="AM8" s="577">
        <f t="shared" si="6"/>
        <v>1.452</v>
      </c>
      <c r="AN8" s="577">
        <f t="shared" si="7"/>
        <v>47.047410730799996</v>
      </c>
      <c r="AO8" s="577">
        <f t="shared" si="8"/>
        <v>146.77399080000001</v>
      </c>
      <c r="AP8" s="577">
        <f t="shared" si="9"/>
        <v>53.336664000000006</v>
      </c>
      <c r="AQ8" s="577">
        <f t="shared" si="10"/>
        <v>0</v>
      </c>
      <c r="AR8" s="577">
        <f t="shared" si="11"/>
        <v>1.735195</v>
      </c>
      <c r="AS8" s="577">
        <f t="shared" si="12"/>
        <v>0</v>
      </c>
      <c r="AT8" s="577">
        <f t="shared" si="13"/>
        <v>34.173999999999999</v>
      </c>
      <c r="AU8" s="577">
        <f t="shared" si="14"/>
        <v>0</v>
      </c>
      <c r="AV8" s="577">
        <f t="shared" si="15"/>
        <v>1.6E-2</v>
      </c>
      <c r="AW8" s="577">
        <f t="shared" si="16"/>
        <v>0</v>
      </c>
      <c r="AX8" s="577">
        <v>0</v>
      </c>
      <c r="AY8" s="577">
        <f t="shared" si="17"/>
        <v>10.090133999999999</v>
      </c>
      <c r="AZ8" s="577">
        <f t="shared" si="18"/>
        <v>22.968</v>
      </c>
      <c r="BA8" s="577">
        <f t="shared" si="19"/>
        <v>22.242924856000801</v>
      </c>
      <c r="BB8" s="577">
        <f t="shared" si="20"/>
        <v>4.447832</v>
      </c>
      <c r="BC8" s="577">
        <f t="shared" si="21"/>
        <v>61.067</v>
      </c>
      <c r="BD8" s="577">
        <f t="shared" si="22"/>
        <v>6.9474239999999998</v>
      </c>
      <c r="BE8" s="577">
        <f t="shared" si="23"/>
        <v>0.28899999999999998</v>
      </c>
      <c r="BF8" s="577">
        <f t="shared" si="24"/>
        <v>15.9268</v>
      </c>
      <c r="BG8" s="577">
        <v>0</v>
      </c>
      <c r="BH8" s="577">
        <f t="shared" si="25"/>
        <v>0</v>
      </c>
      <c r="BI8" s="577">
        <f t="shared" si="26"/>
        <v>0</v>
      </c>
    </row>
    <row r="9" spans="1:61" ht="13.15" customHeight="1">
      <c r="A9" s="239" t="s">
        <v>263</v>
      </c>
      <c r="B9" s="262">
        <v>472.36700000000002</v>
      </c>
      <c r="C9" s="263">
        <v>472.36700000000002</v>
      </c>
      <c r="D9" s="262">
        <v>2310.8429999999998</v>
      </c>
      <c r="E9" s="262">
        <v>2177.0691169999996</v>
      </c>
      <c r="F9" s="263">
        <v>2177.0691169999996</v>
      </c>
      <c r="G9" s="262">
        <v>24765.096000000001</v>
      </c>
      <c r="H9" s="262">
        <v>39505.284156250003</v>
      </c>
      <c r="I9" s="270">
        <v>42</v>
      </c>
      <c r="J9" s="230"/>
      <c r="K9" s="245" t="s">
        <v>263</v>
      </c>
      <c r="L9" s="266">
        <f>C9/I9</f>
        <v>11.246833333333333</v>
      </c>
      <c r="M9" s="267">
        <f>D9/I9</f>
        <v>55.020071428571427</v>
      </c>
      <c r="N9" s="267">
        <f>D9/C9</f>
        <v>4.8920500373650144</v>
      </c>
      <c r="O9" s="239">
        <f>(F9*3.6+G9)*100/H9</f>
        <v>82.527048007682936</v>
      </c>
      <c r="P9" s="239">
        <f>(F9*3.6+G9)*100/H9</f>
        <v>82.527048007682936</v>
      </c>
      <c r="Q9" s="267">
        <f>F9/(C9*8760)*1000</f>
        <v>0.52612454257738772</v>
      </c>
      <c r="R9" s="267">
        <f>G9/(D9*8761)*1000/3.6</f>
        <v>0.33979219150039641</v>
      </c>
      <c r="S9" s="268">
        <f>G9/(F9*3.6)</f>
        <v>3.1598414949787443</v>
      </c>
      <c r="T9" s="269"/>
      <c r="U9" s="214" t="s">
        <v>550</v>
      </c>
      <c r="V9" s="214">
        <f>G47/1000</f>
        <v>7.3134509999999997</v>
      </c>
      <c r="Z9" s="214">
        <f t="shared" si="27"/>
        <v>0</v>
      </c>
      <c r="AA9" s="214">
        <f t="shared" si="28"/>
        <v>0</v>
      </c>
      <c r="AE9" s="577" t="s">
        <v>551</v>
      </c>
      <c r="AF9" s="577">
        <f t="shared" si="0"/>
        <v>9.5561568000000001</v>
      </c>
      <c r="AG9" s="577">
        <f t="shared" si="1"/>
        <v>3.7364580000000003</v>
      </c>
      <c r="AH9" s="577">
        <f t="shared" si="2"/>
        <v>0</v>
      </c>
      <c r="AI9" s="577">
        <v>0</v>
      </c>
      <c r="AJ9" s="577">
        <f t="shared" si="3"/>
        <v>1.0820000000000001</v>
      </c>
      <c r="AK9" s="577">
        <f t="shared" si="4"/>
        <v>32.561999999999998</v>
      </c>
      <c r="AL9" s="577">
        <f t="shared" si="5"/>
        <v>1.1879999999999999</v>
      </c>
      <c r="AM9" s="577">
        <f t="shared" si="6"/>
        <v>0.47499999999999998</v>
      </c>
      <c r="AN9" s="577">
        <f t="shared" si="7"/>
        <v>18.917503142399998</v>
      </c>
      <c r="AO9" s="577">
        <f t="shared" si="8"/>
        <v>8.4845916000000017</v>
      </c>
      <c r="AP9" s="577">
        <f t="shared" si="9"/>
        <v>48.844566</v>
      </c>
      <c r="AQ9" s="577">
        <f t="shared" si="10"/>
        <v>3.74</v>
      </c>
      <c r="AR9" s="577">
        <f t="shared" si="11"/>
        <v>0</v>
      </c>
      <c r="AS9" s="577">
        <f t="shared" si="12"/>
        <v>0.20246039999999998</v>
      </c>
      <c r="AT9" s="577">
        <f t="shared" si="13"/>
        <v>24.754999999999999</v>
      </c>
      <c r="AU9" s="577">
        <f t="shared" si="14"/>
        <v>0</v>
      </c>
      <c r="AV9" s="577">
        <f t="shared" si="15"/>
        <v>0</v>
      </c>
      <c r="AW9" s="577">
        <f t="shared" si="16"/>
        <v>0</v>
      </c>
      <c r="AX9" s="577">
        <v>0</v>
      </c>
      <c r="AY9" s="577">
        <f t="shared" si="17"/>
        <v>31.234078000000004</v>
      </c>
      <c r="AZ9" s="577">
        <f t="shared" si="18"/>
        <v>29.131</v>
      </c>
      <c r="BA9" s="577">
        <f t="shared" si="19"/>
        <v>12.183258939023881</v>
      </c>
      <c r="BB9" s="577">
        <f t="shared" si="20"/>
        <v>0.98937599999999992</v>
      </c>
      <c r="BC9" s="577">
        <f t="shared" si="21"/>
        <v>1.0999999999999999E-2</v>
      </c>
      <c r="BD9" s="577">
        <f t="shared" si="22"/>
        <v>0.41199999999999998</v>
      </c>
      <c r="BE9" s="577">
        <f t="shared" si="23"/>
        <v>9.7000000000000003E-2</v>
      </c>
      <c r="BF9" s="577">
        <f t="shared" si="24"/>
        <v>35.392099999999999</v>
      </c>
      <c r="BG9" s="577">
        <v>0</v>
      </c>
      <c r="BH9" s="577">
        <f t="shared" si="25"/>
        <v>0</v>
      </c>
      <c r="BI9" s="577">
        <f t="shared" si="26"/>
        <v>0</v>
      </c>
    </row>
    <row r="10" spans="1:61" ht="13.15" customHeight="1">
      <c r="A10" s="239" t="s">
        <v>264</v>
      </c>
      <c r="B10" s="262">
        <v>0</v>
      </c>
      <c r="C10" s="263">
        <v>0</v>
      </c>
      <c r="D10" s="262">
        <v>0</v>
      </c>
      <c r="E10" s="262">
        <v>0</v>
      </c>
      <c r="F10" s="263">
        <v>0</v>
      </c>
      <c r="G10" s="262">
        <v>0</v>
      </c>
      <c r="H10" s="262">
        <v>0</v>
      </c>
      <c r="I10" s="270">
        <v>0</v>
      </c>
      <c r="J10" s="230"/>
      <c r="K10" s="245" t="s">
        <v>499</v>
      </c>
      <c r="L10" s="266" t="e">
        <f>C10/I10</f>
        <v>#DIV/0!</v>
      </c>
      <c r="M10" s="267" t="e">
        <f>D10/I10</f>
        <v>#DIV/0!</v>
      </c>
      <c r="N10" s="267" t="e">
        <f>D10/C10</f>
        <v>#DIV/0!</v>
      </c>
      <c r="O10" s="239" t="e">
        <f>(F10*3.6+G10)*100/H10</f>
        <v>#DIV/0!</v>
      </c>
      <c r="P10" s="239" t="e">
        <f>(F10*3.6+G10)*100/H10</f>
        <v>#DIV/0!</v>
      </c>
      <c r="Q10" s="267" t="e">
        <f>F10/(C10*8760)*1000</f>
        <v>#DIV/0!</v>
      </c>
      <c r="R10" s="267" t="e">
        <f>G10/(D10*8761)*1000/3.6</f>
        <v>#DIV/0!</v>
      </c>
      <c r="S10" s="268" t="e">
        <f>G10/(F10*3.6)</f>
        <v>#DIV/0!</v>
      </c>
      <c r="T10" s="269"/>
      <c r="U10" s="214" t="s">
        <v>551</v>
      </c>
      <c r="V10" s="214">
        <f>G38/1000</f>
        <v>3.7364580000000003</v>
      </c>
      <c r="Z10" s="214">
        <f t="shared" si="27"/>
        <v>0</v>
      </c>
      <c r="AA10" s="214">
        <f t="shared" si="28"/>
        <v>0</v>
      </c>
      <c r="AE10" s="577" t="s">
        <v>552</v>
      </c>
      <c r="AF10" s="577">
        <f t="shared" si="0"/>
        <v>8.1108647999999999</v>
      </c>
      <c r="AG10" s="577">
        <f t="shared" si="1"/>
        <v>9.7323622999999984</v>
      </c>
      <c r="AH10" s="577">
        <f t="shared" si="2"/>
        <v>0.59387760000000001</v>
      </c>
      <c r="AI10" s="577">
        <v>0</v>
      </c>
      <c r="AJ10" s="577">
        <f t="shared" si="3"/>
        <v>13.483000000000001</v>
      </c>
      <c r="AK10" s="577">
        <f t="shared" si="4"/>
        <v>63.405000000000001</v>
      </c>
      <c r="AL10" s="577">
        <f t="shared" si="5"/>
        <v>21.269456902075756</v>
      </c>
      <c r="AM10" s="577">
        <f t="shared" si="6"/>
        <v>0.28199999999999997</v>
      </c>
      <c r="AN10" s="577">
        <f t="shared" si="7"/>
        <v>66.524881625999981</v>
      </c>
      <c r="AO10" s="577">
        <f t="shared" si="8"/>
        <v>2.0233224000000001</v>
      </c>
      <c r="AP10" s="577">
        <f t="shared" si="9"/>
        <v>46.958623200000005</v>
      </c>
      <c r="AQ10" s="577">
        <f t="shared" si="10"/>
        <v>3.4119999999999999</v>
      </c>
      <c r="AR10" s="577">
        <f t="shared" si="11"/>
        <v>4.4816900000000004</v>
      </c>
      <c r="AS10" s="577">
        <f t="shared" si="12"/>
        <v>4.7039550120000007</v>
      </c>
      <c r="AT10" s="577">
        <f t="shared" si="13"/>
        <v>40.685000000000002</v>
      </c>
      <c r="AU10" s="577">
        <f t="shared" si="14"/>
        <v>1.014</v>
      </c>
      <c r="AV10" s="577">
        <f t="shared" si="15"/>
        <v>0.80300000000000005</v>
      </c>
      <c r="AW10" s="577">
        <f t="shared" si="16"/>
        <v>0.70199999999999996</v>
      </c>
      <c r="AX10" s="577">
        <v>0</v>
      </c>
      <c r="AY10" s="577">
        <f t="shared" si="17"/>
        <v>27.912447999999998</v>
      </c>
      <c r="AZ10" s="577">
        <f t="shared" si="18"/>
        <v>71.411000000000001</v>
      </c>
      <c r="BA10" s="577">
        <f t="shared" si="19"/>
        <v>1.7282218427060398</v>
      </c>
      <c r="BB10" s="577">
        <f t="shared" si="20"/>
        <v>2.2244839999999999</v>
      </c>
      <c r="BC10" s="577">
        <f t="shared" si="21"/>
        <v>0.69599999999999995</v>
      </c>
      <c r="BD10" s="577">
        <f t="shared" si="22"/>
        <v>0.8942810000000001</v>
      </c>
      <c r="BE10" s="577">
        <f t="shared" si="23"/>
        <v>3.39</v>
      </c>
      <c r="BF10" s="577">
        <f t="shared" si="24"/>
        <v>32.171600000000005</v>
      </c>
      <c r="BG10" s="577">
        <v>0</v>
      </c>
      <c r="BH10" s="577">
        <f t="shared" si="25"/>
        <v>0</v>
      </c>
      <c r="BI10" s="577">
        <f t="shared" si="26"/>
        <v>0</v>
      </c>
    </row>
    <row r="11" spans="1:61" ht="13.15" customHeight="1">
      <c r="A11" s="239" t="s">
        <v>265</v>
      </c>
      <c r="B11" s="262">
        <v>397.45</v>
      </c>
      <c r="C11" s="263">
        <v>397.45</v>
      </c>
      <c r="D11" s="262">
        <v>483.98200000000003</v>
      </c>
      <c r="E11" s="262">
        <v>2781.6618599999997</v>
      </c>
      <c r="F11" s="263">
        <v>2781.6618599999997</v>
      </c>
      <c r="G11" s="262">
        <v>12342.382</v>
      </c>
      <c r="H11" s="262">
        <v>27221.208374999998</v>
      </c>
      <c r="I11" s="271">
        <v>14</v>
      </c>
      <c r="J11" s="230"/>
      <c r="K11" s="245" t="s">
        <v>265</v>
      </c>
      <c r="L11" s="266">
        <f>C11/I11</f>
        <v>28.389285714285712</v>
      </c>
      <c r="M11" s="267">
        <f>D11/I11</f>
        <v>34.570142857142862</v>
      </c>
      <c r="N11" s="267">
        <f>D11/C11</f>
        <v>1.2177179519436407</v>
      </c>
      <c r="O11" s="239">
        <f>(F11*3.6+G11)*100/H11</f>
        <v>82.12848007339791</v>
      </c>
      <c r="P11" s="239">
        <f>(F11*3.6+G11)*100/H11</f>
        <v>82.12848007339791</v>
      </c>
      <c r="Q11" s="267">
        <f>F11/(C11*8760)*1000</f>
        <v>0.79894655483501831</v>
      </c>
      <c r="R11" s="267">
        <f>G11/(D11*8761)*1000/3.6</f>
        <v>0.80856249501990496</v>
      </c>
      <c r="S11" s="268">
        <f>G11/(F11*3.6)</f>
        <v>1.2325148120068212</v>
      </c>
      <c r="T11" s="269"/>
      <c r="U11" s="214" t="s">
        <v>552</v>
      </c>
      <c r="V11" s="214">
        <f>(G35+G36+G37+G39+G41+G43+G44+G45+G46+G48+G49+G50+G51+G52)/1000</f>
        <v>9.7323622999999984</v>
      </c>
      <c r="Z11" s="214">
        <f t="shared" si="27"/>
        <v>0</v>
      </c>
      <c r="AA11" s="214">
        <f t="shared" si="28"/>
        <v>0</v>
      </c>
      <c r="AE11" s="577"/>
      <c r="AF11" s="577"/>
      <c r="AG11" s="577"/>
      <c r="AH11" s="577"/>
      <c r="AI11" s="577"/>
      <c r="AJ11" s="577"/>
      <c r="AK11" s="577"/>
      <c r="AL11" s="577"/>
      <c r="AM11" s="577"/>
      <c r="AN11" s="577"/>
      <c r="AO11" s="577"/>
      <c r="AP11" s="577"/>
      <c r="AQ11" s="577"/>
      <c r="AR11" s="577"/>
      <c r="AS11" s="577"/>
      <c r="AT11" s="577"/>
      <c r="AU11" s="577"/>
      <c r="AV11" s="577"/>
      <c r="AW11" s="577"/>
      <c r="AX11" s="577"/>
      <c r="AY11" s="577"/>
      <c r="AZ11" s="577"/>
      <c r="BA11" s="577"/>
      <c r="BB11" s="577"/>
      <c r="BC11" s="577"/>
      <c r="BD11" s="577"/>
      <c r="BE11" s="577"/>
      <c r="BF11" s="577"/>
      <c r="BG11" s="577"/>
      <c r="BH11" s="577"/>
      <c r="BI11" s="577"/>
    </row>
    <row r="12" spans="1:61" ht="13.15" customHeight="1">
      <c r="A12" s="239" t="s">
        <v>266</v>
      </c>
      <c r="B12" s="262">
        <v>129.57499999999999</v>
      </c>
      <c r="C12" s="263">
        <v>129.57499999999999</v>
      </c>
      <c r="D12" s="262">
        <v>168.7046</v>
      </c>
      <c r="E12" s="262">
        <v>358.24933088</v>
      </c>
      <c r="F12" s="263">
        <v>358.24933088</v>
      </c>
      <c r="G12" s="262">
        <v>1727.996911</v>
      </c>
      <c r="H12" s="262">
        <v>3647.1925435791018</v>
      </c>
      <c r="I12" s="271">
        <v>161</v>
      </c>
      <c r="J12" s="230"/>
      <c r="K12" s="245" t="s">
        <v>266</v>
      </c>
      <c r="L12" s="266">
        <f>C12/I12</f>
        <v>0.80481366459627324</v>
      </c>
      <c r="M12" s="267">
        <f>D12/I12</f>
        <v>1.0478546583850932</v>
      </c>
      <c r="N12" s="267">
        <f>D12/C12</f>
        <v>1.3019841790468842</v>
      </c>
      <c r="O12" s="239">
        <f>(F12*3.6+G12)*100/H12</f>
        <v>82.740202665764514</v>
      </c>
      <c r="P12" s="239">
        <f>(F12*3.6+G12)*100/H12</f>
        <v>82.740202665764514</v>
      </c>
      <c r="Q12" s="267">
        <f>F12/(C12*8760)*1000</f>
        <v>0.31561676510051739</v>
      </c>
      <c r="R12" s="267">
        <f>G12/(D12*8761)*1000/3.6</f>
        <v>0.32475799853289616</v>
      </c>
      <c r="S12" s="268">
        <f>G12/(F12*3.6)</f>
        <v>1.3398465832870625</v>
      </c>
      <c r="T12" s="269"/>
      <c r="Z12" s="214">
        <f t="shared" si="27"/>
        <v>0</v>
      </c>
      <c r="AA12" s="214">
        <f t="shared" si="28"/>
        <v>0</v>
      </c>
      <c r="AE12" s="577" t="s">
        <v>553</v>
      </c>
      <c r="AF12" s="577">
        <f t="shared" si="0"/>
        <v>120.48737797100002</v>
      </c>
      <c r="AG12" s="577">
        <f t="shared" si="1"/>
        <v>36.288940365905766</v>
      </c>
      <c r="AH12" s="577">
        <f t="shared" si="2"/>
        <v>31.919086304647998</v>
      </c>
      <c r="AI12" s="577">
        <v>0</v>
      </c>
      <c r="AJ12" s="577">
        <f t="shared" si="3"/>
        <v>127.901</v>
      </c>
      <c r="AK12" s="577">
        <f t="shared" si="4"/>
        <v>460.46600000000001</v>
      </c>
      <c r="AL12" s="577">
        <f t="shared" si="5"/>
        <v>43.199609862983998</v>
      </c>
      <c r="AM12" s="577">
        <f t="shared" si="6"/>
        <v>3.9350999999999998</v>
      </c>
      <c r="AN12" s="577">
        <f t="shared" si="7"/>
        <v>352.04694227650441</v>
      </c>
      <c r="AO12" s="577">
        <f t="shared" si="8"/>
        <v>253.99488331428572</v>
      </c>
      <c r="AP12" s="577">
        <f t="shared" si="9"/>
        <v>279.61753320000003</v>
      </c>
      <c r="AQ12" s="577">
        <f t="shared" si="10"/>
        <v>18.462799999999998</v>
      </c>
      <c r="AR12" s="577">
        <f t="shared" si="11"/>
        <v>14.512726153999997</v>
      </c>
      <c r="AS12" s="577">
        <f t="shared" si="12"/>
        <v>10.056192103999999</v>
      </c>
      <c r="AT12" s="577">
        <f t="shared" si="13"/>
        <v>269.31099999999998</v>
      </c>
      <c r="AU12" s="577">
        <f t="shared" si="14"/>
        <v>1.38</v>
      </c>
      <c r="AV12" s="577">
        <f t="shared" si="15"/>
        <v>3.5169999999999999</v>
      </c>
      <c r="AW12" s="577">
        <f t="shared" si="16"/>
        <v>0.98799999999999999</v>
      </c>
      <c r="AX12" s="577">
        <v>0</v>
      </c>
      <c r="AY12" s="577">
        <f t="shared" si="17"/>
        <v>170.50778830000002</v>
      </c>
      <c r="AZ12" s="577">
        <f t="shared" si="18"/>
        <v>253.024</v>
      </c>
      <c r="BA12" s="577">
        <f t="shared" si="19"/>
        <v>62.497414491141583</v>
      </c>
      <c r="BB12" s="577">
        <f t="shared" si="20"/>
        <v>21.431999999999999</v>
      </c>
      <c r="BC12" s="577">
        <f t="shared" si="21"/>
        <v>100.087</v>
      </c>
      <c r="BD12" s="577">
        <f t="shared" si="22"/>
        <v>10.960747</v>
      </c>
      <c r="BE12" s="577">
        <f t="shared" si="23"/>
        <v>64.483000000000004</v>
      </c>
      <c r="BF12" s="577">
        <f t="shared" si="24"/>
        <v>343.62979999999999</v>
      </c>
      <c r="BG12" s="577">
        <v>0</v>
      </c>
      <c r="BH12" s="577">
        <f t="shared" si="25"/>
        <v>0</v>
      </c>
      <c r="BI12" s="577">
        <f t="shared" si="26"/>
        <v>0</v>
      </c>
    </row>
    <row r="13" spans="1:61" ht="13.15" customHeight="1">
      <c r="A13" s="272" t="s">
        <v>267</v>
      </c>
      <c r="B13" s="262">
        <v>0</v>
      </c>
      <c r="C13" s="263">
        <v>0</v>
      </c>
      <c r="D13" s="262">
        <v>0</v>
      </c>
      <c r="E13" s="262">
        <v>0</v>
      </c>
      <c r="F13" s="263">
        <v>0</v>
      </c>
      <c r="G13" s="262">
        <v>0</v>
      </c>
      <c r="H13" s="262">
        <v>0</v>
      </c>
      <c r="I13" s="273">
        <v>0</v>
      </c>
      <c r="J13" s="230"/>
      <c r="K13" s="245" t="s">
        <v>267</v>
      </c>
      <c r="L13" s="266"/>
      <c r="M13" s="267"/>
      <c r="N13" s="267"/>
      <c r="O13" s="239"/>
      <c r="P13" s="272"/>
      <c r="Q13" s="272"/>
      <c r="R13" s="274"/>
      <c r="S13" s="275"/>
      <c r="T13" s="269"/>
      <c r="U13" s="214" t="s">
        <v>553</v>
      </c>
      <c r="V13" s="214">
        <f>H34/1000</f>
        <v>36.288940365905766</v>
      </c>
      <c r="Z13" s="214">
        <f t="shared" si="27"/>
        <v>0</v>
      </c>
      <c r="AA13" s="214">
        <f t="shared" si="28"/>
        <v>0</v>
      </c>
      <c r="AE13" s="577" t="s">
        <v>554</v>
      </c>
      <c r="AF13" s="577">
        <f>V714</f>
        <v>17.740182188000002</v>
      </c>
      <c r="AG13" s="577">
        <f t="shared" si="1"/>
        <v>0</v>
      </c>
      <c r="AH13" s="577">
        <f t="shared" si="2"/>
        <v>8.3709601810000009</v>
      </c>
      <c r="AI13" s="577">
        <v>0</v>
      </c>
      <c r="AJ13" s="577">
        <f t="shared" si="3"/>
        <v>26.097999999999999</v>
      </c>
      <c r="AK13" s="577">
        <f t="shared" si="4"/>
        <v>10.464</v>
      </c>
      <c r="AL13" s="577">
        <f t="shared" si="5"/>
        <v>0</v>
      </c>
      <c r="AM13" s="577">
        <f t="shared" si="6"/>
        <v>0</v>
      </c>
      <c r="AN13" s="577">
        <f t="shared" si="7"/>
        <v>2.9712758059512003</v>
      </c>
      <c r="AO13" s="577">
        <f t="shared" si="8"/>
        <v>1.784</v>
      </c>
      <c r="AP13" s="577">
        <f t="shared" si="9"/>
        <v>0.65367719999999996</v>
      </c>
      <c r="AQ13" s="577">
        <f t="shared" si="10"/>
        <v>0</v>
      </c>
      <c r="AR13" s="577">
        <f t="shared" si="11"/>
        <v>0</v>
      </c>
      <c r="AS13" s="577">
        <f t="shared" si="12"/>
        <v>0</v>
      </c>
      <c r="AT13" s="577">
        <f t="shared" si="13"/>
        <v>0.81299999999999994</v>
      </c>
      <c r="AU13" s="577">
        <f t="shared" si="14"/>
        <v>0</v>
      </c>
      <c r="AV13" s="577">
        <f t="shared" si="15"/>
        <v>0</v>
      </c>
      <c r="AW13" s="577">
        <f t="shared" si="16"/>
        <v>0</v>
      </c>
      <c r="AX13" s="577">
        <v>0</v>
      </c>
      <c r="AY13" s="577">
        <f t="shared" si="17"/>
        <v>3.9741352999999999</v>
      </c>
      <c r="AZ13" s="577">
        <f t="shared" si="18"/>
        <v>12.387</v>
      </c>
      <c r="BA13" s="577">
        <f t="shared" si="19"/>
        <v>0</v>
      </c>
      <c r="BB13" s="577">
        <f t="shared" si="20"/>
        <v>0</v>
      </c>
      <c r="BC13" s="577">
        <f t="shared" si="21"/>
        <v>0</v>
      </c>
      <c r="BD13" s="577">
        <f t="shared" si="22"/>
        <v>0</v>
      </c>
      <c r="BE13" s="577">
        <f t="shared" si="23"/>
        <v>23.943000000000001</v>
      </c>
      <c r="BF13" s="577">
        <f t="shared" si="24"/>
        <v>0</v>
      </c>
      <c r="BG13" s="577">
        <v>0</v>
      </c>
      <c r="BH13" s="577">
        <f t="shared" si="25"/>
        <v>0</v>
      </c>
      <c r="BI13" s="577">
        <f t="shared" si="26"/>
        <v>0</v>
      </c>
    </row>
    <row r="14" spans="1:61" ht="13.15" customHeight="1">
      <c r="A14" s="276" t="s">
        <v>500</v>
      </c>
      <c r="B14" s="277">
        <f>SUM(B8:B13)</f>
        <v>999.39200000000005</v>
      </c>
      <c r="C14" s="277">
        <f t="shared" ref="C14:I14" si="29">SUM(C8:C13)</f>
        <v>999.39200000000005</v>
      </c>
      <c r="D14" s="277">
        <f t="shared" si="29"/>
        <v>2963.5295999999998</v>
      </c>
      <c r="E14" s="277">
        <f t="shared" si="29"/>
        <v>5316.9803078799996</v>
      </c>
      <c r="F14" s="277">
        <f t="shared" si="29"/>
        <v>5316.9803078799996</v>
      </c>
      <c r="G14" s="277">
        <f t="shared" si="29"/>
        <v>38835.474911000005</v>
      </c>
      <c r="H14" s="277">
        <f t="shared" si="29"/>
        <v>70373.685074829104</v>
      </c>
      <c r="I14" s="278">
        <f t="shared" si="29"/>
        <v>217</v>
      </c>
      <c r="J14" s="244"/>
      <c r="K14" s="279" t="s">
        <v>169</v>
      </c>
      <c r="L14" s="280">
        <f>C14/I14</f>
        <v>4.6054930875576039</v>
      </c>
      <c r="M14" s="281">
        <f>D14/I14</f>
        <v>13.656818433179723</v>
      </c>
      <c r="N14" s="281">
        <f>D14/C14</f>
        <v>2.965332522173481</v>
      </c>
      <c r="O14" s="282">
        <f>(F14*3.6+G14)*100/H14</f>
        <v>82.383925124456482</v>
      </c>
      <c r="P14" s="282">
        <f>(F14*3.6+G14)*100/H14</f>
        <v>82.383925124456482</v>
      </c>
      <c r="Q14" s="283">
        <f>F14/(C14*8760)*1000</f>
        <v>0.60733047929214012</v>
      </c>
      <c r="R14" s="283">
        <f>G14/(D14*8761)*1000/3.6</f>
        <v>0.41549248196723504</v>
      </c>
      <c r="S14" s="284">
        <f>G14/(F14*3.6)</f>
        <v>2.0289019885468589</v>
      </c>
      <c r="U14" s="214" t="s">
        <v>554</v>
      </c>
      <c r="V14" s="214">
        <f>H40/1000</f>
        <v>0</v>
      </c>
      <c r="AE14" s="577" t="s">
        <v>555</v>
      </c>
      <c r="AF14" s="577">
        <f t="shared" si="0"/>
        <v>12.101435432000002</v>
      </c>
      <c r="AG14" s="577">
        <f t="shared" si="1"/>
        <v>1.6299676662597655</v>
      </c>
      <c r="AH14" s="577">
        <f t="shared" si="2"/>
        <v>15.975161313999999</v>
      </c>
      <c r="AI14" s="577">
        <v>0</v>
      </c>
      <c r="AJ14" s="577">
        <f t="shared" si="3"/>
        <v>47.165999999999997</v>
      </c>
      <c r="AK14" s="577">
        <f t="shared" si="4"/>
        <v>191.64599999999999</v>
      </c>
      <c r="AL14" s="577">
        <f t="shared" si="5"/>
        <v>3.9315168115999999</v>
      </c>
      <c r="AM14" s="577">
        <f t="shared" si="6"/>
        <v>0</v>
      </c>
      <c r="AN14" s="577">
        <f t="shared" si="7"/>
        <v>56.255357181016805</v>
      </c>
      <c r="AO14" s="577">
        <f t="shared" si="8"/>
        <v>10.094868</v>
      </c>
      <c r="AP14" s="577">
        <f t="shared" si="9"/>
        <v>49.450532400000014</v>
      </c>
      <c r="AQ14" s="577">
        <f t="shared" si="10"/>
        <v>3.5644</v>
      </c>
      <c r="AR14" s="577">
        <f t="shared" si="11"/>
        <v>4.0563390000000004</v>
      </c>
      <c r="AS14" s="577">
        <f t="shared" si="12"/>
        <v>1.008904169</v>
      </c>
      <c r="AT14" s="577">
        <f t="shared" si="13"/>
        <v>65.450999999999993</v>
      </c>
      <c r="AU14" s="577">
        <f t="shared" si="14"/>
        <v>0</v>
      </c>
      <c r="AV14" s="577">
        <f t="shared" si="15"/>
        <v>2.0409999999999999</v>
      </c>
      <c r="AW14" s="577">
        <f t="shared" si="16"/>
        <v>0</v>
      </c>
      <c r="AX14" s="577">
        <v>0</v>
      </c>
      <c r="AY14" s="577">
        <f t="shared" si="17"/>
        <v>52.571372099999998</v>
      </c>
      <c r="AZ14" s="577">
        <f t="shared" si="18"/>
        <v>54.923000000000002</v>
      </c>
      <c r="BA14" s="577">
        <f t="shared" si="19"/>
        <v>5.3403136537607994</v>
      </c>
      <c r="BB14" s="577">
        <f t="shared" si="20"/>
        <v>10.542</v>
      </c>
      <c r="BC14" s="577">
        <f t="shared" si="21"/>
        <v>1.38</v>
      </c>
      <c r="BD14" s="577">
        <f t="shared" si="22"/>
        <v>0.55330100000000004</v>
      </c>
      <c r="BE14" s="577">
        <f t="shared" si="23"/>
        <v>3.4870000000000001</v>
      </c>
      <c r="BF14" s="577">
        <f t="shared" si="24"/>
        <v>163.77860000000001</v>
      </c>
      <c r="BG14" s="577">
        <v>0</v>
      </c>
      <c r="BH14" s="577">
        <f t="shared" si="25"/>
        <v>0</v>
      </c>
      <c r="BI14" s="577">
        <f t="shared" si="26"/>
        <v>0</v>
      </c>
    </row>
    <row r="15" spans="1:61" ht="13.15" customHeight="1">
      <c r="A15" s="285" t="s">
        <v>501</v>
      </c>
      <c r="B15" s="228" t="s">
        <v>476</v>
      </c>
      <c r="C15" s="228"/>
      <c r="D15" s="286"/>
      <c r="E15" s="227" t="s">
        <v>477</v>
      </c>
      <c r="F15" s="228"/>
      <c r="G15" s="229"/>
      <c r="H15" s="200" t="s">
        <v>138</v>
      </c>
      <c r="I15" s="200" t="s">
        <v>478</v>
      </c>
      <c r="J15" s="244"/>
      <c r="K15" s="287" t="s">
        <v>501</v>
      </c>
      <c r="L15" s="288" t="s">
        <v>479</v>
      </c>
      <c r="M15" s="228"/>
      <c r="N15" s="286"/>
      <c r="O15" s="227" t="s">
        <v>480</v>
      </c>
      <c r="P15" s="228"/>
      <c r="Q15" s="228"/>
      <c r="R15" s="229"/>
      <c r="S15" s="289"/>
      <c r="T15" s="269"/>
      <c r="U15" s="214" t="s">
        <v>555</v>
      </c>
      <c r="V15" s="214">
        <f>H42/1000</f>
        <v>1.6299676662597655</v>
      </c>
      <c r="AE15" s="577" t="s">
        <v>556</v>
      </c>
      <c r="AF15" s="577">
        <f t="shared" si="0"/>
        <v>60.790318309</v>
      </c>
      <c r="AG15" s="577">
        <f t="shared" si="1"/>
        <v>9.4647950000000005</v>
      </c>
      <c r="AH15" s="577">
        <f t="shared" si="2"/>
        <v>6.6064917428800012</v>
      </c>
      <c r="AI15" s="577">
        <v>0</v>
      </c>
      <c r="AJ15" s="577">
        <f t="shared" si="3"/>
        <v>8.0690000000000008</v>
      </c>
      <c r="AK15" s="577">
        <f t="shared" si="4"/>
        <v>101.905</v>
      </c>
      <c r="AL15" s="577">
        <f t="shared" si="5"/>
        <v>2.32974302046</v>
      </c>
      <c r="AM15" s="577">
        <f t="shared" si="6"/>
        <v>2.2359</v>
      </c>
      <c r="AN15" s="577">
        <f t="shared" si="7"/>
        <v>85.049155509173985</v>
      </c>
      <c r="AO15" s="577">
        <f t="shared" si="8"/>
        <v>224.97169360000001</v>
      </c>
      <c r="AP15" s="577">
        <f t="shared" si="9"/>
        <v>81.776995199999988</v>
      </c>
      <c r="AQ15" s="577">
        <f t="shared" si="10"/>
        <v>0</v>
      </c>
      <c r="AR15" s="577">
        <f t="shared" si="11"/>
        <v>2.3229859999999998</v>
      </c>
      <c r="AS15" s="577">
        <f t="shared" si="12"/>
        <v>0</v>
      </c>
      <c r="AT15" s="577">
        <f t="shared" si="13"/>
        <v>65.222999999999999</v>
      </c>
      <c r="AU15" s="577">
        <f t="shared" si="14"/>
        <v>0</v>
      </c>
      <c r="AV15" s="577">
        <f t="shared" si="15"/>
        <v>0.03</v>
      </c>
      <c r="AW15" s="577">
        <f t="shared" si="16"/>
        <v>0</v>
      </c>
      <c r="AX15" s="577">
        <v>0</v>
      </c>
      <c r="AY15" s="577">
        <f t="shared" si="17"/>
        <v>16.430967750000001</v>
      </c>
      <c r="AZ15" s="577">
        <f t="shared" si="18"/>
        <v>33.106000000000002</v>
      </c>
      <c r="BA15" s="577">
        <f t="shared" si="19"/>
        <v>36.765591894820801</v>
      </c>
      <c r="BB15" s="577">
        <f t="shared" si="20"/>
        <v>6.4</v>
      </c>
      <c r="BC15" s="577">
        <f t="shared" si="21"/>
        <v>97.641000000000005</v>
      </c>
      <c r="BD15" s="577">
        <f t="shared" si="22"/>
        <v>8.5879220000000007</v>
      </c>
      <c r="BE15" s="577">
        <f t="shared" si="23"/>
        <v>13.319000000000001</v>
      </c>
      <c r="BF15" s="577">
        <f t="shared" si="24"/>
        <v>38.045699999999997</v>
      </c>
      <c r="BG15" s="577">
        <v>0</v>
      </c>
      <c r="BH15" s="577">
        <f t="shared" si="25"/>
        <v>0</v>
      </c>
      <c r="BI15" s="577">
        <f t="shared" si="26"/>
        <v>0</v>
      </c>
    </row>
    <row r="16" spans="1:61" ht="13.15" customHeight="1">
      <c r="A16" s="239"/>
      <c r="B16" s="240" t="s">
        <v>481</v>
      </c>
      <c r="C16" s="240"/>
      <c r="D16" s="241" t="s">
        <v>34</v>
      </c>
      <c r="E16" s="242" t="s">
        <v>482</v>
      </c>
      <c r="F16" s="243"/>
      <c r="G16" s="244" t="s">
        <v>34</v>
      </c>
      <c r="H16" s="241" t="s">
        <v>170</v>
      </c>
      <c r="I16" s="241" t="s">
        <v>483</v>
      </c>
      <c r="J16" s="244"/>
      <c r="K16" s="245"/>
      <c r="L16" s="246" t="s">
        <v>484</v>
      </c>
      <c r="M16" s="247"/>
      <c r="N16" s="248" t="s">
        <v>485</v>
      </c>
      <c r="O16" s="248" t="s">
        <v>486</v>
      </c>
      <c r="P16" s="248" t="s">
        <v>486</v>
      </c>
      <c r="Q16" s="247" t="s">
        <v>487</v>
      </c>
      <c r="R16" s="249"/>
      <c r="S16" s="250" t="s">
        <v>485</v>
      </c>
      <c r="T16" s="269"/>
      <c r="U16" s="214" t="s">
        <v>556</v>
      </c>
      <c r="V16" s="214">
        <f>H47/1000</f>
        <v>9.4647950000000005</v>
      </c>
      <c r="AE16" s="577" t="s">
        <v>557</v>
      </c>
      <c r="AF16" s="577">
        <f t="shared" si="0"/>
        <v>16.097514200999999</v>
      </c>
      <c r="AG16" s="577">
        <f t="shared" si="1"/>
        <v>9.8327840000000002</v>
      </c>
      <c r="AH16" s="577">
        <f t="shared" si="2"/>
        <v>0</v>
      </c>
      <c r="AI16" s="577">
        <v>0</v>
      </c>
      <c r="AJ16" s="577">
        <f t="shared" si="3"/>
        <v>1.2849999999999999</v>
      </c>
      <c r="AK16" s="577">
        <f t="shared" si="4"/>
        <v>56.134999999999998</v>
      </c>
      <c r="AL16" s="577">
        <f t="shared" si="5"/>
        <v>2.4552130000000001</v>
      </c>
      <c r="AM16" s="577">
        <f t="shared" si="6"/>
        <v>0.998</v>
      </c>
      <c r="AN16" s="577">
        <f t="shared" si="7"/>
        <v>44.528244006582007</v>
      </c>
      <c r="AO16" s="577">
        <f t="shared" si="8"/>
        <v>14.141628000000001</v>
      </c>
      <c r="AP16" s="577">
        <f t="shared" si="9"/>
        <v>68.585126400000021</v>
      </c>
      <c r="AQ16" s="577">
        <f t="shared" si="10"/>
        <v>8.5884</v>
      </c>
      <c r="AR16" s="577">
        <f t="shared" si="11"/>
        <v>0</v>
      </c>
      <c r="AS16" s="577">
        <f t="shared" si="12"/>
        <v>0.54604999999999992</v>
      </c>
      <c r="AT16" s="577">
        <f t="shared" si="13"/>
        <v>57.405999999999999</v>
      </c>
      <c r="AU16" s="577">
        <f t="shared" si="14"/>
        <v>0</v>
      </c>
      <c r="AV16" s="577">
        <f t="shared" si="15"/>
        <v>0</v>
      </c>
      <c r="AW16" s="577">
        <f t="shared" si="16"/>
        <v>0</v>
      </c>
      <c r="AX16" s="577">
        <v>0</v>
      </c>
      <c r="AY16" s="577">
        <f t="shared" si="17"/>
        <v>47.92601775</v>
      </c>
      <c r="AZ16" s="577">
        <f t="shared" si="18"/>
        <v>41.883000000000003</v>
      </c>
      <c r="BA16" s="577">
        <f t="shared" si="19"/>
        <v>16.0701121329408</v>
      </c>
      <c r="BB16" s="577">
        <f t="shared" si="20"/>
        <v>1.36</v>
      </c>
      <c r="BC16" s="577">
        <f t="shared" si="21"/>
        <v>1.7000000000000001E-2</v>
      </c>
      <c r="BD16" s="577">
        <f t="shared" si="22"/>
        <v>0.52120699999999998</v>
      </c>
      <c r="BE16" s="577">
        <f t="shared" si="23"/>
        <v>14.651999999999999</v>
      </c>
      <c r="BF16" s="577">
        <f t="shared" si="24"/>
        <v>68.081199999999995</v>
      </c>
      <c r="BG16" s="577">
        <v>0</v>
      </c>
      <c r="BH16" s="577">
        <f t="shared" si="25"/>
        <v>0</v>
      </c>
      <c r="BI16" s="577">
        <f t="shared" si="26"/>
        <v>0</v>
      </c>
    </row>
    <row r="17" spans="1:61" ht="13.15" customHeight="1">
      <c r="A17" s="251" t="s">
        <v>488</v>
      </c>
      <c r="B17" s="252" t="s">
        <v>0</v>
      </c>
      <c r="C17" s="252" t="s">
        <v>489</v>
      </c>
      <c r="D17" s="252" t="s">
        <v>490</v>
      </c>
      <c r="E17" s="252" t="s">
        <v>491</v>
      </c>
      <c r="F17" s="252" t="s">
        <v>489</v>
      </c>
      <c r="G17" s="230" t="s">
        <v>490</v>
      </c>
      <c r="H17" s="248"/>
      <c r="I17" s="241" t="s">
        <v>492</v>
      </c>
      <c r="J17" s="244"/>
      <c r="K17" s="253" t="s">
        <v>488</v>
      </c>
      <c r="L17" s="254" t="s">
        <v>88</v>
      </c>
      <c r="M17" s="252" t="s">
        <v>34</v>
      </c>
      <c r="N17" s="252" t="s">
        <v>493</v>
      </c>
      <c r="O17" s="248" t="s">
        <v>494</v>
      </c>
      <c r="P17" s="248" t="s">
        <v>495</v>
      </c>
      <c r="Q17" s="230" t="s">
        <v>88</v>
      </c>
      <c r="R17" s="248" t="s">
        <v>34</v>
      </c>
      <c r="S17" s="255" t="s">
        <v>88</v>
      </c>
      <c r="T17" s="269"/>
      <c r="U17" s="214" t="s">
        <v>557</v>
      </c>
      <c r="V17" s="214">
        <f>H38/1000</f>
        <v>9.8327840000000002</v>
      </c>
      <c r="AE17" s="577" t="s">
        <v>558</v>
      </c>
      <c r="AF17" s="578">
        <f t="shared" si="0"/>
        <v>13.757927840999999</v>
      </c>
      <c r="AG17" s="578">
        <f t="shared" si="1"/>
        <v>15.361351498229981</v>
      </c>
      <c r="AH17" s="578">
        <f t="shared" si="2"/>
        <v>0.96647306676799993</v>
      </c>
      <c r="AI17" s="578">
        <v>0</v>
      </c>
      <c r="AJ17" s="578">
        <f t="shared" si="3"/>
        <v>45.283000000000001</v>
      </c>
      <c r="AK17" s="577">
        <f t="shared" si="4"/>
        <v>100.316</v>
      </c>
      <c r="AL17" s="577">
        <f t="shared" si="5"/>
        <v>34.483137030923992</v>
      </c>
      <c r="AM17" s="577">
        <f t="shared" si="6"/>
        <v>0.70120000000000005</v>
      </c>
      <c r="AN17" s="577">
        <f t="shared" si="7"/>
        <v>163.24290977378035</v>
      </c>
      <c r="AO17" s="577">
        <f t="shared" si="8"/>
        <v>3.0026937142857149</v>
      </c>
      <c r="AP17" s="577">
        <f t="shared" si="9"/>
        <v>79.151201999999984</v>
      </c>
      <c r="AQ17" s="577">
        <f t="shared" si="10"/>
        <v>6.31</v>
      </c>
      <c r="AR17" s="577">
        <f t="shared" si="11"/>
        <v>8.1334011539999995</v>
      </c>
      <c r="AS17" s="577">
        <f t="shared" si="12"/>
        <v>8.5012379349999989</v>
      </c>
      <c r="AT17" s="577">
        <f t="shared" si="13"/>
        <v>80.418000000000006</v>
      </c>
      <c r="AU17" s="577">
        <f t="shared" si="14"/>
        <v>1.38</v>
      </c>
      <c r="AV17" s="577">
        <f t="shared" si="15"/>
        <v>1.446</v>
      </c>
      <c r="AW17" s="577">
        <f>V1559</f>
        <v>0.98799999999999999</v>
      </c>
      <c r="AX17" s="577">
        <v>0</v>
      </c>
      <c r="AY17" s="577">
        <f t="shared" si="17"/>
        <v>49.605295400000003</v>
      </c>
      <c r="AZ17" s="577">
        <f t="shared" si="18"/>
        <v>110.72499999999999</v>
      </c>
      <c r="BA17" s="577">
        <f t="shared" si="19"/>
        <v>4.3213968096192001</v>
      </c>
      <c r="BB17" s="577">
        <f t="shared" si="20"/>
        <v>3.13</v>
      </c>
      <c r="BC17" s="577">
        <f t="shared" si="21"/>
        <v>1.0489999999999999</v>
      </c>
      <c r="BD17" s="577">
        <f t="shared" si="22"/>
        <v>1.2983169999999997</v>
      </c>
      <c r="BE17" s="577">
        <f t="shared" si="23"/>
        <v>9.0820000000000007</v>
      </c>
      <c r="BF17" s="577">
        <f t="shared" si="24"/>
        <v>73.724299999999999</v>
      </c>
      <c r="BG17" s="577">
        <v>0</v>
      </c>
      <c r="BH17" s="577">
        <f t="shared" si="25"/>
        <v>0</v>
      </c>
      <c r="BI17" s="577">
        <f t="shared" si="26"/>
        <v>0</v>
      </c>
    </row>
    <row r="18" spans="1:61" ht="13.15" customHeight="1">
      <c r="A18" s="239"/>
      <c r="B18" s="252" t="s">
        <v>496</v>
      </c>
      <c r="C18" s="252" t="s">
        <v>496</v>
      </c>
      <c r="D18" s="252" t="s">
        <v>496</v>
      </c>
      <c r="E18" s="256" t="s">
        <v>473</v>
      </c>
      <c r="F18" s="256" t="s">
        <v>473</v>
      </c>
      <c r="G18" s="230" t="s">
        <v>451</v>
      </c>
      <c r="H18" s="257" t="s">
        <v>497</v>
      </c>
      <c r="I18" s="257" t="s">
        <v>498</v>
      </c>
      <c r="J18" s="244"/>
      <c r="K18" s="245"/>
      <c r="L18" s="258" t="s">
        <v>496</v>
      </c>
      <c r="M18" s="256" t="s">
        <v>496</v>
      </c>
      <c r="N18" s="256"/>
      <c r="O18" s="257" t="s">
        <v>79</v>
      </c>
      <c r="P18" s="257" t="s">
        <v>79</v>
      </c>
      <c r="Q18" s="259"/>
      <c r="R18" s="257"/>
      <c r="S18" s="260"/>
      <c r="T18" s="269"/>
      <c r="U18" s="214" t="s">
        <v>558</v>
      </c>
      <c r="V18" s="214">
        <f>(H35+H36+H37+H39+H41+H43+H44+H45+H46+H48+H49+H50+H51+H52)/1000</f>
        <v>15.361351498229981</v>
      </c>
      <c r="AE18" s="577"/>
      <c r="AF18" s="577"/>
      <c r="AG18" s="577"/>
      <c r="AH18" s="577"/>
      <c r="AI18" s="577"/>
      <c r="AJ18" s="577"/>
      <c r="AK18" s="577"/>
      <c r="AL18" s="577"/>
      <c r="AM18" s="577"/>
      <c r="AN18" s="577"/>
      <c r="AO18" s="577"/>
      <c r="AP18" s="577"/>
      <c r="AQ18" s="577"/>
      <c r="AR18" s="577"/>
      <c r="AS18" s="577"/>
      <c r="AT18" s="577"/>
      <c r="AU18" s="577"/>
      <c r="AV18" s="577"/>
      <c r="AW18" s="577"/>
      <c r="AX18" s="577"/>
      <c r="AY18" s="577"/>
      <c r="AZ18" s="577"/>
      <c r="BA18" s="577"/>
      <c r="BB18" s="577"/>
      <c r="BC18" s="577"/>
      <c r="BD18" s="577"/>
      <c r="BE18" s="577"/>
      <c r="BF18" s="577"/>
      <c r="BG18" s="577"/>
      <c r="BH18" s="577"/>
      <c r="BI18" s="577"/>
    </row>
    <row r="19" spans="1:61" ht="13.15" customHeight="1">
      <c r="A19" s="261" t="s">
        <v>262</v>
      </c>
      <c r="B19" s="262">
        <v>75</v>
      </c>
      <c r="C19" s="262">
        <v>75</v>
      </c>
      <c r="D19" s="262">
        <v>127</v>
      </c>
      <c r="E19" s="262">
        <v>176.40018543014926</v>
      </c>
      <c r="F19" s="262">
        <v>531.47450000000003</v>
      </c>
      <c r="G19" s="262">
        <v>821.44200000000001</v>
      </c>
      <c r="H19" s="262">
        <v>4082.3049999999998</v>
      </c>
      <c r="I19" s="264">
        <v>3</v>
      </c>
      <c r="J19" s="244"/>
      <c r="K19" s="265" t="s">
        <v>262</v>
      </c>
      <c r="L19" s="266">
        <f t="shared" ref="L19:L26" si="30">B19/I19</f>
        <v>25</v>
      </c>
      <c r="M19" s="267">
        <f t="shared" ref="M19:M26" si="31">D19/I19</f>
        <v>42.333333333333336</v>
      </c>
      <c r="N19" s="267">
        <f t="shared" ref="N19:N26" si="32">D19/B19</f>
        <v>1.6933333333333334</v>
      </c>
      <c r="O19" s="239">
        <f t="shared" ref="O19:O26" si="33">(F19*3.6+G19)*100/H19</f>
        <v>66.990344915433809</v>
      </c>
      <c r="P19" s="267">
        <f t="shared" ref="P19:P26" si="34">(E19*3.6+G19)*100/H19</f>
        <v>35.677948304904646</v>
      </c>
      <c r="Q19" s="267">
        <f>E19/(B19*8760)*1000</f>
        <v>0.26849343292260158</v>
      </c>
      <c r="R19" s="267">
        <f t="shared" ref="R19:R26" si="35">G19/(D19*8761)*1000/3.6</f>
        <v>0.20507702203244452</v>
      </c>
      <c r="S19" s="268">
        <f t="shared" ref="S19:S26" si="36">G19/(E19*3.6)</f>
        <v>1.2935266069983078</v>
      </c>
      <c r="T19" s="269"/>
      <c r="Z19" s="214">
        <f t="shared" ref="Z19:Z26" si="37">C19-B19</f>
        <v>0</v>
      </c>
      <c r="AA19" s="214">
        <f t="shared" ref="AA19:AA26" si="38">F19-E19</f>
        <v>355.0743145698508</v>
      </c>
      <c r="AE19" s="577" t="s">
        <v>152</v>
      </c>
      <c r="AF19" s="578">
        <f t="shared" si="0"/>
        <v>0</v>
      </c>
      <c r="AG19" s="578">
        <f t="shared" si="1"/>
        <v>0</v>
      </c>
      <c r="AH19" s="578">
        <f t="shared" si="2"/>
        <v>0</v>
      </c>
      <c r="AI19" s="578">
        <v>0</v>
      </c>
      <c r="AJ19" s="578">
        <f t="shared" si="3"/>
        <v>0.48399999999999999</v>
      </c>
      <c r="AK19" s="578">
        <f t="shared" si="4"/>
        <v>1.3440000000000001</v>
      </c>
      <c r="AL19" s="578">
        <f t="shared" ref="AL19:AL36" si="39">V90</f>
        <v>0</v>
      </c>
      <c r="AM19" s="578">
        <f t="shared" ref="AM19:AM36" si="40">V1421</f>
        <v>2.5000000000000001E-3</v>
      </c>
      <c r="AN19" s="578">
        <f t="shared" ref="AN19:AN36" si="41">V300</f>
        <v>3.1313868613138682E-3</v>
      </c>
      <c r="AO19" s="578">
        <f t="shared" ref="AO19:AO36" si="42">V860</f>
        <v>0</v>
      </c>
      <c r="AP19" s="578">
        <f t="shared" ref="AP19:AP36" si="43">V370</f>
        <v>0</v>
      </c>
      <c r="AQ19" s="578">
        <f t="shared" ref="AQ19:AQ36" si="44">V230</f>
        <v>0</v>
      </c>
      <c r="AR19" s="578">
        <f t="shared" ref="AR19:AR36" si="45">V1491</f>
        <v>0</v>
      </c>
      <c r="AS19" s="578">
        <f t="shared" ref="AS19:AS36" si="46">V440</f>
        <v>5.1999999999999998E-3</v>
      </c>
      <c r="AT19" s="578">
        <f t="shared" ref="AT19:AT36" si="47">V510</f>
        <v>0</v>
      </c>
      <c r="AU19" s="578">
        <f t="shared" ref="AU19:AU36" si="48">V1631</f>
        <v>0</v>
      </c>
      <c r="AV19" s="578">
        <f t="shared" ref="AV19:AV36" si="49">V580</f>
        <v>0</v>
      </c>
      <c r="AW19" s="578">
        <f t="shared" ref="AW19:AW36" si="50">V1561</f>
        <v>0</v>
      </c>
      <c r="AX19" s="578">
        <v>0</v>
      </c>
      <c r="AY19" s="578">
        <f t="shared" ref="AY19:AY36" si="51">V650</f>
        <v>0</v>
      </c>
      <c r="AZ19" s="578">
        <f t="shared" ref="AZ19:AZ36" si="52">V1701</f>
        <v>1.8499999999999999E-2</v>
      </c>
      <c r="BA19" s="578">
        <f t="shared" ref="BA19:BA36" si="53">V790</f>
        <v>0</v>
      </c>
      <c r="BB19" s="578">
        <f t="shared" ref="BB19:BB36" si="54">V1771</f>
        <v>0</v>
      </c>
      <c r="BC19" s="578">
        <f t="shared" ref="BC19:BC36" si="55">V930</f>
        <v>0</v>
      </c>
      <c r="BD19" s="578">
        <f t="shared" ref="BD19:BD36" si="56">V1911</f>
        <v>0</v>
      </c>
      <c r="BE19" s="578">
        <f t="shared" ref="BE19:BE36" si="57">V1841</f>
        <v>0</v>
      </c>
      <c r="BF19" s="578">
        <f t="shared" ref="BF19:BF36" si="58">V1000</f>
        <v>0</v>
      </c>
      <c r="BG19" s="578">
        <v>0</v>
      </c>
      <c r="BH19" s="578">
        <f t="shared" ref="BH19:BH36" si="59">V1210</f>
        <v>0</v>
      </c>
      <c r="BI19" s="578">
        <f t="shared" ref="BI19:BI36" si="60">V1140</f>
        <v>0</v>
      </c>
    </row>
    <row r="20" spans="1:61" ht="13.15" customHeight="1">
      <c r="A20" s="290" t="s">
        <v>263</v>
      </c>
      <c r="B20" s="262">
        <v>40.35</v>
      </c>
      <c r="C20" s="262">
        <v>40.35</v>
      </c>
      <c r="D20" s="262">
        <v>177.36</v>
      </c>
      <c r="E20" s="262">
        <v>83.553839174969326</v>
      </c>
      <c r="F20" s="262">
        <v>126.99973999999999</v>
      </c>
      <c r="G20" s="262">
        <v>1132.1790000000001</v>
      </c>
      <c r="H20" s="262">
        <v>4970.0919999999996</v>
      </c>
      <c r="I20" s="270">
        <v>11</v>
      </c>
      <c r="J20" s="244"/>
      <c r="K20" s="245" t="s">
        <v>263</v>
      </c>
      <c r="L20" s="266">
        <f t="shared" si="30"/>
        <v>3.6681818181818184</v>
      </c>
      <c r="M20" s="267">
        <f t="shared" si="31"/>
        <v>16.123636363636365</v>
      </c>
      <c r="N20" s="267">
        <f t="shared" si="32"/>
        <v>4.3955390334572488</v>
      </c>
      <c r="O20" s="239">
        <f t="shared" si="33"/>
        <v>31.978845944904041</v>
      </c>
      <c r="P20" s="267">
        <f t="shared" si="34"/>
        <v>28.831917417824254</v>
      </c>
      <c r="Q20" s="267">
        <f t="shared" ref="Q20:Q26" si="61">E20/(B20*8760)*1000</f>
        <v>0.23638437409812918</v>
      </c>
      <c r="R20" s="267">
        <f t="shared" si="35"/>
        <v>0.20239660994685529</v>
      </c>
      <c r="S20" s="268">
        <f t="shared" si="36"/>
        <v>3.7639702708105052</v>
      </c>
      <c r="T20" s="269"/>
      <c r="U20" s="239" t="s">
        <v>152</v>
      </c>
      <c r="V20" s="492">
        <f>B35/1000</f>
        <v>0</v>
      </c>
      <c r="Z20" s="214">
        <f t="shared" si="37"/>
        <v>0</v>
      </c>
      <c r="AA20" s="214">
        <f t="shared" si="38"/>
        <v>43.445900825030662</v>
      </c>
      <c r="AE20" s="577" t="s">
        <v>504</v>
      </c>
      <c r="AF20" s="578">
        <f t="shared" si="0"/>
        <v>7.7000000000000002E-3</v>
      </c>
      <c r="AG20" s="578">
        <f t="shared" si="1"/>
        <v>0</v>
      </c>
      <c r="AH20" s="578">
        <f t="shared" si="2"/>
        <v>0</v>
      </c>
      <c r="AI20" s="578">
        <v>0</v>
      </c>
      <c r="AJ20" s="578">
        <f t="shared" si="3"/>
        <v>0</v>
      </c>
      <c r="AK20" s="578">
        <f t="shared" si="4"/>
        <v>1.7000000000000001E-2</v>
      </c>
      <c r="AL20" s="578">
        <f t="shared" si="39"/>
        <v>0</v>
      </c>
      <c r="AM20" s="578">
        <f t="shared" si="40"/>
        <v>0</v>
      </c>
      <c r="AN20" s="578">
        <f t="shared" si="41"/>
        <v>0</v>
      </c>
      <c r="AO20" s="578">
        <f t="shared" si="42"/>
        <v>0</v>
      </c>
      <c r="AP20" s="578">
        <f t="shared" si="43"/>
        <v>0</v>
      </c>
      <c r="AQ20" s="578">
        <f t="shared" si="44"/>
        <v>0</v>
      </c>
      <c r="AR20" s="578">
        <f t="shared" si="45"/>
        <v>0</v>
      </c>
      <c r="AS20" s="578">
        <f t="shared" si="46"/>
        <v>0</v>
      </c>
      <c r="AT20" s="578">
        <f t="shared" si="47"/>
        <v>0.05</v>
      </c>
      <c r="AU20" s="578">
        <f t="shared" si="48"/>
        <v>0</v>
      </c>
      <c r="AV20" s="578">
        <f t="shared" si="49"/>
        <v>0</v>
      </c>
      <c r="AW20" s="578">
        <f t="shared" si="50"/>
        <v>0</v>
      </c>
      <c r="AX20" s="578">
        <v>0</v>
      </c>
      <c r="AY20" s="578">
        <f t="shared" si="51"/>
        <v>1.375E-2</v>
      </c>
      <c r="AZ20" s="578">
        <f t="shared" si="52"/>
        <v>0</v>
      </c>
      <c r="BA20" s="578">
        <f t="shared" si="53"/>
        <v>0</v>
      </c>
      <c r="BB20" s="578">
        <f t="shared" si="54"/>
        <v>0</v>
      </c>
      <c r="BC20" s="578">
        <f t="shared" si="55"/>
        <v>0</v>
      </c>
      <c r="BD20" s="578">
        <f t="shared" si="56"/>
        <v>0</v>
      </c>
      <c r="BE20" s="578">
        <f t="shared" si="57"/>
        <v>0</v>
      </c>
      <c r="BF20" s="578">
        <f t="shared" si="58"/>
        <v>0</v>
      </c>
      <c r="BG20" s="578">
        <v>0</v>
      </c>
      <c r="BH20" s="578">
        <f t="shared" si="59"/>
        <v>0</v>
      </c>
      <c r="BI20" s="578">
        <f t="shared" si="60"/>
        <v>0</v>
      </c>
    </row>
    <row r="21" spans="1:61" ht="13.15" customHeight="1">
      <c r="A21" s="290" t="s">
        <v>264</v>
      </c>
      <c r="B21" s="262">
        <v>225.9</v>
      </c>
      <c r="C21" s="262">
        <v>255.6</v>
      </c>
      <c r="D21" s="262">
        <v>780</v>
      </c>
      <c r="E21" s="262">
        <v>315.92685697919131</v>
      </c>
      <c r="F21" s="262">
        <v>680.28283999999996</v>
      </c>
      <c r="G21" s="262">
        <v>5097.4840000000004</v>
      </c>
      <c r="H21" s="262">
        <v>13973.217875</v>
      </c>
      <c r="I21" s="270">
        <v>10</v>
      </c>
      <c r="J21" s="244"/>
      <c r="K21" s="245" t="s">
        <v>499</v>
      </c>
      <c r="L21" s="266">
        <f t="shared" si="30"/>
        <v>22.59</v>
      </c>
      <c r="M21" s="267">
        <f t="shared" si="31"/>
        <v>78</v>
      </c>
      <c r="N21" s="267">
        <f t="shared" si="32"/>
        <v>3.452855245683931</v>
      </c>
      <c r="O21" s="239">
        <f t="shared" si="33"/>
        <v>54.006903001932898</v>
      </c>
      <c r="P21" s="267">
        <f t="shared" si="34"/>
        <v>44.619791524757062</v>
      </c>
      <c r="Q21" s="267">
        <f t="shared" si="61"/>
        <v>0.15964900265967652</v>
      </c>
      <c r="R21" s="267">
        <f>G21/(D21*8761)*1000/3.6</f>
        <v>0.20720731706920498</v>
      </c>
      <c r="S21" s="268">
        <f t="shared" si="36"/>
        <v>4.4819481044343163</v>
      </c>
      <c r="T21" s="269"/>
      <c r="U21" s="239" t="s">
        <v>504</v>
      </c>
      <c r="V21" s="492">
        <f t="shared" ref="V21:V37" si="62">B36/1000</f>
        <v>0</v>
      </c>
      <c r="Z21" s="214">
        <f t="shared" si="37"/>
        <v>29.699999999999989</v>
      </c>
      <c r="AA21" s="214">
        <f t="shared" si="38"/>
        <v>364.35598302080865</v>
      </c>
      <c r="AE21" s="577" t="s">
        <v>505</v>
      </c>
      <c r="AF21" s="578">
        <f t="shared" si="0"/>
        <v>0</v>
      </c>
      <c r="AG21" s="578">
        <f t="shared" si="1"/>
        <v>0</v>
      </c>
      <c r="AH21" s="578">
        <f t="shared" si="2"/>
        <v>0</v>
      </c>
      <c r="AI21" s="578">
        <v>0</v>
      </c>
      <c r="AJ21" s="578">
        <f t="shared" si="3"/>
        <v>0</v>
      </c>
      <c r="AK21" s="578">
        <f t="shared" si="4"/>
        <v>0</v>
      </c>
      <c r="AL21" s="578">
        <f t="shared" si="39"/>
        <v>0</v>
      </c>
      <c r="AM21" s="578">
        <f t="shared" si="40"/>
        <v>0</v>
      </c>
      <c r="AN21" s="578">
        <f t="shared" si="41"/>
        <v>6.4764549415191964E-3</v>
      </c>
      <c r="AO21" s="578">
        <f t="shared" si="42"/>
        <v>0</v>
      </c>
      <c r="AP21" s="578">
        <f t="shared" si="43"/>
        <v>0</v>
      </c>
      <c r="AQ21" s="578">
        <f t="shared" si="44"/>
        <v>0</v>
      </c>
      <c r="AR21" s="578">
        <f t="shared" si="45"/>
        <v>0</v>
      </c>
      <c r="AS21" s="578">
        <f t="shared" si="46"/>
        <v>0</v>
      </c>
      <c r="AT21" s="578">
        <f t="shared" si="47"/>
        <v>1.2E-2</v>
      </c>
      <c r="AU21" s="578">
        <f t="shared" si="48"/>
        <v>0</v>
      </c>
      <c r="AV21" s="578">
        <f t="shared" si="49"/>
        <v>0</v>
      </c>
      <c r="AW21" s="578">
        <f t="shared" si="50"/>
        <v>0</v>
      </c>
      <c r="AX21" s="578">
        <v>0</v>
      </c>
      <c r="AY21" s="578">
        <f t="shared" si="51"/>
        <v>0</v>
      </c>
      <c r="AZ21" s="578">
        <f t="shared" si="52"/>
        <v>7.5999999999999998E-2</v>
      </c>
      <c r="BA21" s="578">
        <f t="shared" si="53"/>
        <v>0</v>
      </c>
      <c r="BB21" s="578">
        <f t="shared" si="54"/>
        <v>0</v>
      </c>
      <c r="BC21" s="578">
        <f t="shared" si="55"/>
        <v>0</v>
      </c>
      <c r="BD21" s="578">
        <f t="shared" si="56"/>
        <v>0</v>
      </c>
      <c r="BE21" s="578">
        <f t="shared" si="57"/>
        <v>0</v>
      </c>
      <c r="BF21" s="578">
        <f t="shared" si="58"/>
        <v>0</v>
      </c>
      <c r="BG21" s="578">
        <v>0</v>
      </c>
      <c r="BH21" s="578">
        <f t="shared" si="59"/>
        <v>0</v>
      </c>
      <c r="BI21" s="578">
        <f t="shared" si="60"/>
        <v>0</v>
      </c>
    </row>
    <row r="22" spans="1:61" ht="13.15" customHeight="1">
      <c r="A22" s="239" t="s">
        <v>265</v>
      </c>
      <c r="B22" s="262">
        <v>63.386000000000003</v>
      </c>
      <c r="C22" s="262">
        <v>86.73</v>
      </c>
      <c r="D22" s="262">
        <v>131.18700000000001</v>
      </c>
      <c r="E22" s="262">
        <v>208.56897646437088</v>
      </c>
      <c r="F22" s="262">
        <v>623.71199999999999</v>
      </c>
      <c r="G22" s="262">
        <v>1652.7</v>
      </c>
      <c r="H22" s="262">
        <v>6181.6755000000003</v>
      </c>
      <c r="I22" s="270">
        <v>3</v>
      </c>
      <c r="J22" s="244"/>
      <c r="K22" s="245" t="s">
        <v>265</v>
      </c>
      <c r="L22" s="266">
        <f t="shared" si="30"/>
        <v>21.128666666666668</v>
      </c>
      <c r="M22" s="267">
        <f t="shared" si="31"/>
        <v>43.729000000000006</v>
      </c>
      <c r="N22" s="267">
        <f t="shared" si="32"/>
        <v>2.0696526046761115</v>
      </c>
      <c r="O22" s="239">
        <f t="shared" si="33"/>
        <v>63.058360148474314</v>
      </c>
      <c r="P22" s="267">
        <f t="shared" si="34"/>
        <v>38.881826056248585</v>
      </c>
      <c r="Q22" s="267">
        <f t="shared" si="61"/>
        <v>0.37562306958361169</v>
      </c>
      <c r="R22" s="267">
        <f t="shared" si="35"/>
        <v>0.39943585405617205</v>
      </c>
      <c r="S22" s="268">
        <f t="shared" si="36"/>
        <v>2.2011103526307854</v>
      </c>
      <c r="T22" s="269"/>
      <c r="U22" s="239" t="s">
        <v>505</v>
      </c>
      <c r="V22" s="492">
        <f t="shared" si="62"/>
        <v>0</v>
      </c>
      <c r="Z22" s="214">
        <f t="shared" si="37"/>
        <v>23.344000000000001</v>
      </c>
      <c r="AA22" s="214">
        <f t="shared" si="38"/>
        <v>415.14302353562914</v>
      </c>
      <c r="AE22" s="577" t="s">
        <v>506</v>
      </c>
      <c r="AF22" s="578">
        <f t="shared" si="0"/>
        <v>0.12</v>
      </c>
      <c r="AG22" s="578">
        <f t="shared" si="1"/>
        <v>0.154</v>
      </c>
      <c r="AH22" s="578">
        <f t="shared" si="2"/>
        <v>0</v>
      </c>
      <c r="AI22" s="578">
        <v>0</v>
      </c>
      <c r="AJ22" s="578">
        <f t="shared" si="3"/>
        <v>2E-3</v>
      </c>
      <c r="AK22" s="578">
        <f t="shared" si="4"/>
        <v>0.73299999999999998</v>
      </c>
      <c r="AL22" s="578">
        <f t="shared" si="39"/>
        <v>2.5999999999999999E-2</v>
      </c>
      <c r="AM22" s="578">
        <f t="shared" si="40"/>
        <v>0.01</v>
      </c>
      <c r="AN22" s="578">
        <f t="shared" si="41"/>
        <v>0.49630430118595587</v>
      </c>
      <c r="AO22" s="578">
        <f t="shared" si="42"/>
        <v>0.1176</v>
      </c>
      <c r="AP22" s="578">
        <f t="shared" si="43"/>
        <v>0.46553680000000003</v>
      </c>
      <c r="AQ22" s="578">
        <f t="shared" si="44"/>
        <v>0.11559999999999999</v>
      </c>
      <c r="AR22" s="578">
        <f t="shared" si="45"/>
        <v>0</v>
      </c>
      <c r="AS22" s="578">
        <f t="shared" si="46"/>
        <v>6.2199999999999998E-3</v>
      </c>
      <c r="AT22" s="578">
        <f t="shared" si="47"/>
        <v>0.38100000000000001</v>
      </c>
      <c r="AU22" s="578">
        <f t="shared" si="48"/>
        <v>0</v>
      </c>
      <c r="AV22" s="578">
        <f t="shared" si="49"/>
        <v>0</v>
      </c>
      <c r="AW22" s="578">
        <f t="shared" si="50"/>
        <v>0</v>
      </c>
      <c r="AX22" s="578">
        <v>0</v>
      </c>
      <c r="AY22" s="578">
        <f t="shared" si="51"/>
        <v>0.37633999999999995</v>
      </c>
      <c r="AZ22" s="578">
        <f t="shared" si="52"/>
        <v>0.311</v>
      </c>
      <c r="BA22" s="578">
        <f t="shared" si="53"/>
        <v>0.1140065</v>
      </c>
      <c r="BB22" s="578">
        <f t="shared" si="54"/>
        <v>7.0000000000000001E-3</v>
      </c>
      <c r="BC22" s="578">
        <f t="shared" si="55"/>
        <v>1.4E-2</v>
      </c>
      <c r="BD22" s="578">
        <f t="shared" si="56"/>
        <v>7.0000000000000001E-3</v>
      </c>
      <c r="BE22" s="578">
        <f t="shared" si="57"/>
        <v>0.114</v>
      </c>
      <c r="BF22" s="578">
        <f t="shared" si="58"/>
        <v>0.92320000000000002</v>
      </c>
      <c r="BG22" s="578">
        <v>0</v>
      </c>
      <c r="BH22" s="578">
        <f t="shared" si="59"/>
        <v>0</v>
      </c>
      <c r="BI22" s="578">
        <f t="shared" si="60"/>
        <v>0</v>
      </c>
    </row>
    <row r="23" spans="1:61" ht="13.15" customHeight="1">
      <c r="A23" s="239" t="s">
        <v>266</v>
      </c>
      <c r="B23" s="262">
        <v>39.784200164794925</v>
      </c>
      <c r="C23" s="262">
        <v>55.948</v>
      </c>
      <c r="D23" s="262">
        <v>63.628</v>
      </c>
      <c r="E23" s="262">
        <v>68.760498312128334</v>
      </c>
      <c r="F23" s="262">
        <v>123.76598639999999</v>
      </c>
      <c r="G23" s="262">
        <v>414.39229999999998</v>
      </c>
      <c r="H23" s="262">
        <v>1521.4626600952149</v>
      </c>
      <c r="I23" s="271">
        <v>66</v>
      </c>
      <c r="J23" s="244"/>
      <c r="K23" s="245" t="s">
        <v>266</v>
      </c>
      <c r="L23" s="266">
        <f t="shared" si="30"/>
        <v>0.60279091158780185</v>
      </c>
      <c r="M23" s="267">
        <f t="shared" si="31"/>
        <v>0.96406060606060606</v>
      </c>
      <c r="N23" s="267">
        <f t="shared" si="32"/>
        <v>1.5993283699669416</v>
      </c>
      <c r="O23" s="239">
        <f t="shared" si="33"/>
        <v>56.521259022300505</v>
      </c>
      <c r="P23" s="267">
        <f t="shared" si="34"/>
        <v>43.506167537640231</v>
      </c>
      <c r="Q23" s="267">
        <f t="shared" si="61"/>
        <v>0.19729872464258372</v>
      </c>
      <c r="R23" s="267">
        <f t="shared" si="35"/>
        <v>0.20649389844677207</v>
      </c>
      <c r="S23" s="268">
        <f t="shared" si="36"/>
        <v>1.6740566902191676</v>
      </c>
      <c r="T23" s="269"/>
      <c r="U23" s="239" t="s">
        <v>506</v>
      </c>
      <c r="V23" s="492">
        <f t="shared" si="62"/>
        <v>0.154</v>
      </c>
      <c r="Z23" s="214">
        <f t="shared" si="37"/>
        <v>16.163799835205076</v>
      </c>
      <c r="AA23" s="214">
        <f t="shared" si="38"/>
        <v>55.005488087871655</v>
      </c>
      <c r="AE23" s="577" t="s">
        <v>507</v>
      </c>
      <c r="AF23" s="578">
        <f t="shared" si="0"/>
        <v>0</v>
      </c>
      <c r="AG23" s="578">
        <f>V24</f>
        <v>0</v>
      </c>
      <c r="AH23" s="578">
        <f t="shared" si="2"/>
        <v>0</v>
      </c>
      <c r="AI23" s="578">
        <v>0</v>
      </c>
      <c r="AJ23" s="578">
        <f t="shared" si="3"/>
        <v>0</v>
      </c>
      <c r="AK23" s="578">
        <f t="shared" si="4"/>
        <v>0</v>
      </c>
      <c r="AL23" s="578">
        <f t="shared" si="39"/>
        <v>0</v>
      </c>
      <c r="AM23" s="578">
        <f t="shared" si="40"/>
        <v>0</v>
      </c>
      <c r="AN23" s="578">
        <f t="shared" si="41"/>
        <v>0</v>
      </c>
      <c r="AO23" s="578">
        <f t="shared" si="42"/>
        <v>0</v>
      </c>
      <c r="AP23" s="578">
        <f t="shared" si="43"/>
        <v>0</v>
      </c>
      <c r="AQ23" s="578">
        <f t="shared" si="44"/>
        <v>0</v>
      </c>
      <c r="AR23" s="578">
        <f t="shared" si="45"/>
        <v>0</v>
      </c>
      <c r="AS23" s="578">
        <f t="shared" si="46"/>
        <v>0</v>
      </c>
      <c r="AT23" s="578">
        <f t="shared" si="47"/>
        <v>0</v>
      </c>
      <c r="AU23" s="578">
        <f t="shared" si="48"/>
        <v>0</v>
      </c>
      <c r="AV23" s="578">
        <f t="shared" si="49"/>
        <v>0</v>
      </c>
      <c r="AW23" s="578">
        <f t="shared" si="50"/>
        <v>0</v>
      </c>
      <c r="AX23" s="578">
        <v>0</v>
      </c>
      <c r="AY23" s="578">
        <f t="shared" si="51"/>
        <v>0</v>
      </c>
      <c r="AZ23" s="578">
        <f t="shared" si="52"/>
        <v>0</v>
      </c>
      <c r="BA23" s="578">
        <f t="shared" si="53"/>
        <v>0</v>
      </c>
      <c r="BB23" s="578">
        <f t="shared" si="54"/>
        <v>0</v>
      </c>
      <c r="BC23" s="578">
        <f t="shared" si="55"/>
        <v>0</v>
      </c>
      <c r="BD23" s="578">
        <f t="shared" si="56"/>
        <v>0</v>
      </c>
      <c r="BE23" s="578">
        <f t="shared" si="57"/>
        <v>0</v>
      </c>
      <c r="BF23" s="578">
        <f t="shared" si="58"/>
        <v>0</v>
      </c>
      <c r="BG23" s="578">
        <v>0</v>
      </c>
      <c r="BH23" s="578">
        <f t="shared" si="59"/>
        <v>0</v>
      </c>
      <c r="BI23" s="578">
        <f t="shared" si="60"/>
        <v>0</v>
      </c>
    </row>
    <row r="24" spans="1:61" ht="13.15" customHeight="1">
      <c r="A24" s="272" t="s">
        <v>267</v>
      </c>
      <c r="B24" s="262">
        <v>0</v>
      </c>
      <c r="C24" s="262">
        <v>0</v>
      </c>
      <c r="D24" s="262">
        <v>0</v>
      </c>
      <c r="E24" s="262">
        <v>0</v>
      </c>
      <c r="F24" s="262">
        <v>0</v>
      </c>
      <c r="G24" s="262">
        <v>0</v>
      </c>
      <c r="H24" s="262">
        <v>0</v>
      </c>
      <c r="I24" s="273">
        <v>0</v>
      </c>
      <c r="J24" s="244"/>
      <c r="K24" s="245" t="s">
        <v>267</v>
      </c>
      <c r="L24" s="266"/>
      <c r="M24" s="267"/>
      <c r="N24" s="267"/>
      <c r="O24" s="239"/>
      <c r="P24" s="267"/>
      <c r="Q24" s="272"/>
      <c r="R24" s="274"/>
      <c r="S24" s="275"/>
      <c r="T24" s="269"/>
      <c r="U24" s="239" t="s">
        <v>507</v>
      </c>
      <c r="V24" s="492">
        <f t="shared" si="62"/>
        <v>0</v>
      </c>
      <c r="Z24" s="214">
        <f t="shared" si="37"/>
        <v>0</v>
      </c>
      <c r="AA24" s="214">
        <f t="shared" si="38"/>
        <v>0</v>
      </c>
      <c r="AE24" s="577" t="s">
        <v>156</v>
      </c>
      <c r="AF24" s="578">
        <f t="shared" si="0"/>
        <v>0.21274999999999999</v>
      </c>
      <c r="AG24" s="578">
        <f t="shared" si="1"/>
        <v>0</v>
      </c>
      <c r="AH24" s="578">
        <f t="shared" si="2"/>
        <v>8.4000000000000005E-2</v>
      </c>
      <c r="AI24" s="578">
        <v>0</v>
      </c>
      <c r="AJ24" s="578">
        <f t="shared" si="3"/>
        <v>0.221</v>
      </c>
      <c r="AK24" s="578">
        <f t="shared" si="4"/>
        <v>0.61899999999999999</v>
      </c>
      <c r="AL24" s="578">
        <f t="shared" si="39"/>
        <v>0</v>
      </c>
      <c r="AM24" s="578">
        <f t="shared" si="40"/>
        <v>0</v>
      </c>
      <c r="AN24" s="578">
        <f t="shared" si="41"/>
        <v>4.9405843305413637E-2</v>
      </c>
      <c r="AO24" s="578">
        <f t="shared" si="42"/>
        <v>1.2500000000000001E-2</v>
      </c>
      <c r="AP24" s="578">
        <f t="shared" si="43"/>
        <v>2.1239999999999998E-2</v>
      </c>
      <c r="AQ24" s="578">
        <f t="shared" si="44"/>
        <v>0</v>
      </c>
      <c r="AR24" s="578">
        <f t="shared" si="45"/>
        <v>0</v>
      </c>
      <c r="AS24" s="578">
        <f t="shared" si="46"/>
        <v>0</v>
      </c>
      <c r="AT24" s="578">
        <f t="shared" si="47"/>
        <v>7.0000000000000001E-3</v>
      </c>
      <c r="AU24" s="578">
        <f t="shared" si="48"/>
        <v>0</v>
      </c>
      <c r="AV24" s="578">
        <f t="shared" si="49"/>
        <v>0</v>
      </c>
      <c r="AW24" s="578">
        <f t="shared" si="50"/>
        <v>0</v>
      </c>
      <c r="AX24" s="578">
        <v>0</v>
      </c>
      <c r="AY24" s="578">
        <f t="shared" si="51"/>
        <v>4.8309666666666674E-2</v>
      </c>
      <c r="AZ24" s="578">
        <f t="shared" si="52"/>
        <v>9.9000000000000005E-2</v>
      </c>
      <c r="BA24" s="578">
        <f t="shared" si="53"/>
        <v>0</v>
      </c>
      <c r="BB24" s="578">
        <f t="shared" si="54"/>
        <v>0</v>
      </c>
      <c r="BC24" s="578">
        <f t="shared" si="55"/>
        <v>0</v>
      </c>
      <c r="BD24" s="578">
        <f t="shared" si="56"/>
        <v>0</v>
      </c>
      <c r="BE24" s="578">
        <f t="shared" si="57"/>
        <v>0.13500000000000001</v>
      </c>
      <c r="BF24" s="578">
        <f t="shared" si="58"/>
        <v>0</v>
      </c>
      <c r="BG24" s="578">
        <v>0</v>
      </c>
      <c r="BH24" s="578">
        <f t="shared" si="59"/>
        <v>0</v>
      </c>
      <c r="BI24" s="578">
        <f t="shared" si="60"/>
        <v>0</v>
      </c>
    </row>
    <row r="25" spans="1:61" ht="13.15" customHeight="1">
      <c r="A25" s="276" t="s">
        <v>500</v>
      </c>
      <c r="B25" s="291">
        <f t="shared" ref="B25:I25" si="63">SUM(B19:B24)</f>
        <v>444.42020016479495</v>
      </c>
      <c r="C25" s="291">
        <f t="shared" si="63"/>
        <v>513.62800000000004</v>
      </c>
      <c r="D25" s="291">
        <f t="shared" si="63"/>
        <v>1279.175</v>
      </c>
      <c r="E25" s="291">
        <f t="shared" si="63"/>
        <v>853.2103563608091</v>
      </c>
      <c r="F25" s="291">
        <f t="shared" si="63"/>
        <v>2086.2350664000001</v>
      </c>
      <c r="G25" s="292">
        <f t="shared" si="63"/>
        <v>9118.1972999999998</v>
      </c>
      <c r="H25" s="291">
        <f t="shared" si="63"/>
        <v>30728.753035095215</v>
      </c>
      <c r="I25" s="293">
        <f t="shared" si="63"/>
        <v>93</v>
      </c>
      <c r="J25" s="244"/>
      <c r="K25" s="279" t="s">
        <v>169</v>
      </c>
      <c r="L25" s="280">
        <f t="shared" si="30"/>
        <v>4.7787118297289783</v>
      </c>
      <c r="M25" s="281">
        <f t="shared" si="31"/>
        <v>13.754569892473118</v>
      </c>
      <c r="N25" s="281">
        <f t="shared" si="32"/>
        <v>2.8783007602392296</v>
      </c>
      <c r="O25" s="294">
        <f t="shared" si="33"/>
        <v>54.114280263987531</v>
      </c>
      <c r="P25" s="295">
        <f t="shared" si="34"/>
        <v>39.668887862052294</v>
      </c>
      <c r="Q25" s="283">
        <f t="shared" si="61"/>
        <v>0.21915845065284043</v>
      </c>
      <c r="R25" s="283">
        <f t="shared" si="35"/>
        <v>0.22600749468111311</v>
      </c>
      <c r="S25" s="284">
        <f t="shared" si="36"/>
        <v>2.9685909980471901</v>
      </c>
      <c r="U25" s="239" t="s">
        <v>156</v>
      </c>
      <c r="V25" s="492">
        <f t="shared" si="62"/>
        <v>0</v>
      </c>
      <c r="Z25" s="214">
        <f t="shared" si="37"/>
        <v>69.207799835205094</v>
      </c>
      <c r="AA25" s="214">
        <f t="shared" si="38"/>
        <v>1233.0247100391909</v>
      </c>
      <c r="AE25" s="577" t="s">
        <v>508</v>
      </c>
      <c r="AF25" s="578">
        <f>V726</f>
        <v>0</v>
      </c>
      <c r="AG25" s="578">
        <f t="shared" si="1"/>
        <v>5.4200000000000005E-2</v>
      </c>
      <c r="AH25" s="578">
        <f t="shared" si="2"/>
        <v>0</v>
      </c>
      <c r="AI25" s="578">
        <v>0</v>
      </c>
      <c r="AJ25" s="578">
        <f t="shared" si="3"/>
        <v>0</v>
      </c>
      <c r="AK25" s="578">
        <f t="shared" si="4"/>
        <v>8.0000000000000002E-3</v>
      </c>
      <c r="AL25" s="578">
        <f t="shared" si="39"/>
        <v>0</v>
      </c>
      <c r="AM25" s="578">
        <f t="shared" si="40"/>
        <v>0</v>
      </c>
      <c r="AN25" s="578">
        <f t="shared" si="41"/>
        <v>1.713971515207293E-2</v>
      </c>
      <c r="AO25" s="578">
        <f t="shared" si="42"/>
        <v>0</v>
      </c>
      <c r="AP25" s="578">
        <f t="shared" si="43"/>
        <v>1.0800000000000001E-2</v>
      </c>
      <c r="AQ25" s="578">
        <f t="shared" si="44"/>
        <v>1.427E-2</v>
      </c>
      <c r="AR25" s="578">
        <f t="shared" si="45"/>
        <v>0</v>
      </c>
      <c r="AS25" s="578">
        <f t="shared" si="46"/>
        <v>0</v>
      </c>
      <c r="AT25" s="578">
        <f t="shared" si="47"/>
        <v>2E-3</v>
      </c>
      <c r="AU25" s="578">
        <f t="shared" si="48"/>
        <v>0</v>
      </c>
      <c r="AV25" s="578">
        <f t="shared" si="49"/>
        <v>0</v>
      </c>
      <c r="AW25" s="578">
        <f t="shared" si="50"/>
        <v>0</v>
      </c>
      <c r="AX25" s="578">
        <v>0</v>
      </c>
      <c r="AY25" s="578">
        <f t="shared" si="51"/>
        <v>0</v>
      </c>
      <c r="AZ25" s="578">
        <f t="shared" si="52"/>
        <v>5.9400000000000001E-2</v>
      </c>
      <c r="BA25" s="578">
        <f t="shared" si="53"/>
        <v>0</v>
      </c>
      <c r="BB25" s="578">
        <f t="shared" si="54"/>
        <v>0</v>
      </c>
      <c r="BC25" s="578">
        <f t="shared" si="55"/>
        <v>0</v>
      </c>
      <c r="BD25" s="578">
        <f t="shared" si="56"/>
        <v>0</v>
      </c>
      <c r="BE25" s="578">
        <f t="shared" si="57"/>
        <v>2.5000000000000001E-2</v>
      </c>
      <c r="BF25" s="578">
        <f t="shared" si="58"/>
        <v>0</v>
      </c>
      <c r="BG25" s="578">
        <v>0</v>
      </c>
      <c r="BH25" s="578">
        <f t="shared" si="59"/>
        <v>0</v>
      </c>
      <c r="BI25" s="578">
        <f t="shared" si="60"/>
        <v>0</v>
      </c>
    </row>
    <row r="26" spans="1:61" ht="13.15" customHeight="1" thickBot="1">
      <c r="A26" s="296" t="s">
        <v>502</v>
      </c>
      <c r="B26" s="500">
        <f t="shared" ref="B26:I26" si="64">B14+B25</f>
        <v>1443.8122001647951</v>
      </c>
      <c r="C26" s="500">
        <f>B14+C25</f>
        <v>1513.02</v>
      </c>
      <c r="D26" s="500">
        <f t="shared" si="64"/>
        <v>4242.7046</v>
      </c>
      <c r="E26" s="500">
        <f t="shared" si="64"/>
        <v>6170.1906642408085</v>
      </c>
      <c r="F26" s="500">
        <f>E14+F25</f>
        <v>7403.2153742800001</v>
      </c>
      <c r="G26" s="500">
        <f t="shared" si="64"/>
        <v>47953.672211000005</v>
      </c>
      <c r="H26" s="500">
        <f t="shared" si="64"/>
        <v>101102.43810992432</v>
      </c>
      <c r="I26" s="501">
        <f t="shared" si="64"/>
        <v>310</v>
      </c>
      <c r="J26" s="244"/>
      <c r="K26" s="296" t="s">
        <v>502</v>
      </c>
      <c r="L26" s="299">
        <f t="shared" si="30"/>
        <v>4.6574587102090161</v>
      </c>
      <c r="M26" s="300">
        <f t="shared" si="31"/>
        <v>13.686143870967742</v>
      </c>
      <c r="N26" s="300">
        <f t="shared" si="32"/>
        <v>2.9385432534201765</v>
      </c>
      <c r="O26" s="301">
        <f t="shared" si="33"/>
        <v>73.791739302362757</v>
      </c>
      <c r="P26" s="301">
        <f t="shared" si="34"/>
        <v>69.401252743260315</v>
      </c>
      <c r="Q26" s="301">
        <f t="shared" si="61"/>
        <v>0.48784714853308303</v>
      </c>
      <c r="R26" s="301">
        <f t="shared" si="35"/>
        <v>0.35836277781302045</v>
      </c>
      <c r="S26" s="302">
        <f t="shared" si="36"/>
        <v>2.1588416351951634</v>
      </c>
      <c r="T26" s="269"/>
      <c r="U26" s="239" t="s">
        <v>508</v>
      </c>
      <c r="V26" s="492">
        <f t="shared" si="62"/>
        <v>5.4200000000000005E-2</v>
      </c>
      <c r="Z26" s="214">
        <f t="shared" si="37"/>
        <v>69.207799835204924</v>
      </c>
      <c r="AA26" s="214">
        <f t="shared" si="38"/>
        <v>1233.0247100391916</v>
      </c>
      <c r="AE26" s="577" t="s">
        <v>509</v>
      </c>
      <c r="AF26" s="578">
        <f t="shared" si="0"/>
        <v>8.7575E-2</v>
      </c>
      <c r="AG26" s="578">
        <f t="shared" si="1"/>
        <v>3.6379999938964847E-2</v>
      </c>
      <c r="AH26" s="578">
        <f t="shared" si="2"/>
        <v>0.14307</v>
      </c>
      <c r="AI26" s="578">
        <v>0</v>
      </c>
      <c r="AJ26" s="578">
        <f t="shared" si="3"/>
        <v>0.39300000000000002</v>
      </c>
      <c r="AK26" s="578">
        <f t="shared" si="4"/>
        <v>8.7579999999999991</v>
      </c>
      <c r="AL26" s="578">
        <f t="shared" si="39"/>
        <v>4.4087000000000001E-2</v>
      </c>
      <c r="AM26" s="578">
        <f t="shared" si="40"/>
        <v>0</v>
      </c>
      <c r="AN26" s="578">
        <f t="shared" si="41"/>
        <v>0.46637585163522438</v>
      </c>
      <c r="AO26" s="578">
        <f t="shared" si="42"/>
        <v>5.5049999999999995E-2</v>
      </c>
      <c r="AP26" s="578">
        <f t="shared" si="43"/>
        <v>0.61695969999999989</v>
      </c>
      <c r="AQ26" s="578">
        <f t="shared" si="44"/>
        <v>3.0289999999999997E-2</v>
      </c>
      <c r="AR26" s="578">
        <f t="shared" si="45"/>
        <v>3.8899999999999997E-2</v>
      </c>
      <c r="AS26" s="578">
        <f t="shared" si="46"/>
        <v>1.3894E-2</v>
      </c>
      <c r="AT26" s="578">
        <f t="shared" si="47"/>
        <v>0.60799999999999998</v>
      </c>
      <c r="AU26" s="578">
        <f t="shared" si="48"/>
        <v>0</v>
      </c>
      <c r="AV26" s="578">
        <f t="shared" si="49"/>
        <v>2.1299999999999999E-2</v>
      </c>
      <c r="AW26" s="578">
        <f t="shared" si="50"/>
        <v>0</v>
      </c>
      <c r="AX26" s="578">
        <v>0</v>
      </c>
      <c r="AY26" s="578">
        <f t="shared" si="51"/>
        <v>0.25057861111111113</v>
      </c>
      <c r="AZ26" s="578">
        <f t="shared" si="52"/>
        <v>0.43099999999999999</v>
      </c>
      <c r="BA26" s="578">
        <f t="shared" si="53"/>
        <v>8.3699999999999997E-2</v>
      </c>
      <c r="BB26" s="578">
        <f t="shared" si="54"/>
        <v>9.8000000000000004E-2</v>
      </c>
      <c r="BC26" s="578">
        <f t="shared" si="55"/>
        <v>1.4999999999999999E-2</v>
      </c>
      <c r="BD26" s="578">
        <f t="shared" si="56"/>
        <v>7.3600000000000002E-3</v>
      </c>
      <c r="BE26" s="578">
        <f t="shared" si="57"/>
        <v>5.5E-2</v>
      </c>
      <c r="BF26" s="578">
        <f t="shared" si="58"/>
        <v>1.2879</v>
      </c>
      <c r="BG26" s="578">
        <v>0</v>
      </c>
      <c r="BH26" s="578">
        <f t="shared" si="59"/>
        <v>0</v>
      </c>
      <c r="BI26" s="578">
        <f t="shared" si="60"/>
        <v>0</v>
      </c>
    </row>
    <row r="27" spans="1:61" ht="13.15" customHeight="1">
      <c r="U27" s="239" t="s">
        <v>509</v>
      </c>
      <c r="V27" s="492">
        <f t="shared" si="62"/>
        <v>3.6379999938964847E-2</v>
      </c>
      <c r="AE27" s="577" t="s">
        <v>510</v>
      </c>
      <c r="AF27" s="578">
        <f t="shared" si="0"/>
        <v>0</v>
      </c>
      <c r="AG27" s="578">
        <f t="shared" si="1"/>
        <v>3.6600000000000001E-4</v>
      </c>
      <c r="AH27" s="578">
        <f t="shared" si="2"/>
        <v>0</v>
      </c>
      <c r="AI27" s="578">
        <v>0</v>
      </c>
      <c r="AJ27" s="578">
        <f t="shared" si="3"/>
        <v>2E-3</v>
      </c>
      <c r="AK27" s="578">
        <f t="shared" si="4"/>
        <v>3.2000000000000001E-2</v>
      </c>
      <c r="AL27" s="578">
        <f t="shared" si="39"/>
        <v>1.021E-3</v>
      </c>
      <c r="AM27" s="578">
        <f t="shared" si="40"/>
        <v>3.0999999999999999E-3</v>
      </c>
      <c r="AN27" s="578">
        <f t="shared" si="41"/>
        <v>0.29260194962463953</v>
      </c>
      <c r="AO27" s="578">
        <f t="shared" si="42"/>
        <v>0</v>
      </c>
      <c r="AP27" s="578">
        <f t="shared" si="43"/>
        <v>4.9000000000000007E-3</v>
      </c>
      <c r="AQ27" s="578">
        <f t="shared" si="44"/>
        <v>1.1000000000000001E-3</v>
      </c>
      <c r="AR27" s="578">
        <f t="shared" si="45"/>
        <v>0.01</v>
      </c>
      <c r="AS27" s="578">
        <f t="shared" si="46"/>
        <v>2.0369999999999997E-3</v>
      </c>
      <c r="AT27" s="578">
        <f t="shared" si="47"/>
        <v>0.108</v>
      </c>
      <c r="AU27" s="578">
        <f t="shared" si="48"/>
        <v>0</v>
      </c>
      <c r="AV27" s="578">
        <f t="shared" si="49"/>
        <v>0</v>
      </c>
      <c r="AW27" s="578">
        <f t="shared" si="50"/>
        <v>0</v>
      </c>
      <c r="AX27" s="578">
        <v>0</v>
      </c>
      <c r="AY27" s="578">
        <f t="shared" si="51"/>
        <v>1.5276000000000001E-2</v>
      </c>
      <c r="AZ27" s="578">
        <f t="shared" si="52"/>
        <v>0</v>
      </c>
      <c r="BA27" s="578">
        <f t="shared" si="53"/>
        <v>1.0961116999999999E-2</v>
      </c>
      <c r="BB27" s="578">
        <f t="shared" si="54"/>
        <v>0</v>
      </c>
      <c r="BC27" s="578">
        <f t="shared" si="55"/>
        <v>0</v>
      </c>
      <c r="BD27" s="578">
        <f t="shared" si="56"/>
        <v>0</v>
      </c>
      <c r="BE27" s="578">
        <f t="shared" si="57"/>
        <v>0</v>
      </c>
      <c r="BF27" s="578">
        <f t="shared" si="58"/>
        <v>0</v>
      </c>
      <c r="BG27" s="578">
        <v>0</v>
      </c>
      <c r="BH27" s="578">
        <f t="shared" si="59"/>
        <v>0</v>
      </c>
      <c r="BI27" s="578">
        <f t="shared" si="60"/>
        <v>0</v>
      </c>
    </row>
    <row r="28" spans="1:61" ht="13.15" customHeight="1">
      <c r="A28" s="251" t="s">
        <v>139</v>
      </c>
      <c r="B28" s="227" t="s">
        <v>476</v>
      </c>
      <c r="C28" s="228"/>
      <c r="D28" s="286"/>
      <c r="E28" s="227" t="s">
        <v>477</v>
      </c>
      <c r="F28" s="228"/>
      <c r="G28" s="229"/>
      <c r="H28" s="200" t="s">
        <v>138</v>
      </c>
      <c r="I28" s="200" t="s">
        <v>478</v>
      </c>
      <c r="J28" s="230"/>
      <c r="K28" s="303" t="s">
        <v>503</v>
      </c>
      <c r="L28" s="227" t="s">
        <v>479</v>
      </c>
      <c r="M28" s="228"/>
      <c r="N28" s="286"/>
      <c r="O28" s="227" t="s">
        <v>480</v>
      </c>
      <c r="P28" s="228"/>
      <c r="Q28" s="228"/>
      <c r="R28" s="229"/>
      <c r="S28" s="286"/>
      <c r="T28" s="304"/>
      <c r="U28" s="239" t="s">
        <v>510</v>
      </c>
      <c r="V28" s="492">
        <f t="shared" si="62"/>
        <v>3.6600000000000001E-4</v>
      </c>
      <c r="AE28" s="577" t="s">
        <v>511</v>
      </c>
      <c r="AF28" s="578">
        <f t="shared" si="0"/>
        <v>0</v>
      </c>
      <c r="AG28" s="578">
        <f t="shared" si="1"/>
        <v>0</v>
      </c>
      <c r="AH28" s="578">
        <f t="shared" si="2"/>
        <v>0</v>
      </c>
      <c r="AI28" s="578">
        <v>0</v>
      </c>
      <c r="AJ28" s="578">
        <f t="shared" si="3"/>
        <v>0</v>
      </c>
      <c r="AK28" s="578">
        <f t="shared" si="4"/>
        <v>3.5999999999999997E-2</v>
      </c>
      <c r="AL28" s="578">
        <f t="shared" si="39"/>
        <v>0.03</v>
      </c>
      <c r="AM28" s="578">
        <f t="shared" si="40"/>
        <v>0</v>
      </c>
      <c r="AN28" s="578">
        <f t="shared" si="41"/>
        <v>5.7424421236473053E-2</v>
      </c>
      <c r="AO28" s="578">
        <f t="shared" si="42"/>
        <v>0</v>
      </c>
      <c r="AP28" s="578">
        <f t="shared" si="43"/>
        <v>1.3799999999999999E-3</v>
      </c>
      <c r="AQ28" s="578">
        <f t="shared" si="44"/>
        <v>0</v>
      </c>
      <c r="AR28" s="578">
        <f t="shared" si="45"/>
        <v>0</v>
      </c>
      <c r="AS28" s="578">
        <f t="shared" si="46"/>
        <v>0</v>
      </c>
      <c r="AT28" s="578">
        <f t="shared" si="47"/>
        <v>0</v>
      </c>
      <c r="AU28" s="578">
        <f t="shared" si="48"/>
        <v>0</v>
      </c>
      <c r="AV28" s="578">
        <f t="shared" si="49"/>
        <v>0</v>
      </c>
      <c r="AW28" s="578">
        <f t="shared" si="50"/>
        <v>0</v>
      </c>
      <c r="AX28" s="578">
        <v>0</v>
      </c>
      <c r="AY28" s="578">
        <f t="shared" si="51"/>
        <v>0</v>
      </c>
      <c r="AZ28" s="578">
        <f t="shared" si="52"/>
        <v>4.9000000000000007E-3</v>
      </c>
      <c r="BA28" s="578">
        <f t="shared" si="53"/>
        <v>7.9000000000000008E-3</v>
      </c>
      <c r="BB28" s="578">
        <f t="shared" si="54"/>
        <v>0</v>
      </c>
      <c r="BC28" s="578">
        <f t="shared" si="55"/>
        <v>0</v>
      </c>
      <c r="BD28" s="578">
        <f t="shared" si="56"/>
        <v>0</v>
      </c>
      <c r="BE28" s="578">
        <f t="shared" si="57"/>
        <v>0</v>
      </c>
      <c r="BF28" s="578">
        <f t="shared" si="58"/>
        <v>2.92E-2</v>
      </c>
      <c r="BG28" s="578">
        <v>0</v>
      </c>
      <c r="BH28" s="578">
        <f t="shared" si="59"/>
        <v>0</v>
      </c>
      <c r="BI28" s="578">
        <f t="shared" si="60"/>
        <v>0</v>
      </c>
    </row>
    <row r="29" spans="1:61" ht="13.15" customHeight="1">
      <c r="A29" s="239"/>
      <c r="B29" s="240" t="s">
        <v>9</v>
      </c>
      <c r="C29" s="240"/>
      <c r="D29" s="241" t="s">
        <v>34</v>
      </c>
      <c r="E29" s="242" t="s">
        <v>88</v>
      </c>
      <c r="F29" s="243"/>
      <c r="G29" s="244" t="s">
        <v>34</v>
      </c>
      <c r="H29" s="241" t="s">
        <v>170</v>
      </c>
      <c r="I29" s="241" t="s">
        <v>483</v>
      </c>
      <c r="J29" s="230"/>
      <c r="K29" s="305"/>
      <c r="L29" s="306" t="s">
        <v>484</v>
      </c>
      <c r="M29" s="247"/>
      <c r="N29" s="248" t="s">
        <v>485</v>
      </c>
      <c r="O29" s="248" t="s">
        <v>486</v>
      </c>
      <c r="P29" s="248" t="s">
        <v>486</v>
      </c>
      <c r="Q29" s="247" t="s">
        <v>487</v>
      </c>
      <c r="R29" s="249"/>
      <c r="S29" s="307" t="s">
        <v>485</v>
      </c>
      <c r="T29" s="230"/>
      <c r="U29" s="239" t="s">
        <v>511</v>
      </c>
      <c r="V29" s="492">
        <f t="shared" si="62"/>
        <v>0</v>
      </c>
      <c r="AE29" s="577" t="s">
        <v>512</v>
      </c>
      <c r="AF29" s="578">
        <f t="shared" si="0"/>
        <v>7.1900000000000006E-2</v>
      </c>
      <c r="AG29" s="578">
        <f t="shared" si="1"/>
        <v>0.16695699999999999</v>
      </c>
      <c r="AH29" s="578">
        <f t="shared" si="2"/>
        <v>6.0000000000000001E-3</v>
      </c>
      <c r="AI29" s="578">
        <v>0</v>
      </c>
      <c r="AJ29" s="578">
        <f t="shared" si="3"/>
        <v>4.4999999999999998E-2</v>
      </c>
      <c r="AK29" s="578">
        <f t="shared" si="4"/>
        <v>0.66400000000000003</v>
      </c>
      <c r="AL29" s="578">
        <f t="shared" si="39"/>
        <v>0.1308358</v>
      </c>
      <c r="AM29" s="578">
        <f t="shared" si="40"/>
        <v>0</v>
      </c>
      <c r="AN29" s="578">
        <f t="shared" si="41"/>
        <v>0.4707909692686012</v>
      </c>
      <c r="AO29" s="578">
        <f t="shared" si="42"/>
        <v>2.8E-3</v>
      </c>
      <c r="AP29" s="578">
        <f t="shared" si="43"/>
        <v>0.77321029999999968</v>
      </c>
      <c r="AQ29" s="578">
        <f t="shared" si="44"/>
        <v>5.3800000000000001E-2</v>
      </c>
      <c r="AR29" s="578">
        <f t="shared" si="45"/>
        <v>9.7918999999999992E-2</v>
      </c>
      <c r="AS29" s="578">
        <f t="shared" si="46"/>
        <v>7.8159999999999993E-2</v>
      </c>
      <c r="AT29" s="578">
        <f t="shared" si="47"/>
        <v>0.24399999999999999</v>
      </c>
      <c r="AU29" s="578">
        <f t="shared" si="48"/>
        <v>9.5999999999999992E-3</v>
      </c>
      <c r="AV29" s="578">
        <f t="shared" si="49"/>
        <v>0</v>
      </c>
      <c r="AW29" s="578">
        <f t="shared" si="50"/>
        <v>1.4E-2</v>
      </c>
      <c r="AX29" s="578">
        <v>0</v>
      </c>
      <c r="AY29" s="578">
        <f t="shared" si="51"/>
        <v>0.31202050000000009</v>
      </c>
      <c r="AZ29" s="578">
        <f t="shared" si="52"/>
        <v>0.31</v>
      </c>
      <c r="BA29" s="578">
        <f t="shared" si="53"/>
        <v>1.4409524E-2</v>
      </c>
      <c r="BB29" s="578">
        <f t="shared" si="54"/>
        <v>2.9000000000000001E-2</v>
      </c>
      <c r="BC29" s="578">
        <f t="shared" si="55"/>
        <v>3.7999999999999999E-2</v>
      </c>
      <c r="BD29" s="578">
        <f t="shared" si="56"/>
        <v>1.1122E-2</v>
      </c>
      <c r="BE29" s="578">
        <f t="shared" si="57"/>
        <v>3.2000000000000001E-2</v>
      </c>
      <c r="BF29" s="578">
        <f t="shared" si="58"/>
        <v>0.37789999999999996</v>
      </c>
      <c r="BG29" s="578">
        <v>0</v>
      </c>
      <c r="BH29" s="578">
        <f t="shared" si="59"/>
        <v>0</v>
      </c>
      <c r="BI29" s="578">
        <f t="shared" si="60"/>
        <v>0</v>
      </c>
    </row>
    <row r="30" spans="1:61" ht="13.15" customHeight="1">
      <c r="A30" s="239"/>
      <c r="B30" s="252" t="s">
        <v>0</v>
      </c>
      <c r="C30" s="252" t="s">
        <v>489</v>
      </c>
      <c r="D30" s="252" t="s">
        <v>490</v>
      </c>
      <c r="E30" s="252" t="s">
        <v>491</v>
      </c>
      <c r="F30" s="252" t="s">
        <v>489</v>
      </c>
      <c r="G30" s="230" t="s">
        <v>490</v>
      </c>
      <c r="H30" s="248"/>
      <c r="I30" s="241" t="s">
        <v>492</v>
      </c>
      <c r="J30" s="230"/>
      <c r="K30" s="305"/>
      <c r="L30" s="248" t="s">
        <v>88</v>
      </c>
      <c r="M30" s="252" t="s">
        <v>34</v>
      </c>
      <c r="N30" s="252" t="s">
        <v>493</v>
      </c>
      <c r="O30" s="248" t="s">
        <v>494</v>
      </c>
      <c r="P30" s="248" t="s">
        <v>495</v>
      </c>
      <c r="Q30" s="230" t="s">
        <v>88</v>
      </c>
      <c r="R30" s="248" t="s">
        <v>34</v>
      </c>
      <c r="S30" s="252" t="s">
        <v>88</v>
      </c>
      <c r="T30" s="230"/>
      <c r="U30" s="239" t="s">
        <v>512</v>
      </c>
      <c r="V30" s="492">
        <f t="shared" si="62"/>
        <v>0.16695699999999999</v>
      </c>
      <c r="AE30" s="577" t="s">
        <v>513</v>
      </c>
      <c r="AF30" s="578">
        <f t="shared" si="0"/>
        <v>1.7332E-2</v>
      </c>
      <c r="AG30" s="578">
        <f t="shared" si="1"/>
        <v>2.9999999999999997E-4</v>
      </c>
      <c r="AH30" s="578">
        <f t="shared" si="2"/>
        <v>0</v>
      </c>
      <c r="AI30" s="578">
        <v>0</v>
      </c>
      <c r="AJ30" s="578">
        <f t="shared" si="3"/>
        <v>1.0999999999999999E-2</v>
      </c>
      <c r="AK30" s="578">
        <f t="shared" si="4"/>
        <v>3.9E-2</v>
      </c>
      <c r="AL30" s="578">
        <f t="shared" si="39"/>
        <v>6.7869999999999996E-3</v>
      </c>
      <c r="AM30" s="578">
        <f t="shared" si="40"/>
        <v>0</v>
      </c>
      <c r="AN30" s="578">
        <f t="shared" si="41"/>
        <v>0.28569041987304877</v>
      </c>
      <c r="AO30" s="578">
        <f t="shared" si="42"/>
        <v>0</v>
      </c>
      <c r="AP30" s="578">
        <f t="shared" si="43"/>
        <v>3.9743499999999994E-2</v>
      </c>
      <c r="AQ30" s="578">
        <f t="shared" si="44"/>
        <v>1.2E-2</v>
      </c>
      <c r="AR30" s="578">
        <f t="shared" si="45"/>
        <v>0</v>
      </c>
      <c r="AS30" s="578">
        <f t="shared" si="46"/>
        <v>1.85E-4</v>
      </c>
      <c r="AT30" s="578">
        <f t="shared" si="47"/>
        <v>0.127</v>
      </c>
      <c r="AU30" s="578">
        <f t="shared" si="48"/>
        <v>0</v>
      </c>
      <c r="AV30" s="578">
        <f t="shared" si="49"/>
        <v>0</v>
      </c>
      <c r="AW30" s="578">
        <f t="shared" si="50"/>
        <v>1E-3</v>
      </c>
      <c r="AX30" s="578">
        <v>0</v>
      </c>
      <c r="AY30" s="578">
        <f t="shared" si="51"/>
        <v>8.8000000000000005E-3</v>
      </c>
      <c r="AZ30" s="578">
        <f t="shared" si="52"/>
        <v>2.2699999999999998E-2</v>
      </c>
      <c r="BA30" s="578">
        <f t="shared" si="53"/>
        <v>1.7392576000000003E-2</v>
      </c>
      <c r="BB30" s="578">
        <f t="shared" si="54"/>
        <v>1E-3</v>
      </c>
      <c r="BC30" s="578">
        <f t="shared" si="55"/>
        <v>0</v>
      </c>
      <c r="BD30" s="578">
        <f t="shared" si="56"/>
        <v>5.0300000000000006E-3</v>
      </c>
      <c r="BE30" s="578">
        <f t="shared" si="57"/>
        <v>7.0000000000000001E-3</v>
      </c>
      <c r="BF30" s="578">
        <f t="shared" si="58"/>
        <v>0</v>
      </c>
      <c r="BG30" s="578">
        <v>0</v>
      </c>
      <c r="BH30" s="578">
        <f t="shared" si="59"/>
        <v>0</v>
      </c>
      <c r="BI30" s="578">
        <f t="shared" si="60"/>
        <v>0</v>
      </c>
    </row>
    <row r="31" spans="1:61" ht="13.15" customHeight="1">
      <c r="A31" s="239"/>
      <c r="B31" s="257" t="s">
        <v>496</v>
      </c>
      <c r="C31" s="256" t="s">
        <v>496</v>
      </c>
      <c r="D31" s="256" t="s">
        <v>496</v>
      </c>
      <c r="E31" s="256" t="s">
        <v>473</v>
      </c>
      <c r="F31" s="256" t="s">
        <v>473</v>
      </c>
      <c r="G31" s="257" t="s">
        <v>451</v>
      </c>
      <c r="H31" s="257" t="s">
        <v>497</v>
      </c>
      <c r="I31" s="257" t="s">
        <v>498</v>
      </c>
      <c r="J31" s="230"/>
      <c r="K31" s="305"/>
      <c r="L31" s="257" t="s">
        <v>496</v>
      </c>
      <c r="M31" s="256" t="s">
        <v>496</v>
      </c>
      <c r="N31" s="256"/>
      <c r="O31" s="257" t="s">
        <v>79</v>
      </c>
      <c r="P31" s="257" t="s">
        <v>79</v>
      </c>
      <c r="Q31" s="259"/>
      <c r="R31" s="257"/>
      <c r="S31" s="256"/>
      <c r="T31" s="230"/>
      <c r="U31" s="239" t="s">
        <v>513</v>
      </c>
      <c r="V31" s="492">
        <f t="shared" si="62"/>
        <v>2.9999999999999997E-4</v>
      </c>
      <c r="AE31" s="577" t="s">
        <v>514</v>
      </c>
      <c r="AF31" s="578">
        <f t="shared" si="0"/>
        <v>0.48564999999999997</v>
      </c>
      <c r="AG31" s="578">
        <f t="shared" si="1"/>
        <v>4.7E-2</v>
      </c>
      <c r="AH31" s="578">
        <f t="shared" si="2"/>
        <v>0.11600000000000001</v>
      </c>
      <c r="AI31" s="578">
        <v>0</v>
      </c>
      <c r="AJ31" s="578">
        <f t="shared" si="3"/>
        <v>6.2E-2</v>
      </c>
      <c r="AK31" s="578">
        <f t="shared" si="4"/>
        <v>1.4059999999999999</v>
      </c>
      <c r="AL31" s="578">
        <f t="shared" si="39"/>
        <v>2.5000000000000001E-2</v>
      </c>
      <c r="AM31" s="578">
        <f t="shared" si="40"/>
        <v>0.01</v>
      </c>
      <c r="AN31" s="578">
        <f t="shared" si="41"/>
        <v>0.54589185561105691</v>
      </c>
      <c r="AO31" s="578">
        <f t="shared" si="42"/>
        <v>1.6355999999999999</v>
      </c>
      <c r="AP31" s="578">
        <f t="shared" si="43"/>
        <v>0.57336069999999983</v>
      </c>
      <c r="AQ31" s="578">
        <f t="shared" si="44"/>
        <v>0</v>
      </c>
      <c r="AR31" s="578">
        <f t="shared" si="45"/>
        <v>1.7250000000000001E-2</v>
      </c>
      <c r="AS31" s="578">
        <f t="shared" si="46"/>
        <v>0</v>
      </c>
      <c r="AT31" s="578">
        <f t="shared" si="47"/>
        <v>0.67400000000000004</v>
      </c>
      <c r="AU31" s="578">
        <f t="shared" si="48"/>
        <v>0</v>
      </c>
      <c r="AV31" s="578">
        <f t="shared" si="49"/>
        <v>1E-3</v>
      </c>
      <c r="AW31" s="578">
        <f t="shared" si="50"/>
        <v>0</v>
      </c>
      <c r="AX31" s="578">
        <v>0</v>
      </c>
      <c r="AY31" s="578">
        <f t="shared" si="51"/>
        <v>0.15770400000000001</v>
      </c>
      <c r="AZ31" s="578">
        <f t="shared" si="52"/>
        <v>0.2029</v>
      </c>
      <c r="BA31" s="578">
        <f t="shared" si="53"/>
        <v>0.1959033790000001</v>
      </c>
      <c r="BB31" s="578">
        <f t="shared" si="54"/>
        <v>2.7E-2</v>
      </c>
      <c r="BC31" s="578">
        <f t="shared" si="55"/>
        <v>0.84299999999999997</v>
      </c>
      <c r="BD31" s="578">
        <f t="shared" si="56"/>
        <v>6.5549999999999997E-2</v>
      </c>
      <c r="BE31" s="578">
        <f t="shared" si="57"/>
        <v>5.6000000000000001E-2</v>
      </c>
      <c r="BF31" s="578">
        <f t="shared" si="58"/>
        <v>0.46500000000000002</v>
      </c>
      <c r="BG31" s="578">
        <v>0</v>
      </c>
      <c r="BH31" s="578">
        <f t="shared" si="59"/>
        <v>0</v>
      </c>
      <c r="BI31" s="578">
        <f t="shared" si="60"/>
        <v>0</v>
      </c>
    </row>
    <row r="32" spans="1:61" ht="13.15" customHeight="1">
      <c r="A32" s="251" t="s">
        <v>150</v>
      </c>
      <c r="B32" s="308">
        <v>956.63240014648443</v>
      </c>
      <c r="C32" s="309">
        <v>985.70799999999997</v>
      </c>
      <c r="D32" s="310">
        <v>2565.002</v>
      </c>
      <c r="E32" s="308">
        <v>4373.5119028863637</v>
      </c>
      <c r="F32" s="308">
        <v>5563.0452662799989</v>
      </c>
      <c r="G32" s="309">
        <v>26577.780910999998</v>
      </c>
      <c r="H32" s="311">
        <v>64813.497744018554</v>
      </c>
      <c r="I32" s="310">
        <v>178</v>
      </c>
      <c r="J32" s="244"/>
      <c r="K32" s="303" t="s">
        <v>150</v>
      </c>
      <c r="L32" s="312">
        <f>B32/I32</f>
        <v>5.374339326665643</v>
      </c>
      <c r="M32" s="313">
        <f>D32/I32</f>
        <v>14.410123595505617</v>
      </c>
      <c r="N32" s="313">
        <f>D32/B32</f>
        <v>2.6812827995447717</v>
      </c>
      <c r="O32" s="312">
        <f>(F32*3.6+G32)*100/H32</f>
        <v>71.905923136063123</v>
      </c>
      <c r="P32" s="313">
        <f>(E32*3.6+G32)*100/H32</f>
        <v>65.29878070852412</v>
      </c>
      <c r="Q32" s="313">
        <f>E32/(B32*8760)*1000</f>
        <v>0.52189257813985068</v>
      </c>
      <c r="R32" s="313">
        <f>G32/(D32*8761)*1000/3.6</f>
        <v>0.32852984432924709</v>
      </c>
      <c r="S32" s="488">
        <f>G32/(E32*3.6)</f>
        <v>1.6880523212592353</v>
      </c>
      <c r="T32" s="269"/>
      <c r="U32" s="239" t="s">
        <v>514</v>
      </c>
      <c r="V32" s="492">
        <f t="shared" si="62"/>
        <v>4.7E-2</v>
      </c>
      <c r="Z32" s="214">
        <f>C32-B32</f>
        <v>29.075599853515541</v>
      </c>
      <c r="AA32" s="214">
        <f>F32-E32</f>
        <v>1189.5333633936352</v>
      </c>
      <c r="AE32" s="577" t="s">
        <v>515</v>
      </c>
      <c r="AF32" s="578">
        <f t="shared" si="0"/>
        <v>1.0702E-2</v>
      </c>
      <c r="AG32" s="578">
        <f t="shared" si="1"/>
        <v>5.7300000000000007E-3</v>
      </c>
      <c r="AH32" s="578">
        <f t="shared" si="2"/>
        <v>0</v>
      </c>
      <c r="AI32" s="578">
        <v>0</v>
      </c>
      <c r="AJ32" s="578">
        <f t="shared" si="3"/>
        <v>2.1000000000000001E-2</v>
      </c>
      <c r="AK32" s="578">
        <f t="shared" si="4"/>
        <v>0.23200000000000001</v>
      </c>
      <c r="AL32" s="578">
        <f t="shared" si="39"/>
        <v>1.0647E-2</v>
      </c>
      <c r="AM32" s="578">
        <f t="shared" si="40"/>
        <v>0</v>
      </c>
      <c r="AN32" s="578">
        <f t="shared" si="41"/>
        <v>8.7244145987306371E-2</v>
      </c>
      <c r="AO32" s="578">
        <f t="shared" si="42"/>
        <v>0</v>
      </c>
      <c r="AP32" s="578">
        <f t="shared" si="43"/>
        <v>0.1118045</v>
      </c>
      <c r="AQ32" s="578">
        <f t="shared" si="44"/>
        <v>0</v>
      </c>
      <c r="AR32" s="578">
        <f t="shared" si="45"/>
        <v>3.9500000000000001E-4</v>
      </c>
      <c r="AS32" s="578">
        <f t="shared" si="46"/>
        <v>0</v>
      </c>
      <c r="AT32" s="578">
        <f t="shared" si="47"/>
        <v>0.113</v>
      </c>
      <c r="AU32" s="578">
        <f t="shared" si="48"/>
        <v>0</v>
      </c>
      <c r="AV32" s="578">
        <f t="shared" si="49"/>
        <v>0</v>
      </c>
      <c r="AW32" s="578">
        <f t="shared" si="50"/>
        <v>0</v>
      </c>
      <c r="AX32" s="578">
        <v>0</v>
      </c>
      <c r="AY32" s="578">
        <f t="shared" si="51"/>
        <v>3.4969999999999992E-3</v>
      </c>
      <c r="AZ32" s="578">
        <f t="shared" si="52"/>
        <v>7.7999999999999996E-3</v>
      </c>
      <c r="BA32" s="578">
        <f t="shared" si="53"/>
        <v>0</v>
      </c>
      <c r="BB32" s="578">
        <f t="shared" si="54"/>
        <v>4.0000000000000001E-3</v>
      </c>
      <c r="BC32" s="578">
        <f t="shared" si="55"/>
        <v>0</v>
      </c>
      <c r="BD32" s="578">
        <f t="shared" si="56"/>
        <v>0</v>
      </c>
      <c r="BE32" s="578">
        <f t="shared" si="57"/>
        <v>0.02</v>
      </c>
      <c r="BF32" s="578">
        <f t="shared" si="58"/>
        <v>2.8500000000000001E-2</v>
      </c>
      <c r="BG32" s="578">
        <v>0</v>
      </c>
      <c r="BH32" s="578">
        <f t="shared" si="59"/>
        <v>0</v>
      </c>
      <c r="BI32" s="578">
        <f t="shared" si="60"/>
        <v>0</v>
      </c>
    </row>
    <row r="33" spans="1:61" ht="13.15" customHeight="1">
      <c r="A33" s="239"/>
      <c r="B33" s="314"/>
      <c r="C33" s="315"/>
      <c r="D33" s="315"/>
      <c r="E33" s="316"/>
      <c r="F33" s="316"/>
      <c r="G33" s="317"/>
      <c r="H33" s="314"/>
      <c r="I33" s="314"/>
      <c r="J33" s="230"/>
      <c r="K33" s="239"/>
      <c r="L33" s="312"/>
      <c r="M33" s="267"/>
      <c r="N33" s="267"/>
      <c r="O33" s="239"/>
      <c r="P33" s="313"/>
      <c r="Q33" s="267"/>
      <c r="R33" s="267"/>
      <c r="S33" s="239"/>
      <c r="T33" s="269"/>
      <c r="U33" s="239" t="s">
        <v>515</v>
      </c>
      <c r="V33" s="492">
        <f t="shared" si="62"/>
        <v>5.7300000000000007E-3</v>
      </c>
      <c r="Z33" s="214">
        <f t="shared" ref="Z33:Z53" si="65">C33-B33</f>
        <v>0</v>
      </c>
      <c r="AA33" s="214">
        <f t="shared" ref="AA33:AA53" si="66">F33-E33</f>
        <v>0</v>
      </c>
      <c r="AE33" s="577" t="s">
        <v>516</v>
      </c>
      <c r="AF33" s="578">
        <f t="shared" si="0"/>
        <v>1.5868E-2</v>
      </c>
      <c r="AG33" s="578">
        <f t="shared" si="1"/>
        <v>7.6000000000000004E-4</v>
      </c>
      <c r="AH33" s="578">
        <f t="shared" si="2"/>
        <v>0.03</v>
      </c>
      <c r="AI33" s="578">
        <v>0</v>
      </c>
      <c r="AJ33" s="578">
        <f t="shared" si="3"/>
        <v>6.0000000000000001E-3</v>
      </c>
      <c r="AK33" s="578">
        <f t="shared" si="4"/>
        <v>0.28299999999999997</v>
      </c>
      <c r="AL33" s="578">
        <f t="shared" si="39"/>
        <v>1.214E-2</v>
      </c>
      <c r="AM33" s="578">
        <f t="shared" si="40"/>
        <v>0</v>
      </c>
      <c r="AN33" s="578">
        <f t="shared" si="41"/>
        <v>0.28336674018350755</v>
      </c>
      <c r="AO33" s="578">
        <f t="shared" si="42"/>
        <v>9.9600000000000001E-3</v>
      </c>
      <c r="AP33" s="578">
        <f t="shared" si="43"/>
        <v>0.24641939999999998</v>
      </c>
      <c r="AQ33" s="578">
        <f t="shared" si="44"/>
        <v>0</v>
      </c>
      <c r="AR33" s="578">
        <f t="shared" si="45"/>
        <v>1.6799999999999999E-3</v>
      </c>
      <c r="AS33" s="578">
        <f t="shared" si="46"/>
        <v>0</v>
      </c>
      <c r="AT33" s="578">
        <f t="shared" si="47"/>
        <v>9.8000000000000004E-2</v>
      </c>
      <c r="AU33" s="578">
        <f t="shared" si="48"/>
        <v>4.0000000000000001E-3</v>
      </c>
      <c r="AV33" s="578">
        <f t="shared" si="49"/>
        <v>0</v>
      </c>
      <c r="AW33" s="578">
        <f t="shared" si="50"/>
        <v>2E-3</v>
      </c>
      <c r="AX33" s="578">
        <v>0</v>
      </c>
      <c r="AY33" s="578">
        <f t="shared" si="51"/>
        <v>1.7949999999999999E-3</v>
      </c>
      <c r="AZ33" s="578">
        <f t="shared" si="52"/>
        <v>2.93E-2</v>
      </c>
      <c r="BA33" s="578">
        <f t="shared" si="53"/>
        <v>8.1392815200000013E-3</v>
      </c>
      <c r="BB33" s="578">
        <f t="shared" si="54"/>
        <v>4.0000000000000001E-3</v>
      </c>
      <c r="BC33" s="578">
        <f t="shared" si="55"/>
        <v>0</v>
      </c>
      <c r="BD33" s="578">
        <f t="shared" si="56"/>
        <v>3.7699999999999999E-3</v>
      </c>
      <c r="BE33" s="578">
        <f t="shared" si="57"/>
        <v>7.0000000000000001E-3</v>
      </c>
      <c r="BF33" s="578">
        <f t="shared" si="58"/>
        <v>2.7100000000000003E-2</v>
      </c>
      <c r="BG33" s="578">
        <v>0</v>
      </c>
      <c r="BH33" s="578">
        <f t="shared" si="59"/>
        <v>0</v>
      </c>
      <c r="BI33" s="578">
        <f t="shared" si="60"/>
        <v>0</v>
      </c>
    </row>
    <row r="34" spans="1:61" ht="13.15" customHeight="1">
      <c r="A34" s="312" t="s">
        <v>7</v>
      </c>
      <c r="B34" s="310">
        <v>487.17980001831052</v>
      </c>
      <c r="C34" s="310">
        <v>527.3119999999999</v>
      </c>
      <c r="D34" s="310">
        <v>1677.7026000000003</v>
      </c>
      <c r="E34" s="310">
        <v>1796.677701654834</v>
      </c>
      <c r="F34" s="310">
        <v>1840.170108</v>
      </c>
      <c r="G34" s="310">
        <v>21375.891299999999</v>
      </c>
      <c r="H34" s="310">
        <v>36288.940365905764</v>
      </c>
      <c r="I34" s="310">
        <v>132</v>
      </c>
      <c r="J34" s="244"/>
      <c r="K34" s="318" t="s">
        <v>7</v>
      </c>
      <c r="L34" s="312">
        <f t="shared" ref="L34:L52" si="67">B34/I34</f>
        <v>3.6907560607447767</v>
      </c>
      <c r="M34" s="313">
        <f t="shared" ref="M34:M52" si="68">D34/I34</f>
        <v>12.709868181818184</v>
      </c>
      <c r="N34" s="313">
        <f t="shared" ref="N34:N52" si="69">D34/B34</f>
        <v>3.4437031254927737</v>
      </c>
      <c r="O34" s="312">
        <f t="shared" ref="O34:O52" si="70">(F34*3.6+G34)*100/H34</f>
        <v>77.15988234009464</v>
      </c>
      <c r="P34" s="313">
        <f t="shared" ref="P34:P52" si="71">(E34*3.6+G34)*100/H34</f>
        <v>76.728421235791629</v>
      </c>
      <c r="Q34" s="313">
        <f t="shared" ref="Q34:Q52" si="72">E34/(B34*8760)*1000</f>
        <v>0.42099486523276686</v>
      </c>
      <c r="R34" s="313">
        <f t="shared" ref="R34:R52" si="73">G34/(D34*8761)*1000/3.6</f>
        <v>0.40397368289938407</v>
      </c>
      <c r="S34" s="488">
        <f t="shared" ref="S34:S52" si="74">G34/(E34*3.6)</f>
        <v>3.3048484866619967</v>
      </c>
      <c r="T34" s="269"/>
      <c r="U34" s="239" t="s">
        <v>516</v>
      </c>
      <c r="V34" s="492">
        <f t="shared" si="62"/>
        <v>7.6000000000000004E-4</v>
      </c>
      <c r="Z34" s="214">
        <f t="shared" si="65"/>
        <v>40.132199981689382</v>
      </c>
      <c r="AA34" s="214">
        <f t="shared" si="66"/>
        <v>43.492406345166046</v>
      </c>
      <c r="AE34" s="577" t="s">
        <v>517</v>
      </c>
      <c r="AF34" s="578">
        <f t="shared" si="0"/>
        <v>0</v>
      </c>
      <c r="AG34" s="578">
        <f t="shared" si="1"/>
        <v>0</v>
      </c>
      <c r="AH34" s="578">
        <f t="shared" si="2"/>
        <v>0</v>
      </c>
      <c r="AI34" s="578">
        <v>0</v>
      </c>
      <c r="AJ34" s="578">
        <f t="shared" si="3"/>
        <v>0</v>
      </c>
      <c r="AK34" s="578">
        <f t="shared" si="4"/>
        <v>0</v>
      </c>
      <c r="AL34" s="578">
        <f t="shared" si="39"/>
        <v>9.2200000000000008E-4</v>
      </c>
      <c r="AM34" s="578">
        <f t="shared" si="40"/>
        <v>0</v>
      </c>
      <c r="AN34" s="578">
        <f t="shared" si="41"/>
        <v>6.6492493150684931E-4</v>
      </c>
      <c r="AO34" s="578">
        <f t="shared" si="42"/>
        <v>0</v>
      </c>
      <c r="AP34" s="578">
        <f t="shared" si="43"/>
        <v>5.4791699999999999E-2</v>
      </c>
      <c r="AQ34" s="578">
        <f t="shared" si="44"/>
        <v>0</v>
      </c>
      <c r="AR34" s="578">
        <f t="shared" si="45"/>
        <v>0</v>
      </c>
      <c r="AS34" s="578">
        <f t="shared" si="46"/>
        <v>0</v>
      </c>
      <c r="AT34" s="578">
        <f t="shared" si="47"/>
        <v>0</v>
      </c>
      <c r="AU34" s="578">
        <f t="shared" si="48"/>
        <v>0</v>
      </c>
      <c r="AV34" s="578">
        <f t="shared" si="49"/>
        <v>0</v>
      </c>
      <c r="AW34" s="578">
        <f t="shared" si="50"/>
        <v>0</v>
      </c>
      <c r="AX34" s="578">
        <v>0</v>
      </c>
      <c r="AY34" s="578">
        <f t="shared" si="51"/>
        <v>2.5000000000000001E-4</v>
      </c>
      <c r="AZ34" s="578">
        <f t="shared" si="52"/>
        <v>0</v>
      </c>
      <c r="BA34" s="578">
        <f t="shared" si="53"/>
        <v>5.5999999999999999E-3</v>
      </c>
      <c r="BB34" s="578">
        <f t="shared" si="54"/>
        <v>0</v>
      </c>
      <c r="BC34" s="578">
        <f t="shared" si="55"/>
        <v>0</v>
      </c>
      <c r="BD34" s="578">
        <f t="shared" si="56"/>
        <v>0</v>
      </c>
      <c r="BE34" s="578">
        <f t="shared" si="57"/>
        <v>0</v>
      </c>
      <c r="BF34" s="578">
        <f t="shared" si="58"/>
        <v>8.8000000000000005E-3</v>
      </c>
      <c r="BG34" s="578">
        <v>0</v>
      </c>
      <c r="BH34" s="578">
        <f t="shared" si="59"/>
        <v>0</v>
      </c>
      <c r="BI34" s="578">
        <f t="shared" si="60"/>
        <v>0</v>
      </c>
    </row>
    <row r="35" spans="1:61" ht="13.15" customHeight="1">
      <c r="A35" s="239" t="s">
        <v>152</v>
      </c>
      <c r="B35" s="319">
        <v>0</v>
      </c>
      <c r="C35" s="320">
        <v>0</v>
      </c>
      <c r="D35" s="320">
        <v>0</v>
      </c>
      <c r="E35" s="316">
        <v>0</v>
      </c>
      <c r="F35" s="316">
        <v>0</v>
      </c>
      <c r="G35" s="321">
        <v>0</v>
      </c>
      <c r="H35" s="319">
        <v>0</v>
      </c>
      <c r="I35" s="319">
        <v>0</v>
      </c>
      <c r="J35" s="230"/>
      <c r="K35" s="305" t="s">
        <v>152</v>
      </c>
      <c r="L35" s="239" t="e">
        <f t="shared" si="67"/>
        <v>#DIV/0!</v>
      </c>
      <c r="M35" s="267" t="e">
        <f t="shared" si="68"/>
        <v>#DIV/0!</v>
      </c>
      <c r="N35" s="267" t="e">
        <f t="shared" si="69"/>
        <v>#DIV/0!</v>
      </c>
      <c r="O35" s="239" t="e">
        <f t="shared" si="70"/>
        <v>#DIV/0!</v>
      </c>
      <c r="P35" s="267" t="e">
        <f t="shared" si="71"/>
        <v>#DIV/0!</v>
      </c>
      <c r="Q35" s="267" t="e">
        <f t="shared" si="72"/>
        <v>#DIV/0!</v>
      </c>
      <c r="R35" s="267" t="e">
        <f t="shared" si="73"/>
        <v>#DIV/0!</v>
      </c>
      <c r="S35" s="267" t="e">
        <f t="shared" si="74"/>
        <v>#DIV/0!</v>
      </c>
      <c r="T35" s="269"/>
      <c r="U35" s="239" t="s">
        <v>517</v>
      </c>
      <c r="V35" s="492">
        <f t="shared" si="62"/>
        <v>0</v>
      </c>
      <c r="Z35" s="214">
        <f t="shared" si="65"/>
        <v>0</v>
      </c>
      <c r="AA35" s="214">
        <f t="shared" si="66"/>
        <v>0</v>
      </c>
      <c r="AE35" s="577" t="s">
        <v>518</v>
      </c>
      <c r="AF35" s="578">
        <f t="shared" si="0"/>
        <v>9.4500000000000001E-3</v>
      </c>
      <c r="AG35" s="578">
        <f t="shared" si="1"/>
        <v>1.1937000015258789E-2</v>
      </c>
      <c r="AH35" s="578">
        <f t="shared" si="2"/>
        <v>0</v>
      </c>
      <c r="AI35" s="578">
        <v>0</v>
      </c>
      <c r="AJ35" s="578">
        <f t="shared" si="3"/>
        <v>8.0000000000000002E-3</v>
      </c>
      <c r="AK35" s="578">
        <f t="shared" si="4"/>
        <v>0</v>
      </c>
      <c r="AL35" s="578">
        <f t="shared" si="39"/>
        <v>0.2692889</v>
      </c>
      <c r="AM35" s="578">
        <f t="shared" si="40"/>
        <v>1.8E-3</v>
      </c>
      <c r="AN35" s="578">
        <f t="shared" si="41"/>
        <v>0.21356391687115042</v>
      </c>
      <c r="AO35" s="578">
        <f t="shared" si="42"/>
        <v>7.4599999999999996E-3</v>
      </c>
      <c r="AP35" s="578">
        <f t="shared" si="43"/>
        <v>0.34438427999999993</v>
      </c>
      <c r="AQ35" s="578">
        <f t="shared" si="44"/>
        <v>0</v>
      </c>
      <c r="AR35" s="578">
        <f t="shared" si="45"/>
        <v>1.7079999999999998E-2</v>
      </c>
      <c r="AS35" s="578">
        <f t="shared" si="46"/>
        <v>1.6684999999999998E-2</v>
      </c>
      <c r="AT35" s="578">
        <f t="shared" si="47"/>
        <v>0.19400000000000001</v>
      </c>
      <c r="AU35" s="578">
        <f t="shared" si="48"/>
        <v>0</v>
      </c>
      <c r="AV35" s="578">
        <f t="shared" si="49"/>
        <v>0</v>
      </c>
      <c r="AW35" s="578">
        <f t="shared" si="50"/>
        <v>0</v>
      </c>
      <c r="AX35" s="578">
        <v>0</v>
      </c>
      <c r="AY35" s="578">
        <f t="shared" si="51"/>
        <v>4.5573333333333334E-3</v>
      </c>
      <c r="AZ35" s="578">
        <f t="shared" si="52"/>
        <v>0</v>
      </c>
      <c r="BA35" s="578">
        <f t="shared" si="53"/>
        <v>2.6704697085700002E-2</v>
      </c>
      <c r="BB35" s="578">
        <f t="shared" si="54"/>
        <v>1E-3</v>
      </c>
      <c r="BC35" s="578">
        <f t="shared" si="55"/>
        <v>0</v>
      </c>
      <c r="BD35" s="578">
        <f t="shared" si="56"/>
        <v>3.0079999999999998E-3</v>
      </c>
      <c r="BE35" s="578">
        <f t="shared" si="57"/>
        <v>7.0000000000000001E-3</v>
      </c>
      <c r="BF35" s="578">
        <f t="shared" si="58"/>
        <v>0.38739999999999997</v>
      </c>
      <c r="BG35" s="578">
        <v>0</v>
      </c>
      <c r="BH35" s="578">
        <f t="shared" si="59"/>
        <v>0</v>
      </c>
      <c r="BI35" s="578">
        <f t="shared" si="60"/>
        <v>0</v>
      </c>
    </row>
    <row r="36" spans="1:61" ht="13.15" customHeight="1">
      <c r="A36" s="239" t="s">
        <v>504</v>
      </c>
      <c r="B36" s="319">
        <v>0</v>
      </c>
      <c r="C36" s="320">
        <v>0</v>
      </c>
      <c r="D36" s="320">
        <v>0</v>
      </c>
      <c r="E36" s="316">
        <v>0</v>
      </c>
      <c r="F36" s="316">
        <v>0</v>
      </c>
      <c r="G36" s="321">
        <v>0</v>
      </c>
      <c r="H36" s="319">
        <v>0</v>
      </c>
      <c r="I36" s="319">
        <v>0</v>
      </c>
      <c r="J36" s="230"/>
      <c r="K36" s="305" t="s">
        <v>504</v>
      </c>
      <c r="L36" s="239" t="e">
        <f t="shared" si="67"/>
        <v>#DIV/0!</v>
      </c>
      <c r="M36" s="267" t="e">
        <f t="shared" si="68"/>
        <v>#DIV/0!</v>
      </c>
      <c r="N36" s="267" t="e">
        <f t="shared" si="69"/>
        <v>#DIV/0!</v>
      </c>
      <c r="O36" s="239" t="e">
        <f t="shared" si="70"/>
        <v>#DIV/0!</v>
      </c>
      <c r="P36" s="267" t="e">
        <f t="shared" si="71"/>
        <v>#DIV/0!</v>
      </c>
      <c r="Q36" s="267" t="e">
        <f t="shared" si="72"/>
        <v>#DIV/0!</v>
      </c>
      <c r="R36" s="267" t="e">
        <f t="shared" si="73"/>
        <v>#DIV/0!</v>
      </c>
      <c r="S36" s="267" t="e">
        <f t="shared" si="74"/>
        <v>#DIV/0!</v>
      </c>
      <c r="T36" s="269"/>
      <c r="U36" s="239" t="s">
        <v>518</v>
      </c>
      <c r="V36" s="492">
        <f t="shared" si="62"/>
        <v>1.1937000015258789E-2</v>
      </c>
      <c r="Z36" s="214">
        <f t="shared" si="65"/>
        <v>0</v>
      </c>
      <c r="AA36" s="214">
        <f t="shared" si="66"/>
        <v>0</v>
      </c>
      <c r="AE36" s="577" t="s">
        <v>519</v>
      </c>
      <c r="AF36" s="578">
        <f t="shared" si="0"/>
        <v>0</v>
      </c>
      <c r="AG36" s="578">
        <f t="shared" si="1"/>
        <v>0.01</v>
      </c>
      <c r="AH36" s="578">
        <f t="shared" si="2"/>
        <v>0</v>
      </c>
      <c r="AI36" s="578">
        <v>0</v>
      </c>
      <c r="AJ36" s="578">
        <f t="shared" si="3"/>
        <v>0</v>
      </c>
      <c r="AK36" s="578">
        <f t="shared" si="4"/>
        <v>0</v>
      </c>
      <c r="AL36" s="578">
        <f t="shared" si="39"/>
        <v>0</v>
      </c>
      <c r="AM36" s="578">
        <f t="shared" si="40"/>
        <v>2.0600000000000002E-3</v>
      </c>
      <c r="AN36" s="578">
        <f t="shared" si="41"/>
        <v>4.7646636611941233E-2</v>
      </c>
      <c r="AO36" s="578">
        <f t="shared" si="42"/>
        <v>0</v>
      </c>
      <c r="AP36" s="578">
        <f t="shared" si="43"/>
        <v>0</v>
      </c>
      <c r="AQ36" s="578">
        <f t="shared" si="44"/>
        <v>7.1399999999999996E-3</v>
      </c>
      <c r="AR36" s="578">
        <f t="shared" si="45"/>
        <v>0</v>
      </c>
      <c r="AS36" s="578">
        <f t="shared" si="46"/>
        <v>2.0599999999999999E-4</v>
      </c>
      <c r="AT36" s="578">
        <f t="shared" si="47"/>
        <v>6.0999999999999999E-2</v>
      </c>
      <c r="AU36" s="578">
        <f t="shared" si="48"/>
        <v>0</v>
      </c>
      <c r="AV36" s="578">
        <f t="shared" si="49"/>
        <v>6.5700000000000008E-2</v>
      </c>
      <c r="AW36" s="578">
        <f t="shared" si="50"/>
        <v>2E-3</v>
      </c>
      <c r="AX36" s="578">
        <v>0</v>
      </c>
      <c r="AY36" s="578">
        <f t="shared" si="51"/>
        <v>0.39350816666666666</v>
      </c>
      <c r="AZ36" s="578">
        <f t="shared" si="52"/>
        <v>0.55720000000000003</v>
      </c>
      <c r="BA36" s="578">
        <f t="shared" si="53"/>
        <v>0</v>
      </c>
      <c r="BB36" s="578">
        <f t="shared" si="54"/>
        <v>0</v>
      </c>
      <c r="BC36" s="578">
        <f t="shared" si="55"/>
        <v>0</v>
      </c>
      <c r="BD36" s="578">
        <f t="shared" si="56"/>
        <v>0</v>
      </c>
      <c r="BE36" s="578">
        <f t="shared" si="57"/>
        <v>0</v>
      </c>
      <c r="BF36" s="578">
        <f t="shared" si="58"/>
        <v>7.6499999999999999E-2</v>
      </c>
      <c r="BG36" s="578">
        <v>0</v>
      </c>
      <c r="BH36" s="578">
        <f t="shared" si="59"/>
        <v>0</v>
      </c>
      <c r="BI36" s="578">
        <f t="shared" si="60"/>
        <v>0</v>
      </c>
    </row>
    <row r="37" spans="1:61" ht="13.15" customHeight="1">
      <c r="A37" s="239" t="s">
        <v>505</v>
      </c>
      <c r="B37" s="319">
        <v>0</v>
      </c>
      <c r="C37" s="320">
        <v>0</v>
      </c>
      <c r="D37" s="320">
        <v>0</v>
      </c>
      <c r="E37" s="316">
        <v>0</v>
      </c>
      <c r="F37" s="316">
        <v>0</v>
      </c>
      <c r="G37" s="321">
        <v>0</v>
      </c>
      <c r="H37" s="319">
        <v>0</v>
      </c>
      <c r="I37" s="319">
        <v>0</v>
      </c>
      <c r="J37" s="230"/>
      <c r="K37" s="305" t="s">
        <v>505</v>
      </c>
      <c r="L37" s="239" t="e">
        <f t="shared" si="67"/>
        <v>#DIV/0!</v>
      </c>
      <c r="M37" s="267" t="e">
        <f t="shared" si="68"/>
        <v>#DIV/0!</v>
      </c>
      <c r="N37" s="267" t="e">
        <f t="shared" si="69"/>
        <v>#DIV/0!</v>
      </c>
      <c r="O37" s="239" t="e">
        <f t="shared" si="70"/>
        <v>#DIV/0!</v>
      </c>
      <c r="P37" s="267" t="e">
        <f t="shared" si="71"/>
        <v>#DIV/0!</v>
      </c>
      <c r="Q37" s="267" t="e">
        <f t="shared" si="72"/>
        <v>#DIV/0!</v>
      </c>
      <c r="R37" s="267" t="e">
        <f t="shared" si="73"/>
        <v>#DIV/0!</v>
      </c>
      <c r="S37" s="267" t="e">
        <f t="shared" si="74"/>
        <v>#DIV/0!</v>
      </c>
      <c r="T37" s="269"/>
      <c r="U37" s="239" t="s">
        <v>519</v>
      </c>
      <c r="V37" s="492">
        <f t="shared" si="62"/>
        <v>0.01</v>
      </c>
      <c r="Z37" s="214">
        <f t="shared" si="65"/>
        <v>0</v>
      </c>
      <c r="AA37" s="214">
        <f t="shared" si="66"/>
        <v>0</v>
      </c>
    </row>
    <row r="38" spans="1:61" ht="13.15" customHeight="1">
      <c r="A38" s="239" t="s">
        <v>506</v>
      </c>
      <c r="B38" s="319">
        <v>154</v>
      </c>
      <c r="C38" s="320">
        <v>154</v>
      </c>
      <c r="D38" s="320">
        <v>171</v>
      </c>
      <c r="E38" s="316">
        <v>1037.9049375</v>
      </c>
      <c r="F38" s="316">
        <v>1037.905</v>
      </c>
      <c r="G38" s="321">
        <v>3736.4580000000001</v>
      </c>
      <c r="H38" s="319">
        <v>9832.7839999999997</v>
      </c>
      <c r="I38" s="319">
        <v>4</v>
      </c>
      <c r="J38" s="230"/>
      <c r="K38" s="305" t="s">
        <v>506</v>
      </c>
      <c r="L38" s="239">
        <f t="shared" si="67"/>
        <v>38.5</v>
      </c>
      <c r="M38" s="267">
        <f t="shared" si="68"/>
        <v>42.75</v>
      </c>
      <c r="N38" s="267">
        <f t="shared" si="69"/>
        <v>1.1103896103896105</v>
      </c>
      <c r="O38" s="239">
        <f t="shared" si="70"/>
        <v>76.000001627209542</v>
      </c>
      <c r="P38" s="267">
        <f t="shared" si="71"/>
        <v>75.999999338946111</v>
      </c>
      <c r="Q38" s="267">
        <f t="shared" si="72"/>
        <v>0.76936557663227179</v>
      </c>
      <c r="R38" s="267">
        <f t="shared" si="73"/>
        <v>0.69279989533625563</v>
      </c>
      <c r="S38" s="267">
        <f t="shared" si="74"/>
        <v>1.000000060217461</v>
      </c>
      <c r="T38" s="269"/>
      <c r="Z38" s="214">
        <f t="shared" si="65"/>
        <v>0</v>
      </c>
      <c r="AA38" s="214">
        <f t="shared" si="66"/>
        <v>6.2500000012732926E-5</v>
      </c>
    </row>
    <row r="39" spans="1:61" ht="13.15" customHeight="1">
      <c r="A39" s="239" t="s">
        <v>507</v>
      </c>
      <c r="B39" s="319">
        <v>0</v>
      </c>
      <c r="C39" s="320">
        <v>0</v>
      </c>
      <c r="D39" s="320">
        <v>0</v>
      </c>
      <c r="E39" s="316">
        <v>0</v>
      </c>
      <c r="F39" s="316">
        <v>0</v>
      </c>
      <c r="G39" s="321">
        <v>0</v>
      </c>
      <c r="H39" s="319">
        <v>0</v>
      </c>
      <c r="I39" s="319">
        <v>0</v>
      </c>
      <c r="J39" s="230"/>
      <c r="K39" s="305" t="s">
        <v>507</v>
      </c>
      <c r="L39" s="239" t="e">
        <f t="shared" si="67"/>
        <v>#DIV/0!</v>
      </c>
      <c r="M39" s="267" t="e">
        <f t="shared" si="68"/>
        <v>#DIV/0!</v>
      </c>
      <c r="N39" s="267" t="e">
        <f t="shared" si="69"/>
        <v>#DIV/0!</v>
      </c>
      <c r="O39" s="239" t="e">
        <f t="shared" si="70"/>
        <v>#DIV/0!</v>
      </c>
      <c r="P39" s="267" t="e">
        <f t="shared" si="71"/>
        <v>#DIV/0!</v>
      </c>
      <c r="Q39" s="267" t="e">
        <f t="shared" si="72"/>
        <v>#DIV/0!</v>
      </c>
      <c r="R39" s="267" t="e">
        <f t="shared" si="73"/>
        <v>#DIV/0!</v>
      </c>
      <c r="S39" s="267" t="e">
        <f t="shared" si="74"/>
        <v>#DIV/0!</v>
      </c>
      <c r="T39" s="269"/>
      <c r="Z39" s="214">
        <f t="shared" si="65"/>
        <v>0</v>
      </c>
      <c r="AA39" s="214">
        <f t="shared" si="66"/>
        <v>0</v>
      </c>
    </row>
    <row r="40" spans="1:61" ht="13.15" customHeight="1">
      <c r="A40" s="239" t="s">
        <v>156</v>
      </c>
      <c r="B40" s="319">
        <v>0</v>
      </c>
      <c r="C40" s="320">
        <v>0</v>
      </c>
      <c r="D40" s="320">
        <v>0</v>
      </c>
      <c r="E40" s="316">
        <v>0</v>
      </c>
      <c r="F40" s="316">
        <v>0</v>
      </c>
      <c r="G40" s="321">
        <v>0</v>
      </c>
      <c r="H40" s="319">
        <v>0</v>
      </c>
      <c r="I40" s="319">
        <v>0</v>
      </c>
      <c r="J40" s="230"/>
      <c r="K40" s="305" t="s">
        <v>156</v>
      </c>
      <c r="L40" s="239" t="e">
        <f t="shared" si="67"/>
        <v>#DIV/0!</v>
      </c>
      <c r="M40" s="267" t="e">
        <f t="shared" si="68"/>
        <v>#DIV/0!</v>
      </c>
      <c r="N40" s="267" t="e">
        <f t="shared" si="69"/>
        <v>#DIV/0!</v>
      </c>
      <c r="O40" s="322" t="e">
        <f t="shared" si="70"/>
        <v>#DIV/0!</v>
      </c>
      <c r="P40" s="323" t="e">
        <f t="shared" si="71"/>
        <v>#DIV/0!</v>
      </c>
      <c r="Q40" s="267" t="e">
        <f t="shared" si="72"/>
        <v>#DIV/0!</v>
      </c>
      <c r="R40" s="267" t="e">
        <f t="shared" si="73"/>
        <v>#DIV/0!</v>
      </c>
      <c r="S40" s="267" t="e">
        <f t="shared" si="74"/>
        <v>#DIV/0!</v>
      </c>
      <c r="T40" s="269"/>
      <c r="Z40" s="214">
        <f t="shared" si="65"/>
        <v>0</v>
      </c>
      <c r="AA40" s="214">
        <f t="shared" si="66"/>
        <v>0</v>
      </c>
    </row>
    <row r="41" spans="1:61" ht="13.15" customHeight="1">
      <c r="A41" s="239" t="s">
        <v>508</v>
      </c>
      <c r="B41" s="319">
        <v>54.2</v>
      </c>
      <c r="C41" s="320">
        <v>83.9</v>
      </c>
      <c r="D41" s="320">
        <v>74</v>
      </c>
      <c r="E41" s="316">
        <v>113.136</v>
      </c>
      <c r="F41" s="316">
        <v>113.13635000000001</v>
      </c>
      <c r="G41" s="321">
        <v>1810.3340000000001</v>
      </c>
      <c r="H41" s="319">
        <v>2719.8358750000002</v>
      </c>
      <c r="I41" s="319">
        <v>4</v>
      </c>
      <c r="J41" s="230"/>
      <c r="K41" s="305" t="s">
        <v>508</v>
      </c>
      <c r="L41" s="239">
        <f t="shared" si="67"/>
        <v>13.55</v>
      </c>
      <c r="M41" s="267">
        <f t="shared" si="68"/>
        <v>18.5</v>
      </c>
      <c r="N41" s="267">
        <f t="shared" si="69"/>
        <v>1.3653136531365313</v>
      </c>
      <c r="O41" s="239">
        <f t="shared" si="70"/>
        <v>81.535245578007519</v>
      </c>
      <c r="P41" s="267">
        <f t="shared" si="71"/>
        <v>81.535199251682769</v>
      </c>
      <c r="Q41" s="267">
        <f t="shared" si="72"/>
        <v>0.23828539655259567</v>
      </c>
      <c r="R41" s="267">
        <f t="shared" si="73"/>
        <v>0.77565894852734252</v>
      </c>
      <c r="S41" s="267">
        <f t="shared" si="74"/>
        <v>4.4448323748016154</v>
      </c>
      <c r="T41" s="269"/>
      <c r="Z41" s="214">
        <f t="shared" si="65"/>
        <v>29.700000000000003</v>
      </c>
      <c r="AA41" s="214">
        <f t="shared" si="66"/>
        <v>3.5000000001161879E-4</v>
      </c>
    </row>
    <row r="42" spans="1:61" ht="13.15" customHeight="1">
      <c r="A42" s="239" t="s">
        <v>509</v>
      </c>
      <c r="B42" s="319">
        <v>36.379999938964843</v>
      </c>
      <c r="C42" s="320">
        <v>36.380000000000003</v>
      </c>
      <c r="D42" s="320">
        <v>84.61</v>
      </c>
      <c r="E42" s="316">
        <v>17.780089483191571</v>
      </c>
      <c r="F42" s="316">
        <v>40.720463000000002</v>
      </c>
      <c r="G42" s="321">
        <v>594.25</v>
      </c>
      <c r="H42" s="319">
        <v>1629.9676662597656</v>
      </c>
      <c r="I42" s="319">
        <v>7</v>
      </c>
      <c r="J42" s="230"/>
      <c r="K42" s="305" t="s">
        <v>509</v>
      </c>
      <c r="L42" s="239">
        <f t="shared" si="67"/>
        <v>5.1971428484235487</v>
      </c>
      <c r="M42" s="267">
        <f t="shared" si="68"/>
        <v>12.087142857142856</v>
      </c>
      <c r="N42" s="267">
        <f t="shared" si="69"/>
        <v>2.3257284261119078</v>
      </c>
      <c r="O42" s="239">
        <f t="shared" si="70"/>
        <v>45.451433309716521</v>
      </c>
      <c r="P42" s="267">
        <f t="shared" si="71"/>
        <v>40.384747241641534</v>
      </c>
      <c r="Q42" s="267">
        <f t="shared" si="72"/>
        <v>5.5791384927934208E-2</v>
      </c>
      <c r="R42" s="267">
        <f t="shared" si="73"/>
        <v>0.22268517955794226</v>
      </c>
      <c r="S42" s="267">
        <f t="shared" si="74"/>
        <v>9.2839490262685711</v>
      </c>
      <c r="T42" s="269"/>
      <c r="Z42" s="214">
        <f t="shared" si="65"/>
        <v>6.1035159149014362E-8</v>
      </c>
      <c r="AA42" s="214">
        <f t="shared" si="66"/>
        <v>22.940373516808432</v>
      </c>
    </row>
    <row r="43" spans="1:61" ht="13.15" customHeight="1">
      <c r="A43" s="239" t="s">
        <v>510</v>
      </c>
      <c r="B43" s="319">
        <v>0.36599999999999999</v>
      </c>
      <c r="C43" s="320">
        <v>0.58399999999999996</v>
      </c>
      <c r="D43" s="320">
        <v>0.61</v>
      </c>
      <c r="E43" s="316">
        <v>0.76333336366547477</v>
      </c>
      <c r="F43" s="316">
        <v>1.2230000000000001</v>
      </c>
      <c r="G43" s="321">
        <v>4.58</v>
      </c>
      <c r="H43" s="319">
        <v>12.9189189453125</v>
      </c>
      <c r="I43" s="319">
        <v>2</v>
      </c>
      <c r="J43" s="230"/>
      <c r="K43" s="305" t="s">
        <v>510</v>
      </c>
      <c r="L43" s="239">
        <f t="shared" si="67"/>
        <v>0.183</v>
      </c>
      <c r="M43" s="267">
        <f t="shared" si="68"/>
        <v>0.30499999999999999</v>
      </c>
      <c r="N43" s="267">
        <f t="shared" si="69"/>
        <v>1.6666666666666667</v>
      </c>
      <c r="O43" s="322">
        <f t="shared" si="70"/>
        <v>69.532133749158007</v>
      </c>
      <c r="P43" s="323">
        <f t="shared" si="71"/>
        <v>56.723013281653884</v>
      </c>
      <c r="Q43" s="267">
        <f t="shared" si="72"/>
        <v>0.23808336566655278</v>
      </c>
      <c r="R43" s="267">
        <f t="shared" si="73"/>
        <v>0.23805618084286026</v>
      </c>
      <c r="S43" s="267">
        <f t="shared" si="74"/>
        <v>1.6666666004392863</v>
      </c>
      <c r="T43" s="269"/>
      <c r="Z43" s="214">
        <f t="shared" si="65"/>
        <v>0.21799999999999997</v>
      </c>
      <c r="AA43" s="214">
        <f t="shared" si="66"/>
        <v>0.45966663633452531</v>
      </c>
    </row>
    <row r="44" spans="1:61" ht="13.15" customHeight="1">
      <c r="A44" s="239" t="s">
        <v>511</v>
      </c>
      <c r="B44" s="324">
        <v>0</v>
      </c>
      <c r="C44" s="325">
        <v>0</v>
      </c>
      <c r="D44" s="320">
        <v>0</v>
      </c>
      <c r="E44" s="316">
        <v>0</v>
      </c>
      <c r="F44" s="316">
        <v>0</v>
      </c>
      <c r="G44" s="321">
        <v>0</v>
      </c>
      <c r="H44" s="319">
        <v>0</v>
      </c>
      <c r="I44" s="319">
        <v>0</v>
      </c>
      <c r="J44" s="230"/>
      <c r="K44" s="305" t="s">
        <v>511</v>
      </c>
      <c r="L44" s="239" t="e">
        <f>B44/I44</f>
        <v>#DIV/0!</v>
      </c>
      <c r="M44" s="267" t="e">
        <f>D44/I44</f>
        <v>#DIV/0!</v>
      </c>
      <c r="N44" s="267" t="e">
        <f>D44/B44</f>
        <v>#DIV/0!</v>
      </c>
      <c r="O44" s="239" t="e">
        <f>(F44*3.6+G44)*100/H44</f>
        <v>#DIV/0!</v>
      </c>
      <c r="P44" s="267" t="e">
        <f>(E44*3.6+G44)*100/H44</f>
        <v>#DIV/0!</v>
      </c>
      <c r="Q44" s="267" t="e">
        <f>E44/(B44*8760)*1000</f>
        <v>#DIV/0!</v>
      </c>
      <c r="R44" s="267" t="e">
        <f>G44/(D44*8761)*1000/3.6</f>
        <v>#DIV/0!</v>
      </c>
      <c r="S44" s="267" t="e">
        <f>G44/(E44*3.6)</f>
        <v>#DIV/0!</v>
      </c>
      <c r="T44" s="269"/>
      <c r="Z44" s="214">
        <f t="shared" si="65"/>
        <v>0</v>
      </c>
      <c r="AA44" s="214">
        <f t="shared" si="66"/>
        <v>0</v>
      </c>
    </row>
    <row r="45" spans="1:61" ht="13.15" customHeight="1">
      <c r="A45" s="239" t="s">
        <v>512</v>
      </c>
      <c r="B45" s="324">
        <v>166.95699999999999</v>
      </c>
      <c r="C45" s="325">
        <v>166.95699999999999</v>
      </c>
      <c r="D45" s="320">
        <v>875.13300000000004</v>
      </c>
      <c r="E45" s="316">
        <v>336.32362840483921</v>
      </c>
      <c r="F45" s="316">
        <v>349.40367700000002</v>
      </c>
      <c r="G45" s="321">
        <v>7643.701</v>
      </c>
      <c r="H45" s="319">
        <v>11963.968956298828</v>
      </c>
      <c r="I45" s="319">
        <v>43</v>
      </c>
      <c r="J45" s="230"/>
      <c r="K45" s="305" t="s">
        <v>512</v>
      </c>
      <c r="L45" s="239">
        <f t="shared" si="67"/>
        <v>3.882720930232558</v>
      </c>
      <c r="M45" s="267">
        <f t="shared" si="68"/>
        <v>20.351930232558139</v>
      </c>
      <c r="N45" s="267">
        <f t="shared" si="69"/>
        <v>5.2416670160580274</v>
      </c>
      <c r="O45" s="239">
        <f t="shared" si="70"/>
        <v>74.403020182641654</v>
      </c>
      <c r="P45" s="267">
        <f t="shared" si="71"/>
        <v>74.009436956919672</v>
      </c>
      <c r="Q45" s="267">
        <f t="shared" si="72"/>
        <v>0.22995806264722418</v>
      </c>
      <c r="R45" s="267">
        <f t="shared" si="73"/>
        <v>0.27693219531803931</v>
      </c>
      <c r="S45" s="267">
        <f t="shared" si="74"/>
        <v>6.3131165890669463</v>
      </c>
      <c r="T45" s="269"/>
      <c r="Z45" s="214">
        <f t="shared" si="65"/>
        <v>0</v>
      </c>
      <c r="AA45" s="214">
        <f t="shared" si="66"/>
        <v>13.080048595160804</v>
      </c>
    </row>
    <row r="46" spans="1:61" ht="13.15" customHeight="1">
      <c r="A46" s="239" t="s">
        <v>513</v>
      </c>
      <c r="B46" s="324">
        <v>0.3</v>
      </c>
      <c r="C46" s="325">
        <v>0.3</v>
      </c>
      <c r="D46" s="320">
        <v>0.315</v>
      </c>
      <c r="E46" s="316">
        <v>9.6000000000000002E-2</v>
      </c>
      <c r="F46" s="316">
        <v>9.6000000000000002E-2</v>
      </c>
      <c r="G46" s="321">
        <v>0.496</v>
      </c>
      <c r="H46" s="319">
        <v>0.99</v>
      </c>
      <c r="I46" s="319">
        <v>1</v>
      </c>
      <c r="J46" s="230"/>
      <c r="K46" s="305" t="s">
        <v>513</v>
      </c>
      <c r="L46" s="239">
        <f t="shared" si="67"/>
        <v>0.3</v>
      </c>
      <c r="M46" s="267">
        <f t="shared" si="68"/>
        <v>0.315</v>
      </c>
      <c r="N46" s="267">
        <f t="shared" si="69"/>
        <v>1.05</v>
      </c>
      <c r="O46" s="239">
        <f t="shared" si="70"/>
        <v>85.01010101010101</v>
      </c>
      <c r="P46" s="267">
        <f t="shared" si="71"/>
        <v>85.01010101010101</v>
      </c>
      <c r="Q46" s="267">
        <f t="shared" si="72"/>
        <v>3.6529680365296802E-2</v>
      </c>
      <c r="R46" s="267">
        <f>G46/(D46*8761)*1000/3.6</f>
        <v>4.9924639963828787E-2</v>
      </c>
      <c r="S46" s="267">
        <f t="shared" si="74"/>
        <v>1.4351851851851851</v>
      </c>
      <c r="T46" s="269"/>
      <c r="Z46" s="214">
        <f t="shared" si="65"/>
        <v>0</v>
      </c>
      <c r="AA46" s="214">
        <f t="shared" si="66"/>
        <v>0</v>
      </c>
    </row>
    <row r="47" spans="1:61" ht="13.15" customHeight="1">
      <c r="A47" s="239" t="s">
        <v>514</v>
      </c>
      <c r="B47" s="324">
        <v>47</v>
      </c>
      <c r="C47" s="325">
        <v>47</v>
      </c>
      <c r="D47" s="320">
        <v>435</v>
      </c>
      <c r="E47" s="316">
        <v>236.425765625</v>
      </c>
      <c r="F47" s="316">
        <v>236.42579999999998</v>
      </c>
      <c r="G47" s="321">
        <v>7313.451</v>
      </c>
      <c r="H47" s="319">
        <v>9464.7950000000001</v>
      </c>
      <c r="I47" s="319">
        <v>3</v>
      </c>
      <c r="J47" s="230"/>
      <c r="K47" s="305" t="s">
        <v>514</v>
      </c>
      <c r="L47" s="239">
        <f t="shared" si="67"/>
        <v>15.666666666666666</v>
      </c>
      <c r="M47" s="267">
        <f t="shared" si="68"/>
        <v>145</v>
      </c>
      <c r="N47" s="267">
        <f t="shared" si="69"/>
        <v>9.2553191489361701</v>
      </c>
      <c r="O47" s="239">
        <f t="shared" si="70"/>
        <v>86.262659465947237</v>
      </c>
      <c r="P47" s="267">
        <f t="shared" si="71"/>
        <v>86.262658158470416</v>
      </c>
      <c r="Q47" s="267">
        <f t="shared" si="72"/>
        <v>0.57423920534586614</v>
      </c>
      <c r="R47" s="267">
        <f t="shared" si="73"/>
        <v>0.53306101011055174</v>
      </c>
      <c r="S47" s="267">
        <f t="shared" si="74"/>
        <v>8.5926090216786903</v>
      </c>
      <c r="T47" s="269"/>
      <c r="Z47" s="214">
        <f t="shared" si="65"/>
        <v>0</v>
      </c>
      <c r="AA47" s="214">
        <f t="shared" si="66"/>
        <v>3.4374999984265742E-5</v>
      </c>
    </row>
    <row r="48" spans="1:61" ht="13.15" customHeight="1">
      <c r="A48" s="239" t="s">
        <v>515</v>
      </c>
      <c r="B48" s="324">
        <v>5.73</v>
      </c>
      <c r="C48" s="325">
        <v>9.5299999999999994</v>
      </c>
      <c r="D48" s="320">
        <v>7.4770000000000003</v>
      </c>
      <c r="E48" s="316">
        <v>1.9774790426095326</v>
      </c>
      <c r="F48" s="316">
        <v>3.136009</v>
      </c>
      <c r="G48" s="321">
        <v>9.8019999999999996</v>
      </c>
      <c r="H48" s="319">
        <v>29.570709472656251</v>
      </c>
      <c r="I48" s="319">
        <v>10</v>
      </c>
      <c r="J48" s="230"/>
      <c r="K48" s="305" t="s">
        <v>515</v>
      </c>
      <c r="L48" s="239">
        <f t="shared" si="67"/>
        <v>0.57300000000000006</v>
      </c>
      <c r="M48" s="267">
        <f t="shared" si="68"/>
        <v>0.74770000000000003</v>
      </c>
      <c r="N48" s="267">
        <f t="shared" si="69"/>
        <v>1.3048865619546248</v>
      </c>
      <c r="O48" s="239">
        <f t="shared" si="70"/>
        <v>71.326095234553748</v>
      </c>
      <c r="P48" s="267">
        <f t="shared" si="71"/>
        <v>57.221909298594724</v>
      </c>
      <c r="Q48" s="267">
        <f t="shared" si="72"/>
        <v>3.9396093671247467E-2</v>
      </c>
      <c r="R48" s="267">
        <f t="shared" si="73"/>
        <v>4.1565320771742124E-2</v>
      </c>
      <c r="S48" s="267">
        <f t="shared" si="74"/>
        <v>1.3768933673171724</v>
      </c>
      <c r="T48" s="269"/>
      <c r="Z48" s="214">
        <f t="shared" si="65"/>
        <v>3.7999999999999989</v>
      </c>
      <c r="AA48" s="214">
        <f t="shared" si="66"/>
        <v>1.1585299573904675</v>
      </c>
    </row>
    <row r="49" spans="1:27" ht="13.15" customHeight="1">
      <c r="A49" s="239" t="s">
        <v>516</v>
      </c>
      <c r="B49" s="319">
        <v>0.76</v>
      </c>
      <c r="C49" s="320">
        <v>0.76</v>
      </c>
      <c r="D49" s="319">
        <v>0.79600000000000004</v>
      </c>
      <c r="E49" s="316">
        <v>0</v>
      </c>
      <c r="F49" s="316">
        <v>0</v>
      </c>
      <c r="G49" s="321">
        <v>0</v>
      </c>
      <c r="H49" s="319">
        <v>0</v>
      </c>
      <c r="I49" s="319">
        <v>1</v>
      </c>
      <c r="J49" s="244"/>
      <c r="K49" s="239" t="s">
        <v>516</v>
      </c>
      <c r="L49" s="239">
        <f>B49/I49</f>
        <v>0.76</v>
      </c>
      <c r="M49" s="267">
        <f>D49/I49</f>
        <v>0.79600000000000004</v>
      </c>
      <c r="N49" s="267">
        <f>D49/B49</f>
        <v>1.0473684210526317</v>
      </c>
      <c r="O49" s="239" t="e">
        <f>(F49*3.6+G49)*100/H49</f>
        <v>#DIV/0!</v>
      </c>
      <c r="P49" s="267" t="e">
        <f>(E49*3.6+G49)*100/H49</f>
        <v>#DIV/0!</v>
      </c>
      <c r="Q49" s="267">
        <f>E49/(B49*8760)*1000</f>
        <v>0</v>
      </c>
      <c r="R49" s="267">
        <f>G49/(D49*8761)*1000/3.6</f>
        <v>0</v>
      </c>
      <c r="S49" s="267" t="e">
        <f>G49/(E49*3.6)</f>
        <v>#DIV/0!</v>
      </c>
      <c r="Z49" s="214">
        <f t="shared" si="65"/>
        <v>0</v>
      </c>
      <c r="AA49" s="214">
        <f t="shared" si="66"/>
        <v>0</v>
      </c>
    </row>
    <row r="50" spans="1:27" ht="13.15" customHeight="1">
      <c r="A50" s="239" t="s">
        <v>517</v>
      </c>
      <c r="B50" s="319">
        <v>0</v>
      </c>
      <c r="C50" s="320">
        <v>0</v>
      </c>
      <c r="D50" s="320">
        <v>0</v>
      </c>
      <c r="E50" s="316">
        <v>0</v>
      </c>
      <c r="F50" s="316">
        <v>0</v>
      </c>
      <c r="G50" s="321">
        <v>0</v>
      </c>
      <c r="H50" s="319">
        <v>0</v>
      </c>
      <c r="I50" s="319">
        <v>0</v>
      </c>
      <c r="K50" s="239" t="s">
        <v>517</v>
      </c>
      <c r="L50" s="239" t="e">
        <f>B50/I50</f>
        <v>#DIV/0!</v>
      </c>
      <c r="M50" s="267" t="e">
        <f>D50/I50</f>
        <v>#DIV/0!</v>
      </c>
      <c r="N50" s="267" t="e">
        <f>D50/B50</f>
        <v>#DIV/0!</v>
      </c>
      <c r="O50" s="239" t="e">
        <f>(F50*3.6+G50)*100/H50</f>
        <v>#DIV/0!</v>
      </c>
      <c r="P50" s="267" t="e">
        <f>(E50*3.6+G50)*100/H50</f>
        <v>#DIV/0!</v>
      </c>
      <c r="Q50" s="267" t="e">
        <f>E50/(B50*8760)*1000</f>
        <v>#DIV/0!</v>
      </c>
      <c r="R50" s="267" t="e">
        <f>G50/(D50*8761)*1000/3.6</f>
        <v>#DIV/0!</v>
      </c>
      <c r="S50" s="267" t="e">
        <f>G50/(E50*3.6)</f>
        <v>#DIV/0!</v>
      </c>
      <c r="Z50" s="214">
        <f t="shared" si="65"/>
        <v>0</v>
      </c>
      <c r="AA50" s="214">
        <f t="shared" si="66"/>
        <v>0</v>
      </c>
    </row>
    <row r="51" spans="1:27" ht="13.15" customHeight="1">
      <c r="A51" s="239" t="s">
        <v>518</v>
      </c>
      <c r="B51" s="319">
        <v>11.937000015258789</v>
      </c>
      <c r="C51" s="320">
        <v>17.649000000000001</v>
      </c>
      <c r="D51" s="320">
        <v>16.2986</v>
      </c>
      <c r="E51" s="316">
        <v>21.675571283773582</v>
      </c>
      <c r="F51" s="316">
        <v>24.227692999999995</v>
      </c>
      <c r="G51" s="321">
        <v>112.44929999999999</v>
      </c>
      <c r="H51" s="319">
        <v>275.0670385131836</v>
      </c>
      <c r="I51" s="319">
        <v>43</v>
      </c>
      <c r="K51" s="239" t="s">
        <v>518</v>
      </c>
      <c r="L51" s="239">
        <f t="shared" si="67"/>
        <v>0.27760465151764624</v>
      </c>
      <c r="M51" s="267">
        <f t="shared" si="68"/>
        <v>0.3790372093023256</v>
      </c>
      <c r="N51" s="267">
        <f t="shared" si="69"/>
        <v>1.3653849358436692</v>
      </c>
      <c r="O51" s="239">
        <f t="shared" si="70"/>
        <v>72.589211662461722</v>
      </c>
      <c r="P51" s="267">
        <f t="shared" si="71"/>
        <v>69.249066573440189</v>
      </c>
      <c r="Q51" s="267">
        <f t="shared" si="72"/>
        <v>0.20728661140762791</v>
      </c>
      <c r="R51" s="267">
        <f t="shared" si="73"/>
        <v>0.21875111419321888</v>
      </c>
      <c r="S51" s="267">
        <f t="shared" si="74"/>
        <v>1.441065439878394</v>
      </c>
      <c r="Z51" s="214">
        <f t="shared" si="65"/>
        <v>5.7119999847412117</v>
      </c>
      <c r="AA51" s="214">
        <f t="shared" si="66"/>
        <v>2.5521217162264129</v>
      </c>
    </row>
    <row r="52" spans="1:27" ht="13.15" customHeight="1">
      <c r="A52" s="239" t="s">
        <v>519</v>
      </c>
      <c r="B52" s="319">
        <v>10</v>
      </c>
      <c r="C52" s="320">
        <v>10</v>
      </c>
      <c r="D52" s="320">
        <v>12</v>
      </c>
      <c r="E52" s="316">
        <v>31</v>
      </c>
      <c r="F52" s="316">
        <v>34</v>
      </c>
      <c r="G52" s="321">
        <v>151</v>
      </c>
      <c r="H52" s="319">
        <v>359</v>
      </c>
      <c r="I52" s="319">
        <v>14</v>
      </c>
      <c r="K52" s="239" t="s">
        <v>519</v>
      </c>
      <c r="L52" s="239">
        <f t="shared" si="67"/>
        <v>0.7142857142857143</v>
      </c>
      <c r="M52" s="267">
        <f t="shared" si="68"/>
        <v>0.8571428571428571</v>
      </c>
      <c r="N52" s="267">
        <f t="shared" si="69"/>
        <v>1.2</v>
      </c>
      <c r="O52" s="239">
        <f t="shared" si="70"/>
        <v>76.155988857938709</v>
      </c>
      <c r="P52" s="267">
        <f t="shared" si="71"/>
        <v>73.147632311977731</v>
      </c>
      <c r="Q52" s="267">
        <f t="shared" si="72"/>
        <v>0.35388127853881279</v>
      </c>
      <c r="R52" s="267">
        <f t="shared" si="73"/>
        <v>0.39896933801739187</v>
      </c>
      <c r="S52" s="267">
        <f t="shared" si="74"/>
        <v>1.3530465949820787</v>
      </c>
      <c r="Z52" s="214">
        <f t="shared" si="65"/>
        <v>0</v>
      </c>
      <c r="AA52" s="214">
        <f t="shared" si="66"/>
        <v>3</v>
      </c>
    </row>
    <row r="53" spans="1:27" ht="13.15" customHeight="1">
      <c r="A53" s="282" t="s">
        <v>169</v>
      </c>
      <c r="B53" s="326">
        <f>(B32+B34)</f>
        <v>1443.8122001647948</v>
      </c>
      <c r="C53" s="326">
        <f t="shared" ref="C53:I53" si="75">(C32+C34)</f>
        <v>1513.02</v>
      </c>
      <c r="D53" s="326">
        <f t="shared" si="75"/>
        <v>4242.7046</v>
      </c>
      <c r="E53" s="326">
        <f t="shared" si="75"/>
        <v>6170.1896045411977</v>
      </c>
      <c r="F53" s="326">
        <f t="shared" si="75"/>
        <v>7403.2153742799992</v>
      </c>
      <c r="G53" s="327">
        <f t="shared" si="75"/>
        <v>47953.672210999997</v>
      </c>
      <c r="H53" s="326">
        <f t="shared" si="75"/>
        <v>101102.43810992432</v>
      </c>
      <c r="I53" s="326">
        <f t="shared" si="75"/>
        <v>310</v>
      </c>
      <c r="K53" s="328" t="s">
        <v>169</v>
      </c>
      <c r="L53" s="282">
        <f>B53/I53</f>
        <v>4.6574587102090153</v>
      </c>
      <c r="M53" s="281">
        <f>D53/I53</f>
        <v>13.686143870967742</v>
      </c>
      <c r="N53" s="281">
        <f>D53/B53</f>
        <v>2.938543253420177</v>
      </c>
      <c r="O53" s="282">
        <f>(F53*3.6+G53)*100/H53</f>
        <v>73.791739302362743</v>
      </c>
      <c r="P53" s="282">
        <f>(E53*3.6+G53)*100/H53</f>
        <v>69.401248969940227</v>
      </c>
      <c r="Q53" s="281">
        <f>E53/(B53*8760)*1000</f>
        <v>0.48784706474775758</v>
      </c>
      <c r="R53" s="281">
        <f>G53/(D53*8761)*1000/3.6</f>
        <v>0.35836277781302039</v>
      </c>
      <c r="S53" s="489">
        <f>G53/(E53*3.6)</f>
        <v>2.1588420059655582</v>
      </c>
      <c r="Z53" s="214">
        <f t="shared" si="65"/>
        <v>69.207799835205151</v>
      </c>
      <c r="AA53" s="214">
        <f t="shared" si="66"/>
        <v>1233.0257697388015</v>
      </c>
    </row>
    <row r="54" spans="1:27" ht="13.15" customHeight="1"/>
    <row r="55" spans="1:27" ht="13.15" customHeight="1">
      <c r="A55" s="251" t="s">
        <v>520</v>
      </c>
      <c r="B55" s="227" t="s">
        <v>476</v>
      </c>
      <c r="C55" s="228"/>
      <c r="D55" s="286"/>
      <c r="E55" s="227" t="s">
        <v>521</v>
      </c>
      <c r="F55" s="228"/>
      <c r="G55" s="286"/>
      <c r="H55" s="200" t="s">
        <v>138</v>
      </c>
      <c r="I55" s="200" t="s">
        <v>478</v>
      </c>
    </row>
    <row r="56" spans="1:27" ht="13.15" customHeight="1">
      <c r="A56" s="239"/>
      <c r="B56" s="243" t="s">
        <v>88</v>
      </c>
      <c r="C56" s="243"/>
      <c r="D56" s="241" t="s">
        <v>34</v>
      </c>
      <c r="E56" s="243" t="s">
        <v>88</v>
      </c>
      <c r="F56" s="243"/>
      <c r="G56" s="241" t="s">
        <v>34</v>
      </c>
      <c r="H56" s="241" t="s">
        <v>170</v>
      </c>
      <c r="I56" s="241" t="s">
        <v>483</v>
      </c>
    </row>
    <row r="57" spans="1:27" ht="13.15" customHeight="1">
      <c r="A57" s="239"/>
      <c r="B57" s="252" t="s">
        <v>0</v>
      </c>
      <c r="C57" s="252" t="s">
        <v>489</v>
      </c>
      <c r="D57" s="252" t="s">
        <v>490</v>
      </c>
      <c r="E57" s="252" t="s">
        <v>491</v>
      </c>
      <c r="F57" s="252" t="s">
        <v>489</v>
      </c>
      <c r="G57" s="252" t="s">
        <v>490</v>
      </c>
      <c r="H57" s="248"/>
      <c r="I57" s="241" t="s">
        <v>492</v>
      </c>
    </row>
    <row r="58" spans="1:27" ht="13.15" customHeight="1">
      <c r="A58" s="239"/>
      <c r="B58" s="257" t="s">
        <v>496</v>
      </c>
      <c r="C58" s="256" t="s">
        <v>496</v>
      </c>
      <c r="D58" s="252" t="s">
        <v>496</v>
      </c>
      <c r="E58" s="329" t="s">
        <v>473</v>
      </c>
      <c r="F58" s="329" t="s">
        <v>473</v>
      </c>
      <c r="G58" s="252" t="s">
        <v>496</v>
      </c>
      <c r="H58" s="257" t="s">
        <v>497</v>
      </c>
      <c r="I58" s="257" t="s">
        <v>498</v>
      </c>
    </row>
    <row r="59" spans="1:27" ht="13.15" customHeight="1">
      <c r="A59" s="251" t="s">
        <v>522</v>
      </c>
      <c r="B59" s="330">
        <f t="shared" ref="B59:I59" si="76">SUM(B60:B63)</f>
        <v>907.88520016479492</v>
      </c>
      <c r="C59" s="331">
        <f t="shared" si="76"/>
        <v>943.01300000000003</v>
      </c>
      <c r="D59" s="331">
        <f t="shared" si="76"/>
        <v>2309.3636000000001</v>
      </c>
      <c r="E59" s="330">
        <f t="shared" si="76"/>
        <v>3921.0731347259903</v>
      </c>
      <c r="F59" s="331">
        <f t="shared" si="76"/>
        <v>4867.1398892799998</v>
      </c>
      <c r="G59" s="331">
        <f t="shared" si="76"/>
        <v>23329.248211000002</v>
      </c>
      <c r="H59" s="332">
        <f t="shared" si="76"/>
        <v>55311.683990783691</v>
      </c>
      <c r="I59" s="333">
        <f t="shared" si="76"/>
        <v>264</v>
      </c>
    </row>
    <row r="60" spans="1:27" ht="13.15" customHeight="1">
      <c r="A60" s="239" t="s">
        <v>523</v>
      </c>
      <c r="B60" s="334">
        <v>11.2</v>
      </c>
      <c r="C60" s="334">
        <v>11.2</v>
      </c>
      <c r="D60" s="334">
        <v>40</v>
      </c>
      <c r="E60" s="334">
        <v>7.7594169749981825</v>
      </c>
      <c r="F60" s="334">
        <v>58.389230000000005</v>
      </c>
      <c r="G60" s="334">
        <v>93.113</v>
      </c>
      <c r="H60" s="334">
        <v>2035.87</v>
      </c>
      <c r="I60" s="335">
        <v>2</v>
      </c>
    </row>
    <row r="61" spans="1:27" ht="13.15" customHeight="1">
      <c r="A61" s="239" t="s">
        <v>524</v>
      </c>
      <c r="B61" s="334">
        <v>68.449000030517581</v>
      </c>
      <c r="C61" s="334">
        <v>73.227000000000004</v>
      </c>
      <c r="D61" s="334">
        <v>303.315</v>
      </c>
      <c r="E61" s="334">
        <v>114.37814503318732</v>
      </c>
      <c r="F61" s="334">
        <v>130.1813884</v>
      </c>
      <c r="G61" s="334">
        <v>2643.6289999999999</v>
      </c>
      <c r="H61" s="334">
        <v>4192.7469727172847</v>
      </c>
      <c r="I61" s="335">
        <v>48</v>
      </c>
    </row>
    <row r="62" spans="1:27" ht="13.15" customHeight="1">
      <c r="A62" s="239" t="s">
        <v>525</v>
      </c>
      <c r="B62" s="334">
        <v>828.2362001342774</v>
      </c>
      <c r="C62" s="334">
        <v>858.58600000000001</v>
      </c>
      <c r="D62" s="334">
        <v>1966.0486000000001</v>
      </c>
      <c r="E62" s="334">
        <v>3798.9355727178049</v>
      </c>
      <c r="F62" s="334">
        <v>4678.5692708799997</v>
      </c>
      <c r="G62" s="334">
        <v>20592.506211000004</v>
      </c>
      <c r="H62" s="334">
        <v>49083.067018066409</v>
      </c>
      <c r="I62" s="335">
        <v>214</v>
      </c>
    </row>
    <row r="63" spans="1:27" ht="13.15" customHeight="1">
      <c r="A63" s="239" t="s">
        <v>267</v>
      </c>
      <c r="B63" s="216"/>
      <c r="C63" s="204"/>
      <c r="D63" s="204"/>
      <c r="E63" s="216"/>
      <c r="F63" s="204"/>
      <c r="G63" s="204"/>
      <c r="H63" s="202"/>
      <c r="I63" s="216"/>
    </row>
    <row r="64" spans="1:27" ht="13.15" customHeight="1">
      <c r="A64" s="312" t="s">
        <v>526</v>
      </c>
      <c r="B64" s="336">
        <f>SUM(B65:B68)</f>
        <v>535.92700000000002</v>
      </c>
      <c r="C64" s="337">
        <f t="shared" ref="C64:I64" si="77">SUM(C65:C68)</f>
        <v>570.00700000000006</v>
      </c>
      <c r="D64" s="337">
        <f t="shared" si="77"/>
        <v>1933.3410000000001</v>
      </c>
      <c r="E64" s="336">
        <f t="shared" si="77"/>
        <v>2249.1174214753642</v>
      </c>
      <c r="F64" s="337">
        <f t="shared" si="77"/>
        <v>2536.0754849999994</v>
      </c>
      <c r="G64" s="337">
        <f t="shared" si="77"/>
        <v>24624.423999999999</v>
      </c>
      <c r="H64" s="338">
        <f t="shared" si="77"/>
        <v>45790.754119140627</v>
      </c>
      <c r="I64" s="339">
        <f t="shared" si="77"/>
        <v>46</v>
      </c>
    </row>
    <row r="65" spans="1:27" ht="13.15" customHeight="1">
      <c r="A65" s="239" t="s">
        <v>527</v>
      </c>
      <c r="B65" s="334">
        <v>0</v>
      </c>
      <c r="C65" s="334">
        <v>0</v>
      </c>
      <c r="D65" s="334">
        <v>0</v>
      </c>
      <c r="E65" s="334">
        <v>0</v>
      </c>
      <c r="F65" s="334">
        <v>0</v>
      </c>
      <c r="G65" s="334">
        <v>0</v>
      </c>
      <c r="H65" s="334">
        <v>0</v>
      </c>
      <c r="I65" s="335">
        <v>0</v>
      </c>
    </row>
    <row r="66" spans="1:27" ht="13.15" customHeight="1">
      <c r="A66" s="239" t="s">
        <v>528</v>
      </c>
      <c r="B66" s="334">
        <v>402.61500000000001</v>
      </c>
      <c r="C66" s="334">
        <v>436.69499999999999</v>
      </c>
      <c r="D66" s="334">
        <v>1175.6410000000001</v>
      </c>
      <c r="E66" s="334">
        <v>1853.5916558503641</v>
      </c>
      <c r="F66" s="334">
        <v>2140.5496849999995</v>
      </c>
      <c r="G66" s="334">
        <v>13983.737999999999</v>
      </c>
      <c r="H66" s="334">
        <v>31431.770869140626</v>
      </c>
      <c r="I66" s="335">
        <v>34</v>
      </c>
    </row>
    <row r="67" spans="1:27" ht="13.15" customHeight="1">
      <c r="A67" s="239" t="s">
        <v>529</v>
      </c>
      <c r="B67" s="334">
        <v>35.311999999999998</v>
      </c>
      <c r="C67" s="334">
        <v>35.311999999999998</v>
      </c>
      <c r="D67" s="334">
        <v>209</v>
      </c>
      <c r="E67" s="334">
        <v>112.199</v>
      </c>
      <c r="F67" s="334">
        <v>112.199</v>
      </c>
      <c r="G67" s="334">
        <v>2237.2350000000001</v>
      </c>
      <c r="H67" s="334">
        <v>3326.250125</v>
      </c>
      <c r="I67" s="335">
        <v>3</v>
      </c>
    </row>
    <row r="68" spans="1:27" ht="13.15" customHeight="1" thickBot="1">
      <c r="A68" s="239" t="s">
        <v>530</v>
      </c>
      <c r="B68" s="340">
        <v>98</v>
      </c>
      <c r="C68" s="340">
        <v>98</v>
      </c>
      <c r="D68" s="340">
        <v>548.70000000000005</v>
      </c>
      <c r="E68" s="340">
        <v>283.32676562500001</v>
      </c>
      <c r="F68" s="340">
        <v>283.32679999999999</v>
      </c>
      <c r="G68" s="340">
        <v>8403.4509999999991</v>
      </c>
      <c r="H68" s="340">
        <v>11032.733125000001</v>
      </c>
      <c r="I68" s="341">
        <v>9</v>
      </c>
    </row>
    <row r="69" spans="1:27" ht="13.15" customHeight="1" thickBot="1">
      <c r="A69" s="282" t="s">
        <v>169</v>
      </c>
      <c r="B69" s="342">
        <f>B64+B59</f>
        <v>1443.8122001647948</v>
      </c>
      <c r="C69" s="343">
        <f t="shared" ref="C69:I69" si="78">C64+C59</f>
        <v>1513.02</v>
      </c>
      <c r="D69" s="343">
        <f t="shared" si="78"/>
        <v>4242.7046</v>
      </c>
      <c r="E69" s="343">
        <f t="shared" si="78"/>
        <v>6170.1905562013544</v>
      </c>
      <c r="F69" s="343">
        <f t="shared" si="78"/>
        <v>7403.2153742799992</v>
      </c>
      <c r="G69" s="343">
        <f t="shared" si="78"/>
        <v>47953.672210999997</v>
      </c>
      <c r="H69" s="343">
        <f t="shared" si="78"/>
        <v>101102.43810992432</v>
      </c>
      <c r="I69" s="344">
        <f t="shared" si="78"/>
        <v>310</v>
      </c>
    </row>
    <row r="70" spans="1:27" ht="13.15" customHeight="1">
      <c r="D70" s="220"/>
    </row>
    <row r="71" spans="1:27" ht="13.15" customHeight="1">
      <c r="D71" s="220"/>
      <c r="S71" s="345"/>
    </row>
    <row r="72" spans="1:27" ht="13.15" customHeight="1">
      <c r="A72" s="221" t="s">
        <v>182</v>
      </c>
      <c r="D72" s="220"/>
      <c r="I72" s="221">
        <v>2002</v>
      </c>
      <c r="K72" s="221" t="str">
        <f>+A72</f>
        <v>Denmark</v>
      </c>
      <c r="M72" s="220"/>
      <c r="S72" s="221">
        <v>2002</v>
      </c>
    </row>
    <row r="73" spans="1:27" ht="13.15" customHeight="1" thickBot="1"/>
    <row r="74" spans="1:27" ht="13.15" customHeight="1">
      <c r="A74" s="346" t="s">
        <v>475</v>
      </c>
      <c r="B74" s="233" t="s">
        <v>476</v>
      </c>
      <c r="C74" s="233"/>
      <c r="D74" s="234"/>
      <c r="E74" s="235" t="s">
        <v>477</v>
      </c>
      <c r="F74" s="233"/>
      <c r="G74" s="236"/>
      <c r="H74" s="347" t="s">
        <v>138</v>
      </c>
      <c r="I74" s="348" t="s">
        <v>478</v>
      </c>
      <c r="J74" s="230"/>
      <c r="K74" s="231" t="s">
        <v>475</v>
      </c>
      <c r="L74" s="232" t="s">
        <v>479</v>
      </c>
      <c r="M74" s="233"/>
      <c r="N74" s="234"/>
      <c r="O74" s="235" t="s">
        <v>480</v>
      </c>
      <c r="P74" s="233"/>
      <c r="Q74" s="233"/>
      <c r="R74" s="236"/>
      <c r="S74" s="237"/>
    </row>
    <row r="75" spans="1:27" ht="13.15" customHeight="1">
      <c r="A75" s="266"/>
      <c r="B75" s="240" t="s">
        <v>9</v>
      </c>
      <c r="C75" s="240"/>
      <c r="D75" s="241" t="s">
        <v>34</v>
      </c>
      <c r="E75" s="242" t="s">
        <v>88</v>
      </c>
      <c r="F75" s="243"/>
      <c r="G75" s="244" t="s">
        <v>34</v>
      </c>
      <c r="H75" s="241" t="s">
        <v>170</v>
      </c>
      <c r="I75" s="349" t="s">
        <v>483</v>
      </c>
      <c r="J75" s="230"/>
      <c r="K75" s="245"/>
      <c r="L75" s="246" t="s">
        <v>484</v>
      </c>
      <c r="M75" s="247"/>
      <c r="N75" s="248" t="s">
        <v>485</v>
      </c>
      <c r="O75" s="248" t="s">
        <v>486</v>
      </c>
      <c r="P75" s="248" t="s">
        <v>486</v>
      </c>
      <c r="Q75" s="247" t="s">
        <v>487</v>
      </c>
      <c r="R75" s="249"/>
      <c r="S75" s="250" t="s">
        <v>485</v>
      </c>
      <c r="U75" s="214" t="str">
        <f>A72</f>
        <v>Denmark</v>
      </c>
    </row>
    <row r="76" spans="1:27" ht="13.15" customHeight="1">
      <c r="A76" s="350" t="s">
        <v>488</v>
      </c>
      <c r="B76" s="252" t="s">
        <v>0</v>
      </c>
      <c r="C76" s="252" t="s">
        <v>489</v>
      </c>
      <c r="D76" s="252" t="s">
        <v>490</v>
      </c>
      <c r="E76" s="252" t="s">
        <v>491</v>
      </c>
      <c r="F76" s="252" t="s">
        <v>489</v>
      </c>
      <c r="G76" s="230" t="s">
        <v>490</v>
      </c>
      <c r="H76" s="248"/>
      <c r="I76" s="349" t="s">
        <v>492</v>
      </c>
      <c r="J76" s="230"/>
      <c r="K76" s="253" t="s">
        <v>488</v>
      </c>
      <c r="L76" s="254" t="s">
        <v>88</v>
      </c>
      <c r="M76" s="252" t="s">
        <v>34</v>
      </c>
      <c r="N76" s="252" t="s">
        <v>493</v>
      </c>
      <c r="O76" s="248" t="s">
        <v>494</v>
      </c>
      <c r="P76" s="248" t="s">
        <v>495</v>
      </c>
      <c r="Q76" s="230" t="s">
        <v>88</v>
      </c>
      <c r="R76" s="248" t="s">
        <v>34</v>
      </c>
      <c r="S76" s="255" t="s">
        <v>88</v>
      </c>
      <c r="U76" s="214" t="s">
        <v>547</v>
      </c>
      <c r="V76" s="214">
        <f>G104/1000</f>
        <v>26.694361902075034</v>
      </c>
    </row>
    <row r="77" spans="1:27" ht="13.15" customHeight="1">
      <c r="A77" s="266"/>
      <c r="B77" s="252" t="s">
        <v>496</v>
      </c>
      <c r="C77" s="252" t="s">
        <v>496</v>
      </c>
      <c r="D77" s="252" t="s">
        <v>496</v>
      </c>
      <c r="E77" s="256" t="s">
        <v>473</v>
      </c>
      <c r="F77" s="257" t="s">
        <v>473</v>
      </c>
      <c r="G77" s="230" t="s">
        <v>451</v>
      </c>
      <c r="H77" s="257" t="s">
        <v>497</v>
      </c>
      <c r="I77" s="351" t="s">
        <v>498</v>
      </c>
      <c r="J77" s="230"/>
      <c r="K77" s="245"/>
      <c r="L77" s="258" t="s">
        <v>496</v>
      </c>
      <c r="M77" s="256" t="s">
        <v>496</v>
      </c>
      <c r="N77" s="256"/>
      <c r="O77" s="257" t="s">
        <v>79</v>
      </c>
      <c r="P77" s="257" t="s">
        <v>79</v>
      </c>
      <c r="Q77" s="259"/>
      <c r="R77" s="257"/>
      <c r="S77" s="260"/>
      <c r="U77" s="214" t="s">
        <v>548</v>
      </c>
      <c r="V77" s="214">
        <f>G110/1000</f>
        <v>0</v>
      </c>
    </row>
    <row r="78" spans="1:27" ht="13.15" customHeight="1">
      <c r="A78" s="352" t="s">
        <v>262</v>
      </c>
      <c r="B78" s="262">
        <v>417.35</v>
      </c>
      <c r="C78" s="263">
        <v>417.35</v>
      </c>
      <c r="D78" s="262">
        <v>451</v>
      </c>
      <c r="E78" s="262">
        <v>1633.05555555556</v>
      </c>
      <c r="F78" s="263">
        <v>1633.05555555556</v>
      </c>
      <c r="G78" s="262">
        <v>6803.2525999995896</v>
      </c>
      <c r="H78" s="262">
        <v>14448.143195860001</v>
      </c>
      <c r="I78" s="264">
        <v>11</v>
      </c>
      <c r="J78" s="230"/>
      <c r="K78" s="265" t="s">
        <v>262</v>
      </c>
      <c r="L78" s="266">
        <f>C78/I78</f>
        <v>37.940909090909095</v>
      </c>
      <c r="M78" s="267">
        <f>D78/I78</f>
        <v>41</v>
      </c>
      <c r="N78" s="267">
        <f>D78/C78</f>
        <v>1.0806277704564513</v>
      </c>
      <c r="O78" s="239">
        <f>(F78*3.6+G78)*100/H78</f>
        <v>87.77773329124814</v>
      </c>
      <c r="P78" s="239">
        <f>(F78*3.6+G78)*100/H78</f>
        <v>87.77773329124814</v>
      </c>
      <c r="Q78" s="267">
        <f>F78/(C78*8760)*1000</f>
        <v>0.44667992589565714</v>
      </c>
      <c r="R78" s="267">
        <f>G78/(D78*8761)*1000/3.6</f>
        <v>0.47828182015305554</v>
      </c>
      <c r="S78" s="268">
        <f>G78/(F78*3.6)</f>
        <v>1.1572125531552255</v>
      </c>
      <c r="U78" s="214" t="s">
        <v>549</v>
      </c>
      <c r="V78" s="214">
        <f>G112/1000</f>
        <v>2.7189081999995501</v>
      </c>
      <c r="Z78" s="214">
        <f t="shared" ref="Z78:Z83" si="79">C78-B78</f>
        <v>0</v>
      </c>
      <c r="AA78" s="214">
        <f t="shared" ref="AA78:AA83" si="80">F78-E78</f>
        <v>0</v>
      </c>
    </row>
    <row r="79" spans="1:27" ht="13.15" customHeight="1">
      <c r="A79" s="266" t="s">
        <v>263</v>
      </c>
      <c r="B79" s="262">
        <v>779.26400000000001</v>
      </c>
      <c r="C79" s="263">
        <v>779.26400000000001</v>
      </c>
      <c r="D79" s="262">
        <v>2517.1799999999998</v>
      </c>
      <c r="E79" s="262">
        <v>2196.0833333333298</v>
      </c>
      <c r="F79" s="263">
        <v>2196.0833333333298</v>
      </c>
      <c r="G79" s="262">
        <v>32989.479799997403</v>
      </c>
      <c r="H79" s="262">
        <v>45438.269647699999</v>
      </c>
      <c r="I79" s="270">
        <v>42</v>
      </c>
      <c r="J79" s="230"/>
      <c r="K79" s="245" t="s">
        <v>263</v>
      </c>
      <c r="L79" s="266">
        <f>C79/I79</f>
        <v>18.553904761904761</v>
      </c>
      <c r="M79" s="267">
        <f>D79/I79</f>
        <v>59.932857142857138</v>
      </c>
      <c r="N79" s="267">
        <f>D79/C79</f>
        <v>3.2302018314717476</v>
      </c>
      <c r="O79" s="239">
        <f>(F79*3.6+G79)*100/H79</f>
        <v>90.002062396025764</v>
      </c>
      <c r="P79" s="239">
        <f>(F79*3.6+G79)*100/H79</f>
        <v>90.002062396025764</v>
      </c>
      <c r="Q79" s="267">
        <f>F79/(C79*8760)*1000</f>
        <v>0.3217066930391293</v>
      </c>
      <c r="R79" s="267">
        <f>G79/(D79*8761)*1000/3.6</f>
        <v>0.41553251619931947</v>
      </c>
      <c r="S79" s="268">
        <f>G79/(F79*3.6)</f>
        <v>4.1727671485849118</v>
      </c>
      <c r="U79" s="214" t="s">
        <v>550</v>
      </c>
      <c r="V79" s="214">
        <f>G117/1000</f>
        <v>1.5179967999997299</v>
      </c>
      <c r="Z79" s="214">
        <f t="shared" si="79"/>
        <v>0</v>
      </c>
      <c r="AA79" s="214">
        <f t="shared" si="80"/>
        <v>0</v>
      </c>
    </row>
    <row r="80" spans="1:27" ht="13.15" customHeight="1">
      <c r="A80" s="266" t="s">
        <v>499</v>
      </c>
      <c r="B80" s="262">
        <v>100</v>
      </c>
      <c r="C80" s="263">
        <v>100</v>
      </c>
      <c r="D80" s="262">
        <v>155</v>
      </c>
      <c r="E80" s="262">
        <v>28.3333333333333</v>
      </c>
      <c r="F80" s="263">
        <v>28.3333333333333</v>
      </c>
      <c r="G80" s="262">
        <v>193</v>
      </c>
      <c r="H80" s="262">
        <v>341.14</v>
      </c>
      <c r="I80" s="270">
        <v>1</v>
      </c>
      <c r="J80" s="230"/>
      <c r="K80" s="245" t="s">
        <v>499</v>
      </c>
      <c r="L80" s="266">
        <f>C80/I80</f>
        <v>100</v>
      </c>
      <c r="M80" s="267">
        <f>D80/I80</f>
        <v>155</v>
      </c>
      <c r="N80" s="267">
        <f>D80/C80</f>
        <v>1.55</v>
      </c>
      <c r="O80" s="239">
        <f>(F80*3.6+G80)*100/H80</f>
        <v>86.474761095151521</v>
      </c>
      <c r="P80" s="239">
        <f>(F80*3.6+G80)*100/H80</f>
        <v>86.474761095151521</v>
      </c>
      <c r="Q80" s="267">
        <f>F80/(C80*8760)*1000</f>
        <v>3.2343987823439842E-2</v>
      </c>
      <c r="R80" s="267">
        <f>G80/(D80*8761)*1000/3.6</f>
        <v>3.9479298733103164E-2</v>
      </c>
      <c r="S80" s="268">
        <f>G80/(F80*3.6)</f>
        <v>1.8921568627451002</v>
      </c>
      <c r="U80" s="214" t="s">
        <v>551</v>
      </c>
      <c r="V80" s="214">
        <f>G108/1000</f>
        <v>1.1879999999999999</v>
      </c>
      <c r="Z80" s="214">
        <f t="shared" si="79"/>
        <v>0</v>
      </c>
      <c r="AA80" s="214">
        <f t="shared" si="80"/>
        <v>0</v>
      </c>
    </row>
    <row r="81" spans="1:27" ht="13.15" customHeight="1">
      <c r="A81" s="266" t="s">
        <v>265</v>
      </c>
      <c r="B81" s="262">
        <v>294.40800000000002</v>
      </c>
      <c r="C81" s="263">
        <v>294.40800000000002</v>
      </c>
      <c r="D81" s="262">
        <v>566.63199999999995</v>
      </c>
      <c r="E81" s="262">
        <v>1458.1111111111099</v>
      </c>
      <c r="F81" s="263">
        <v>1458.1111111111099</v>
      </c>
      <c r="G81" s="262">
        <v>9375.0115999991995</v>
      </c>
      <c r="H81" s="262">
        <v>17159.0135792</v>
      </c>
      <c r="I81" s="271">
        <v>24</v>
      </c>
      <c r="J81" s="230"/>
      <c r="K81" s="245" t="s">
        <v>265</v>
      </c>
      <c r="L81" s="266">
        <f>C81/I81</f>
        <v>12.267000000000001</v>
      </c>
      <c r="M81" s="267">
        <f>D81/I81</f>
        <v>23.609666666666666</v>
      </c>
      <c r="N81" s="267">
        <f>D81/C81</f>
        <v>1.924648786717752</v>
      </c>
      <c r="O81" s="239">
        <f>(F81*3.6+G81)*100/H81</f>
        <v>85.227577520694609</v>
      </c>
      <c r="P81" s="239">
        <f>(F81*3.6+G81)*100/H81</f>
        <v>85.227577520694609</v>
      </c>
      <c r="Q81" s="267">
        <f>F81/(C81*8760)*1000</f>
        <v>0.5653753976834085</v>
      </c>
      <c r="R81" s="267">
        <f>G81/(D81*8761)*1000/3.6</f>
        <v>0.52458339013639477</v>
      </c>
      <c r="S81" s="268">
        <f>G81/(F81*3.6)</f>
        <v>1.7859886458887462</v>
      </c>
      <c r="U81" s="214" t="s">
        <v>552</v>
      </c>
      <c r="V81" s="214">
        <f>(G105+G106+G107+G109+G111+G113+G114+G115+G116+G118+G119+G120+G121+G122)/1000</f>
        <v>21.269456902075756</v>
      </c>
      <c r="Z81" s="214">
        <f t="shared" si="79"/>
        <v>0</v>
      </c>
      <c r="AA81" s="214">
        <f t="shared" si="80"/>
        <v>0</v>
      </c>
    </row>
    <row r="82" spans="1:27" ht="13.15" customHeight="1">
      <c r="A82" s="266" t="s">
        <v>266</v>
      </c>
      <c r="B82" s="262">
        <v>953.42399999999998</v>
      </c>
      <c r="C82" s="263">
        <v>953.42399999999998</v>
      </c>
      <c r="D82" s="262">
        <v>1331.2518</v>
      </c>
      <c r="E82" s="262">
        <v>3958.2222222222199</v>
      </c>
      <c r="F82" s="263">
        <v>3958.2222222222199</v>
      </c>
      <c r="G82" s="262">
        <v>19929.210433193999</v>
      </c>
      <c r="H82" s="262">
        <v>38702.914275399999</v>
      </c>
      <c r="I82" s="271">
        <v>596</v>
      </c>
      <c r="J82" s="230"/>
      <c r="K82" s="245" t="s">
        <v>266</v>
      </c>
      <c r="L82" s="266">
        <f>C82/I82</f>
        <v>1.5997046979865772</v>
      </c>
      <c r="M82" s="267">
        <f>D82/I82</f>
        <v>2.2336439597315438</v>
      </c>
      <c r="N82" s="267">
        <f>D82/C82</f>
        <v>1.396285178472537</v>
      </c>
      <c r="O82" s="239">
        <f>(F82*3.6+G82)*100/H82</f>
        <v>88.310689448309631</v>
      </c>
      <c r="P82" s="239">
        <f>(F82*3.6+G82)*100/H82</f>
        <v>88.310689448309631</v>
      </c>
      <c r="Q82" s="267">
        <f>F82/(C82*8760)*1000</f>
        <v>0.47392540134489125</v>
      </c>
      <c r="R82" s="267">
        <f>G82/(D82*8761)*1000/3.6</f>
        <v>0.47465023892026775</v>
      </c>
      <c r="S82" s="268">
        <f>G82/(F82*3.6)</f>
        <v>1.3985803414267075</v>
      </c>
      <c r="Z82" s="214">
        <f t="shared" si="79"/>
        <v>0</v>
      </c>
      <c r="AA82" s="214">
        <f t="shared" si="80"/>
        <v>0</v>
      </c>
    </row>
    <row r="83" spans="1:27" ht="13.15" customHeight="1">
      <c r="A83" s="353" t="s">
        <v>267</v>
      </c>
      <c r="B83" s="210"/>
      <c r="C83" s="210"/>
      <c r="D83" s="210"/>
      <c r="E83" s="210"/>
      <c r="F83" s="210"/>
      <c r="G83" s="210"/>
      <c r="H83" s="210"/>
      <c r="I83" s="210"/>
      <c r="J83" s="230"/>
      <c r="K83" s="245" t="s">
        <v>267</v>
      </c>
      <c r="L83" s="266"/>
      <c r="M83" s="267"/>
      <c r="N83" s="267"/>
      <c r="O83" s="239"/>
      <c r="P83" s="272"/>
      <c r="Q83" s="272"/>
      <c r="R83" s="274"/>
      <c r="S83" s="275"/>
      <c r="U83" s="214" t="s">
        <v>553</v>
      </c>
      <c r="V83" s="214">
        <f>H104/1000</f>
        <v>43.199609862983998</v>
      </c>
      <c r="Z83" s="214">
        <f t="shared" si="79"/>
        <v>0</v>
      </c>
      <c r="AA83" s="214">
        <f t="shared" si="80"/>
        <v>0</v>
      </c>
    </row>
    <row r="84" spans="1:27" ht="13.15" customHeight="1">
      <c r="A84" s="276" t="s">
        <v>500</v>
      </c>
      <c r="B84" s="277">
        <f t="shared" ref="B84:I84" si="81">SUM(B78:B83)</f>
        <v>2544.4459999999999</v>
      </c>
      <c r="C84" s="277">
        <f t="shared" si="81"/>
        <v>2544.4459999999999</v>
      </c>
      <c r="D84" s="277">
        <f t="shared" si="81"/>
        <v>5021.0637999999999</v>
      </c>
      <c r="E84" s="277">
        <f t="shared" si="81"/>
        <v>9273.8055555555529</v>
      </c>
      <c r="F84" s="277">
        <f t="shared" si="81"/>
        <v>9273.8055555555529</v>
      </c>
      <c r="G84" s="277">
        <f t="shared" si="81"/>
        <v>69289.9544331902</v>
      </c>
      <c r="H84" s="277">
        <f t="shared" si="81"/>
        <v>116089.48069815998</v>
      </c>
      <c r="I84" s="278">
        <f t="shared" si="81"/>
        <v>674</v>
      </c>
      <c r="J84" s="244"/>
      <c r="K84" s="279" t="s">
        <v>169</v>
      </c>
      <c r="L84" s="280">
        <f>C84/I84</f>
        <v>3.7751424332344214</v>
      </c>
      <c r="M84" s="281">
        <f>D84/I84</f>
        <v>7.4496495548961423</v>
      </c>
      <c r="N84" s="281">
        <f>D84/C84</f>
        <v>1.9733426451180336</v>
      </c>
      <c r="O84" s="282">
        <f>(F84*3.6+G84)*100/H84</f>
        <v>88.445269817472436</v>
      </c>
      <c r="P84" s="282">
        <f>(F84*3.6+G84)*100/H84</f>
        <v>88.445269817472436</v>
      </c>
      <c r="Q84" s="283">
        <f>F84/(C84*8760)*1000</f>
        <v>0.41606448013924013</v>
      </c>
      <c r="R84" s="283">
        <f>G84/(D84*8761)*1000/3.6</f>
        <v>0.43754059682971252</v>
      </c>
      <c r="S84" s="284">
        <f>G84/(F84*3.6)</f>
        <v>2.0754381197096428</v>
      </c>
      <c r="U84" s="214" t="s">
        <v>554</v>
      </c>
      <c r="V84" s="214">
        <f>H110/1000</f>
        <v>0</v>
      </c>
    </row>
    <row r="85" spans="1:27" ht="13.15" customHeight="1">
      <c r="A85" s="285" t="s">
        <v>501</v>
      </c>
      <c r="B85" s="228" t="s">
        <v>476</v>
      </c>
      <c r="C85" s="228"/>
      <c r="D85" s="286"/>
      <c r="E85" s="227" t="s">
        <v>477</v>
      </c>
      <c r="F85" s="228"/>
      <c r="G85" s="229"/>
      <c r="H85" s="200" t="s">
        <v>138</v>
      </c>
      <c r="I85" s="354" t="s">
        <v>478</v>
      </c>
      <c r="J85" s="244"/>
      <c r="K85" s="287" t="s">
        <v>501</v>
      </c>
      <c r="L85" s="288" t="s">
        <v>479</v>
      </c>
      <c r="M85" s="228"/>
      <c r="N85" s="286"/>
      <c r="O85" s="227" t="s">
        <v>480</v>
      </c>
      <c r="P85" s="228"/>
      <c r="Q85" s="228"/>
      <c r="R85" s="229"/>
      <c r="S85" s="289"/>
      <c r="U85" s="214" t="s">
        <v>555</v>
      </c>
      <c r="V85" s="214">
        <f>H112/1000</f>
        <v>3.9315168115999999</v>
      </c>
    </row>
    <row r="86" spans="1:27" ht="13.15" customHeight="1">
      <c r="A86" s="266"/>
      <c r="B86" s="240" t="s">
        <v>481</v>
      </c>
      <c r="C86" s="240"/>
      <c r="D86" s="241" t="s">
        <v>34</v>
      </c>
      <c r="E86" s="242" t="s">
        <v>482</v>
      </c>
      <c r="F86" s="243"/>
      <c r="G86" s="244" t="s">
        <v>34</v>
      </c>
      <c r="H86" s="241" t="s">
        <v>170</v>
      </c>
      <c r="I86" s="349" t="s">
        <v>483</v>
      </c>
      <c r="J86" s="244"/>
      <c r="K86" s="245"/>
      <c r="L86" s="246" t="s">
        <v>484</v>
      </c>
      <c r="M86" s="247"/>
      <c r="N86" s="248" t="s">
        <v>485</v>
      </c>
      <c r="O86" s="248" t="s">
        <v>486</v>
      </c>
      <c r="P86" s="248" t="s">
        <v>486</v>
      </c>
      <c r="Q86" s="247" t="s">
        <v>487</v>
      </c>
      <c r="R86" s="249"/>
      <c r="S86" s="250" t="s">
        <v>485</v>
      </c>
      <c r="U86" s="214" t="s">
        <v>556</v>
      </c>
      <c r="V86" s="214">
        <f>H117/1000</f>
        <v>2.32974302046</v>
      </c>
    </row>
    <row r="87" spans="1:27" ht="13.15" customHeight="1">
      <c r="A87" s="350" t="s">
        <v>488</v>
      </c>
      <c r="B87" s="252" t="s">
        <v>0</v>
      </c>
      <c r="C87" s="252" t="s">
        <v>489</v>
      </c>
      <c r="D87" s="252" t="s">
        <v>490</v>
      </c>
      <c r="E87" s="252" t="s">
        <v>491</v>
      </c>
      <c r="F87" s="252" t="s">
        <v>489</v>
      </c>
      <c r="G87" s="230" t="s">
        <v>490</v>
      </c>
      <c r="H87" s="248"/>
      <c r="I87" s="349" t="s">
        <v>492</v>
      </c>
      <c r="J87" s="244"/>
      <c r="K87" s="253" t="s">
        <v>488</v>
      </c>
      <c r="L87" s="254" t="s">
        <v>88</v>
      </c>
      <c r="M87" s="252" t="s">
        <v>34</v>
      </c>
      <c r="N87" s="252" t="s">
        <v>493</v>
      </c>
      <c r="O87" s="248" t="s">
        <v>494</v>
      </c>
      <c r="P87" s="248" t="s">
        <v>495</v>
      </c>
      <c r="Q87" s="230" t="s">
        <v>88</v>
      </c>
      <c r="R87" s="248" t="s">
        <v>34</v>
      </c>
      <c r="S87" s="255" t="s">
        <v>88</v>
      </c>
      <c r="U87" s="214" t="s">
        <v>557</v>
      </c>
      <c r="V87" s="214">
        <f>H108/1000</f>
        <v>2.4552130000000001</v>
      </c>
    </row>
    <row r="88" spans="1:27" ht="13.15" customHeight="1">
      <c r="A88" s="266"/>
      <c r="B88" s="252" t="s">
        <v>496</v>
      </c>
      <c r="C88" s="252" t="s">
        <v>496</v>
      </c>
      <c r="D88" s="252" t="s">
        <v>496</v>
      </c>
      <c r="E88" s="256" t="s">
        <v>473</v>
      </c>
      <c r="F88" s="256" t="s">
        <v>473</v>
      </c>
      <c r="G88" s="230" t="s">
        <v>451</v>
      </c>
      <c r="H88" s="257" t="s">
        <v>497</v>
      </c>
      <c r="I88" s="351" t="s">
        <v>498</v>
      </c>
      <c r="J88" s="244"/>
      <c r="K88" s="245"/>
      <c r="L88" s="258" t="s">
        <v>496</v>
      </c>
      <c r="M88" s="256" t="s">
        <v>496</v>
      </c>
      <c r="N88" s="256"/>
      <c r="O88" s="257" t="s">
        <v>79</v>
      </c>
      <c r="P88" s="257" t="s">
        <v>79</v>
      </c>
      <c r="Q88" s="259"/>
      <c r="R88" s="257"/>
      <c r="S88" s="260"/>
      <c r="U88" s="214" t="s">
        <v>558</v>
      </c>
      <c r="V88" s="214">
        <f>(H105+H106+H107+H109+H111+H113+H114+H115+H116+H118+H119+H120+H121+H122)/1000</f>
        <v>34.483137030923992</v>
      </c>
    </row>
    <row r="89" spans="1:27" ht="13.15" customHeight="1">
      <c r="A89" s="352" t="s">
        <v>262</v>
      </c>
      <c r="B89" s="262">
        <v>678.8</v>
      </c>
      <c r="C89" s="262">
        <v>678.8</v>
      </c>
      <c r="D89" s="262">
        <v>703.8</v>
      </c>
      <c r="E89" s="262">
        <v>2193.8333333333298</v>
      </c>
      <c r="F89" s="262">
        <v>2193.8333333333298</v>
      </c>
      <c r="G89" s="262">
        <v>8935.6143999996493</v>
      </c>
      <c r="H89" s="262">
        <v>21498.46138284</v>
      </c>
      <c r="I89" s="264">
        <v>6</v>
      </c>
      <c r="J89" s="244"/>
      <c r="K89" s="265" t="s">
        <v>262</v>
      </c>
      <c r="L89" s="266">
        <f>B89/I89</f>
        <v>113.13333333333333</v>
      </c>
      <c r="M89" s="267">
        <f>D89/I89</f>
        <v>117.3</v>
      </c>
      <c r="N89" s="267">
        <f>D89/B89</f>
        <v>1.0368296994696524</v>
      </c>
      <c r="O89" s="239">
        <f>(F89*3.6+G89)*100/H89</f>
        <v>78.300554166336823</v>
      </c>
      <c r="P89" s="267">
        <f>(E89*3.6+G89)*100/H89</f>
        <v>78.300554166336823</v>
      </c>
      <c r="Q89" s="267">
        <f>E89/(B89*8760)*1000</f>
        <v>0.36894165458069467</v>
      </c>
      <c r="R89" s="267">
        <f>G89/(D89*8761)*1000/3.6</f>
        <v>0.40254920726800414</v>
      </c>
      <c r="S89" s="268">
        <f>G89/(E89*3.6)</f>
        <v>1.1314055053305558</v>
      </c>
      <c r="U89" s="220"/>
      <c r="Z89" s="214">
        <f t="shared" ref="Z89:Z96" si="82">C89-B89</f>
        <v>0</v>
      </c>
      <c r="AA89" s="214">
        <f t="shared" ref="AA89:AA96" si="83">F89-E89</f>
        <v>0</v>
      </c>
    </row>
    <row r="90" spans="1:27" ht="13.15" customHeight="1">
      <c r="A90" s="266" t="s">
        <v>263</v>
      </c>
      <c r="B90" s="262">
        <v>35.6</v>
      </c>
      <c r="C90" s="262">
        <v>35.6</v>
      </c>
      <c r="D90" s="262">
        <v>109.3</v>
      </c>
      <c r="E90" s="262">
        <v>106.435647698582</v>
      </c>
      <c r="F90" s="262">
        <v>209.583333333333</v>
      </c>
      <c r="G90" s="262">
        <v>1123.1780000000001</v>
      </c>
      <c r="H90" s="262">
        <v>3631.1037000000001</v>
      </c>
      <c r="I90" s="270">
        <v>3</v>
      </c>
      <c r="J90" s="244"/>
      <c r="K90" s="245" t="s">
        <v>263</v>
      </c>
      <c r="L90" s="266">
        <f>B90/I90</f>
        <v>11.866666666666667</v>
      </c>
      <c r="M90" s="267">
        <f>D90/I90</f>
        <v>36.43333333333333</v>
      </c>
      <c r="N90" s="267">
        <f>D90/B90</f>
        <v>3.0702247191011236</v>
      </c>
      <c r="O90" s="239">
        <f>(F90*3.6+G90)*100/H90</f>
        <v>51.710943975519037</v>
      </c>
      <c r="P90" s="267">
        <f>(E90*3.6+G90)*100/H90</f>
        <v>41.484530769939042</v>
      </c>
      <c r="Q90" s="267">
        <f>E90/(B90*8760)*1000</f>
        <v>0.34129741835520883</v>
      </c>
      <c r="R90" s="267">
        <f>G90/(D90*8761)*1000/3.6</f>
        <v>0.32581587814256763</v>
      </c>
      <c r="S90" s="268">
        <f>G90/(E90*3.6)</f>
        <v>2.9312913073299733</v>
      </c>
      <c r="U90" s="239" t="s">
        <v>152</v>
      </c>
      <c r="V90" s="492">
        <f>B105/1000</f>
        <v>0</v>
      </c>
      <c r="Z90" s="214">
        <f t="shared" si="82"/>
        <v>0</v>
      </c>
      <c r="AA90" s="214">
        <f t="shared" si="83"/>
        <v>103.147685634751</v>
      </c>
    </row>
    <row r="91" spans="1:27" ht="13.15" customHeight="1">
      <c r="A91" s="266" t="s">
        <v>499</v>
      </c>
      <c r="B91" s="262">
        <v>2084</v>
      </c>
      <c r="C91" s="262">
        <v>5828.4</v>
      </c>
      <c r="D91" s="262">
        <v>4669.5</v>
      </c>
      <c r="E91" s="262">
        <v>7581.87904555556</v>
      </c>
      <c r="F91" s="262">
        <v>21229.472222222201</v>
      </c>
      <c r="G91" s="262">
        <v>42320.726999999999</v>
      </c>
      <c r="H91" s="262">
        <v>195363.717</v>
      </c>
      <c r="I91" s="270">
        <v>22</v>
      </c>
      <c r="J91" s="244"/>
      <c r="K91" s="245" t="s">
        <v>499</v>
      </c>
      <c r="L91" s="266">
        <f>B91/I91</f>
        <v>94.727272727272734</v>
      </c>
      <c r="M91" s="267">
        <f>D91/I91</f>
        <v>212.25</v>
      </c>
      <c r="N91" s="267">
        <f>D91/B91</f>
        <v>2.2406429942418424</v>
      </c>
      <c r="O91" s="239">
        <f>(F91*3.6+G91)*100/H91</f>
        <v>60.782436382493643</v>
      </c>
      <c r="P91" s="267">
        <f>(E91*3.6+G91)*100/H91</f>
        <v>35.633787395640105</v>
      </c>
      <c r="Q91" s="267">
        <f>E91/(B91*8760)*1000</f>
        <v>0.41531252714504285</v>
      </c>
      <c r="R91" s="267">
        <f>G91/(D91*8761)*1000/3.6</f>
        <v>0.2873601612652732</v>
      </c>
      <c r="S91" s="268">
        <f>G91/(E91*3.6)</f>
        <v>1.5505071275030609</v>
      </c>
      <c r="U91" s="239" t="s">
        <v>504</v>
      </c>
      <c r="V91" s="492">
        <f t="shared" ref="V91:V107" si="84">B106/1000</f>
        <v>0</v>
      </c>
      <c r="Z91" s="214">
        <f t="shared" si="82"/>
        <v>3744.3999999999996</v>
      </c>
      <c r="AA91" s="214">
        <f t="shared" si="83"/>
        <v>13647.59317666664</v>
      </c>
    </row>
    <row r="92" spans="1:27" ht="13.15" customHeight="1">
      <c r="A92" s="266" t="s">
        <v>265</v>
      </c>
      <c r="B92" s="262">
        <v>15.6988</v>
      </c>
      <c r="C92" s="262">
        <v>16.331</v>
      </c>
      <c r="D92" s="262">
        <v>40.296999999999997</v>
      </c>
      <c r="E92" s="262">
        <v>38.254542990940898</v>
      </c>
      <c r="F92" s="262">
        <v>50.3333333333333</v>
      </c>
      <c r="G92" s="262">
        <v>260.78709999989798</v>
      </c>
      <c r="H92" s="262">
        <v>641.02097131999994</v>
      </c>
      <c r="I92" s="270">
        <v>7</v>
      </c>
      <c r="J92" s="244"/>
      <c r="K92" s="245" t="s">
        <v>265</v>
      </c>
      <c r="L92" s="266">
        <f>B92/I92</f>
        <v>2.2426857142857144</v>
      </c>
      <c r="M92" s="267">
        <f>D92/I92</f>
        <v>5.7567142857142857</v>
      </c>
      <c r="N92" s="267">
        <f>D92/B92</f>
        <v>2.5668840930516978</v>
      </c>
      <c r="O92" s="239">
        <f>(F92*3.6+G92)*100/H92</f>
        <v>68.95048988643093</v>
      </c>
      <c r="P92" s="267">
        <f>(E92*3.6+G92)*100/H92</f>
        <v>62.166991814118184</v>
      </c>
      <c r="Q92" s="267">
        <f>E92/(B92*8760)*1000</f>
        <v>0.27817138650318335</v>
      </c>
      <c r="R92" s="267">
        <f>G92/(D92*8761)*1000/3.6</f>
        <v>0.20519048051745856</v>
      </c>
      <c r="S92" s="268">
        <f>G92/(E92*3.6)</f>
        <v>1.8936538106921725</v>
      </c>
      <c r="U92" s="239" t="s">
        <v>505</v>
      </c>
      <c r="V92" s="492">
        <f t="shared" si="84"/>
        <v>0</v>
      </c>
      <c r="Z92" s="214">
        <f t="shared" si="82"/>
        <v>0.63219999999999921</v>
      </c>
      <c r="AA92" s="214">
        <f t="shared" si="83"/>
        <v>12.078790342392402</v>
      </c>
    </row>
    <row r="93" spans="1:27" ht="13.15" customHeight="1">
      <c r="A93" s="266" t="s">
        <v>266</v>
      </c>
      <c r="B93" s="262">
        <v>40.014400000000002</v>
      </c>
      <c r="C93" s="262">
        <v>41.187899999999999</v>
      </c>
      <c r="D93" s="262">
        <v>61.027000000000001</v>
      </c>
      <c r="E93" s="262">
        <v>96.568551569283898</v>
      </c>
      <c r="F93" s="262">
        <v>115.138888888889</v>
      </c>
      <c r="G93" s="262">
        <v>730.90622327981396</v>
      </c>
      <c r="H93" s="262">
        <v>2102.3365574280001</v>
      </c>
      <c r="I93" s="271">
        <v>130</v>
      </c>
      <c r="J93" s="244"/>
      <c r="K93" s="245" t="s">
        <v>266</v>
      </c>
      <c r="L93" s="266">
        <f>B93/I93</f>
        <v>0.30780307692307696</v>
      </c>
      <c r="M93" s="267">
        <f>D93/I93</f>
        <v>0.46943846153846153</v>
      </c>
      <c r="N93" s="267">
        <f>D93/B93</f>
        <v>1.5251259546563236</v>
      </c>
      <c r="O93" s="239">
        <f>(F93*3.6+G93)*100/H93</f>
        <v>54.482533694847845</v>
      </c>
      <c r="P93" s="267">
        <f>(E93*3.6+G93)*100/H93</f>
        <v>51.302585455144182</v>
      </c>
      <c r="Q93" s="267">
        <f>E93/(B93*8760)*1000</f>
        <v>0.27549600285816023</v>
      </c>
      <c r="R93" s="267">
        <f>G93/(D93*8761)*1000/3.6</f>
        <v>0.37973747421284409</v>
      </c>
      <c r="S93" s="268">
        <f>G93/(E93*3.6)</f>
        <v>2.1024391809475347</v>
      </c>
      <c r="U93" s="239" t="s">
        <v>506</v>
      </c>
      <c r="V93" s="492">
        <f t="shared" si="84"/>
        <v>2.5999999999999999E-2</v>
      </c>
      <c r="Z93" s="214">
        <f t="shared" si="82"/>
        <v>1.1734999999999971</v>
      </c>
      <c r="AA93" s="214">
        <f t="shared" si="83"/>
        <v>18.570337319605102</v>
      </c>
    </row>
    <row r="94" spans="1:27" ht="13.15" customHeight="1">
      <c r="A94" s="353" t="s">
        <v>267</v>
      </c>
      <c r="B94" s="262"/>
      <c r="C94" s="262"/>
      <c r="D94" s="262"/>
      <c r="E94" s="262"/>
      <c r="F94" s="262"/>
      <c r="G94" s="262"/>
      <c r="H94" s="262"/>
      <c r="I94" s="355"/>
      <c r="J94" s="244"/>
      <c r="K94" s="245" t="s">
        <v>267</v>
      </c>
      <c r="L94" s="266"/>
      <c r="M94" s="267"/>
      <c r="N94" s="267"/>
      <c r="O94" s="239"/>
      <c r="P94" s="267"/>
      <c r="Q94" s="272"/>
      <c r="R94" s="274"/>
      <c r="S94" s="275"/>
      <c r="U94" s="239" t="s">
        <v>507</v>
      </c>
      <c r="V94" s="492">
        <f t="shared" si="84"/>
        <v>0</v>
      </c>
      <c r="Z94" s="214">
        <f t="shared" si="82"/>
        <v>0</v>
      </c>
      <c r="AA94" s="214">
        <f t="shared" si="83"/>
        <v>0</v>
      </c>
    </row>
    <row r="95" spans="1:27" ht="13.15" customHeight="1">
      <c r="A95" s="276" t="s">
        <v>500</v>
      </c>
      <c r="B95" s="291">
        <f t="shared" ref="B95:I95" si="85">SUM(B89:B94)</f>
        <v>2854.1132000000002</v>
      </c>
      <c r="C95" s="291">
        <f t="shared" si="85"/>
        <v>6600.3188999999993</v>
      </c>
      <c r="D95" s="291">
        <f t="shared" si="85"/>
        <v>5583.924</v>
      </c>
      <c r="E95" s="291">
        <f t="shared" si="85"/>
        <v>10016.971121147697</v>
      </c>
      <c r="F95" s="291">
        <f t="shared" si="85"/>
        <v>23798.361111111088</v>
      </c>
      <c r="G95" s="292">
        <f t="shared" si="85"/>
        <v>53371.212723279365</v>
      </c>
      <c r="H95" s="291">
        <f t="shared" si="85"/>
        <v>223236.63961158801</v>
      </c>
      <c r="I95" s="293">
        <f t="shared" si="85"/>
        <v>168</v>
      </c>
      <c r="J95" s="244"/>
      <c r="K95" s="279" t="s">
        <v>169</v>
      </c>
      <c r="L95" s="280">
        <f>B95/I95</f>
        <v>16.988769047619048</v>
      </c>
      <c r="M95" s="281">
        <f>D95/I95</f>
        <v>33.237642857142859</v>
      </c>
      <c r="N95" s="281">
        <f>D95/B95</f>
        <v>1.9564479783072373</v>
      </c>
      <c r="O95" s="294">
        <f>(F95*3.6+G95)*100/H95</f>
        <v>62.286062433660454</v>
      </c>
      <c r="P95" s="295">
        <f>(E95*3.6+G95)*100/H95</f>
        <v>40.061662330617132</v>
      </c>
      <c r="Q95" s="283">
        <f>E95/(B95*8760)*1000</f>
        <v>0.40064628621327775</v>
      </c>
      <c r="R95" s="283">
        <f>G95/(D95*8761)*1000/3.6</f>
        <v>0.30304797848548731</v>
      </c>
      <c r="S95" s="284">
        <f>G95/(E95*3.6)</f>
        <v>1.4800219236210579</v>
      </c>
      <c r="U95" s="239" t="s">
        <v>156</v>
      </c>
      <c r="V95" s="492">
        <f t="shared" si="84"/>
        <v>0</v>
      </c>
      <c r="Z95" s="214">
        <f t="shared" si="82"/>
        <v>3746.2056999999991</v>
      </c>
      <c r="AA95" s="214">
        <f t="shared" si="83"/>
        <v>13781.389989963391</v>
      </c>
    </row>
    <row r="96" spans="1:27" ht="13.15" customHeight="1" thickBot="1">
      <c r="A96" s="296" t="s">
        <v>502</v>
      </c>
      <c r="B96" s="297">
        <f>B84+B95</f>
        <v>5398.5591999999997</v>
      </c>
      <c r="C96" s="297">
        <f>B84+C95</f>
        <v>9144.7648999999983</v>
      </c>
      <c r="D96" s="297">
        <f t="shared" ref="D96:I96" si="86">D84+D95</f>
        <v>10604.987799999999</v>
      </c>
      <c r="E96" s="297">
        <f t="shared" si="86"/>
        <v>19290.776676703252</v>
      </c>
      <c r="F96" s="297">
        <f>E84+F95</f>
        <v>33072.166666666642</v>
      </c>
      <c r="G96" s="297">
        <f t="shared" si="86"/>
        <v>122661.16715646957</v>
      </c>
      <c r="H96" s="297">
        <f t="shared" si="86"/>
        <v>339326.12030974799</v>
      </c>
      <c r="I96" s="298">
        <f t="shared" si="86"/>
        <v>842</v>
      </c>
      <c r="J96" s="244"/>
      <c r="K96" s="296" t="s">
        <v>502</v>
      </c>
      <c r="L96" s="299">
        <f>B96/I96</f>
        <v>6.4115904988123509</v>
      </c>
      <c r="M96" s="300">
        <f>D96/I96</f>
        <v>12.594997387173395</v>
      </c>
      <c r="N96" s="300">
        <f>D96/B96</f>
        <v>1.9644107635237193</v>
      </c>
      <c r="O96" s="301">
        <f>(F96*3.6+G96)*100/H96</f>
        <v>71.235590981271557</v>
      </c>
      <c r="P96" s="301">
        <f>(E96*3.6+G96)*100/H96</f>
        <v>56.614552106168205</v>
      </c>
      <c r="Q96" s="301">
        <f>E96/(B96*8760)*1000</f>
        <v>0.40791318102886848</v>
      </c>
      <c r="R96" s="301">
        <f>G96/(D96*8761)*1000/3.6</f>
        <v>0.36672518680206884</v>
      </c>
      <c r="S96" s="302">
        <f>G96/(E96*3.6)</f>
        <v>1.7662609962978213</v>
      </c>
      <c r="T96" s="309"/>
      <c r="U96" s="239" t="s">
        <v>508</v>
      </c>
      <c r="V96" s="492">
        <f t="shared" si="84"/>
        <v>0</v>
      </c>
      <c r="Z96" s="214">
        <f t="shared" si="82"/>
        <v>3746.2056999999986</v>
      </c>
      <c r="AA96" s="214">
        <f t="shared" si="83"/>
        <v>13781.389989963391</v>
      </c>
    </row>
    <row r="97" spans="1:27" ht="13.15" customHeight="1">
      <c r="U97" s="239" t="s">
        <v>509</v>
      </c>
      <c r="V97" s="492">
        <f t="shared" si="84"/>
        <v>4.4087000000000001E-2</v>
      </c>
    </row>
    <row r="98" spans="1:27" ht="13.15" customHeight="1">
      <c r="A98" s="251" t="s">
        <v>139</v>
      </c>
      <c r="B98" s="227" t="s">
        <v>476</v>
      </c>
      <c r="C98" s="228"/>
      <c r="D98" s="286"/>
      <c r="E98" s="227" t="s">
        <v>477</v>
      </c>
      <c r="F98" s="228"/>
      <c r="G98" s="229"/>
      <c r="H98" s="200" t="s">
        <v>138</v>
      </c>
      <c r="I98" s="200" t="s">
        <v>478</v>
      </c>
      <c r="J98" s="230"/>
      <c r="K98" s="303" t="s">
        <v>503</v>
      </c>
      <c r="L98" s="227" t="s">
        <v>479</v>
      </c>
      <c r="M98" s="228"/>
      <c r="N98" s="286"/>
      <c r="O98" s="227" t="s">
        <v>480</v>
      </c>
      <c r="P98" s="228"/>
      <c r="Q98" s="228"/>
      <c r="R98" s="229"/>
      <c r="S98" s="286"/>
      <c r="U98" s="239" t="s">
        <v>510</v>
      </c>
      <c r="V98" s="492">
        <f t="shared" si="84"/>
        <v>1.021E-3</v>
      </c>
    </row>
    <row r="99" spans="1:27" ht="13.15" customHeight="1">
      <c r="A99" s="239"/>
      <c r="B99" s="240" t="s">
        <v>9</v>
      </c>
      <c r="C99" s="240"/>
      <c r="D99" s="241" t="s">
        <v>34</v>
      </c>
      <c r="E99" s="242" t="s">
        <v>88</v>
      </c>
      <c r="F99" s="243"/>
      <c r="G99" s="244" t="s">
        <v>34</v>
      </c>
      <c r="H99" s="241" t="s">
        <v>170</v>
      </c>
      <c r="I99" s="241" t="s">
        <v>483</v>
      </c>
      <c r="J99" s="230"/>
      <c r="K99" s="305"/>
      <c r="L99" s="306" t="s">
        <v>484</v>
      </c>
      <c r="M99" s="247"/>
      <c r="N99" s="248" t="s">
        <v>485</v>
      </c>
      <c r="O99" s="248" t="s">
        <v>486</v>
      </c>
      <c r="P99" s="248" t="s">
        <v>486</v>
      </c>
      <c r="Q99" s="247" t="s">
        <v>487</v>
      </c>
      <c r="R99" s="249"/>
      <c r="S99" s="307" t="s">
        <v>485</v>
      </c>
      <c r="U99" s="239" t="s">
        <v>511</v>
      </c>
      <c r="V99" s="492">
        <f t="shared" si="84"/>
        <v>0.03</v>
      </c>
    </row>
    <row r="100" spans="1:27" ht="13.15" customHeight="1">
      <c r="A100" s="239"/>
      <c r="B100" s="252" t="s">
        <v>0</v>
      </c>
      <c r="C100" s="252" t="s">
        <v>489</v>
      </c>
      <c r="D100" s="252" t="s">
        <v>490</v>
      </c>
      <c r="E100" s="252" t="s">
        <v>491</v>
      </c>
      <c r="F100" s="252" t="s">
        <v>489</v>
      </c>
      <c r="G100" s="230" t="s">
        <v>490</v>
      </c>
      <c r="H100" s="248"/>
      <c r="I100" s="241" t="s">
        <v>492</v>
      </c>
      <c r="J100" s="230"/>
      <c r="K100" s="305"/>
      <c r="L100" s="248" t="s">
        <v>88</v>
      </c>
      <c r="M100" s="252" t="s">
        <v>34</v>
      </c>
      <c r="N100" s="252" t="s">
        <v>493</v>
      </c>
      <c r="O100" s="248" t="s">
        <v>494</v>
      </c>
      <c r="P100" s="248" t="s">
        <v>495</v>
      </c>
      <c r="Q100" s="230" t="s">
        <v>88</v>
      </c>
      <c r="R100" s="248" t="s">
        <v>34</v>
      </c>
      <c r="S100" s="252" t="s">
        <v>88</v>
      </c>
      <c r="U100" s="239" t="s">
        <v>512</v>
      </c>
      <c r="V100" s="492">
        <f t="shared" si="84"/>
        <v>0.1308358</v>
      </c>
    </row>
    <row r="101" spans="1:27" ht="13.15" customHeight="1">
      <c r="A101" s="239"/>
      <c r="B101" s="257" t="s">
        <v>496</v>
      </c>
      <c r="C101" s="256" t="s">
        <v>496</v>
      </c>
      <c r="D101" s="256" t="s">
        <v>496</v>
      </c>
      <c r="E101" s="256" t="s">
        <v>473</v>
      </c>
      <c r="F101" s="257" t="s">
        <v>473</v>
      </c>
      <c r="G101" s="259" t="s">
        <v>451</v>
      </c>
      <c r="H101" s="257" t="s">
        <v>497</v>
      </c>
      <c r="I101" s="257" t="s">
        <v>498</v>
      </c>
      <c r="J101" s="230"/>
      <c r="K101" s="305"/>
      <c r="L101" s="257" t="s">
        <v>496</v>
      </c>
      <c r="M101" s="256" t="s">
        <v>496</v>
      </c>
      <c r="N101" s="256"/>
      <c r="O101" s="257" t="s">
        <v>79</v>
      </c>
      <c r="P101" s="257" t="s">
        <v>79</v>
      </c>
      <c r="Q101" s="259"/>
      <c r="R101" s="257"/>
      <c r="S101" s="256"/>
      <c r="U101" s="239" t="s">
        <v>513</v>
      </c>
      <c r="V101" s="492">
        <f t="shared" si="84"/>
        <v>6.7869999999999996E-3</v>
      </c>
    </row>
    <row r="102" spans="1:27" ht="13.15" customHeight="1">
      <c r="A102" s="251" t="s">
        <v>150</v>
      </c>
      <c r="B102" s="356">
        <v>4841.8305</v>
      </c>
      <c r="C102" s="357">
        <v>8586.2639999999992</v>
      </c>
      <c r="D102" s="358">
        <v>9074.8858000000182</v>
      </c>
      <c r="E102" s="356">
        <v>16665.444867264501</v>
      </c>
      <c r="F102" s="217">
        <v>30414.472222222201</v>
      </c>
      <c r="G102" s="219">
        <v>95966.805254394567</v>
      </c>
      <c r="H102" s="359">
        <v>296126.510446764</v>
      </c>
      <c r="I102" s="205">
        <v>473</v>
      </c>
      <c r="J102" s="244"/>
      <c r="K102" s="303" t="s">
        <v>150</v>
      </c>
      <c r="L102" s="312">
        <f>B102/I102</f>
        <v>10.236428118393235</v>
      </c>
      <c r="M102" s="313">
        <f>D102/I102</f>
        <v>19.185805073995809</v>
      </c>
      <c r="N102" s="313">
        <f>D102/B102</f>
        <v>1.8742675523234484</v>
      </c>
      <c r="O102" s="312">
        <f>(F102*3.6+G102)*100/H102</f>
        <v>69.382138378769284</v>
      </c>
      <c r="P102" s="313">
        <f>(E102*3.6+G102)*100/H102</f>
        <v>52.667492194889057</v>
      </c>
      <c r="Q102" s="313">
        <f>E102/(B102*8760)*1000</f>
        <v>0.39291917472292276</v>
      </c>
      <c r="R102" s="313">
        <f>G102/(D102*8761)*1000/3.6</f>
        <v>0.33529238320602101</v>
      </c>
      <c r="S102" s="313">
        <f>G102/(E102*3.6)</f>
        <v>1.5995640150213462</v>
      </c>
      <c r="U102" s="239" t="s">
        <v>514</v>
      </c>
      <c r="V102" s="492">
        <f t="shared" si="84"/>
        <v>2.5000000000000001E-2</v>
      </c>
      <c r="Z102" s="214">
        <f>C102-B102</f>
        <v>3744.4334999999992</v>
      </c>
      <c r="AA102" s="214">
        <f>F102-E102</f>
        <v>13749.0273549577</v>
      </c>
    </row>
    <row r="103" spans="1:27" ht="13.15" customHeight="1">
      <c r="A103" s="239"/>
      <c r="B103" s="252"/>
      <c r="C103" s="252"/>
      <c r="D103" s="252"/>
      <c r="E103" s="267"/>
      <c r="F103" s="267"/>
      <c r="G103" s="248"/>
      <c r="H103" s="252"/>
      <c r="I103" s="248"/>
      <c r="J103" s="230"/>
      <c r="K103" s="239"/>
      <c r="L103" s="312"/>
      <c r="M103" s="267"/>
      <c r="N103" s="267"/>
      <c r="O103" s="239"/>
      <c r="P103" s="313"/>
      <c r="Q103" s="267"/>
      <c r="R103" s="267"/>
      <c r="S103" s="239"/>
      <c r="U103" s="239" t="s">
        <v>515</v>
      </c>
      <c r="V103" s="492">
        <f t="shared" si="84"/>
        <v>1.0647E-2</v>
      </c>
      <c r="Z103" s="214">
        <f t="shared" ref="Z103:Z123" si="87">C103-B103</f>
        <v>0</v>
      </c>
      <c r="AA103" s="214">
        <f t="shared" ref="AA103:AA123" si="88">F103-E103</f>
        <v>0</v>
      </c>
    </row>
    <row r="104" spans="1:27" ht="13.15" customHeight="1">
      <c r="A104" s="312" t="s">
        <v>7</v>
      </c>
      <c r="B104" s="310">
        <v>556.72870000000012</v>
      </c>
      <c r="C104" s="310">
        <v>558.5009</v>
      </c>
      <c r="D104" s="310">
        <v>1530.1019999999999</v>
      </c>
      <c r="E104" s="310">
        <v>2625.3318094387714</v>
      </c>
      <c r="F104" s="310">
        <v>2657.6944444444503</v>
      </c>
      <c r="G104" s="310">
        <v>26694.361902075034</v>
      </c>
      <c r="H104" s="310">
        <v>43199.609862983998</v>
      </c>
      <c r="I104" s="310">
        <v>369</v>
      </c>
      <c r="J104" s="244"/>
      <c r="K104" s="318" t="s">
        <v>7</v>
      </c>
      <c r="L104" s="312">
        <f>B104/I104</f>
        <v>1.5087498644986452</v>
      </c>
      <c r="M104" s="313">
        <f>D104/I104</f>
        <v>4.1466178861788618</v>
      </c>
      <c r="N104" s="313">
        <f>D104/B104</f>
        <v>2.7483799559821498</v>
      </c>
      <c r="O104" s="312">
        <f>(F104*3.6+G104)*100/H104</f>
        <v>83.94071617101929</v>
      </c>
      <c r="P104" s="313">
        <f>(E104*3.6+G104)*100/H104</f>
        <v>83.671025110405651</v>
      </c>
      <c r="Q104" s="313">
        <f>E104/(B104*8760)*1000</f>
        <v>0.53831500340540983</v>
      </c>
      <c r="R104" s="313">
        <f>G104/(D104*8761)*1000/3.6</f>
        <v>0.55315008070323235</v>
      </c>
      <c r="S104" s="313">
        <f>G104/(E104*3.6)</f>
        <v>2.8244431815037254</v>
      </c>
      <c r="U104" s="239" t="s">
        <v>516</v>
      </c>
      <c r="V104" s="492">
        <f t="shared" si="84"/>
        <v>1.214E-2</v>
      </c>
      <c r="Z104" s="214">
        <f t="shared" si="87"/>
        <v>1.7721999999998843</v>
      </c>
      <c r="AA104" s="214">
        <f t="shared" si="88"/>
        <v>32.36263500567884</v>
      </c>
    </row>
    <row r="105" spans="1:27" ht="13.15" customHeight="1">
      <c r="A105" s="239" t="s">
        <v>152</v>
      </c>
      <c r="B105" s="319"/>
      <c r="C105" s="320"/>
      <c r="D105" s="320"/>
      <c r="E105" s="316"/>
      <c r="F105" s="316"/>
      <c r="G105" s="321"/>
      <c r="H105" s="319"/>
      <c r="I105" s="319"/>
      <c r="J105" s="230"/>
      <c r="K105" s="305" t="s">
        <v>152</v>
      </c>
      <c r="L105" s="239" t="e">
        <f t="shared" ref="L105:L121" si="89">B105/I105</f>
        <v>#DIV/0!</v>
      </c>
      <c r="M105" s="267" t="e">
        <f t="shared" ref="M105:M121" si="90">D105/I105</f>
        <v>#DIV/0!</v>
      </c>
      <c r="N105" s="267" t="e">
        <f t="shared" ref="N105:N121" si="91">D105/B105</f>
        <v>#DIV/0!</v>
      </c>
      <c r="O105" s="239" t="e">
        <f t="shared" ref="O105:O121" si="92">(F105*3.6+G105)*100/H105</f>
        <v>#DIV/0!</v>
      </c>
      <c r="P105" s="267" t="e">
        <f t="shared" ref="P105:P121" si="93">(E105*3.6+G105)*100/H105</f>
        <v>#DIV/0!</v>
      </c>
      <c r="Q105" s="267" t="e">
        <f t="shared" ref="Q105:Q121" si="94">E105/(B105*8760)*1000</f>
        <v>#DIV/0!</v>
      </c>
      <c r="R105" s="267" t="e">
        <f t="shared" ref="R105:R121" si="95">G105/(D105*8761)*1000/3.6</f>
        <v>#DIV/0!</v>
      </c>
      <c r="S105" s="267" t="e">
        <f t="shared" ref="S105:S121" si="96">G105/(E105*3.6)</f>
        <v>#DIV/0!</v>
      </c>
      <c r="U105" s="239" t="s">
        <v>517</v>
      </c>
      <c r="V105" s="492">
        <f t="shared" si="84"/>
        <v>9.2200000000000008E-4</v>
      </c>
      <c r="Z105" s="214">
        <f t="shared" si="87"/>
        <v>0</v>
      </c>
      <c r="AA105" s="214">
        <f t="shared" si="88"/>
        <v>0</v>
      </c>
    </row>
    <row r="106" spans="1:27" ht="13.15" customHeight="1">
      <c r="A106" s="239" t="s">
        <v>504</v>
      </c>
      <c r="B106" s="319"/>
      <c r="C106" s="320"/>
      <c r="D106" s="320"/>
      <c r="E106" s="316"/>
      <c r="F106" s="316"/>
      <c r="G106" s="321"/>
      <c r="H106" s="319"/>
      <c r="I106" s="319"/>
      <c r="J106" s="230"/>
      <c r="K106" s="305" t="s">
        <v>504</v>
      </c>
      <c r="L106" s="239" t="e">
        <f t="shared" si="89"/>
        <v>#DIV/0!</v>
      </c>
      <c r="M106" s="267" t="e">
        <f t="shared" si="90"/>
        <v>#DIV/0!</v>
      </c>
      <c r="N106" s="267" t="e">
        <f t="shared" si="91"/>
        <v>#DIV/0!</v>
      </c>
      <c r="O106" s="239" t="e">
        <f t="shared" si="92"/>
        <v>#DIV/0!</v>
      </c>
      <c r="P106" s="267" t="e">
        <f t="shared" si="93"/>
        <v>#DIV/0!</v>
      </c>
      <c r="Q106" s="267" t="e">
        <f t="shared" si="94"/>
        <v>#DIV/0!</v>
      </c>
      <c r="R106" s="267" t="e">
        <f t="shared" si="95"/>
        <v>#DIV/0!</v>
      </c>
      <c r="S106" s="267" t="e">
        <f t="shared" si="96"/>
        <v>#DIV/0!</v>
      </c>
      <c r="U106" s="239" t="s">
        <v>518</v>
      </c>
      <c r="V106" s="492">
        <f t="shared" si="84"/>
        <v>0.2692889</v>
      </c>
      <c r="Z106" s="214">
        <f t="shared" si="87"/>
        <v>0</v>
      </c>
      <c r="AA106" s="214">
        <f t="shared" si="88"/>
        <v>0</v>
      </c>
    </row>
    <row r="107" spans="1:27" ht="13.15" customHeight="1">
      <c r="A107" s="239" t="s">
        <v>505</v>
      </c>
      <c r="B107" s="319"/>
      <c r="C107" s="320"/>
      <c r="D107" s="320"/>
      <c r="E107" s="316"/>
      <c r="F107" s="316"/>
      <c r="G107" s="321"/>
      <c r="H107" s="319"/>
      <c r="I107" s="319"/>
      <c r="J107" s="230"/>
      <c r="K107" s="305" t="s">
        <v>505</v>
      </c>
      <c r="L107" s="239" t="e">
        <f t="shared" si="89"/>
        <v>#DIV/0!</v>
      </c>
      <c r="M107" s="267" t="e">
        <f t="shared" si="90"/>
        <v>#DIV/0!</v>
      </c>
      <c r="N107" s="267" t="e">
        <f t="shared" si="91"/>
        <v>#DIV/0!</v>
      </c>
      <c r="O107" s="239" t="e">
        <f t="shared" si="92"/>
        <v>#DIV/0!</v>
      </c>
      <c r="P107" s="267" t="e">
        <f t="shared" si="93"/>
        <v>#DIV/0!</v>
      </c>
      <c r="Q107" s="267" t="e">
        <f t="shared" si="94"/>
        <v>#DIV/0!</v>
      </c>
      <c r="R107" s="267" t="e">
        <f t="shared" si="95"/>
        <v>#DIV/0!</v>
      </c>
      <c r="S107" s="267" t="e">
        <f t="shared" si="96"/>
        <v>#DIV/0!</v>
      </c>
      <c r="U107" s="239" t="s">
        <v>519</v>
      </c>
      <c r="V107" s="492">
        <f t="shared" si="84"/>
        <v>0</v>
      </c>
      <c r="Z107" s="214">
        <f t="shared" si="87"/>
        <v>0</v>
      </c>
      <c r="AA107" s="214">
        <f t="shared" si="88"/>
        <v>0</v>
      </c>
    </row>
    <row r="108" spans="1:27" ht="13.15" customHeight="1">
      <c r="A108" s="239" t="s">
        <v>506</v>
      </c>
      <c r="B108" s="319">
        <v>26</v>
      </c>
      <c r="C108" s="320">
        <v>26</v>
      </c>
      <c r="D108" s="320">
        <v>9</v>
      </c>
      <c r="E108" s="316">
        <v>189.25</v>
      </c>
      <c r="F108" s="316">
        <v>189.25</v>
      </c>
      <c r="G108" s="321">
        <v>1188</v>
      </c>
      <c r="H108" s="319">
        <v>2455.2130000000002</v>
      </c>
      <c r="I108" s="319">
        <v>1</v>
      </c>
      <c r="J108" s="230"/>
      <c r="K108" s="305" t="s">
        <v>506</v>
      </c>
      <c r="L108" s="239">
        <f t="shared" si="89"/>
        <v>26</v>
      </c>
      <c r="M108" s="267">
        <f t="shared" si="90"/>
        <v>9</v>
      </c>
      <c r="N108" s="267">
        <f t="shared" si="91"/>
        <v>0.34615384615384615</v>
      </c>
      <c r="O108" s="239">
        <f t="shared" si="92"/>
        <v>76.135960505259632</v>
      </c>
      <c r="P108" s="267">
        <f t="shared" si="93"/>
        <v>76.135960505259632</v>
      </c>
      <c r="Q108" s="267">
        <f t="shared" si="94"/>
        <v>0.83091851071303124</v>
      </c>
      <c r="R108" s="267">
        <f t="shared" si="95"/>
        <v>4.1852147776129058</v>
      </c>
      <c r="S108" s="267">
        <f t="shared" si="96"/>
        <v>1.7437252311756934</v>
      </c>
      <c r="U108" s="220"/>
      <c r="Z108" s="214">
        <f t="shared" si="87"/>
        <v>0</v>
      </c>
      <c r="AA108" s="214">
        <f t="shared" si="88"/>
        <v>0</v>
      </c>
    </row>
    <row r="109" spans="1:27" ht="13.15" customHeight="1">
      <c r="A109" s="239" t="s">
        <v>507</v>
      </c>
      <c r="B109" s="319"/>
      <c r="C109" s="320"/>
      <c r="D109" s="320"/>
      <c r="E109" s="316"/>
      <c r="F109" s="316"/>
      <c r="G109" s="321"/>
      <c r="H109" s="319"/>
      <c r="I109" s="319"/>
      <c r="J109" s="230"/>
      <c r="K109" s="305" t="s">
        <v>507</v>
      </c>
      <c r="L109" s="239" t="e">
        <f t="shared" si="89"/>
        <v>#DIV/0!</v>
      </c>
      <c r="M109" s="267" t="e">
        <f t="shared" si="90"/>
        <v>#DIV/0!</v>
      </c>
      <c r="N109" s="267" t="e">
        <f t="shared" si="91"/>
        <v>#DIV/0!</v>
      </c>
      <c r="O109" s="239" t="e">
        <f t="shared" si="92"/>
        <v>#DIV/0!</v>
      </c>
      <c r="P109" s="267" t="e">
        <f t="shared" si="93"/>
        <v>#DIV/0!</v>
      </c>
      <c r="Q109" s="267" t="e">
        <f t="shared" si="94"/>
        <v>#DIV/0!</v>
      </c>
      <c r="R109" s="267" t="e">
        <f t="shared" si="95"/>
        <v>#DIV/0!</v>
      </c>
      <c r="S109" s="267" t="e">
        <f t="shared" si="96"/>
        <v>#DIV/0!</v>
      </c>
      <c r="U109" s="220"/>
      <c r="Z109" s="214">
        <f t="shared" si="87"/>
        <v>0</v>
      </c>
      <c r="AA109" s="214">
        <f t="shared" si="88"/>
        <v>0</v>
      </c>
    </row>
    <row r="110" spans="1:27" ht="13.15" customHeight="1">
      <c r="A110" s="239" t="s">
        <v>156</v>
      </c>
      <c r="B110" s="319"/>
      <c r="C110" s="320"/>
      <c r="D110" s="320"/>
      <c r="E110" s="316"/>
      <c r="F110" s="316"/>
      <c r="G110" s="321"/>
      <c r="H110" s="319"/>
      <c r="I110" s="319"/>
      <c r="J110" s="230"/>
      <c r="K110" s="305" t="s">
        <v>156</v>
      </c>
      <c r="L110" s="239" t="e">
        <f t="shared" si="89"/>
        <v>#DIV/0!</v>
      </c>
      <c r="M110" s="267" t="e">
        <f t="shared" si="90"/>
        <v>#DIV/0!</v>
      </c>
      <c r="N110" s="267" t="e">
        <f t="shared" si="91"/>
        <v>#DIV/0!</v>
      </c>
      <c r="O110" s="322" t="e">
        <f t="shared" si="92"/>
        <v>#DIV/0!</v>
      </c>
      <c r="P110" s="323" t="e">
        <f t="shared" si="93"/>
        <v>#DIV/0!</v>
      </c>
      <c r="Q110" s="267" t="e">
        <f t="shared" si="94"/>
        <v>#DIV/0!</v>
      </c>
      <c r="R110" s="267" t="e">
        <f t="shared" si="95"/>
        <v>#DIV/0!</v>
      </c>
      <c r="S110" s="267" t="e">
        <f t="shared" si="96"/>
        <v>#DIV/0!</v>
      </c>
      <c r="U110" s="220"/>
      <c r="Z110" s="214">
        <f t="shared" si="87"/>
        <v>0</v>
      </c>
      <c r="AA110" s="214">
        <f t="shared" si="88"/>
        <v>0</v>
      </c>
    </row>
    <row r="111" spans="1:27" ht="13.15" customHeight="1">
      <c r="A111" s="239" t="s">
        <v>508</v>
      </c>
      <c r="B111" s="319"/>
      <c r="C111" s="320"/>
      <c r="D111" s="320"/>
      <c r="E111" s="316"/>
      <c r="F111" s="316"/>
      <c r="G111" s="321"/>
      <c r="H111" s="319"/>
      <c r="I111" s="319"/>
      <c r="J111" s="230"/>
      <c r="K111" s="305" t="s">
        <v>508</v>
      </c>
      <c r="L111" s="239" t="e">
        <f t="shared" si="89"/>
        <v>#DIV/0!</v>
      </c>
      <c r="M111" s="267" t="e">
        <f t="shared" si="90"/>
        <v>#DIV/0!</v>
      </c>
      <c r="N111" s="267" t="e">
        <f t="shared" si="91"/>
        <v>#DIV/0!</v>
      </c>
      <c r="O111" s="239" t="e">
        <f t="shared" si="92"/>
        <v>#DIV/0!</v>
      </c>
      <c r="P111" s="267" t="e">
        <f t="shared" si="93"/>
        <v>#DIV/0!</v>
      </c>
      <c r="Q111" s="267" t="e">
        <f t="shared" si="94"/>
        <v>#DIV/0!</v>
      </c>
      <c r="R111" s="267" t="e">
        <f t="shared" si="95"/>
        <v>#DIV/0!</v>
      </c>
      <c r="S111" s="267" t="e">
        <f t="shared" si="96"/>
        <v>#DIV/0!</v>
      </c>
      <c r="U111" s="220"/>
      <c r="Z111" s="214">
        <f t="shared" si="87"/>
        <v>0</v>
      </c>
      <c r="AA111" s="214">
        <f t="shared" si="88"/>
        <v>0</v>
      </c>
    </row>
    <row r="112" spans="1:27" ht="13.15" customHeight="1">
      <c r="A112" s="239" t="s">
        <v>509</v>
      </c>
      <c r="B112" s="319">
        <v>44.087000000000003</v>
      </c>
      <c r="C112" s="320">
        <v>44.087000000000003</v>
      </c>
      <c r="D112" s="320">
        <v>201.5</v>
      </c>
      <c r="E112" s="316">
        <v>207.898034722212</v>
      </c>
      <c r="F112" s="316">
        <v>209.472222222222</v>
      </c>
      <c r="G112" s="321">
        <v>2718.9081999995501</v>
      </c>
      <c r="H112" s="319">
        <v>3931.5168116</v>
      </c>
      <c r="I112" s="319">
        <v>6</v>
      </c>
      <c r="J112" s="230"/>
      <c r="K112" s="305" t="s">
        <v>509</v>
      </c>
      <c r="L112" s="239">
        <f t="shared" si="89"/>
        <v>7.3478333333333339</v>
      </c>
      <c r="M112" s="267">
        <f t="shared" si="90"/>
        <v>33.583333333333336</v>
      </c>
      <c r="N112" s="267">
        <f t="shared" si="91"/>
        <v>4.5705083131081725</v>
      </c>
      <c r="O112" s="239">
        <f t="shared" si="92"/>
        <v>88.337615389367926</v>
      </c>
      <c r="P112" s="267">
        <f t="shared" si="93"/>
        <v>88.193470641383769</v>
      </c>
      <c r="Q112" s="267">
        <f t="shared" si="94"/>
        <v>0.53831406912580382</v>
      </c>
      <c r="R112" s="267">
        <f t="shared" si="95"/>
        <v>0.42782219631592683</v>
      </c>
      <c r="S112" s="267">
        <f t="shared" si="96"/>
        <v>3.6328014297335778</v>
      </c>
      <c r="U112" s="220"/>
      <c r="Z112" s="214">
        <f t="shared" si="87"/>
        <v>0</v>
      </c>
      <c r="AA112" s="214">
        <f t="shared" si="88"/>
        <v>1.5741875000099981</v>
      </c>
    </row>
    <row r="113" spans="1:27" ht="13.15" customHeight="1">
      <c r="A113" s="239" t="s">
        <v>510</v>
      </c>
      <c r="B113" s="319">
        <v>1.0209999999999999</v>
      </c>
      <c r="C113" s="320">
        <v>1.0209999999999999</v>
      </c>
      <c r="D113" s="320">
        <v>1.42</v>
      </c>
      <c r="E113" s="316">
        <v>4.3611111111111098</v>
      </c>
      <c r="F113" s="316">
        <v>4.3611111111111098</v>
      </c>
      <c r="G113" s="321">
        <v>24.696399999996402</v>
      </c>
      <c r="H113" s="319">
        <v>40.952376559999998</v>
      </c>
      <c r="I113" s="319">
        <v>2</v>
      </c>
      <c r="J113" s="230"/>
      <c r="K113" s="305" t="s">
        <v>510</v>
      </c>
      <c r="L113" s="239">
        <f t="shared" si="89"/>
        <v>0.51049999999999995</v>
      </c>
      <c r="M113" s="267">
        <f t="shared" si="90"/>
        <v>0.71</v>
      </c>
      <c r="N113" s="267">
        <f t="shared" si="91"/>
        <v>1.3907933398628796</v>
      </c>
      <c r="O113" s="322">
        <f t="shared" si="92"/>
        <v>98.642382672983501</v>
      </c>
      <c r="P113" s="323">
        <f t="shared" si="93"/>
        <v>98.642382672983501</v>
      </c>
      <c r="Q113" s="267">
        <f t="shared" si="94"/>
        <v>0.48760404911371585</v>
      </c>
      <c r="R113" s="267">
        <f t="shared" si="95"/>
        <v>0.55142839433324964</v>
      </c>
      <c r="S113" s="267">
        <f t="shared" si="96"/>
        <v>1.573019108280026</v>
      </c>
      <c r="U113" s="220"/>
      <c r="Z113" s="214">
        <f t="shared" si="87"/>
        <v>0</v>
      </c>
      <c r="AA113" s="214">
        <f t="shared" si="88"/>
        <v>0</v>
      </c>
    </row>
    <row r="114" spans="1:27" ht="13.15" customHeight="1">
      <c r="A114" s="239" t="s">
        <v>511</v>
      </c>
      <c r="B114" s="324">
        <v>30</v>
      </c>
      <c r="C114" s="325">
        <v>30</v>
      </c>
      <c r="D114" s="320">
        <v>32.5</v>
      </c>
      <c r="E114" s="316">
        <v>230.611111111111</v>
      </c>
      <c r="F114" s="316">
        <v>230.611111111111</v>
      </c>
      <c r="G114" s="321">
        <v>965.89439999965498</v>
      </c>
      <c r="H114" s="319">
        <v>2303.5448590400001</v>
      </c>
      <c r="I114" s="319">
        <v>1</v>
      </c>
      <c r="J114" s="230"/>
      <c r="K114" s="305" t="s">
        <v>511</v>
      </c>
      <c r="L114" s="239">
        <f t="shared" si="89"/>
        <v>30</v>
      </c>
      <c r="M114" s="267">
        <f t="shared" si="90"/>
        <v>32.5</v>
      </c>
      <c r="N114" s="267">
        <f t="shared" si="91"/>
        <v>1.0833333333333333</v>
      </c>
      <c r="O114" s="239">
        <f t="shared" si="92"/>
        <v>77.970888778270847</v>
      </c>
      <c r="P114" s="267">
        <f t="shared" si="93"/>
        <v>77.970888778270847</v>
      </c>
      <c r="Q114" s="267">
        <f t="shared" si="94"/>
        <v>0.87751564349737821</v>
      </c>
      <c r="R114" s="267">
        <f t="shared" si="95"/>
        <v>0.94230198519629538</v>
      </c>
      <c r="S114" s="267">
        <f t="shared" si="96"/>
        <v>1.1634478438926228</v>
      </c>
      <c r="U114" s="220"/>
      <c r="Z114" s="214">
        <f t="shared" si="87"/>
        <v>0</v>
      </c>
      <c r="AA114" s="214">
        <f t="shared" si="88"/>
        <v>0</v>
      </c>
    </row>
    <row r="115" spans="1:27" ht="13.15" customHeight="1">
      <c r="A115" s="239" t="s">
        <v>512</v>
      </c>
      <c r="B115" s="324">
        <v>130.83580000000001</v>
      </c>
      <c r="C115" s="325">
        <v>131.125</v>
      </c>
      <c r="D115" s="320">
        <v>519.80200000000002</v>
      </c>
      <c r="E115" s="316">
        <v>470.00259888888797</v>
      </c>
      <c r="F115" s="316">
        <v>472.25</v>
      </c>
      <c r="G115" s="321">
        <v>5558.0307599996004</v>
      </c>
      <c r="H115" s="319">
        <v>8322.5734539200002</v>
      </c>
      <c r="I115" s="319">
        <v>24</v>
      </c>
      <c r="J115" s="230"/>
      <c r="K115" s="305" t="s">
        <v>512</v>
      </c>
      <c r="L115" s="239">
        <f t="shared" si="89"/>
        <v>5.4514916666666666</v>
      </c>
      <c r="M115" s="267">
        <f t="shared" si="90"/>
        <v>21.658416666666668</v>
      </c>
      <c r="N115" s="267">
        <f t="shared" si="91"/>
        <v>3.9729340134733766</v>
      </c>
      <c r="O115" s="239">
        <f t="shared" si="92"/>
        <v>87.210173634225626</v>
      </c>
      <c r="P115" s="267">
        <f t="shared" si="93"/>
        <v>87.112960385886041</v>
      </c>
      <c r="Q115" s="267">
        <f t="shared" si="94"/>
        <v>0.41008091602866625</v>
      </c>
      <c r="R115" s="267">
        <f t="shared" si="95"/>
        <v>0.33902117028677198</v>
      </c>
      <c r="S115" s="267">
        <f t="shared" si="96"/>
        <v>3.2848699921725557</v>
      </c>
      <c r="U115" s="220"/>
      <c r="Z115" s="214">
        <f t="shared" si="87"/>
        <v>0.28919999999999391</v>
      </c>
      <c r="AA115" s="214">
        <f t="shared" si="88"/>
        <v>2.2474011111120262</v>
      </c>
    </row>
    <row r="116" spans="1:27" ht="13.15" customHeight="1">
      <c r="A116" s="239" t="s">
        <v>513</v>
      </c>
      <c r="B116" s="324">
        <v>6.7869999999999999</v>
      </c>
      <c r="C116" s="325">
        <v>6.7869999999999999</v>
      </c>
      <c r="D116" s="320">
        <v>12.09</v>
      </c>
      <c r="E116" s="316">
        <v>18.4166666666667</v>
      </c>
      <c r="F116" s="316">
        <v>18.4166666666667</v>
      </c>
      <c r="G116" s="321">
        <v>94.672799999961697</v>
      </c>
      <c r="H116" s="319">
        <v>173.66026024000001</v>
      </c>
      <c r="I116" s="319">
        <v>3</v>
      </c>
      <c r="J116" s="230"/>
      <c r="K116" s="305" t="s">
        <v>513</v>
      </c>
      <c r="L116" s="239">
        <f t="shared" si="89"/>
        <v>2.2623333333333333</v>
      </c>
      <c r="M116" s="267">
        <f t="shared" si="90"/>
        <v>4.03</v>
      </c>
      <c r="N116" s="267">
        <f t="shared" si="91"/>
        <v>1.7813466922056873</v>
      </c>
      <c r="O116" s="239">
        <f t="shared" si="92"/>
        <v>92.694091197085612</v>
      </c>
      <c r="P116" s="267">
        <f t="shared" si="93"/>
        <v>92.694091197085612</v>
      </c>
      <c r="Q116" s="267">
        <f t="shared" si="94"/>
        <v>0.30976266517218148</v>
      </c>
      <c r="R116" s="267">
        <f t="shared" si="95"/>
        <v>0.24828057347534324</v>
      </c>
      <c r="S116" s="267">
        <f t="shared" si="96"/>
        <v>1.4279457013568857</v>
      </c>
      <c r="U116" s="220"/>
      <c r="Z116" s="214">
        <f t="shared" si="87"/>
        <v>0</v>
      </c>
      <c r="AA116" s="214">
        <f t="shared" si="88"/>
        <v>0</v>
      </c>
    </row>
    <row r="117" spans="1:27" ht="13.15" customHeight="1">
      <c r="A117" s="239" t="s">
        <v>514</v>
      </c>
      <c r="B117" s="324">
        <v>25</v>
      </c>
      <c r="C117" s="325">
        <v>25</v>
      </c>
      <c r="D117" s="320">
        <v>91.6</v>
      </c>
      <c r="E117" s="316">
        <v>123.666666666667</v>
      </c>
      <c r="F117" s="316">
        <v>123.666666666667</v>
      </c>
      <c r="G117" s="321">
        <v>1517.99679999973</v>
      </c>
      <c r="H117" s="319">
        <v>2329.74302046</v>
      </c>
      <c r="I117" s="319">
        <v>2</v>
      </c>
      <c r="J117" s="230"/>
      <c r="K117" s="305" t="s">
        <v>514</v>
      </c>
      <c r="L117" s="239">
        <f t="shared" si="89"/>
        <v>12.5</v>
      </c>
      <c r="M117" s="267">
        <f t="shared" si="90"/>
        <v>45.8</v>
      </c>
      <c r="N117" s="267">
        <f t="shared" si="91"/>
        <v>3.6639999999999997</v>
      </c>
      <c r="O117" s="239">
        <f t="shared" si="92"/>
        <v>84.266667300160194</v>
      </c>
      <c r="P117" s="267">
        <f t="shared" si="93"/>
        <v>84.266667300160194</v>
      </c>
      <c r="Q117" s="267">
        <f t="shared" si="94"/>
        <v>0.56468797564688122</v>
      </c>
      <c r="R117" s="267">
        <f t="shared" si="95"/>
        <v>0.52543524544528031</v>
      </c>
      <c r="S117" s="267">
        <f t="shared" si="96"/>
        <v>3.4096963162617384</v>
      </c>
      <c r="U117" s="220"/>
      <c r="Z117" s="214">
        <f t="shared" si="87"/>
        <v>0</v>
      </c>
      <c r="AA117" s="214">
        <f t="shared" si="88"/>
        <v>0</v>
      </c>
    </row>
    <row r="118" spans="1:27" ht="13.15" customHeight="1">
      <c r="A118" s="239" t="s">
        <v>515</v>
      </c>
      <c r="B118" s="324">
        <v>10.647</v>
      </c>
      <c r="C118" s="325">
        <v>10.647</v>
      </c>
      <c r="D118" s="320">
        <v>12.539</v>
      </c>
      <c r="E118" s="316">
        <v>52.3055555555556</v>
      </c>
      <c r="F118" s="316">
        <v>52.3055555555556</v>
      </c>
      <c r="G118" s="321">
        <v>260.09953239989602</v>
      </c>
      <c r="H118" s="319">
        <v>492.95770748000001</v>
      </c>
      <c r="I118" s="319">
        <v>8</v>
      </c>
      <c r="J118" s="230"/>
      <c r="K118" s="305" t="s">
        <v>515</v>
      </c>
      <c r="L118" s="239">
        <f t="shared" si="89"/>
        <v>1.330875</v>
      </c>
      <c r="M118" s="267">
        <f t="shared" si="90"/>
        <v>1.567375</v>
      </c>
      <c r="N118" s="267">
        <f t="shared" si="91"/>
        <v>1.1777026392411007</v>
      </c>
      <c r="O118" s="239">
        <f t="shared" si="92"/>
        <v>90.961055197232795</v>
      </c>
      <c r="P118" s="267">
        <f t="shared" si="93"/>
        <v>90.961055197232795</v>
      </c>
      <c r="Q118" s="267">
        <f t="shared" si="94"/>
        <v>0.56081091674113615</v>
      </c>
      <c r="R118" s="267">
        <f t="shared" si="95"/>
        <v>0.65768886326192688</v>
      </c>
      <c r="S118" s="267">
        <f t="shared" si="96"/>
        <v>1.3813039426441625</v>
      </c>
      <c r="U118" s="220"/>
      <c r="Z118" s="214">
        <f t="shared" si="87"/>
        <v>0</v>
      </c>
      <c r="AA118" s="214">
        <f t="shared" si="88"/>
        <v>0</v>
      </c>
    </row>
    <row r="119" spans="1:27" ht="13.15" customHeight="1">
      <c r="A119" s="239" t="s">
        <v>516</v>
      </c>
      <c r="B119" s="319">
        <v>12.14</v>
      </c>
      <c r="C119" s="320">
        <v>12.14</v>
      </c>
      <c r="D119" s="319">
        <v>38.549999999999997</v>
      </c>
      <c r="E119" s="316">
        <v>31.237741602062499</v>
      </c>
      <c r="F119" s="316">
        <v>36.8888888888889</v>
      </c>
      <c r="G119" s="321">
        <v>861.13999999994905</v>
      </c>
      <c r="H119" s="319">
        <v>1206.45274322</v>
      </c>
      <c r="I119" s="319">
        <v>4</v>
      </c>
      <c r="J119" s="244"/>
      <c r="K119" s="239" t="s">
        <v>516</v>
      </c>
      <c r="L119" s="239">
        <f t="shared" si="89"/>
        <v>3.0350000000000001</v>
      </c>
      <c r="M119" s="267">
        <f t="shared" si="90"/>
        <v>9.6374999999999993</v>
      </c>
      <c r="N119" s="267">
        <f t="shared" si="91"/>
        <v>3.1754530477759468</v>
      </c>
      <c r="O119" s="239">
        <f t="shared" si="92"/>
        <v>82.385323883233227</v>
      </c>
      <c r="P119" s="267">
        <f t="shared" si="93"/>
        <v>80.69904728873712</v>
      </c>
      <c r="Q119" s="267">
        <f t="shared" si="94"/>
        <v>0.2937357691662576</v>
      </c>
      <c r="R119" s="267">
        <f t="shared" si="95"/>
        <v>0.70826078952823257</v>
      </c>
      <c r="S119" s="267">
        <f t="shared" si="96"/>
        <v>7.657581607620048</v>
      </c>
      <c r="U119" s="220"/>
      <c r="Z119" s="214">
        <f t="shared" si="87"/>
        <v>0</v>
      </c>
      <c r="AA119" s="214">
        <f t="shared" si="88"/>
        <v>5.6511472868264008</v>
      </c>
    </row>
    <row r="120" spans="1:27" ht="13.15" customHeight="1">
      <c r="A120" s="239" t="s">
        <v>517</v>
      </c>
      <c r="B120" s="319">
        <v>0.92200000000000004</v>
      </c>
      <c r="C120" s="320">
        <v>0.92200000000000004</v>
      </c>
      <c r="D120" s="320">
        <v>1.2</v>
      </c>
      <c r="E120" s="316">
        <v>1.8888888888888899</v>
      </c>
      <c r="F120" s="316">
        <v>1.8888888888888899</v>
      </c>
      <c r="G120" s="321">
        <v>9.0356399999963504</v>
      </c>
      <c r="H120" s="319">
        <v>19.022370819999999</v>
      </c>
      <c r="I120" s="319">
        <v>1</v>
      </c>
      <c r="K120" s="239" t="s">
        <v>517</v>
      </c>
      <c r="L120" s="239">
        <f t="shared" si="89"/>
        <v>0.92200000000000004</v>
      </c>
      <c r="M120" s="267">
        <f t="shared" si="90"/>
        <v>1.2</v>
      </c>
      <c r="N120" s="267">
        <f t="shared" si="91"/>
        <v>1.3015184381778742</v>
      </c>
      <c r="O120" s="239">
        <f t="shared" si="92"/>
        <v>83.247457164208271</v>
      </c>
      <c r="P120" s="267">
        <f t="shared" si="93"/>
        <v>83.247457164208271</v>
      </c>
      <c r="Q120" s="267">
        <f t="shared" si="94"/>
        <v>0.23386831398004262</v>
      </c>
      <c r="R120" s="267">
        <f t="shared" si="95"/>
        <v>0.23873796750741794</v>
      </c>
      <c r="S120" s="267">
        <f t="shared" si="96"/>
        <v>1.3287705882347565</v>
      </c>
      <c r="U120" s="220"/>
      <c r="Z120" s="214">
        <f t="shared" si="87"/>
        <v>0</v>
      </c>
      <c r="AA120" s="214">
        <f t="shared" si="88"/>
        <v>0</v>
      </c>
    </row>
    <row r="121" spans="1:27" ht="13.15" customHeight="1">
      <c r="A121" s="239" t="s">
        <v>518</v>
      </c>
      <c r="B121" s="319">
        <v>269.28890000000001</v>
      </c>
      <c r="C121" s="320">
        <v>270.77190000000002</v>
      </c>
      <c r="D121" s="320">
        <v>609.90099999999995</v>
      </c>
      <c r="E121" s="316">
        <v>1295.6934342256088</v>
      </c>
      <c r="F121" s="316">
        <v>1318.5833333333389</v>
      </c>
      <c r="G121" s="321">
        <v>13495.8873696767</v>
      </c>
      <c r="H121" s="319">
        <v>21923.973259643997</v>
      </c>
      <c r="I121" s="319">
        <v>317</v>
      </c>
      <c r="K121" s="239" t="s">
        <v>518</v>
      </c>
      <c r="L121" s="239">
        <f t="shared" si="89"/>
        <v>0.84949179810725561</v>
      </c>
      <c r="M121" s="267">
        <f t="shared" si="90"/>
        <v>1.9239779179810723</v>
      </c>
      <c r="N121" s="267">
        <f t="shared" si="91"/>
        <v>2.2648575563270521</v>
      </c>
      <c r="O121" s="239">
        <f t="shared" si="92"/>
        <v>83.20931226118887</v>
      </c>
      <c r="P121" s="267">
        <f t="shared" si="93"/>
        <v>82.833451390479311</v>
      </c>
      <c r="Q121" s="267">
        <f t="shared" si="94"/>
        <v>0.54926218416906536</v>
      </c>
      <c r="R121" s="267">
        <f t="shared" si="95"/>
        <v>0.70159408455125705</v>
      </c>
      <c r="S121" s="267">
        <f t="shared" si="96"/>
        <v>2.8933214475448317</v>
      </c>
      <c r="U121" s="220"/>
      <c r="Z121" s="214">
        <f t="shared" si="87"/>
        <v>1.4830000000000041</v>
      </c>
      <c r="AA121" s="214">
        <f t="shared" si="88"/>
        <v>22.889899107730116</v>
      </c>
    </row>
    <row r="122" spans="1:27" ht="13.15" customHeight="1">
      <c r="A122" s="239" t="s">
        <v>519</v>
      </c>
      <c r="B122" s="319"/>
      <c r="C122" s="320"/>
      <c r="D122" s="320"/>
      <c r="E122" s="316"/>
      <c r="F122" s="316"/>
      <c r="G122" s="321"/>
      <c r="H122" s="319"/>
      <c r="I122" s="319"/>
      <c r="K122" s="239" t="s">
        <v>519</v>
      </c>
      <c r="L122" s="239"/>
      <c r="M122" s="267"/>
      <c r="N122" s="267"/>
      <c r="O122" s="239"/>
      <c r="P122" s="267"/>
      <c r="Q122" s="267"/>
      <c r="R122" s="267"/>
      <c r="S122" s="267"/>
      <c r="U122" s="220"/>
      <c r="Z122" s="214">
        <f t="shared" si="87"/>
        <v>0</v>
      </c>
      <c r="AA122" s="214">
        <f t="shared" si="88"/>
        <v>0</v>
      </c>
    </row>
    <row r="123" spans="1:27" ht="13.15" customHeight="1">
      <c r="A123" s="282" t="s">
        <v>169</v>
      </c>
      <c r="B123" s="360">
        <f>(B102+B104)</f>
        <v>5398.5591999999997</v>
      </c>
      <c r="C123" s="361">
        <f t="shared" ref="C123:I123" si="97">(C102+C104)</f>
        <v>9144.7648999999983</v>
      </c>
      <c r="D123" s="361">
        <f t="shared" si="97"/>
        <v>10604.987800000017</v>
      </c>
      <c r="E123" s="360">
        <f t="shared" si="97"/>
        <v>19290.776676703274</v>
      </c>
      <c r="F123" s="361">
        <f t="shared" si="97"/>
        <v>33072.16666666665</v>
      </c>
      <c r="G123" s="361">
        <f t="shared" si="97"/>
        <v>122661.1671564696</v>
      </c>
      <c r="H123" s="361">
        <f t="shared" si="97"/>
        <v>339326.12030974799</v>
      </c>
      <c r="I123" s="361">
        <f t="shared" si="97"/>
        <v>842</v>
      </c>
      <c r="K123" s="328" t="s">
        <v>169</v>
      </c>
      <c r="L123" s="282">
        <f>B123/I123</f>
        <v>6.4115904988123509</v>
      </c>
      <c r="M123" s="281">
        <f>D123/I123</f>
        <v>12.594997387173416</v>
      </c>
      <c r="N123" s="281">
        <f>D123/B123</f>
        <v>1.9644107635237227</v>
      </c>
      <c r="O123" s="282">
        <f>(F123*3.6+G123)*100/H123</f>
        <v>71.235590981271557</v>
      </c>
      <c r="P123" s="282">
        <f>(E123*3.6+G123)*100/H123</f>
        <v>56.614552106168233</v>
      </c>
      <c r="Q123" s="281">
        <f>E123/(B123*8760)*1000</f>
        <v>0.40791318102886898</v>
      </c>
      <c r="R123" s="281">
        <f>G123/(D123*8761)*1000/3.6</f>
        <v>0.36672518680206828</v>
      </c>
      <c r="S123" s="281">
        <f>G123/(E123*3.6)</f>
        <v>1.7662609962978197</v>
      </c>
      <c r="U123" s="220"/>
      <c r="Z123" s="214">
        <f t="shared" si="87"/>
        <v>3746.2056999999986</v>
      </c>
      <c r="AA123" s="214">
        <f t="shared" si="88"/>
        <v>13781.389989963376</v>
      </c>
    </row>
    <row r="124" spans="1:27" ht="13.15" customHeight="1">
      <c r="U124" s="220"/>
    </row>
    <row r="125" spans="1:27" ht="13.15" customHeight="1">
      <c r="A125" s="251" t="s">
        <v>520</v>
      </c>
      <c r="B125" s="227" t="s">
        <v>476</v>
      </c>
      <c r="C125" s="228"/>
      <c r="D125" s="286"/>
      <c r="E125" s="227" t="s">
        <v>521</v>
      </c>
      <c r="F125" s="228"/>
      <c r="G125" s="286"/>
      <c r="H125" s="200" t="s">
        <v>138</v>
      </c>
      <c r="I125" s="200" t="s">
        <v>478</v>
      </c>
      <c r="U125" s="220"/>
    </row>
    <row r="126" spans="1:27" ht="13.15" customHeight="1">
      <c r="A126" s="239"/>
      <c r="B126" s="243" t="s">
        <v>88</v>
      </c>
      <c r="C126" s="243"/>
      <c r="D126" s="241" t="s">
        <v>34</v>
      </c>
      <c r="E126" s="243" t="s">
        <v>88</v>
      </c>
      <c r="F126" s="243"/>
      <c r="G126" s="241" t="s">
        <v>34</v>
      </c>
      <c r="H126" s="241" t="s">
        <v>170</v>
      </c>
      <c r="I126" s="241" t="s">
        <v>483</v>
      </c>
      <c r="U126" s="220"/>
    </row>
    <row r="127" spans="1:27" ht="13.15" customHeight="1">
      <c r="A127" s="239"/>
      <c r="B127" s="252" t="s">
        <v>0</v>
      </c>
      <c r="C127" s="252" t="s">
        <v>489</v>
      </c>
      <c r="D127" s="252" t="s">
        <v>490</v>
      </c>
      <c r="E127" s="252" t="s">
        <v>491</v>
      </c>
      <c r="F127" s="252" t="s">
        <v>489</v>
      </c>
      <c r="G127" s="252" t="s">
        <v>490</v>
      </c>
      <c r="H127" s="248"/>
      <c r="I127" s="241" t="s">
        <v>492</v>
      </c>
      <c r="U127" s="220"/>
    </row>
    <row r="128" spans="1:27" ht="13.15" customHeight="1">
      <c r="A128" s="239"/>
      <c r="B128" s="257" t="s">
        <v>496</v>
      </c>
      <c r="C128" s="256" t="s">
        <v>496</v>
      </c>
      <c r="D128" s="252" t="s">
        <v>496</v>
      </c>
      <c r="E128" s="329" t="s">
        <v>473</v>
      </c>
      <c r="F128" s="329" t="s">
        <v>473</v>
      </c>
      <c r="G128" s="252" t="s">
        <v>496</v>
      </c>
      <c r="H128" s="257" t="s">
        <v>497</v>
      </c>
      <c r="I128" s="257" t="s">
        <v>498</v>
      </c>
      <c r="U128" s="220"/>
    </row>
    <row r="129" spans="1:21" ht="13.15" customHeight="1">
      <c r="A129" s="251" t="s">
        <v>522</v>
      </c>
      <c r="B129" s="330">
        <f t="shared" ref="B129:I129" si="98">SUM(B130:B133)</f>
        <v>2322.0282000000002</v>
      </c>
      <c r="C129" s="331">
        <f t="shared" si="98"/>
        <v>2940.9899</v>
      </c>
      <c r="D129" s="331">
        <f t="shared" si="98"/>
        <v>4337.3498</v>
      </c>
      <c r="E129" s="330">
        <f t="shared" si="98"/>
        <v>9012.8513811476878</v>
      </c>
      <c r="F129" s="331">
        <f t="shared" si="98"/>
        <v>11602.833333333318</v>
      </c>
      <c r="G129" s="331">
        <f t="shared" si="98"/>
        <v>62540.977956470102</v>
      </c>
      <c r="H129" s="332">
        <f t="shared" si="98"/>
        <v>134257.770715908</v>
      </c>
      <c r="I129" s="333">
        <f t="shared" si="98"/>
        <v>793</v>
      </c>
      <c r="U129" s="220"/>
    </row>
    <row r="130" spans="1:21" ht="13.15" customHeight="1">
      <c r="A130" s="239" t="s">
        <v>523</v>
      </c>
      <c r="B130" s="334">
        <v>53.6</v>
      </c>
      <c r="C130" s="334">
        <v>53.6</v>
      </c>
      <c r="D130" s="334">
        <v>135.6</v>
      </c>
      <c r="E130" s="334">
        <v>227.666666666667</v>
      </c>
      <c r="F130" s="334">
        <v>227.666666666667</v>
      </c>
      <c r="G130" s="334">
        <v>2126.7620000000002</v>
      </c>
      <c r="H130" s="334">
        <v>3191.4850000000001</v>
      </c>
      <c r="I130" s="335">
        <v>2</v>
      </c>
    </row>
    <row r="131" spans="1:21" ht="13.15" customHeight="1">
      <c r="A131" s="239" t="s">
        <v>524</v>
      </c>
      <c r="B131" s="334">
        <v>352.67599999999999</v>
      </c>
      <c r="C131" s="334">
        <v>970.17600000000004</v>
      </c>
      <c r="D131" s="334">
        <v>929.77200000000005</v>
      </c>
      <c r="E131" s="334">
        <v>930.76395910209101</v>
      </c>
      <c r="F131" s="334">
        <v>3484.4444444444398</v>
      </c>
      <c r="G131" s="334">
        <v>11200.1881511993</v>
      </c>
      <c r="H131" s="334">
        <v>40523.776364363999</v>
      </c>
      <c r="I131" s="335">
        <v>36</v>
      </c>
    </row>
    <row r="132" spans="1:21" ht="13.15" customHeight="1">
      <c r="A132" s="239" t="s">
        <v>525</v>
      </c>
      <c r="B132" s="334">
        <v>1769.7873999999999</v>
      </c>
      <c r="C132" s="334">
        <v>1770.6089999999999</v>
      </c>
      <c r="D132" s="334">
        <v>2861.9108000000001</v>
      </c>
      <c r="E132" s="334">
        <v>7053.4168019726203</v>
      </c>
      <c r="F132" s="334">
        <v>7069.2222222222099</v>
      </c>
      <c r="G132" s="334">
        <v>38432.357037192902</v>
      </c>
      <c r="H132" s="334">
        <v>74064.020199324004</v>
      </c>
      <c r="I132" s="335">
        <v>612</v>
      </c>
    </row>
    <row r="133" spans="1:21" ht="13.15" customHeight="1">
      <c r="A133" s="239" t="s">
        <v>267</v>
      </c>
      <c r="B133" s="340">
        <v>145.9648</v>
      </c>
      <c r="C133" s="340">
        <v>146.60489999999999</v>
      </c>
      <c r="D133" s="340">
        <v>410.06700000000001</v>
      </c>
      <c r="E133" s="340">
        <v>801.00395340630803</v>
      </c>
      <c r="F133" s="340">
        <v>821.5</v>
      </c>
      <c r="G133" s="340">
        <v>10781.6707680779</v>
      </c>
      <c r="H133" s="340">
        <v>16478.489152220001</v>
      </c>
      <c r="I133" s="341">
        <v>143</v>
      </c>
    </row>
    <row r="134" spans="1:21" ht="13.15" customHeight="1">
      <c r="A134" s="312" t="s">
        <v>526</v>
      </c>
      <c r="B134" s="336">
        <f>SUM(B135:B138)</f>
        <v>3076.5309999999995</v>
      </c>
      <c r="C134" s="337">
        <f t="shared" ref="C134:I134" si="99">SUM(C135:C138)</f>
        <v>6203.7750000000005</v>
      </c>
      <c r="D134" s="337">
        <f t="shared" si="99"/>
        <v>6267.6379999999999</v>
      </c>
      <c r="E134" s="336">
        <f t="shared" si="99"/>
        <v>10277.925295555558</v>
      </c>
      <c r="F134" s="337">
        <f t="shared" si="99"/>
        <v>21469.333333333354</v>
      </c>
      <c r="G134" s="337">
        <f t="shared" si="99"/>
        <v>60120.189199999491</v>
      </c>
      <c r="H134" s="338">
        <f t="shared" si="99"/>
        <v>205068.34959383999</v>
      </c>
      <c r="I134" s="339">
        <f t="shared" si="99"/>
        <v>49</v>
      </c>
    </row>
    <row r="135" spans="1:21" ht="13.15" customHeight="1">
      <c r="A135" s="239" t="s">
        <v>527</v>
      </c>
      <c r="B135" s="334">
        <v>1661.35</v>
      </c>
      <c r="C135" s="334">
        <v>4205</v>
      </c>
      <c r="D135" s="334">
        <v>3743</v>
      </c>
      <c r="E135" s="334">
        <v>6382.1564066666697</v>
      </c>
      <c r="F135" s="334">
        <v>17342.777777777799</v>
      </c>
      <c r="G135" s="334">
        <v>37149.25</v>
      </c>
      <c r="H135" s="334">
        <v>158236.16</v>
      </c>
      <c r="I135" s="335">
        <v>19</v>
      </c>
    </row>
    <row r="136" spans="1:21" ht="13.15" customHeight="1">
      <c r="A136" s="239" t="s">
        <v>528</v>
      </c>
      <c r="B136" s="334">
        <v>1261.694</v>
      </c>
      <c r="C136" s="334">
        <v>1722.9880000000001</v>
      </c>
      <c r="D136" s="334">
        <v>2141.6379999999999</v>
      </c>
      <c r="E136" s="334">
        <v>3364.2777777777787</v>
      </c>
      <c r="F136" s="334">
        <v>3464.3611111111086</v>
      </c>
      <c r="G136" s="334">
        <v>19674.789199999494</v>
      </c>
      <c r="H136" s="334">
        <v>38439.300787239998</v>
      </c>
      <c r="I136" s="335">
        <v>28</v>
      </c>
    </row>
    <row r="137" spans="1:21" ht="13.15" customHeight="1">
      <c r="A137" s="239" t="s">
        <v>529</v>
      </c>
      <c r="B137" s="334">
        <v>146.69999999999999</v>
      </c>
      <c r="C137" s="334">
        <v>269</v>
      </c>
      <c r="D137" s="334">
        <v>326</v>
      </c>
      <c r="E137" s="334">
        <v>526.60222222222205</v>
      </c>
      <c r="F137" s="334">
        <v>657.305555555556</v>
      </c>
      <c r="G137" s="334">
        <v>2792</v>
      </c>
      <c r="H137" s="334">
        <v>7829.74</v>
      </c>
      <c r="I137" s="335">
        <v>1</v>
      </c>
    </row>
    <row r="138" spans="1:21" ht="13.15" customHeight="1" thickBot="1">
      <c r="A138" s="239" t="s">
        <v>530</v>
      </c>
      <c r="B138" s="340">
        <v>6.7869999999999999</v>
      </c>
      <c r="C138" s="340">
        <v>6.7869999999999999</v>
      </c>
      <c r="D138" s="340">
        <v>57</v>
      </c>
      <c r="E138" s="340">
        <v>4.8888888888888902</v>
      </c>
      <c r="F138" s="340">
        <v>4.8888888888888902</v>
      </c>
      <c r="G138" s="340">
        <v>504.15</v>
      </c>
      <c r="H138" s="340">
        <v>563.14880659999994</v>
      </c>
      <c r="I138" s="341">
        <v>1</v>
      </c>
    </row>
    <row r="139" spans="1:21" ht="13.15" customHeight="1" thickBot="1">
      <c r="A139" s="282" t="s">
        <v>169</v>
      </c>
      <c r="B139" s="342">
        <f>B134+B129</f>
        <v>5398.5591999999997</v>
      </c>
      <c r="C139" s="343">
        <f t="shared" ref="C139:I139" si="100">C134+C129</f>
        <v>9144.7649000000001</v>
      </c>
      <c r="D139" s="343">
        <f t="shared" si="100"/>
        <v>10604.987799999999</v>
      </c>
      <c r="E139" s="343">
        <f t="shared" si="100"/>
        <v>19290.776676703244</v>
      </c>
      <c r="F139" s="343">
        <f t="shared" si="100"/>
        <v>33072.166666666672</v>
      </c>
      <c r="G139" s="343">
        <f t="shared" si="100"/>
        <v>122661.1671564696</v>
      </c>
      <c r="H139" s="343">
        <f t="shared" si="100"/>
        <v>339326.12030974799</v>
      </c>
      <c r="I139" s="344">
        <f t="shared" si="100"/>
        <v>842</v>
      </c>
    </row>
    <row r="140" spans="1:21" ht="13.15" customHeight="1">
      <c r="A140" s="362"/>
    </row>
    <row r="141" spans="1:21" ht="13.15" customHeight="1">
      <c r="A141" s="362"/>
    </row>
    <row r="142" spans="1:21" ht="13.15" customHeight="1">
      <c r="A142" s="221" t="s">
        <v>432</v>
      </c>
      <c r="D142" s="220"/>
      <c r="I142" s="221">
        <v>2002</v>
      </c>
      <c r="K142" s="221" t="str">
        <f>+A142</f>
        <v>Germany</v>
      </c>
      <c r="M142" s="220"/>
      <c r="S142" s="221">
        <v>2002</v>
      </c>
    </row>
    <row r="143" spans="1:21" ht="13.15" customHeight="1" thickBot="1"/>
    <row r="144" spans="1:21" ht="13.15" customHeight="1">
      <c r="A144" s="346" t="s">
        <v>475</v>
      </c>
      <c r="B144" s="233" t="s">
        <v>476</v>
      </c>
      <c r="C144" s="233"/>
      <c r="D144" s="234"/>
      <c r="E144" s="235" t="s">
        <v>477</v>
      </c>
      <c r="F144" s="233"/>
      <c r="G144" s="236"/>
      <c r="H144" s="347" t="s">
        <v>138</v>
      </c>
      <c r="I144" s="348" t="s">
        <v>478</v>
      </c>
      <c r="J144" s="230"/>
      <c r="K144" s="231" t="s">
        <v>475</v>
      </c>
      <c r="L144" s="232" t="s">
        <v>479</v>
      </c>
      <c r="M144" s="233"/>
      <c r="N144" s="234"/>
      <c r="O144" s="235" t="s">
        <v>480</v>
      </c>
      <c r="P144" s="233"/>
      <c r="Q144" s="233"/>
      <c r="R144" s="236"/>
      <c r="S144" s="237"/>
    </row>
    <row r="145" spans="1:27" ht="13.15" customHeight="1">
      <c r="A145" s="266"/>
      <c r="B145" s="240" t="s">
        <v>9</v>
      </c>
      <c r="C145" s="240"/>
      <c r="D145" s="241" t="s">
        <v>34</v>
      </c>
      <c r="E145" s="242" t="s">
        <v>88</v>
      </c>
      <c r="F145" s="243"/>
      <c r="G145" s="244" t="s">
        <v>34</v>
      </c>
      <c r="H145" s="241" t="s">
        <v>170</v>
      </c>
      <c r="I145" s="349" t="s">
        <v>483</v>
      </c>
      <c r="J145" s="230"/>
      <c r="K145" s="245"/>
      <c r="L145" s="246" t="s">
        <v>484</v>
      </c>
      <c r="M145" s="247"/>
      <c r="N145" s="248" t="s">
        <v>485</v>
      </c>
      <c r="O145" s="248" t="s">
        <v>486</v>
      </c>
      <c r="P145" s="248" t="s">
        <v>486</v>
      </c>
      <c r="Q145" s="247" t="s">
        <v>487</v>
      </c>
      <c r="R145" s="249"/>
      <c r="S145" s="250" t="s">
        <v>485</v>
      </c>
      <c r="U145" s="214" t="str">
        <f>A142</f>
        <v>Germany</v>
      </c>
    </row>
    <row r="146" spans="1:27" ht="13.15" customHeight="1">
      <c r="A146" s="350" t="s">
        <v>488</v>
      </c>
      <c r="B146" s="252" t="s">
        <v>0</v>
      </c>
      <c r="C146" s="252" t="s">
        <v>489</v>
      </c>
      <c r="D146" s="252" t="s">
        <v>490</v>
      </c>
      <c r="E146" s="252" t="s">
        <v>491</v>
      </c>
      <c r="F146" s="252" t="s">
        <v>489</v>
      </c>
      <c r="G146" s="230" t="s">
        <v>490</v>
      </c>
      <c r="H146" s="248"/>
      <c r="I146" s="349" t="s">
        <v>492</v>
      </c>
      <c r="J146" s="230"/>
      <c r="K146" s="253" t="s">
        <v>488</v>
      </c>
      <c r="L146" s="254" t="s">
        <v>88</v>
      </c>
      <c r="M146" s="252" t="s">
        <v>34</v>
      </c>
      <c r="N146" s="252" t="s">
        <v>493</v>
      </c>
      <c r="O146" s="248" t="s">
        <v>494</v>
      </c>
      <c r="P146" s="248" t="s">
        <v>495</v>
      </c>
      <c r="Q146" s="230" t="s">
        <v>88</v>
      </c>
      <c r="R146" s="248" t="s">
        <v>34</v>
      </c>
      <c r="S146" s="255" t="s">
        <v>88</v>
      </c>
      <c r="U146" s="214" t="s">
        <v>547</v>
      </c>
      <c r="V146" s="214">
        <f>G174/1000</f>
        <v>287.435</v>
      </c>
    </row>
    <row r="147" spans="1:27" ht="13.15" customHeight="1">
      <c r="A147" s="266"/>
      <c r="B147" s="252" t="s">
        <v>496</v>
      </c>
      <c r="C147" s="252" t="s">
        <v>496</v>
      </c>
      <c r="D147" s="252" t="s">
        <v>496</v>
      </c>
      <c r="E147" s="256" t="s">
        <v>473</v>
      </c>
      <c r="F147" s="257" t="s">
        <v>473</v>
      </c>
      <c r="G147" s="230" t="s">
        <v>451</v>
      </c>
      <c r="H147" s="257" t="s">
        <v>497</v>
      </c>
      <c r="I147" s="351" t="s">
        <v>498</v>
      </c>
      <c r="J147" s="230"/>
      <c r="K147" s="245"/>
      <c r="L147" s="258" t="s">
        <v>496</v>
      </c>
      <c r="M147" s="256" t="s">
        <v>496</v>
      </c>
      <c r="N147" s="256"/>
      <c r="O147" s="257" t="s">
        <v>79</v>
      </c>
      <c r="P147" s="257" t="s">
        <v>79</v>
      </c>
      <c r="Q147" s="259"/>
      <c r="R147" s="257"/>
      <c r="S147" s="260"/>
      <c r="U147" s="214" t="s">
        <v>548</v>
      </c>
      <c r="V147" s="214">
        <f>G180/1000</f>
        <v>7.4039999999999999</v>
      </c>
    </row>
    <row r="148" spans="1:27" ht="13.15" customHeight="1">
      <c r="A148" s="352" t="s">
        <v>262</v>
      </c>
      <c r="B148" s="201">
        <v>2719</v>
      </c>
      <c r="C148" s="201">
        <v>2719</v>
      </c>
      <c r="D148" s="201">
        <v>4456</v>
      </c>
      <c r="E148" s="204">
        <v>10594</v>
      </c>
      <c r="F148" s="204">
        <v>10594</v>
      </c>
      <c r="G148" s="207">
        <v>45564</v>
      </c>
      <c r="H148" s="213">
        <v>96209.215082601833</v>
      </c>
      <c r="I148" s="363">
        <v>49</v>
      </c>
      <c r="J148" s="230"/>
      <c r="K148" s="265" t="s">
        <v>262</v>
      </c>
      <c r="L148" s="266">
        <f>C148/I148</f>
        <v>55.489795918367349</v>
      </c>
      <c r="M148" s="267">
        <f>D148/I148</f>
        <v>90.938775510204081</v>
      </c>
      <c r="N148" s="267">
        <f>D148/C148</f>
        <v>1.6388378080176536</v>
      </c>
      <c r="O148" s="239">
        <f>(F148*3.6+G148)*100/H148</f>
        <v>87.000397964099449</v>
      </c>
      <c r="P148" s="239">
        <f>(F148*3.6+G148)*100/H148</f>
        <v>87.000397964099449</v>
      </c>
      <c r="Q148" s="267">
        <f>F148/(C148*8760)*1000</f>
        <v>0.44478143824700522</v>
      </c>
      <c r="R148" s="267">
        <f>G148/(D148*8761)*1000/3.6</f>
        <v>0.32420557594655219</v>
      </c>
      <c r="S148" s="268">
        <f>G148/(F148*3.6)</f>
        <v>1.1947014033100496</v>
      </c>
      <c r="U148" s="214" t="s">
        <v>549</v>
      </c>
      <c r="V148" s="214">
        <f>G182/1000</f>
        <v>118.303</v>
      </c>
      <c r="Z148" s="214">
        <f t="shared" ref="Z148:Z153" si="101">C148-B148</f>
        <v>0</v>
      </c>
      <c r="AA148" s="214">
        <f t="shared" ref="AA148:AA153" si="102">F148-E148</f>
        <v>0</v>
      </c>
    </row>
    <row r="149" spans="1:27" ht="13.15" customHeight="1">
      <c r="A149" s="266" t="s">
        <v>263</v>
      </c>
      <c r="B149" s="204">
        <v>19056</v>
      </c>
      <c r="C149" s="204">
        <v>19056</v>
      </c>
      <c r="D149" s="204">
        <v>34677</v>
      </c>
      <c r="E149" s="204">
        <v>30868</v>
      </c>
      <c r="F149" s="204">
        <v>30868</v>
      </c>
      <c r="G149" s="206">
        <v>391653</v>
      </c>
      <c r="H149" s="202">
        <v>652958.18181818177</v>
      </c>
      <c r="I149" s="363">
        <v>579</v>
      </c>
      <c r="J149" s="230"/>
      <c r="K149" s="245" t="s">
        <v>263</v>
      </c>
      <c r="L149" s="266">
        <f>C149/I149</f>
        <v>32.911917098445599</v>
      </c>
      <c r="M149" s="267">
        <f>D149/I149</f>
        <v>59.891191709844563</v>
      </c>
      <c r="N149" s="267">
        <f>D149/C149</f>
        <v>1.8197418136020151</v>
      </c>
      <c r="O149" s="239">
        <f>(F149*3.6+G149)*100/H149</f>
        <v>77</v>
      </c>
      <c r="P149" s="239">
        <f>(F149*3.6+G149)*100/H149</f>
        <v>77</v>
      </c>
      <c r="Q149" s="267">
        <f>F149/(C149*8760)*1000</f>
        <v>0.18491521264890023</v>
      </c>
      <c r="R149" s="267">
        <f>G149/(D149*8761)*1000/3.6</f>
        <v>0.35809953573638181</v>
      </c>
      <c r="S149" s="268">
        <f>G149/(F149*3.6)</f>
        <v>3.5244427886484386</v>
      </c>
      <c r="U149" s="214" t="s">
        <v>550</v>
      </c>
      <c r="V149" s="214">
        <f>G187/1000</f>
        <v>65.760999999999996</v>
      </c>
      <c r="Z149" s="214">
        <f t="shared" si="101"/>
        <v>0</v>
      </c>
      <c r="AA149" s="214">
        <f t="shared" si="102"/>
        <v>0</v>
      </c>
    </row>
    <row r="150" spans="1:27" ht="13.15" customHeight="1">
      <c r="A150" s="266" t="s">
        <v>499</v>
      </c>
      <c r="B150" s="216"/>
      <c r="C150" s="216"/>
      <c r="D150" s="204"/>
      <c r="E150" s="216"/>
      <c r="F150" s="216"/>
      <c r="G150" s="206"/>
      <c r="H150" s="202"/>
      <c r="I150" s="363"/>
      <c r="J150" s="230"/>
      <c r="K150" s="245" t="s">
        <v>499</v>
      </c>
      <c r="L150" s="266" t="e">
        <f>C150/I150</f>
        <v>#DIV/0!</v>
      </c>
      <c r="M150" s="267" t="e">
        <f>D150/I150</f>
        <v>#DIV/0!</v>
      </c>
      <c r="N150" s="267" t="e">
        <f>D150/C150</f>
        <v>#DIV/0!</v>
      </c>
      <c r="O150" s="239" t="e">
        <f>(F150*3.6+G150)*100/H150</f>
        <v>#DIV/0!</v>
      </c>
      <c r="P150" s="239" t="e">
        <f>(F150*3.6+G150)*100/H150</f>
        <v>#DIV/0!</v>
      </c>
      <c r="Q150" s="267" t="e">
        <f>F150/(C150*8760)*1000</f>
        <v>#DIV/0!</v>
      </c>
      <c r="R150" s="267" t="e">
        <f>G150/(D150*8761)*1000/3.6</f>
        <v>#DIV/0!</v>
      </c>
      <c r="S150" s="268" t="e">
        <f>G150/(F150*3.6)</f>
        <v>#DIV/0!</v>
      </c>
      <c r="U150" s="214" t="s">
        <v>551</v>
      </c>
      <c r="V150" s="214">
        <f>G178/1000</f>
        <v>32.561999999999998</v>
      </c>
      <c r="Z150" s="214">
        <f t="shared" si="101"/>
        <v>0</v>
      </c>
      <c r="AA150" s="214">
        <f t="shared" si="102"/>
        <v>0</v>
      </c>
    </row>
    <row r="151" spans="1:27" ht="13.15" customHeight="1">
      <c r="A151" s="266" t="s">
        <v>265</v>
      </c>
      <c r="B151" s="216">
        <v>2066</v>
      </c>
      <c r="C151" s="216">
        <v>2066</v>
      </c>
      <c r="D151" s="204">
        <v>3858</v>
      </c>
      <c r="E151" s="216">
        <v>7641</v>
      </c>
      <c r="F151" s="216">
        <v>7641</v>
      </c>
      <c r="G151" s="206">
        <v>56862</v>
      </c>
      <c r="H151" s="202">
        <v>98103.878150530174</v>
      </c>
      <c r="I151" s="363">
        <v>156</v>
      </c>
      <c r="J151" s="230"/>
      <c r="K151" s="245" t="s">
        <v>265</v>
      </c>
      <c r="L151" s="266">
        <f>C151/I151</f>
        <v>13.243589743589743</v>
      </c>
      <c r="M151" s="267">
        <f>D151/I151</f>
        <v>24.73076923076923</v>
      </c>
      <c r="N151" s="267">
        <f>D151/C151</f>
        <v>1.8673765730880929</v>
      </c>
      <c r="O151" s="239">
        <f>(F151*3.6+G151)*100/H151</f>
        <v>86.000269908334957</v>
      </c>
      <c r="P151" s="239">
        <f>(F151*3.6+G151)*100/H151</f>
        <v>86.000269908334957</v>
      </c>
      <c r="Q151" s="267">
        <f>F151/(C151*8760)*1000</f>
        <v>0.42219761566921721</v>
      </c>
      <c r="R151" s="267">
        <f>G151/(D151*8761)*1000/3.6</f>
        <v>0.46730854950088957</v>
      </c>
      <c r="S151" s="268">
        <f>G151/(F151*3.6)</f>
        <v>2.0671378091872792</v>
      </c>
      <c r="U151" s="214" t="s">
        <v>552</v>
      </c>
      <c r="V151" s="214">
        <f>(G175+G176+G177+G179+G181+G183+G184+G185+G186+G188+G189+G190+G191+G192)/1000</f>
        <v>63.405000000000001</v>
      </c>
      <c r="Z151" s="214">
        <f t="shared" si="101"/>
        <v>0</v>
      </c>
      <c r="AA151" s="214">
        <f t="shared" si="102"/>
        <v>0</v>
      </c>
    </row>
    <row r="152" spans="1:27" ht="13.15" customHeight="1">
      <c r="A152" s="266" t="s">
        <v>266</v>
      </c>
      <c r="B152" s="216">
        <v>729</v>
      </c>
      <c r="C152" s="216">
        <v>729</v>
      </c>
      <c r="D152" s="204">
        <v>1526</v>
      </c>
      <c r="E152" s="216">
        <v>2463</v>
      </c>
      <c r="F152" s="216">
        <v>2463</v>
      </c>
      <c r="G152" s="206">
        <v>13824</v>
      </c>
      <c r="H152" s="202">
        <v>28363.29928030062</v>
      </c>
      <c r="I152" s="363">
        <v>622</v>
      </c>
      <c r="J152" s="230"/>
      <c r="K152" s="245" t="s">
        <v>266</v>
      </c>
      <c r="L152" s="266">
        <f>C152/I152</f>
        <v>1.1720257234726688</v>
      </c>
      <c r="M152" s="267">
        <f>D152/I152</f>
        <v>2.4533762057877815</v>
      </c>
      <c r="N152" s="267">
        <f>D152/C152</f>
        <v>2.0932784636488342</v>
      </c>
      <c r="O152" s="239">
        <f>(F152*3.6+G152)*100/H152</f>
        <v>80.000566139213646</v>
      </c>
      <c r="P152" s="239">
        <f>(F152*3.6+G152)*100/H152</f>
        <v>80.000566139213646</v>
      </c>
      <c r="Q152" s="267">
        <f>F152/(C152*8760)*1000</f>
        <v>0.38568502546178851</v>
      </c>
      <c r="R152" s="267">
        <f>G152/(D152*8761)*1000/3.6</f>
        <v>0.28722551077148023</v>
      </c>
      <c r="S152" s="268">
        <f>G152/(F152*3.6)</f>
        <v>1.5590742996345919</v>
      </c>
      <c r="Z152" s="214">
        <f t="shared" si="101"/>
        <v>0</v>
      </c>
      <c r="AA152" s="214">
        <f t="shared" si="102"/>
        <v>0</v>
      </c>
    </row>
    <row r="153" spans="1:27" ht="13.15" customHeight="1">
      <c r="A153" s="353" t="s">
        <v>267</v>
      </c>
      <c r="B153" s="218">
        <v>1875</v>
      </c>
      <c r="C153" s="218">
        <v>1875</v>
      </c>
      <c r="D153" s="218">
        <v>4142</v>
      </c>
      <c r="E153" s="218">
        <v>4663</v>
      </c>
      <c r="F153" s="218">
        <v>4663</v>
      </c>
      <c r="G153" s="218">
        <v>36844</v>
      </c>
      <c r="H153" s="218">
        <v>64498.425668385578</v>
      </c>
      <c r="I153" s="218">
        <v>13</v>
      </c>
      <c r="J153" s="230"/>
      <c r="K153" s="245" t="s">
        <v>267</v>
      </c>
      <c r="L153" s="266"/>
      <c r="M153" s="267"/>
      <c r="N153" s="267"/>
      <c r="O153" s="239"/>
      <c r="P153" s="272"/>
      <c r="Q153" s="272"/>
      <c r="R153" s="274"/>
      <c r="S153" s="275"/>
      <c r="U153" s="214" t="s">
        <v>553</v>
      </c>
      <c r="V153" s="214">
        <f>H174/1000</f>
        <v>460.46600000000001</v>
      </c>
      <c r="Z153" s="214">
        <f t="shared" si="101"/>
        <v>0</v>
      </c>
      <c r="AA153" s="214">
        <f t="shared" si="102"/>
        <v>0</v>
      </c>
    </row>
    <row r="154" spans="1:27" ht="13.15" customHeight="1">
      <c r="A154" s="276" t="s">
        <v>500</v>
      </c>
      <c r="B154" s="277">
        <f>SUM(B148:B153)</f>
        <v>26445</v>
      </c>
      <c r="C154" s="277">
        <f>SUM(C148:C153)</f>
        <v>26445</v>
      </c>
      <c r="D154" s="277">
        <f t="shared" ref="D154:I154" si="103">SUM(D148:D153)</f>
        <v>48659</v>
      </c>
      <c r="E154" s="277">
        <f t="shared" si="103"/>
        <v>56229</v>
      </c>
      <c r="F154" s="277">
        <f t="shared" si="103"/>
        <v>56229</v>
      </c>
      <c r="G154" s="277">
        <f t="shared" si="103"/>
        <v>544747</v>
      </c>
      <c r="H154" s="277">
        <f t="shared" si="103"/>
        <v>940133</v>
      </c>
      <c r="I154" s="364">
        <f t="shared" si="103"/>
        <v>1419</v>
      </c>
      <c r="J154" s="244"/>
      <c r="K154" s="279" t="s">
        <v>169</v>
      </c>
      <c r="L154" s="280">
        <f>C154/I154</f>
        <v>18.636363636363637</v>
      </c>
      <c r="M154" s="281">
        <f>D154/I154</f>
        <v>34.291050035236083</v>
      </c>
      <c r="N154" s="281">
        <f>D154/C154</f>
        <v>1.8400075628663264</v>
      </c>
      <c r="O154" s="282">
        <f>(F154*3.6+G154)*100/H154</f>
        <v>79.475074271406285</v>
      </c>
      <c r="P154" s="282">
        <f>(F154*3.6+G154)*100/H154</f>
        <v>79.475074271406285</v>
      </c>
      <c r="Q154" s="283">
        <f>F154/(C154*8760)*1000</f>
        <v>0.2427239786892931</v>
      </c>
      <c r="R154" s="283">
        <f>G154/(D154*8761)*1000/3.6</f>
        <v>0.3549567887189416</v>
      </c>
      <c r="S154" s="284">
        <f>G154/(F154*3.6)</f>
        <v>2.691113324283041</v>
      </c>
      <c r="U154" s="214" t="s">
        <v>554</v>
      </c>
      <c r="V154" s="214">
        <f>H180/1000</f>
        <v>10.464</v>
      </c>
    </row>
    <row r="155" spans="1:27" ht="13.15" customHeight="1">
      <c r="A155" s="285" t="s">
        <v>501</v>
      </c>
      <c r="B155" s="228" t="s">
        <v>476</v>
      </c>
      <c r="C155" s="228"/>
      <c r="D155" s="286"/>
      <c r="E155" s="227" t="s">
        <v>477</v>
      </c>
      <c r="F155" s="228"/>
      <c r="G155" s="229"/>
      <c r="H155" s="200" t="s">
        <v>138</v>
      </c>
      <c r="I155" s="354" t="s">
        <v>478</v>
      </c>
      <c r="J155" s="244"/>
      <c r="K155" s="287" t="s">
        <v>501</v>
      </c>
      <c r="L155" s="288" t="s">
        <v>479</v>
      </c>
      <c r="M155" s="228"/>
      <c r="N155" s="286"/>
      <c r="O155" s="227" t="s">
        <v>480</v>
      </c>
      <c r="P155" s="228"/>
      <c r="Q155" s="228"/>
      <c r="R155" s="229"/>
      <c r="S155" s="289"/>
      <c r="U155" s="214" t="s">
        <v>555</v>
      </c>
      <c r="V155" s="214">
        <f>H182/1000</f>
        <v>191.64599999999999</v>
      </c>
    </row>
    <row r="156" spans="1:27" ht="13.15" customHeight="1">
      <c r="A156" s="266"/>
      <c r="B156" s="240" t="s">
        <v>481</v>
      </c>
      <c r="C156" s="240"/>
      <c r="D156" s="241" t="s">
        <v>34</v>
      </c>
      <c r="E156" s="242" t="s">
        <v>482</v>
      </c>
      <c r="F156" s="243"/>
      <c r="G156" s="244" t="s">
        <v>34</v>
      </c>
      <c r="H156" s="241" t="s">
        <v>170</v>
      </c>
      <c r="I156" s="349" t="s">
        <v>483</v>
      </c>
      <c r="J156" s="244"/>
      <c r="K156" s="245"/>
      <c r="L156" s="246" t="s">
        <v>484</v>
      </c>
      <c r="M156" s="247"/>
      <c r="N156" s="248" t="s">
        <v>485</v>
      </c>
      <c r="O156" s="248" t="s">
        <v>486</v>
      </c>
      <c r="P156" s="248" t="s">
        <v>486</v>
      </c>
      <c r="Q156" s="247" t="s">
        <v>487</v>
      </c>
      <c r="R156" s="249"/>
      <c r="S156" s="250" t="s">
        <v>485</v>
      </c>
      <c r="U156" s="214" t="s">
        <v>556</v>
      </c>
      <c r="V156" s="214">
        <f>H187/1000</f>
        <v>101.905</v>
      </c>
    </row>
    <row r="157" spans="1:27" ht="13.15" customHeight="1">
      <c r="A157" s="350" t="s">
        <v>488</v>
      </c>
      <c r="B157" s="252" t="s">
        <v>0</v>
      </c>
      <c r="C157" s="252" t="s">
        <v>489</v>
      </c>
      <c r="D157" s="252" t="s">
        <v>490</v>
      </c>
      <c r="E157" s="252" t="s">
        <v>491</v>
      </c>
      <c r="F157" s="252" t="s">
        <v>489</v>
      </c>
      <c r="G157" s="230" t="s">
        <v>490</v>
      </c>
      <c r="H157" s="248"/>
      <c r="I157" s="349" t="s">
        <v>492</v>
      </c>
      <c r="J157" s="244"/>
      <c r="K157" s="253" t="s">
        <v>488</v>
      </c>
      <c r="L157" s="254" t="s">
        <v>88</v>
      </c>
      <c r="M157" s="252" t="s">
        <v>34</v>
      </c>
      <c r="N157" s="252" t="s">
        <v>493</v>
      </c>
      <c r="O157" s="248" t="s">
        <v>494</v>
      </c>
      <c r="P157" s="248" t="s">
        <v>495</v>
      </c>
      <c r="Q157" s="230" t="s">
        <v>88</v>
      </c>
      <c r="R157" s="248" t="s">
        <v>34</v>
      </c>
      <c r="S157" s="255" t="s">
        <v>88</v>
      </c>
      <c r="U157" s="214" t="s">
        <v>557</v>
      </c>
      <c r="V157" s="214">
        <f>H178/1000</f>
        <v>56.134999999999998</v>
      </c>
    </row>
    <row r="158" spans="1:27" ht="13.15" customHeight="1">
      <c r="A158" s="266"/>
      <c r="B158" s="252" t="s">
        <v>496</v>
      </c>
      <c r="C158" s="252" t="s">
        <v>496</v>
      </c>
      <c r="D158" s="252" t="s">
        <v>496</v>
      </c>
      <c r="E158" s="256" t="s">
        <v>473</v>
      </c>
      <c r="F158" s="256" t="s">
        <v>473</v>
      </c>
      <c r="G158" s="230" t="s">
        <v>451</v>
      </c>
      <c r="H158" s="257" t="s">
        <v>497</v>
      </c>
      <c r="I158" s="351" t="s">
        <v>498</v>
      </c>
      <c r="J158" s="244"/>
      <c r="K158" s="245"/>
      <c r="L158" s="258" t="s">
        <v>496</v>
      </c>
      <c r="M158" s="256" t="s">
        <v>496</v>
      </c>
      <c r="N158" s="256"/>
      <c r="O158" s="257" t="s">
        <v>79</v>
      </c>
      <c r="P158" s="257" t="s">
        <v>79</v>
      </c>
      <c r="Q158" s="259"/>
      <c r="R158" s="257"/>
      <c r="S158" s="260"/>
      <c r="U158" s="214" t="s">
        <v>558</v>
      </c>
      <c r="V158" s="214">
        <f>(H175+H176+H177+H179+H181+H183+H184+H185+H186+H188+H189+H190+H191+H192)/1000</f>
        <v>100.316</v>
      </c>
    </row>
    <row r="159" spans="1:27" ht="13.15" customHeight="1">
      <c r="A159" s="352" t="s">
        <v>262</v>
      </c>
      <c r="B159" s="365"/>
      <c r="C159" s="366"/>
      <c r="D159" s="365"/>
      <c r="E159" s="320"/>
      <c r="F159" s="367"/>
      <c r="G159" s="368"/>
      <c r="H159" s="369"/>
      <c r="I159" s="370"/>
      <c r="J159" s="244"/>
      <c r="K159" s="265" t="s">
        <v>262</v>
      </c>
      <c r="L159" s="266" t="e">
        <f>B159/I159</f>
        <v>#DIV/0!</v>
      </c>
      <c r="M159" s="267" t="e">
        <f>D159/I159</f>
        <v>#DIV/0!</v>
      </c>
      <c r="N159" s="267" t="e">
        <f>D159/B159</f>
        <v>#DIV/0!</v>
      </c>
      <c r="O159" s="239" t="e">
        <f>(F159*3.6+G159)*100/H159</f>
        <v>#DIV/0!</v>
      </c>
      <c r="P159" s="267" t="e">
        <f>(E159*3.6+G159)*100/H159</f>
        <v>#DIV/0!</v>
      </c>
      <c r="Q159" s="267" t="e">
        <f>E159/(B159*8760)*1000</f>
        <v>#DIV/0!</v>
      </c>
      <c r="R159" s="267" t="e">
        <f>G159/(D159*8761)*1000/3.6</f>
        <v>#DIV/0!</v>
      </c>
      <c r="S159" s="268" t="e">
        <f>G159/(E159*3.6)</f>
        <v>#DIV/0!</v>
      </c>
      <c r="U159" s="220"/>
      <c r="Z159" s="214">
        <f t="shared" ref="Z159:Z166" si="104">C159-B159</f>
        <v>0</v>
      </c>
      <c r="AA159" s="214">
        <f t="shared" ref="AA159:AA166" si="105">F159-E159</f>
        <v>0</v>
      </c>
    </row>
    <row r="160" spans="1:27" ht="13.15" customHeight="1">
      <c r="A160" s="266" t="s">
        <v>263</v>
      </c>
      <c r="B160" s="320"/>
      <c r="C160" s="371"/>
      <c r="D160" s="320"/>
      <c r="E160" s="320"/>
      <c r="F160" s="371"/>
      <c r="G160" s="321"/>
      <c r="H160" s="319"/>
      <c r="I160" s="370"/>
      <c r="J160" s="244"/>
      <c r="K160" s="245" t="s">
        <v>263</v>
      </c>
      <c r="L160" s="266" t="e">
        <f>B160/I160</f>
        <v>#DIV/0!</v>
      </c>
      <c r="M160" s="267" t="e">
        <f>D160/I160</f>
        <v>#DIV/0!</v>
      </c>
      <c r="N160" s="267" t="e">
        <f>D160/B160</f>
        <v>#DIV/0!</v>
      </c>
      <c r="O160" s="239" t="e">
        <f>(F160*3.6+G160)*100/H160</f>
        <v>#DIV/0!</v>
      </c>
      <c r="P160" s="267" t="e">
        <f>(E160*3.6+G160)*100/H160</f>
        <v>#DIV/0!</v>
      </c>
      <c r="Q160" s="267" t="e">
        <f>E160/(B160*8760)*1000</f>
        <v>#DIV/0!</v>
      </c>
      <c r="R160" s="267" t="e">
        <f>G160/(D160*8761)*1000/3.6</f>
        <v>#DIV/0!</v>
      </c>
      <c r="S160" s="268" t="e">
        <f>G160/(E160*3.6)</f>
        <v>#DIV/0!</v>
      </c>
      <c r="U160" s="239" t="s">
        <v>152</v>
      </c>
      <c r="V160" s="492">
        <f>B175/1000</f>
        <v>1.3440000000000001</v>
      </c>
      <c r="Z160" s="214">
        <f t="shared" si="104"/>
        <v>0</v>
      </c>
      <c r="AA160" s="214">
        <f t="shared" si="105"/>
        <v>0</v>
      </c>
    </row>
    <row r="161" spans="1:27" ht="13.15" customHeight="1">
      <c r="A161" s="266" t="s">
        <v>499</v>
      </c>
      <c r="B161" s="320"/>
      <c r="C161" s="371"/>
      <c r="D161" s="320"/>
      <c r="E161" s="320"/>
      <c r="F161" s="371"/>
      <c r="G161" s="321"/>
      <c r="H161" s="319"/>
      <c r="I161" s="370"/>
      <c r="J161" s="244"/>
      <c r="K161" s="245" t="s">
        <v>499</v>
      </c>
      <c r="L161" s="266" t="e">
        <f>B161/I161</f>
        <v>#DIV/0!</v>
      </c>
      <c r="M161" s="267" t="e">
        <f>D161/I161</f>
        <v>#DIV/0!</v>
      </c>
      <c r="N161" s="267" t="e">
        <f>D161/B161</f>
        <v>#DIV/0!</v>
      </c>
      <c r="O161" s="239" t="e">
        <f>(F161*3.6+G161)*100/H161</f>
        <v>#DIV/0!</v>
      </c>
      <c r="P161" s="267" t="e">
        <f>(E161*3.6+G161)*100/H161</f>
        <v>#DIV/0!</v>
      </c>
      <c r="Q161" s="267" t="e">
        <f>E161/(B161*8760)*1000</f>
        <v>#DIV/0!</v>
      </c>
      <c r="R161" s="267" t="e">
        <f>G161/(D161*8761)*1000/3.6</f>
        <v>#DIV/0!</v>
      </c>
      <c r="S161" s="268" t="e">
        <f>G161/(E161*3.6)</f>
        <v>#DIV/0!</v>
      </c>
      <c r="U161" s="239" t="s">
        <v>504</v>
      </c>
      <c r="V161" s="492">
        <f t="shared" ref="V161:V177" si="106">B176/1000</f>
        <v>1.7000000000000001E-2</v>
      </c>
      <c r="Z161" s="214">
        <f t="shared" si="104"/>
        <v>0</v>
      </c>
      <c r="AA161" s="214">
        <f t="shared" si="105"/>
        <v>0</v>
      </c>
    </row>
    <row r="162" spans="1:27" ht="13.15" customHeight="1">
      <c r="A162" s="266" t="s">
        <v>265</v>
      </c>
      <c r="B162" s="320"/>
      <c r="C162" s="367"/>
      <c r="D162" s="320"/>
      <c r="E162" s="320"/>
      <c r="F162" s="371"/>
      <c r="G162" s="321"/>
      <c r="H162" s="319"/>
      <c r="I162" s="370"/>
      <c r="J162" s="244"/>
      <c r="K162" s="245" t="s">
        <v>265</v>
      </c>
      <c r="L162" s="266" t="e">
        <f>B162/I162</f>
        <v>#DIV/0!</v>
      </c>
      <c r="M162" s="267" t="e">
        <f>D162/I162</f>
        <v>#DIV/0!</v>
      </c>
      <c r="N162" s="267" t="e">
        <f>D162/B162</f>
        <v>#DIV/0!</v>
      </c>
      <c r="O162" s="239" t="e">
        <f>(F162*3.6+G162)*100/H162</f>
        <v>#DIV/0!</v>
      </c>
      <c r="P162" s="267" t="e">
        <f>(E162*3.6+G162)*100/H162</f>
        <v>#DIV/0!</v>
      </c>
      <c r="Q162" s="267" t="e">
        <f>E162/(B162*8760)*1000</f>
        <v>#DIV/0!</v>
      </c>
      <c r="R162" s="267" t="e">
        <f>G162/(D162*8761)*1000/3.6</f>
        <v>#DIV/0!</v>
      </c>
      <c r="S162" s="268" t="e">
        <f>G162/(E162*3.6)</f>
        <v>#DIV/0!</v>
      </c>
      <c r="U162" s="239" t="s">
        <v>505</v>
      </c>
      <c r="V162" s="492">
        <f t="shared" si="106"/>
        <v>0</v>
      </c>
      <c r="Z162" s="214">
        <f t="shared" si="104"/>
        <v>0</v>
      </c>
      <c r="AA162" s="214">
        <f t="shared" si="105"/>
        <v>0</v>
      </c>
    </row>
    <row r="163" spans="1:27" ht="13.15" customHeight="1">
      <c r="A163" s="266" t="s">
        <v>266</v>
      </c>
      <c r="B163" s="320"/>
      <c r="C163" s="367"/>
      <c r="D163" s="320"/>
      <c r="E163" s="320"/>
      <c r="F163" s="371"/>
      <c r="G163" s="321"/>
      <c r="H163" s="319"/>
      <c r="I163" s="370"/>
      <c r="J163" s="244"/>
      <c r="K163" s="245" t="s">
        <v>266</v>
      </c>
      <c r="L163" s="266" t="e">
        <f>B163/I163</f>
        <v>#DIV/0!</v>
      </c>
      <c r="M163" s="267" t="e">
        <f>D163/I163</f>
        <v>#DIV/0!</v>
      </c>
      <c r="N163" s="267" t="e">
        <f>D163/B163</f>
        <v>#DIV/0!</v>
      </c>
      <c r="O163" s="239" t="e">
        <f>(F163*3.6+G163)*100/H163</f>
        <v>#DIV/0!</v>
      </c>
      <c r="P163" s="267" t="e">
        <f>(E163*3.6+G163)*100/H163</f>
        <v>#DIV/0!</v>
      </c>
      <c r="Q163" s="267" t="e">
        <f>E163/(B163*8760)*1000</f>
        <v>#DIV/0!</v>
      </c>
      <c r="R163" s="267" t="e">
        <f>G163/(D163*8761)*1000/3.6</f>
        <v>#DIV/0!</v>
      </c>
      <c r="S163" s="268" t="e">
        <f>G163/(E163*3.6)</f>
        <v>#DIV/0!</v>
      </c>
      <c r="U163" s="239" t="s">
        <v>506</v>
      </c>
      <c r="V163" s="492">
        <f t="shared" si="106"/>
        <v>0.73299999999999998</v>
      </c>
      <c r="Z163" s="214">
        <f t="shared" si="104"/>
        <v>0</v>
      </c>
      <c r="AA163" s="214">
        <f t="shared" si="105"/>
        <v>0</v>
      </c>
    </row>
    <row r="164" spans="1:27" ht="13.15" customHeight="1">
      <c r="A164" s="353" t="s">
        <v>267</v>
      </c>
      <c r="B164" s="372"/>
      <c r="C164" s="373"/>
      <c r="D164" s="372"/>
      <c r="E164" s="374"/>
      <c r="F164" s="375"/>
      <c r="G164" s="374"/>
      <c r="H164" s="374"/>
      <c r="I164" s="273"/>
      <c r="J164" s="244"/>
      <c r="K164" s="245" t="s">
        <v>267</v>
      </c>
      <c r="L164" s="266"/>
      <c r="M164" s="267"/>
      <c r="N164" s="267"/>
      <c r="O164" s="239"/>
      <c r="P164" s="267"/>
      <c r="Q164" s="272"/>
      <c r="R164" s="274"/>
      <c r="S164" s="275"/>
      <c r="U164" s="239" t="s">
        <v>507</v>
      </c>
      <c r="V164" s="492">
        <f t="shared" si="106"/>
        <v>0</v>
      </c>
      <c r="Z164" s="214">
        <f t="shared" si="104"/>
        <v>0</v>
      </c>
      <c r="AA164" s="214">
        <f t="shared" si="105"/>
        <v>0</v>
      </c>
    </row>
    <row r="165" spans="1:27" ht="13.15" customHeight="1">
      <c r="A165" s="276" t="s">
        <v>500</v>
      </c>
      <c r="B165" s="291">
        <f>SUM(B159:B164)</f>
        <v>0</v>
      </c>
      <c r="C165" s="291">
        <f t="shared" ref="C165:I165" si="107">SUM(C159:C164)</f>
        <v>0</v>
      </c>
      <c r="D165" s="291">
        <f t="shared" si="107"/>
        <v>0</v>
      </c>
      <c r="E165" s="291">
        <f t="shared" si="107"/>
        <v>0</v>
      </c>
      <c r="F165" s="291">
        <f t="shared" si="107"/>
        <v>0</v>
      </c>
      <c r="G165" s="291">
        <f t="shared" si="107"/>
        <v>0</v>
      </c>
      <c r="H165" s="291">
        <f t="shared" si="107"/>
        <v>0</v>
      </c>
      <c r="I165" s="376">
        <f t="shared" si="107"/>
        <v>0</v>
      </c>
      <c r="J165" s="244"/>
      <c r="K165" s="279" t="s">
        <v>169</v>
      </c>
      <c r="L165" s="280" t="e">
        <f>B165/I165</f>
        <v>#DIV/0!</v>
      </c>
      <c r="M165" s="281" t="e">
        <f>D165/I165</f>
        <v>#DIV/0!</v>
      </c>
      <c r="N165" s="281" t="e">
        <f>D165/B165</f>
        <v>#DIV/0!</v>
      </c>
      <c r="O165" s="294" t="e">
        <f>(F165*3.6+G165)*100/H165</f>
        <v>#DIV/0!</v>
      </c>
      <c r="P165" s="295" t="e">
        <f>(E165*3.6+G165)*100/H165</f>
        <v>#DIV/0!</v>
      </c>
      <c r="Q165" s="283" t="e">
        <f>E165/(B165*8760)*1000</f>
        <v>#DIV/0!</v>
      </c>
      <c r="R165" s="283" t="e">
        <f>G165/(D165*8761)*1000/3.6</f>
        <v>#DIV/0!</v>
      </c>
      <c r="S165" s="284" t="e">
        <f>G165/(E165*3.6)</f>
        <v>#DIV/0!</v>
      </c>
      <c r="U165" s="239" t="s">
        <v>156</v>
      </c>
      <c r="V165" s="492">
        <f t="shared" si="106"/>
        <v>0.61899999999999999</v>
      </c>
      <c r="Z165" s="214">
        <f t="shared" si="104"/>
        <v>0</v>
      </c>
      <c r="AA165" s="214">
        <f t="shared" si="105"/>
        <v>0</v>
      </c>
    </row>
    <row r="166" spans="1:27" ht="13.15" customHeight="1" thickBot="1">
      <c r="A166" s="296" t="s">
        <v>502</v>
      </c>
      <c r="B166" s="297">
        <f>B154+B165</f>
        <v>26445</v>
      </c>
      <c r="C166" s="377">
        <f>B154+C165</f>
        <v>26445</v>
      </c>
      <c r="D166" s="297">
        <f t="shared" ref="D166:I166" si="108">D154+D165</f>
        <v>48659</v>
      </c>
      <c r="E166" s="297">
        <f t="shared" si="108"/>
        <v>56229</v>
      </c>
      <c r="F166" s="377">
        <f>E154+F165</f>
        <v>56229</v>
      </c>
      <c r="G166" s="297">
        <f t="shared" si="108"/>
        <v>544747</v>
      </c>
      <c r="H166" s="297">
        <f t="shared" si="108"/>
        <v>940133</v>
      </c>
      <c r="I166" s="378">
        <f t="shared" si="108"/>
        <v>1419</v>
      </c>
      <c r="J166" s="244"/>
      <c r="K166" s="296" t="s">
        <v>502</v>
      </c>
      <c r="L166" s="299">
        <f>B166/I166</f>
        <v>18.636363636363637</v>
      </c>
      <c r="M166" s="300">
        <f>D166/I166</f>
        <v>34.291050035236083</v>
      </c>
      <c r="N166" s="300">
        <f>D166/B166</f>
        <v>1.8400075628663264</v>
      </c>
      <c r="O166" s="301">
        <f>(F166*3.6+G166)*100/H166</f>
        <v>79.475074271406285</v>
      </c>
      <c r="P166" s="301">
        <f>(E166*3.6+G166)*100/H166</f>
        <v>79.475074271406285</v>
      </c>
      <c r="Q166" s="301">
        <f>E166/(B166*8760)*1000</f>
        <v>0.2427239786892931</v>
      </c>
      <c r="R166" s="301">
        <f>G166/(D166*8761)*1000/3.6</f>
        <v>0.3549567887189416</v>
      </c>
      <c r="S166" s="302">
        <f>G166/(E166*3.6)</f>
        <v>2.691113324283041</v>
      </c>
      <c r="T166" s="309"/>
      <c r="U166" s="239" t="s">
        <v>508</v>
      </c>
      <c r="V166" s="492">
        <f t="shared" si="106"/>
        <v>8.0000000000000002E-3</v>
      </c>
      <c r="Z166" s="214">
        <f t="shared" si="104"/>
        <v>0</v>
      </c>
      <c r="AA166" s="214">
        <f t="shared" si="105"/>
        <v>0</v>
      </c>
    </row>
    <row r="167" spans="1:27" ht="13.15" customHeight="1">
      <c r="U167" s="239" t="s">
        <v>509</v>
      </c>
      <c r="V167" s="492">
        <f t="shared" si="106"/>
        <v>8.7579999999999991</v>
      </c>
    </row>
    <row r="168" spans="1:27" ht="13.15" customHeight="1">
      <c r="A168" s="251" t="s">
        <v>139</v>
      </c>
      <c r="B168" s="227" t="s">
        <v>476</v>
      </c>
      <c r="C168" s="228"/>
      <c r="D168" s="286"/>
      <c r="E168" s="227" t="s">
        <v>477</v>
      </c>
      <c r="F168" s="228"/>
      <c r="G168" s="229"/>
      <c r="H168" s="200" t="s">
        <v>138</v>
      </c>
      <c r="I168" s="200" t="s">
        <v>478</v>
      </c>
      <c r="J168" s="230"/>
      <c r="K168" s="303" t="s">
        <v>503</v>
      </c>
      <c r="L168" s="227" t="s">
        <v>479</v>
      </c>
      <c r="M168" s="228"/>
      <c r="N168" s="286"/>
      <c r="O168" s="227" t="s">
        <v>480</v>
      </c>
      <c r="P168" s="228"/>
      <c r="Q168" s="228"/>
      <c r="R168" s="229"/>
      <c r="S168" s="286"/>
      <c r="U168" s="239" t="s">
        <v>510</v>
      </c>
      <c r="V168" s="492">
        <f t="shared" si="106"/>
        <v>3.2000000000000001E-2</v>
      </c>
    </row>
    <row r="169" spans="1:27" ht="13.15" customHeight="1">
      <c r="A169" s="239"/>
      <c r="B169" s="240" t="s">
        <v>9</v>
      </c>
      <c r="C169" s="240"/>
      <c r="D169" s="241" t="s">
        <v>34</v>
      </c>
      <c r="E169" s="242" t="s">
        <v>88</v>
      </c>
      <c r="F169" s="243"/>
      <c r="G169" s="244" t="s">
        <v>34</v>
      </c>
      <c r="H169" s="241" t="s">
        <v>170</v>
      </c>
      <c r="I169" s="241" t="s">
        <v>483</v>
      </c>
      <c r="J169" s="230"/>
      <c r="K169" s="305"/>
      <c r="L169" s="306" t="s">
        <v>484</v>
      </c>
      <c r="M169" s="247"/>
      <c r="N169" s="248" t="s">
        <v>485</v>
      </c>
      <c r="O169" s="248" t="s">
        <v>486</v>
      </c>
      <c r="P169" s="248" t="s">
        <v>486</v>
      </c>
      <c r="Q169" s="247" t="s">
        <v>487</v>
      </c>
      <c r="R169" s="249"/>
      <c r="S169" s="307" t="s">
        <v>485</v>
      </c>
      <c r="U169" s="239" t="s">
        <v>511</v>
      </c>
      <c r="V169" s="492">
        <f t="shared" si="106"/>
        <v>3.5999999999999997E-2</v>
      </c>
    </row>
    <row r="170" spans="1:27" ht="13.15" customHeight="1">
      <c r="A170" s="239"/>
      <c r="B170" s="252" t="s">
        <v>0</v>
      </c>
      <c r="C170" s="252" t="s">
        <v>489</v>
      </c>
      <c r="D170" s="252" t="s">
        <v>490</v>
      </c>
      <c r="E170" s="252" t="s">
        <v>491</v>
      </c>
      <c r="F170" s="252" t="s">
        <v>489</v>
      </c>
      <c r="G170" s="230" t="s">
        <v>490</v>
      </c>
      <c r="H170" s="248"/>
      <c r="I170" s="241" t="s">
        <v>492</v>
      </c>
      <c r="J170" s="230"/>
      <c r="K170" s="305"/>
      <c r="L170" s="248" t="s">
        <v>88</v>
      </c>
      <c r="M170" s="252" t="s">
        <v>34</v>
      </c>
      <c r="N170" s="252" t="s">
        <v>493</v>
      </c>
      <c r="O170" s="248" t="s">
        <v>494</v>
      </c>
      <c r="P170" s="248" t="s">
        <v>495</v>
      </c>
      <c r="Q170" s="230" t="s">
        <v>88</v>
      </c>
      <c r="R170" s="248" t="s">
        <v>34</v>
      </c>
      <c r="S170" s="252" t="s">
        <v>88</v>
      </c>
      <c r="U170" s="239" t="s">
        <v>512</v>
      </c>
      <c r="V170" s="492">
        <f t="shared" si="106"/>
        <v>0.66400000000000003</v>
      </c>
    </row>
    <row r="171" spans="1:27" ht="13.15" customHeight="1">
      <c r="A171" s="239"/>
      <c r="B171" s="257" t="s">
        <v>496</v>
      </c>
      <c r="C171" s="256" t="s">
        <v>496</v>
      </c>
      <c r="D171" s="256" t="s">
        <v>496</v>
      </c>
      <c r="E171" s="256" t="s">
        <v>473</v>
      </c>
      <c r="F171" s="257" t="s">
        <v>473</v>
      </c>
      <c r="G171" s="259" t="s">
        <v>451</v>
      </c>
      <c r="H171" s="257" t="s">
        <v>497</v>
      </c>
      <c r="I171" s="257" t="s">
        <v>498</v>
      </c>
      <c r="J171" s="230"/>
      <c r="K171" s="305"/>
      <c r="L171" s="257" t="s">
        <v>496</v>
      </c>
      <c r="M171" s="256" t="s">
        <v>496</v>
      </c>
      <c r="N171" s="256"/>
      <c r="O171" s="257" t="s">
        <v>79</v>
      </c>
      <c r="P171" s="257" t="s">
        <v>79</v>
      </c>
      <c r="Q171" s="259"/>
      <c r="R171" s="257"/>
      <c r="S171" s="256"/>
      <c r="U171" s="239" t="s">
        <v>513</v>
      </c>
      <c r="V171" s="492">
        <f t="shared" si="106"/>
        <v>3.9E-2</v>
      </c>
    </row>
    <row r="172" spans="1:27" ht="13.15" customHeight="1">
      <c r="A172" s="251" t="s">
        <v>150</v>
      </c>
      <c r="B172" s="356">
        <v>12274</v>
      </c>
      <c r="C172" s="379">
        <v>12274</v>
      </c>
      <c r="D172" s="358">
        <v>27545</v>
      </c>
      <c r="E172" s="356">
        <v>33292</v>
      </c>
      <c r="F172" s="379">
        <v>33292</v>
      </c>
      <c r="G172" s="219">
        <v>257309</v>
      </c>
      <c r="H172" s="359">
        <v>479667</v>
      </c>
      <c r="I172" s="205">
        <v>625</v>
      </c>
      <c r="J172" s="244"/>
      <c r="K172" s="303" t="s">
        <v>150</v>
      </c>
      <c r="L172" s="312">
        <f>B172/I172</f>
        <v>19.638400000000001</v>
      </c>
      <c r="M172" s="313">
        <f>D172/I172</f>
        <v>44.072000000000003</v>
      </c>
      <c r="N172" s="313">
        <f>D172/B172</f>
        <v>2.2441746781815217</v>
      </c>
      <c r="O172" s="312">
        <f>(F172*3.6+G172)*100/H172</f>
        <v>78.629590945385033</v>
      </c>
      <c r="P172" s="313">
        <f>(E172*3.6+G172)*100/H172</f>
        <v>78.629590945385033</v>
      </c>
      <c r="Q172" s="313">
        <f>E172/(B172*8760)*1000</f>
        <v>0.30963472551772581</v>
      </c>
      <c r="R172" s="313">
        <f>G172/(D172*8761)*1000/3.6</f>
        <v>0.29618019802658985</v>
      </c>
      <c r="S172" s="313">
        <f>G172/(E172*3.6)</f>
        <v>2.1469038274126584</v>
      </c>
      <c r="U172" s="239" t="s">
        <v>514</v>
      </c>
      <c r="V172" s="492">
        <f t="shared" si="106"/>
        <v>1.4059999999999999</v>
      </c>
      <c r="Z172" s="214">
        <f>C172-B172</f>
        <v>0</v>
      </c>
      <c r="AA172" s="214">
        <f>F172-E172</f>
        <v>0</v>
      </c>
    </row>
    <row r="173" spans="1:27" ht="13.15" customHeight="1">
      <c r="A173" s="490">
        <f>B174/B193</f>
        <v>0.53586689355265649</v>
      </c>
      <c r="B173" s="252"/>
      <c r="C173" s="380"/>
      <c r="D173" s="252"/>
      <c r="E173" s="267"/>
      <c r="F173" s="381"/>
      <c r="G173" s="248"/>
      <c r="H173" s="252"/>
      <c r="I173" s="248"/>
      <c r="J173" s="230"/>
      <c r="K173" s="239"/>
      <c r="L173" s="312"/>
      <c r="M173" s="267"/>
      <c r="N173" s="267"/>
      <c r="O173" s="239"/>
      <c r="P173" s="313"/>
      <c r="Q173" s="267"/>
      <c r="R173" s="267"/>
      <c r="S173" s="239"/>
      <c r="U173" s="239" t="s">
        <v>515</v>
      </c>
      <c r="V173" s="492">
        <f t="shared" si="106"/>
        <v>0.23200000000000001</v>
      </c>
      <c r="Z173" s="214">
        <f t="shared" ref="Z173:Z193" si="109">C173-B173</f>
        <v>0</v>
      </c>
      <c r="AA173" s="214">
        <f t="shared" ref="AA173:AA193" si="110">F173-E173</f>
        <v>0</v>
      </c>
    </row>
    <row r="174" spans="1:27" ht="13.15" customHeight="1">
      <c r="A174" s="312" t="s">
        <v>7</v>
      </c>
      <c r="B174" s="205">
        <v>14171</v>
      </c>
      <c r="C174" s="205">
        <v>14171</v>
      </c>
      <c r="D174" s="205">
        <v>21114</v>
      </c>
      <c r="E174" s="205">
        <v>22936</v>
      </c>
      <c r="F174" s="205">
        <v>22936</v>
      </c>
      <c r="G174" s="205">
        <v>287435</v>
      </c>
      <c r="H174" s="205">
        <v>460466</v>
      </c>
      <c r="I174" s="205">
        <v>794</v>
      </c>
      <c r="J174" s="244"/>
      <c r="K174" s="318" t="s">
        <v>7</v>
      </c>
      <c r="L174" s="312">
        <f>B174/I174</f>
        <v>17.847607052896727</v>
      </c>
      <c r="M174" s="313">
        <f>D174/I174</f>
        <v>26.591939546599495</v>
      </c>
      <c r="N174" s="313">
        <f>D174/B174</f>
        <v>1.4899442523463411</v>
      </c>
      <c r="O174" s="312">
        <f>(F174*3.6+G174)*100/H174</f>
        <v>80.354380127957327</v>
      </c>
      <c r="P174" s="313">
        <f>(E174*3.6+G174)*100/H174</f>
        <v>80.354380127957327</v>
      </c>
      <c r="Q174" s="506">
        <f>E174/(B174*8760)*1000</f>
        <v>0.18476217911104709</v>
      </c>
      <c r="R174" s="313">
        <f>G174/(D174*8761)*1000/3.6</f>
        <v>0.43163132088258455</v>
      </c>
      <c r="S174" s="313">
        <f>G174/(E174*3.6)</f>
        <v>3.4811238034337091</v>
      </c>
      <c r="U174" s="239" t="s">
        <v>516</v>
      </c>
      <c r="V174" s="492">
        <f t="shared" si="106"/>
        <v>0.28299999999999997</v>
      </c>
      <c r="Z174" s="214">
        <f t="shared" si="109"/>
        <v>0</v>
      </c>
      <c r="AA174" s="214">
        <f t="shared" si="110"/>
        <v>0</v>
      </c>
    </row>
    <row r="175" spans="1:27" ht="13.15" customHeight="1">
      <c r="A175" s="239" t="s">
        <v>152</v>
      </c>
      <c r="B175" s="204">
        <v>1344</v>
      </c>
      <c r="C175" s="211">
        <v>1344</v>
      </c>
      <c r="D175" s="204">
        <v>409</v>
      </c>
      <c r="E175" s="204">
        <v>1335</v>
      </c>
      <c r="F175" s="211">
        <v>1335</v>
      </c>
      <c r="G175" s="204">
        <v>16186</v>
      </c>
      <c r="H175" s="204">
        <v>25549</v>
      </c>
      <c r="I175" s="204">
        <v>20</v>
      </c>
      <c r="J175" s="230"/>
      <c r="K175" s="305" t="s">
        <v>152</v>
      </c>
      <c r="L175" s="239">
        <f t="shared" ref="L175:L191" si="111">B175/I175</f>
        <v>67.2</v>
      </c>
      <c r="M175" s="267">
        <f t="shared" ref="M175:M191" si="112">D175/I175</f>
        <v>20.45</v>
      </c>
      <c r="N175" s="267">
        <f t="shared" ref="N175:N191" si="113">D175/B175</f>
        <v>0.30431547619047616</v>
      </c>
      <c r="O175" s="239">
        <f t="shared" ref="O175:O191" si="114">(F175*3.6+G175)*100/H175</f>
        <v>82.163685467141576</v>
      </c>
      <c r="P175" s="267">
        <f t="shared" ref="P175:P191" si="115">(E175*3.6+G175)*100/H175</f>
        <v>82.163685467141576</v>
      </c>
      <c r="Q175" s="267">
        <f t="shared" ref="Q175:Q191" si="116">E175/(B175*8760)*1000</f>
        <v>0.1133908186562296</v>
      </c>
      <c r="R175" s="267">
        <f t="shared" ref="R175:R191" si="117">G175/(D175*8761)*1000/3.6</f>
        <v>1.2547582127591776</v>
      </c>
      <c r="S175" s="267">
        <f t="shared" ref="S175:S191" si="118">G175/(E175*3.6)</f>
        <v>3.3678734914689969</v>
      </c>
      <c r="U175" s="239" t="s">
        <v>517</v>
      </c>
      <c r="V175" s="492">
        <f t="shared" si="106"/>
        <v>0</v>
      </c>
      <c r="Z175" s="214">
        <f t="shared" si="109"/>
        <v>0</v>
      </c>
      <c r="AA175" s="214">
        <f t="shared" si="110"/>
        <v>0</v>
      </c>
    </row>
    <row r="176" spans="1:27" ht="13.15" customHeight="1">
      <c r="A176" s="239" t="s">
        <v>504</v>
      </c>
      <c r="B176" s="204">
        <v>17</v>
      </c>
      <c r="C176" s="211">
        <v>17</v>
      </c>
      <c r="D176" s="204">
        <v>5</v>
      </c>
      <c r="E176" s="267">
        <v>12</v>
      </c>
      <c r="F176" s="381">
        <v>12</v>
      </c>
      <c r="G176" s="206">
        <v>25</v>
      </c>
      <c r="H176" s="202">
        <v>92</v>
      </c>
      <c r="I176" s="202">
        <v>3</v>
      </c>
      <c r="J176" s="230"/>
      <c r="K176" s="305" t="s">
        <v>504</v>
      </c>
      <c r="L176" s="239">
        <f t="shared" si="111"/>
        <v>5.666666666666667</v>
      </c>
      <c r="M176" s="267">
        <f t="shared" si="112"/>
        <v>1.6666666666666667</v>
      </c>
      <c r="N176" s="267">
        <f t="shared" si="113"/>
        <v>0.29411764705882354</v>
      </c>
      <c r="O176" s="239">
        <f t="shared" si="114"/>
        <v>74.130434782608702</v>
      </c>
      <c r="P176" s="267">
        <f t="shared" si="115"/>
        <v>74.130434782608702</v>
      </c>
      <c r="Q176" s="267">
        <f t="shared" si="116"/>
        <v>8.0580177276390011E-2</v>
      </c>
      <c r="R176" s="267">
        <f t="shared" si="117"/>
        <v>0.15853086278836762</v>
      </c>
      <c r="S176" s="267">
        <f t="shared" si="118"/>
        <v>0.57870370370370372</v>
      </c>
      <c r="U176" s="239" t="s">
        <v>518</v>
      </c>
      <c r="V176" s="492">
        <f t="shared" si="106"/>
        <v>0</v>
      </c>
      <c r="Z176" s="214">
        <f t="shared" si="109"/>
        <v>0</v>
      </c>
      <c r="AA176" s="214">
        <f t="shared" si="110"/>
        <v>0</v>
      </c>
    </row>
    <row r="177" spans="1:27" ht="13.15" customHeight="1">
      <c r="A177" s="239" t="s">
        <v>505</v>
      </c>
      <c r="B177" s="204">
        <v>0</v>
      </c>
      <c r="C177" s="211"/>
      <c r="D177" s="204"/>
      <c r="E177" s="267">
        <v>0</v>
      </c>
      <c r="F177" s="381"/>
      <c r="G177" s="206"/>
      <c r="H177" s="202"/>
      <c r="I177" s="202"/>
      <c r="J177" s="230"/>
      <c r="K177" s="305" t="s">
        <v>505</v>
      </c>
      <c r="L177" s="239" t="e">
        <f t="shared" si="111"/>
        <v>#DIV/0!</v>
      </c>
      <c r="M177" s="267" t="e">
        <f t="shared" si="112"/>
        <v>#DIV/0!</v>
      </c>
      <c r="N177" s="267" t="e">
        <f t="shared" si="113"/>
        <v>#DIV/0!</v>
      </c>
      <c r="O177" s="239" t="e">
        <f t="shared" si="114"/>
        <v>#DIV/0!</v>
      </c>
      <c r="P177" s="267" t="e">
        <f t="shared" si="115"/>
        <v>#DIV/0!</v>
      </c>
      <c r="Q177" s="267" t="e">
        <f t="shared" si="116"/>
        <v>#DIV/0!</v>
      </c>
      <c r="R177" s="267" t="e">
        <f t="shared" si="117"/>
        <v>#DIV/0!</v>
      </c>
      <c r="S177" s="267" t="e">
        <f t="shared" si="118"/>
        <v>#DIV/0!</v>
      </c>
      <c r="U177" s="239" t="s">
        <v>519</v>
      </c>
      <c r="V177" s="492">
        <f t="shared" si="106"/>
        <v>0</v>
      </c>
      <c r="Z177" s="214">
        <f t="shared" si="109"/>
        <v>0</v>
      </c>
      <c r="AA177" s="214">
        <f t="shared" si="110"/>
        <v>0</v>
      </c>
    </row>
    <row r="178" spans="1:27" ht="13.15" customHeight="1">
      <c r="A178" s="239" t="s">
        <v>506</v>
      </c>
      <c r="B178" s="204">
        <v>733</v>
      </c>
      <c r="C178" s="211">
        <v>733</v>
      </c>
      <c r="D178" s="204">
        <v>1836</v>
      </c>
      <c r="E178" s="267">
        <v>3186</v>
      </c>
      <c r="F178" s="381">
        <v>3186</v>
      </c>
      <c r="G178" s="206">
        <v>32562</v>
      </c>
      <c r="H178" s="202">
        <v>56135</v>
      </c>
      <c r="I178" s="202">
        <v>44</v>
      </c>
      <c r="J178" s="230"/>
      <c r="K178" s="305" t="s">
        <v>506</v>
      </c>
      <c r="L178" s="239">
        <f t="shared" si="111"/>
        <v>16.65909090909091</v>
      </c>
      <c r="M178" s="267">
        <f t="shared" si="112"/>
        <v>41.727272727272727</v>
      </c>
      <c r="N178" s="267">
        <f t="shared" si="113"/>
        <v>2.5047748976807638</v>
      </c>
      <c r="O178" s="239">
        <f t="shared" si="114"/>
        <v>78.438763694664644</v>
      </c>
      <c r="P178" s="267">
        <f t="shared" si="115"/>
        <v>78.438763694664644</v>
      </c>
      <c r="Q178" s="267">
        <f t="shared" si="116"/>
        <v>0.49617821301089537</v>
      </c>
      <c r="R178" s="267">
        <f t="shared" si="117"/>
        <v>0.56231829565520997</v>
      </c>
      <c r="S178" s="267">
        <f t="shared" si="118"/>
        <v>2.8389830508474576</v>
      </c>
      <c r="Z178" s="214">
        <f t="shared" si="109"/>
        <v>0</v>
      </c>
      <c r="AA178" s="214">
        <f t="shared" si="110"/>
        <v>0</v>
      </c>
    </row>
    <row r="179" spans="1:27" ht="13.15" customHeight="1">
      <c r="A179" s="239" t="s">
        <v>507</v>
      </c>
      <c r="B179" s="204">
        <v>0</v>
      </c>
      <c r="C179" s="211"/>
      <c r="D179" s="204"/>
      <c r="E179" s="267">
        <v>0</v>
      </c>
      <c r="F179" s="381"/>
      <c r="G179" s="206"/>
      <c r="H179" s="202"/>
      <c r="I179" s="202"/>
      <c r="J179" s="230"/>
      <c r="K179" s="305" t="s">
        <v>507</v>
      </c>
      <c r="L179" s="239" t="e">
        <f t="shared" si="111"/>
        <v>#DIV/0!</v>
      </c>
      <c r="M179" s="267" t="e">
        <f t="shared" si="112"/>
        <v>#DIV/0!</v>
      </c>
      <c r="N179" s="267" t="e">
        <f t="shared" si="113"/>
        <v>#DIV/0!</v>
      </c>
      <c r="O179" s="239" t="e">
        <f t="shared" si="114"/>
        <v>#DIV/0!</v>
      </c>
      <c r="P179" s="267" t="e">
        <f t="shared" si="115"/>
        <v>#DIV/0!</v>
      </c>
      <c r="Q179" s="267" t="e">
        <f t="shared" si="116"/>
        <v>#DIV/0!</v>
      </c>
      <c r="R179" s="267" t="e">
        <f t="shared" si="117"/>
        <v>#DIV/0!</v>
      </c>
      <c r="S179" s="267" t="e">
        <f t="shared" si="118"/>
        <v>#DIV/0!</v>
      </c>
      <c r="Z179" s="214">
        <f t="shared" si="109"/>
        <v>0</v>
      </c>
      <c r="AA179" s="214">
        <f t="shared" si="110"/>
        <v>0</v>
      </c>
    </row>
    <row r="180" spans="1:27" ht="13.15" customHeight="1">
      <c r="A180" s="239" t="s">
        <v>156</v>
      </c>
      <c r="B180" s="204">
        <v>619</v>
      </c>
      <c r="C180" s="211">
        <v>619</v>
      </c>
      <c r="D180" s="204">
        <v>1931</v>
      </c>
      <c r="E180" s="267">
        <v>302</v>
      </c>
      <c r="F180" s="381">
        <v>302</v>
      </c>
      <c r="G180" s="206">
        <v>7404</v>
      </c>
      <c r="H180" s="202">
        <v>10464</v>
      </c>
      <c r="I180" s="202">
        <v>20</v>
      </c>
      <c r="J180" s="230"/>
      <c r="K180" s="305" t="s">
        <v>156</v>
      </c>
      <c r="L180" s="239">
        <f t="shared" si="111"/>
        <v>30.95</v>
      </c>
      <c r="M180" s="267">
        <f t="shared" si="112"/>
        <v>96.55</v>
      </c>
      <c r="N180" s="267">
        <f t="shared" si="113"/>
        <v>3.1195476575121162</v>
      </c>
      <c r="O180" s="322">
        <f t="shared" si="114"/>
        <v>81.146788990825698</v>
      </c>
      <c r="P180" s="323">
        <f t="shared" si="115"/>
        <v>81.146788990825698</v>
      </c>
      <c r="Q180" s="267">
        <f t="shared" si="116"/>
        <v>5.5694484401855995E-2</v>
      </c>
      <c r="R180" s="267">
        <f t="shared" si="117"/>
        <v>0.12157043066650171</v>
      </c>
      <c r="S180" s="267">
        <f t="shared" si="118"/>
        <v>6.8101545253863129</v>
      </c>
      <c r="Z180" s="214">
        <f t="shared" si="109"/>
        <v>0</v>
      </c>
      <c r="AA180" s="214">
        <f t="shared" si="110"/>
        <v>0</v>
      </c>
    </row>
    <row r="181" spans="1:27" ht="13.15" customHeight="1">
      <c r="A181" s="239" t="s">
        <v>508</v>
      </c>
      <c r="B181" s="204">
        <v>8</v>
      </c>
      <c r="C181" s="211">
        <v>8</v>
      </c>
      <c r="D181" s="204">
        <v>33</v>
      </c>
      <c r="E181" s="267">
        <v>10</v>
      </c>
      <c r="F181" s="381">
        <v>10</v>
      </c>
      <c r="G181" s="206">
        <v>80</v>
      </c>
      <c r="H181" s="202">
        <v>155</v>
      </c>
      <c r="I181" s="202">
        <v>6</v>
      </c>
      <c r="J181" s="230"/>
      <c r="K181" s="305" t="s">
        <v>508</v>
      </c>
      <c r="L181" s="239">
        <f t="shared" si="111"/>
        <v>1.3333333333333333</v>
      </c>
      <c r="M181" s="267">
        <f t="shared" si="112"/>
        <v>5.5</v>
      </c>
      <c r="N181" s="267">
        <f t="shared" si="113"/>
        <v>4.125</v>
      </c>
      <c r="O181" s="239">
        <f t="shared" si="114"/>
        <v>74.838709677419359</v>
      </c>
      <c r="P181" s="267">
        <f t="shared" si="115"/>
        <v>74.838709677419359</v>
      </c>
      <c r="Q181" s="267">
        <f t="shared" si="116"/>
        <v>0.14269406392694062</v>
      </c>
      <c r="R181" s="267">
        <f t="shared" si="117"/>
        <v>7.6863448624663086E-2</v>
      </c>
      <c r="S181" s="267">
        <f t="shared" si="118"/>
        <v>2.2222222222222223</v>
      </c>
      <c r="Z181" s="214">
        <f t="shared" si="109"/>
        <v>0</v>
      </c>
      <c r="AA181" s="214">
        <f t="shared" si="110"/>
        <v>0</v>
      </c>
    </row>
    <row r="182" spans="1:27" ht="13.15" customHeight="1">
      <c r="A182" s="239" t="s">
        <v>509</v>
      </c>
      <c r="B182" s="204">
        <v>8758</v>
      </c>
      <c r="C182" s="211">
        <v>8758</v>
      </c>
      <c r="D182" s="204">
        <v>7405</v>
      </c>
      <c r="E182" s="267">
        <v>10411</v>
      </c>
      <c r="F182" s="381">
        <v>10411</v>
      </c>
      <c r="G182" s="206">
        <v>118303</v>
      </c>
      <c r="H182" s="202">
        <v>191646</v>
      </c>
      <c r="I182" s="202">
        <v>198</v>
      </c>
      <c r="J182" s="230"/>
      <c r="K182" s="305" t="s">
        <v>509</v>
      </c>
      <c r="L182" s="239">
        <f t="shared" si="111"/>
        <v>44.232323232323232</v>
      </c>
      <c r="M182" s="267">
        <f t="shared" si="112"/>
        <v>37.398989898989896</v>
      </c>
      <c r="N182" s="267">
        <f t="shared" si="113"/>
        <v>0.84551267412651288</v>
      </c>
      <c r="O182" s="239">
        <f t="shared" si="114"/>
        <v>81.286643081514882</v>
      </c>
      <c r="P182" s="267">
        <f t="shared" si="115"/>
        <v>81.286643081514882</v>
      </c>
      <c r="Q182" s="267">
        <f t="shared" si="116"/>
        <v>0.1357011098007197</v>
      </c>
      <c r="R182" s="267">
        <f t="shared" si="117"/>
        <v>0.50654089562328852</v>
      </c>
      <c r="S182" s="267">
        <f t="shared" si="118"/>
        <v>3.1564637829645994</v>
      </c>
      <c r="Z182" s="214">
        <f t="shared" si="109"/>
        <v>0</v>
      </c>
      <c r="AA182" s="214">
        <f t="shared" si="110"/>
        <v>0</v>
      </c>
    </row>
    <row r="183" spans="1:27" ht="13.15" customHeight="1">
      <c r="A183" s="239" t="s">
        <v>510</v>
      </c>
      <c r="B183" s="204">
        <v>32</v>
      </c>
      <c r="C183" s="211">
        <v>32</v>
      </c>
      <c r="D183" s="204">
        <v>30</v>
      </c>
      <c r="E183" s="267">
        <v>63</v>
      </c>
      <c r="F183" s="381">
        <v>63</v>
      </c>
      <c r="G183" s="206">
        <v>569</v>
      </c>
      <c r="H183" s="202">
        <v>989</v>
      </c>
      <c r="I183" s="202">
        <v>28</v>
      </c>
      <c r="J183" s="230"/>
      <c r="K183" s="305" t="s">
        <v>510</v>
      </c>
      <c r="L183" s="239">
        <f t="shared" si="111"/>
        <v>1.1428571428571428</v>
      </c>
      <c r="M183" s="267">
        <f t="shared" si="112"/>
        <v>1.0714285714285714</v>
      </c>
      <c r="N183" s="267">
        <f t="shared" si="113"/>
        <v>0.9375</v>
      </c>
      <c r="O183" s="322">
        <f t="shared" si="114"/>
        <v>80.465116279069761</v>
      </c>
      <c r="P183" s="323">
        <f t="shared" si="115"/>
        <v>80.465116279069761</v>
      </c>
      <c r="Q183" s="267">
        <f t="shared" si="116"/>
        <v>0.2247431506849315</v>
      </c>
      <c r="R183" s="267">
        <f t="shared" si="117"/>
        <v>0.60136040617720798</v>
      </c>
      <c r="S183" s="267">
        <f t="shared" si="118"/>
        <v>2.5088183421516752</v>
      </c>
      <c r="Z183" s="214">
        <f t="shared" si="109"/>
        <v>0</v>
      </c>
      <c r="AA183" s="214">
        <f t="shared" si="110"/>
        <v>0</v>
      </c>
    </row>
    <row r="184" spans="1:27" ht="13.15" customHeight="1">
      <c r="A184" s="239" t="s">
        <v>511</v>
      </c>
      <c r="B184" s="382">
        <v>36</v>
      </c>
      <c r="C184" s="383">
        <v>36</v>
      </c>
      <c r="D184" s="204">
        <v>44</v>
      </c>
      <c r="E184" s="267">
        <v>64</v>
      </c>
      <c r="F184" s="381">
        <v>64</v>
      </c>
      <c r="G184" s="206">
        <v>781</v>
      </c>
      <c r="H184" s="202">
        <v>1244</v>
      </c>
      <c r="I184" s="202">
        <v>35</v>
      </c>
      <c r="J184" s="230"/>
      <c r="K184" s="305" t="s">
        <v>511</v>
      </c>
      <c r="L184" s="239">
        <f t="shared" si="111"/>
        <v>1.0285714285714285</v>
      </c>
      <c r="M184" s="267">
        <f t="shared" si="112"/>
        <v>1.2571428571428571</v>
      </c>
      <c r="N184" s="267">
        <f t="shared" si="113"/>
        <v>1.2222222222222223</v>
      </c>
      <c r="O184" s="239">
        <f t="shared" si="114"/>
        <v>81.302250803858527</v>
      </c>
      <c r="P184" s="267">
        <f t="shared" si="115"/>
        <v>81.302250803858527</v>
      </c>
      <c r="Q184" s="267">
        <f t="shared" si="116"/>
        <v>0.20294266869609334</v>
      </c>
      <c r="R184" s="267">
        <f t="shared" si="117"/>
        <v>0.56278456289870504</v>
      </c>
      <c r="S184" s="267">
        <f t="shared" si="118"/>
        <v>3.3897569444444442</v>
      </c>
      <c r="Z184" s="214">
        <f t="shared" si="109"/>
        <v>0</v>
      </c>
      <c r="AA184" s="214">
        <f t="shared" si="110"/>
        <v>0</v>
      </c>
    </row>
    <row r="185" spans="1:27" ht="13.15" customHeight="1">
      <c r="A185" s="239" t="s">
        <v>512</v>
      </c>
      <c r="B185" s="384">
        <v>664</v>
      </c>
      <c r="C185" s="383">
        <v>664</v>
      </c>
      <c r="D185" s="204">
        <v>2421</v>
      </c>
      <c r="E185" s="385">
        <v>1665</v>
      </c>
      <c r="F185" s="381">
        <v>1665</v>
      </c>
      <c r="G185" s="206">
        <v>28411</v>
      </c>
      <c r="H185" s="202">
        <v>42679</v>
      </c>
      <c r="I185" s="202">
        <v>147</v>
      </c>
      <c r="J185" s="230"/>
      <c r="K185" s="305" t="s">
        <v>512</v>
      </c>
      <c r="L185" s="239">
        <f t="shared" si="111"/>
        <v>4.5170068027210881</v>
      </c>
      <c r="M185" s="267">
        <f t="shared" si="112"/>
        <v>16.469387755102041</v>
      </c>
      <c r="N185" s="267">
        <f t="shared" si="113"/>
        <v>3.6460843373493974</v>
      </c>
      <c r="O185" s="239">
        <f t="shared" si="114"/>
        <v>80.613416434311958</v>
      </c>
      <c r="P185" s="267">
        <f t="shared" si="115"/>
        <v>80.613416434311958</v>
      </c>
      <c r="Q185" s="267">
        <f t="shared" si="116"/>
        <v>0.28624773064862191</v>
      </c>
      <c r="R185" s="267">
        <f t="shared" si="117"/>
        <v>0.37207933438086022</v>
      </c>
      <c r="S185" s="267">
        <f t="shared" si="118"/>
        <v>4.7399065732399066</v>
      </c>
      <c r="Z185" s="214">
        <f t="shared" si="109"/>
        <v>0</v>
      </c>
      <c r="AA185" s="214">
        <f t="shared" si="110"/>
        <v>0</v>
      </c>
    </row>
    <row r="186" spans="1:27" ht="13.15" customHeight="1">
      <c r="A186" s="239" t="s">
        <v>513</v>
      </c>
      <c r="B186" s="384">
        <v>39</v>
      </c>
      <c r="C186" s="383">
        <v>39</v>
      </c>
      <c r="D186" s="216">
        <v>148</v>
      </c>
      <c r="E186" s="385">
        <v>83</v>
      </c>
      <c r="F186" s="381">
        <v>83</v>
      </c>
      <c r="G186" s="386">
        <v>1462</v>
      </c>
      <c r="H186" s="215">
        <v>2160</v>
      </c>
      <c r="I186" s="202">
        <v>15</v>
      </c>
      <c r="J186" s="230"/>
      <c r="K186" s="305" t="s">
        <v>513</v>
      </c>
      <c r="L186" s="239">
        <f t="shared" si="111"/>
        <v>2.6</v>
      </c>
      <c r="M186" s="267">
        <f t="shared" si="112"/>
        <v>9.8666666666666671</v>
      </c>
      <c r="N186" s="267">
        <f t="shared" si="113"/>
        <v>3.7948717948717947</v>
      </c>
      <c r="O186" s="239">
        <f t="shared" si="114"/>
        <v>81.518518518518519</v>
      </c>
      <c r="P186" s="267">
        <f t="shared" si="115"/>
        <v>81.518518518518519</v>
      </c>
      <c r="Q186" s="267">
        <f t="shared" si="116"/>
        <v>0.24294579089099638</v>
      </c>
      <c r="R186" s="267">
        <f t="shared" si="117"/>
        <v>0.313205569454856</v>
      </c>
      <c r="S186" s="267">
        <f t="shared" si="118"/>
        <v>4.8929049531459166</v>
      </c>
      <c r="U186" s="220"/>
      <c r="Z186" s="214">
        <f t="shared" si="109"/>
        <v>0</v>
      </c>
      <c r="AA186" s="214">
        <f t="shared" si="110"/>
        <v>0</v>
      </c>
    </row>
    <row r="187" spans="1:27" ht="13.15" customHeight="1">
      <c r="A187" s="239" t="s">
        <v>514</v>
      </c>
      <c r="B187" s="382">
        <v>1406</v>
      </c>
      <c r="C187" s="383">
        <v>1406</v>
      </c>
      <c r="D187" s="204">
        <v>5502</v>
      </c>
      <c r="E187" s="267">
        <v>4204</v>
      </c>
      <c r="F187" s="381">
        <v>4204</v>
      </c>
      <c r="G187" s="206">
        <v>65761</v>
      </c>
      <c r="H187" s="202">
        <v>101905</v>
      </c>
      <c r="I187" s="202">
        <v>144</v>
      </c>
      <c r="J187" s="230"/>
      <c r="K187" s="305" t="s">
        <v>514</v>
      </c>
      <c r="L187" s="239">
        <f t="shared" si="111"/>
        <v>9.7638888888888893</v>
      </c>
      <c r="M187" s="267">
        <f t="shared" si="112"/>
        <v>38.208333333333336</v>
      </c>
      <c r="N187" s="267">
        <f t="shared" si="113"/>
        <v>3.9132290184921765</v>
      </c>
      <c r="O187" s="239">
        <f t="shared" si="114"/>
        <v>79.383150973946314</v>
      </c>
      <c r="P187" s="267">
        <f t="shared" si="115"/>
        <v>79.383150973946314</v>
      </c>
      <c r="Q187" s="267">
        <f t="shared" si="116"/>
        <v>0.34132907240333343</v>
      </c>
      <c r="R187" s="267">
        <f t="shared" si="117"/>
        <v>0.37895849028810774</v>
      </c>
      <c r="S187" s="267">
        <f t="shared" si="118"/>
        <v>4.3451342636642352</v>
      </c>
      <c r="U187" s="220"/>
      <c r="Z187" s="214">
        <f t="shared" si="109"/>
        <v>0</v>
      </c>
      <c r="AA187" s="214">
        <f t="shared" si="110"/>
        <v>0</v>
      </c>
    </row>
    <row r="188" spans="1:27" ht="13.15" customHeight="1">
      <c r="A188" s="239" t="s">
        <v>515</v>
      </c>
      <c r="B188" s="382">
        <v>232</v>
      </c>
      <c r="C188" s="383">
        <v>232</v>
      </c>
      <c r="D188" s="204">
        <v>583</v>
      </c>
      <c r="E188" s="267">
        <v>887</v>
      </c>
      <c r="F188" s="381">
        <v>887</v>
      </c>
      <c r="G188" s="206">
        <v>6706</v>
      </c>
      <c r="H188" s="202">
        <v>13199</v>
      </c>
      <c r="I188" s="202">
        <v>67</v>
      </c>
      <c r="J188" s="230"/>
      <c r="K188" s="305" t="s">
        <v>515</v>
      </c>
      <c r="L188" s="239">
        <f t="shared" si="111"/>
        <v>3.4626865671641789</v>
      </c>
      <c r="M188" s="267">
        <f t="shared" si="112"/>
        <v>8.7014925373134329</v>
      </c>
      <c r="N188" s="267">
        <f t="shared" si="113"/>
        <v>2.5129310344827585</v>
      </c>
      <c r="O188" s="239">
        <f t="shared" si="114"/>
        <v>74.999621183423002</v>
      </c>
      <c r="P188" s="267">
        <f t="shared" si="115"/>
        <v>74.999621183423002</v>
      </c>
      <c r="Q188" s="267">
        <f t="shared" si="116"/>
        <v>0.43644701621791848</v>
      </c>
      <c r="R188" s="267">
        <f t="shared" si="117"/>
        <v>0.36470256118655009</v>
      </c>
      <c r="S188" s="267">
        <f t="shared" si="118"/>
        <v>2.1000876863334583</v>
      </c>
      <c r="U188" s="220"/>
      <c r="Z188" s="214">
        <f t="shared" si="109"/>
        <v>0</v>
      </c>
      <c r="AA188" s="214">
        <f t="shared" si="110"/>
        <v>0</v>
      </c>
    </row>
    <row r="189" spans="1:27" ht="13.15" customHeight="1">
      <c r="A189" s="239" t="s">
        <v>516</v>
      </c>
      <c r="B189" s="204">
        <v>283</v>
      </c>
      <c r="C189" s="211">
        <v>283</v>
      </c>
      <c r="D189" s="202">
        <v>767</v>
      </c>
      <c r="E189" s="267">
        <v>714</v>
      </c>
      <c r="F189" s="381">
        <v>714</v>
      </c>
      <c r="G189" s="206">
        <v>9185</v>
      </c>
      <c r="H189" s="202">
        <v>14249</v>
      </c>
      <c r="I189" s="202">
        <v>67</v>
      </c>
      <c r="J189" s="244"/>
      <c r="K189" s="239" t="s">
        <v>516</v>
      </c>
      <c r="L189" s="239">
        <f t="shared" si="111"/>
        <v>4.2238805970149258</v>
      </c>
      <c r="M189" s="267">
        <f t="shared" si="112"/>
        <v>11.447761194029852</v>
      </c>
      <c r="N189" s="267">
        <f t="shared" si="113"/>
        <v>2.7102473498233217</v>
      </c>
      <c r="O189" s="239">
        <f t="shared" si="114"/>
        <v>82.499824549091159</v>
      </c>
      <c r="P189" s="267">
        <f t="shared" si="115"/>
        <v>82.499824549091159</v>
      </c>
      <c r="Q189" s="267">
        <f t="shared" si="116"/>
        <v>0.28801006825112541</v>
      </c>
      <c r="R189" s="267">
        <f t="shared" si="117"/>
        <v>0.37968865051138379</v>
      </c>
      <c r="S189" s="267">
        <f t="shared" si="118"/>
        <v>3.5733737939620291</v>
      </c>
      <c r="U189" s="220"/>
      <c r="Z189" s="214">
        <f t="shared" si="109"/>
        <v>0</v>
      </c>
      <c r="AA189" s="214">
        <f t="shared" si="110"/>
        <v>0</v>
      </c>
    </row>
    <row r="190" spans="1:27" ht="13.15" customHeight="1">
      <c r="A190" s="239" t="s">
        <v>517</v>
      </c>
      <c r="B190" s="204"/>
      <c r="C190" s="211"/>
      <c r="D190" s="204"/>
      <c r="E190" s="267"/>
      <c r="F190" s="381"/>
      <c r="G190" s="206"/>
      <c r="H190" s="202"/>
      <c r="I190" s="202"/>
      <c r="K190" s="239" t="s">
        <v>517</v>
      </c>
      <c r="L190" s="239" t="e">
        <f t="shared" si="111"/>
        <v>#DIV/0!</v>
      </c>
      <c r="M190" s="267" t="e">
        <f t="shared" si="112"/>
        <v>#DIV/0!</v>
      </c>
      <c r="N190" s="267" t="e">
        <f t="shared" si="113"/>
        <v>#DIV/0!</v>
      </c>
      <c r="O190" s="239" t="e">
        <f t="shared" si="114"/>
        <v>#DIV/0!</v>
      </c>
      <c r="P190" s="267" t="e">
        <f t="shared" si="115"/>
        <v>#DIV/0!</v>
      </c>
      <c r="Q190" s="267" t="e">
        <f t="shared" si="116"/>
        <v>#DIV/0!</v>
      </c>
      <c r="R190" s="267" t="e">
        <f t="shared" si="117"/>
        <v>#DIV/0!</v>
      </c>
      <c r="S190" s="267" t="e">
        <f t="shared" si="118"/>
        <v>#DIV/0!</v>
      </c>
      <c r="U190" s="220"/>
      <c r="Z190" s="214">
        <f t="shared" si="109"/>
        <v>0</v>
      </c>
      <c r="AA190" s="214">
        <f t="shared" si="110"/>
        <v>0</v>
      </c>
    </row>
    <row r="191" spans="1:27" ht="13.15" customHeight="1">
      <c r="A191" s="239" t="s">
        <v>518</v>
      </c>
      <c r="B191" s="216"/>
      <c r="C191" s="211"/>
      <c r="D191" s="216"/>
      <c r="E191" s="385"/>
      <c r="F191" s="381"/>
      <c r="G191" s="386"/>
      <c r="H191" s="215"/>
      <c r="I191" s="202"/>
      <c r="K191" s="239" t="s">
        <v>518</v>
      </c>
      <c r="L191" s="239" t="e">
        <f t="shared" si="111"/>
        <v>#DIV/0!</v>
      </c>
      <c r="M191" s="267" t="e">
        <f t="shared" si="112"/>
        <v>#DIV/0!</v>
      </c>
      <c r="N191" s="267" t="e">
        <f t="shared" si="113"/>
        <v>#DIV/0!</v>
      </c>
      <c r="O191" s="239" t="e">
        <f t="shared" si="114"/>
        <v>#DIV/0!</v>
      </c>
      <c r="P191" s="267" t="e">
        <f t="shared" si="115"/>
        <v>#DIV/0!</v>
      </c>
      <c r="Q191" s="267" t="e">
        <f t="shared" si="116"/>
        <v>#DIV/0!</v>
      </c>
      <c r="R191" s="267" t="e">
        <f t="shared" si="117"/>
        <v>#DIV/0!</v>
      </c>
      <c r="S191" s="267" t="e">
        <f t="shared" si="118"/>
        <v>#DIV/0!</v>
      </c>
      <c r="U191" s="220"/>
      <c r="Z191" s="214">
        <f t="shared" si="109"/>
        <v>0</v>
      </c>
      <c r="AA191" s="214">
        <f t="shared" si="110"/>
        <v>0</v>
      </c>
    </row>
    <row r="192" spans="1:27" ht="13.15" customHeight="1">
      <c r="A192" s="239" t="s">
        <v>519</v>
      </c>
      <c r="B192" s="204"/>
      <c r="C192" s="211"/>
      <c r="D192" s="204"/>
      <c r="E192" s="387"/>
      <c r="F192" s="381"/>
      <c r="G192" s="206"/>
      <c r="H192" s="202"/>
      <c r="I192" s="202"/>
      <c r="K192" s="239" t="s">
        <v>519</v>
      </c>
      <c r="L192" s="239"/>
      <c r="M192" s="267"/>
      <c r="N192" s="267"/>
      <c r="O192" s="239"/>
      <c r="P192" s="267"/>
      <c r="Q192" s="267"/>
      <c r="R192" s="267"/>
      <c r="S192" s="267"/>
      <c r="U192" s="220"/>
      <c r="Z192" s="214">
        <f t="shared" si="109"/>
        <v>0</v>
      </c>
      <c r="AA192" s="214">
        <f t="shared" si="110"/>
        <v>0</v>
      </c>
    </row>
    <row r="193" spans="1:27" ht="13.15" customHeight="1">
      <c r="A193" s="282" t="s">
        <v>169</v>
      </c>
      <c r="B193" s="360">
        <f>B172+B174</f>
        <v>26445</v>
      </c>
      <c r="C193" s="360">
        <f t="shared" ref="C193:I193" si="119">C172+C174</f>
        <v>26445</v>
      </c>
      <c r="D193" s="360">
        <f t="shared" si="119"/>
        <v>48659</v>
      </c>
      <c r="E193" s="360">
        <f t="shared" si="119"/>
        <v>56228</v>
      </c>
      <c r="F193" s="360">
        <f t="shared" si="119"/>
        <v>56228</v>
      </c>
      <c r="G193" s="360">
        <f t="shared" si="119"/>
        <v>544744</v>
      </c>
      <c r="H193" s="360">
        <f t="shared" si="119"/>
        <v>940133</v>
      </c>
      <c r="I193" s="360">
        <f t="shared" si="119"/>
        <v>1419</v>
      </c>
      <c r="K193" s="328" t="s">
        <v>169</v>
      </c>
      <c r="L193" s="282">
        <f>B193/I193</f>
        <v>18.636363636363637</v>
      </c>
      <c r="M193" s="281">
        <f>D193/I193</f>
        <v>34.291050035236083</v>
      </c>
      <c r="N193" s="281">
        <f>D193/B193</f>
        <v>1.8400075628663264</v>
      </c>
      <c r="O193" s="282">
        <f>(F193*3.6+G193)*100/H193</f>
        <v>79.474372243076246</v>
      </c>
      <c r="P193" s="282">
        <f>(E193*3.6+G193)*100/H193</f>
        <v>79.474372243076246</v>
      </c>
      <c r="Q193" s="281">
        <f>E193/(B193*8760)*1000</f>
        <v>0.24271966198476894</v>
      </c>
      <c r="R193" s="281">
        <f>G193/(D193*8761)*1000/3.6</f>
        <v>0.35495483392090477</v>
      </c>
      <c r="S193" s="281">
        <f>G193/(E193*3.6)</f>
        <v>2.6911463644052387</v>
      </c>
      <c r="U193" s="220"/>
      <c r="Z193" s="214">
        <f t="shared" si="109"/>
        <v>0</v>
      </c>
      <c r="AA193" s="214">
        <f t="shared" si="110"/>
        <v>0</v>
      </c>
    </row>
    <row r="194" spans="1:27" ht="13.15" customHeight="1">
      <c r="I194" s="220"/>
      <c r="U194" s="220"/>
    </row>
    <row r="195" spans="1:27" ht="13.15" customHeight="1">
      <c r="A195" s="251" t="s">
        <v>520</v>
      </c>
      <c r="B195" s="227" t="s">
        <v>476</v>
      </c>
      <c r="C195" s="228"/>
      <c r="D195" s="286"/>
      <c r="E195" s="227" t="s">
        <v>521</v>
      </c>
      <c r="F195" s="228"/>
      <c r="G195" s="286"/>
      <c r="H195" s="200" t="s">
        <v>138</v>
      </c>
      <c r="I195" s="200" t="s">
        <v>478</v>
      </c>
      <c r="K195" s="492"/>
      <c r="U195" s="220"/>
    </row>
    <row r="196" spans="1:27" ht="13.15" customHeight="1">
      <c r="A196" s="239"/>
      <c r="B196" s="243" t="s">
        <v>88</v>
      </c>
      <c r="C196" s="243"/>
      <c r="D196" s="241" t="s">
        <v>34</v>
      </c>
      <c r="E196" s="243" t="s">
        <v>88</v>
      </c>
      <c r="F196" s="243"/>
      <c r="G196" s="241" t="s">
        <v>34</v>
      </c>
      <c r="H196" s="241" t="s">
        <v>170</v>
      </c>
      <c r="I196" s="241" t="s">
        <v>483</v>
      </c>
      <c r="U196" s="220"/>
    </row>
    <row r="197" spans="1:27" ht="13.15" customHeight="1">
      <c r="A197" s="239"/>
      <c r="B197" s="252" t="s">
        <v>0</v>
      </c>
      <c r="C197" s="252" t="s">
        <v>489</v>
      </c>
      <c r="D197" s="252" t="s">
        <v>490</v>
      </c>
      <c r="E197" s="252" t="s">
        <v>491</v>
      </c>
      <c r="F197" s="252" t="s">
        <v>489</v>
      </c>
      <c r="G197" s="252" t="s">
        <v>490</v>
      </c>
      <c r="H197" s="248"/>
      <c r="I197" s="241" t="s">
        <v>492</v>
      </c>
      <c r="U197" s="220"/>
    </row>
    <row r="198" spans="1:27" ht="13.15" customHeight="1">
      <c r="A198" s="239"/>
      <c r="B198" s="257" t="s">
        <v>496</v>
      </c>
      <c r="C198" s="256" t="s">
        <v>496</v>
      </c>
      <c r="D198" s="252" t="s">
        <v>496</v>
      </c>
      <c r="E198" s="329" t="s">
        <v>473</v>
      </c>
      <c r="F198" s="388" t="s">
        <v>473</v>
      </c>
      <c r="G198" s="252" t="s">
        <v>496</v>
      </c>
      <c r="H198" s="257" t="s">
        <v>497</v>
      </c>
      <c r="I198" s="257" t="s">
        <v>498</v>
      </c>
      <c r="U198" s="220"/>
    </row>
    <row r="199" spans="1:27" ht="13.15" customHeight="1">
      <c r="A199" s="251" t="s">
        <v>522</v>
      </c>
      <c r="B199" s="389">
        <v>11227</v>
      </c>
      <c r="C199" s="390">
        <v>11227</v>
      </c>
      <c r="D199" s="200">
        <v>15190</v>
      </c>
      <c r="E199" s="389" t="s">
        <v>531</v>
      </c>
      <c r="F199" s="389" t="s">
        <v>531</v>
      </c>
      <c r="G199" s="200" t="s">
        <v>531</v>
      </c>
      <c r="H199" s="200" t="s">
        <v>531</v>
      </c>
      <c r="I199" s="200">
        <v>908</v>
      </c>
      <c r="U199" s="220"/>
    </row>
    <row r="200" spans="1:27" ht="13.15" customHeight="1">
      <c r="A200" s="239" t="s">
        <v>523</v>
      </c>
      <c r="B200" s="216">
        <v>8370</v>
      </c>
      <c r="C200" s="211">
        <v>8370</v>
      </c>
      <c r="D200" s="204">
        <v>8732</v>
      </c>
      <c r="E200" s="216">
        <v>0</v>
      </c>
      <c r="F200" s="204">
        <v>0</v>
      </c>
      <c r="G200" s="204">
        <v>0</v>
      </c>
      <c r="H200" s="202">
        <v>0</v>
      </c>
      <c r="I200" s="202">
        <v>63</v>
      </c>
    </row>
    <row r="201" spans="1:27" ht="13.15" customHeight="1">
      <c r="A201" s="239" t="s">
        <v>524</v>
      </c>
      <c r="B201" s="216">
        <v>170</v>
      </c>
      <c r="C201" s="211">
        <v>170</v>
      </c>
      <c r="D201" s="204">
        <v>752</v>
      </c>
      <c r="E201" s="216">
        <v>0</v>
      </c>
      <c r="F201" s="204">
        <v>0</v>
      </c>
      <c r="G201" s="204">
        <v>0</v>
      </c>
      <c r="H201" s="202">
        <v>0</v>
      </c>
      <c r="I201" s="202">
        <v>27</v>
      </c>
    </row>
    <row r="202" spans="1:27" ht="13.15" customHeight="1">
      <c r="A202" s="239" t="s">
        <v>525</v>
      </c>
      <c r="B202" s="216">
        <v>2685</v>
      </c>
      <c r="C202" s="211">
        <v>2685</v>
      </c>
      <c r="D202" s="204">
        <v>5702</v>
      </c>
      <c r="E202" s="216">
        <v>0</v>
      </c>
      <c r="F202" s="204">
        <v>0</v>
      </c>
      <c r="G202" s="204">
        <v>0</v>
      </c>
      <c r="H202" s="202">
        <v>0</v>
      </c>
      <c r="I202" s="202">
        <v>814</v>
      </c>
    </row>
    <row r="203" spans="1:27" ht="13.15" customHeight="1">
      <c r="A203" s="239" t="s">
        <v>267</v>
      </c>
      <c r="B203" s="216">
        <v>2</v>
      </c>
      <c r="C203" s="211">
        <v>2</v>
      </c>
      <c r="D203" s="204">
        <v>4</v>
      </c>
      <c r="E203" s="216">
        <v>0</v>
      </c>
      <c r="F203" s="204">
        <v>0</v>
      </c>
      <c r="G203" s="204">
        <v>0</v>
      </c>
      <c r="H203" s="202">
        <v>0</v>
      </c>
      <c r="I203" s="202">
        <v>4</v>
      </c>
    </row>
    <row r="204" spans="1:27" ht="13.15" customHeight="1">
      <c r="A204" s="312" t="s">
        <v>526</v>
      </c>
      <c r="B204" s="391">
        <v>15218</v>
      </c>
      <c r="C204" s="392">
        <v>15218</v>
      </c>
      <c r="D204" s="205">
        <v>33469</v>
      </c>
      <c r="E204" s="391" t="s">
        <v>531</v>
      </c>
      <c r="F204" s="391" t="s">
        <v>531</v>
      </c>
      <c r="G204" s="205" t="s">
        <v>531</v>
      </c>
      <c r="H204" s="205" t="s">
        <v>531</v>
      </c>
      <c r="I204" s="205">
        <v>511</v>
      </c>
    </row>
    <row r="205" spans="1:27" ht="13.15" customHeight="1">
      <c r="A205" s="239" t="s">
        <v>527</v>
      </c>
      <c r="B205" s="216">
        <v>3931</v>
      </c>
      <c r="C205" s="211">
        <v>3931</v>
      </c>
      <c r="D205" s="204">
        <v>8201</v>
      </c>
      <c r="E205" s="216">
        <v>0</v>
      </c>
      <c r="F205" s="204">
        <v>0</v>
      </c>
      <c r="G205" s="204">
        <v>0</v>
      </c>
      <c r="H205" s="202">
        <v>0</v>
      </c>
      <c r="I205" s="202">
        <v>41</v>
      </c>
    </row>
    <row r="206" spans="1:27" ht="13.15" customHeight="1">
      <c r="A206" s="239" t="s">
        <v>528</v>
      </c>
      <c r="B206" s="204">
        <v>2507</v>
      </c>
      <c r="C206" s="211">
        <v>2507</v>
      </c>
      <c r="D206" s="204">
        <v>4599</v>
      </c>
      <c r="E206" s="204">
        <v>0</v>
      </c>
      <c r="F206" s="204">
        <v>0</v>
      </c>
      <c r="G206" s="204">
        <v>0</v>
      </c>
      <c r="H206" s="202">
        <v>0</v>
      </c>
      <c r="I206" s="202">
        <v>121</v>
      </c>
    </row>
    <row r="207" spans="1:27" ht="13.15" customHeight="1">
      <c r="A207" s="239" t="s">
        <v>529</v>
      </c>
      <c r="B207" s="204">
        <v>3284</v>
      </c>
      <c r="C207" s="211">
        <v>3284</v>
      </c>
      <c r="D207" s="204">
        <v>6947</v>
      </c>
      <c r="E207" s="204">
        <v>0</v>
      </c>
      <c r="F207" s="204">
        <v>0</v>
      </c>
      <c r="G207" s="204">
        <v>0</v>
      </c>
      <c r="H207" s="202">
        <v>0</v>
      </c>
      <c r="I207" s="202">
        <v>78</v>
      </c>
    </row>
    <row r="208" spans="1:27" ht="13.15" customHeight="1">
      <c r="A208" s="239" t="s">
        <v>530</v>
      </c>
      <c r="B208" s="204">
        <v>5496</v>
      </c>
      <c r="C208" s="211">
        <v>5496</v>
      </c>
      <c r="D208" s="204">
        <v>13722</v>
      </c>
      <c r="E208" s="204">
        <v>0</v>
      </c>
      <c r="F208" s="204">
        <v>0</v>
      </c>
      <c r="G208" s="204">
        <v>0</v>
      </c>
      <c r="H208" s="202">
        <v>0</v>
      </c>
      <c r="I208" s="202">
        <v>271</v>
      </c>
    </row>
    <row r="209" spans="1:27" ht="13.15" customHeight="1">
      <c r="A209" s="282" t="s">
        <v>169</v>
      </c>
      <c r="B209" s="360">
        <f>B204+B199</f>
        <v>26445</v>
      </c>
      <c r="C209" s="360">
        <v>26445</v>
      </c>
      <c r="D209" s="360">
        <v>48659</v>
      </c>
      <c r="E209" s="360">
        <v>56228</v>
      </c>
      <c r="F209" s="360">
        <v>56228</v>
      </c>
      <c r="G209" s="360">
        <v>544744</v>
      </c>
      <c r="H209" s="360">
        <v>940133</v>
      </c>
      <c r="I209" s="360">
        <f>I204+I199</f>
        <v>1419</v>
      </c>
    </row>
    <row r="210" spans="1:27" ht="13.15" customHeight="1">
      <c r="A210" s="222"/>
      <c r="D210" s="220"/>
      <c r="I210" s="220"/>
    </row>
    <row r="211" spans="1:27" ht="13.15" customHeight="1">
      <c r="A211" s="222"/>
      <c r="D211" s="220"/>
    </row>
    <row r="212" spans="1:27" ht="13.15" customHeight="1">
      <c r="A212" s="221" t="s">
        <v>183</v>
      </c>
      <c r="D212" s="220"/>
      <c r="I212" s="221">
        <v>2002</v>
      </c>
      <c r="K212" s="221" t="str">
        <f>+A212</f>
        <v>Greece</v>
      </c>
      <c r="M212" s="220"/>
      <c r="S212" s="221">
        <v>2002</v>
      </c>
    </row>
    <row r="213" spans="1:27" ht="13.15" customHeight="1" thickBot="1">
      <c r="B213" s="223"/>
      <c r="C213" s="223"/>
      <c r="D213" s="223"/>
      <c r="E213" s="223"/>
      <c r="F213" s="223"/>
      <c r="G213" s="223"/>
      <c r="H213" s="223"/>
      <c r="I213" s="223"/>
    </row>
    <row r="214" spans="1:27" ht="13.15" customHeight="1">
      <c r="A214" s="224" t="s">
        <v>475</v>
      </c>
      <c r="B214" s="225" t="s">
        <v>476</v>
      </c>
      <c r="C214" s="225"/>
      <c r="D214" s="226"/>
      <c r="E214" s="393" t="s">
        <v>477</v>
      </c>
      <c r="F214" s="225"/>
      <c r="G214" s="394"/>
      <c r="H214" s="241" t="s">
        <v>138</v>
      </c>
      <c r="I214" s="241" t="s">
        <v>478</v>
      </c>
      <c r="J214" s="230"/>
      <c r="K214" s="231" t="s">
        <v>475</v>
      </c>
      <c r="L214" s="232" t="s">
        <v>479</v>
      </c>
      <c r="M214" s="233"/>
      <c r="N214" s="234"/>
      <c r="O214" s="235" t="s">
        <v>480</v>
      </c>
      <c r="P214" s="233"/>
      <c r="Q214" s="233"/>
      <c r="R214" s="236"/>
      <c r="S214" s="237"/>
      <c r="T214" s="238"/>
    </row>
    <row r="215" spans="1:27" ht="13.15" customHeight="1">
      <c r="A215" s="239"/>
      <c r="B215" s="240" t="s">
        <v>481</v>
      </c>
      <c r="C215" s="240"/>
      <c r="D215" s="241" t="s">
        <v>34</v>
      </c>
      <c r="E215" s="242" t="s">
        <v>482</v>
      </c>
      <c r="F215" s="243"/>
      <c r="G215" s="244" t="s">
        <v>34</v>
      </c>
      <c r="H215" s="241" t="s">
        <v>170</v>
      </c>
      <c r="I215" s="241" t="s">
        <v>483</v>
      </c>
      <c r="J215" s="230"/>
      <c r="K215" s="245"/>
      <c r="L215" s="246" t="s">
        <v>484</v>
      </c>
      <c r="M215" s="247"/>
      <c r="N215" s="248" t="s">
        <v>485</v>
      </c>
      <c r="O215" s="248" t="s">
        <v>486</v>
      </c>
      <c r="P215" s="248" t="s">
        <v>486</v>
      </c>
      <c r="Q215" s="247" t="s">
        <v>487</v>
      </c>
      <c r="R215" s="249"/>
      <c r="S215" s="250" t="s">
        <v>485</v>
      </c>
      <c r="T215" s="230"/>
      <c r="U215" s="214" t="str">
        <f>A212</f>
        <v>Greece</v>
      </c>
    </row>
    <row r="216" spans="1:27" ht="13.15" customHeight="1">
      <c r="A216" s="251" t="s">
        <v>488</v>
      </c>
      <c r="B216" s="252" t="s">
        <v>0</v>
      </c>
      <c r="C216" s="252" t="s">
        <v>489</v>
      </c>
      <c r="D216" s="252" t="s">
        <v>490</v>
      </c>
      <c r="E216" s="252" t="s">
        <v>491</v>
      </c>
      <c r="F216" s="252" t="s">
        <v>489</v>
      </c>
      <c r="G216" s="230" t="s">
        <v>490</v>
      </c>
      <c r="H216" s="248"/>
      <c r="I216" s="241" t="s">
        <v>492</v>
      </c>
      <c r="J216" s="230"/>
      <c r="K216" s="253" t="s">
        <v>488</v>
      </c>
      <c r="L216" s="254" t="s">
        <v>88</v>
      </c>
      <c r="M216" s="252" t="s">
        <v>34</v>
      </c>
      <c r="N216" s="252" t="s">
        <v>493</v>
      </c>
      <c r="O216" s="248" t="s">
        <v>494</v>
      </c>
      <c r="P216" s="248" t="s">
        <v>495</v>
      </c>
      <c r="Q216" s="230" t="s">
        <v>88</v>
      </c>
      <c r="R216" s="248" t="s">
        <v>34</v>
      </c>
      <c r="S216" s="255" t="s">
        <v>88</v>
      </c>
      <c r="T216" s="230"/>
      <c r="U216" s="214" t="s">
        <v>547</v>
      </c>
      <c r="V216" s="214">
        <f>G244/1000</f>
        <v>9.423</v>
      </c>
    </row>
    <row r="217" spans="1:27" ht="13.15" customHeight="1">
      <c r="A217" s="239"/>
      <c r="B217" s="252" t="s">
        <v>496</v>
      </c>
      <c r="C217" s="252" t="s">
        <v>496</v>
      </c>
      <c r="D217" s="252" t="s">
        <v>496</v>
      </c>
      <c r="E217" s="256" t="s">
        <v>473</v>
      </c>
      <c r="F217" s="256" t="s">
        <v>473</v>
      </c>
      <c r="G217" s="230" t="s">
        <v>451</v>
      </c>
      <c r="H217" s="257" t="s">
        <v>497</v>
      </c>
      <c r="I217" s="257" t="s">
        <v>498</v>
      </c>
      <c r="J217" s="230"/>
      <c r="K217" s="245"/>
      <c r="L217" s="258" t="s">
        <v>496</v>
      </c>
      <c r="M217" s="256" t="s">
        <v>496</v>
      </c>
      <c r="N217" s="256"/>
      <c r="O217" s="257" t="s">
        <v>79</v>
      </c>
      <c r="P217" s="257" t="s">
        <v>79</v>
      </c>
      <c r="Q217" s="259"/>
      <c r="R217" s="257"/>
      <c r="S217" s="260"/>
      <c r="T217" s="230"/>
      <c r="U217" s="214" t="s">
        <v>548</v>
      </c>
      <c r="V217" s="214">
        <f>G250/1000</f>
        <v>0</v>
      </c>
    </row>
    <row r="218" spans="1:27" ht="13.15" customHeight="1">
      <c r="A218" s="261" t="s">
        <v>262</v>
      </c>
      <c r="B218" s="365"/>
      <c r="C218" s="365"/>
      <c r="D218" s="365"/>
      <c r="E218" s="320"/>
      <c r="F218" s="320"/>
      <c r="G218" s="368"/>
      <c r="H218" s="369"/>
      <c r="I218" s="320"/>
      <c r="J218" s="230"/>
      <c r="K218" s="265" t="s">
        <v>262</v>
      </c>
      <c r="L218" s="266" t="e">
        <f>C218/I218</f>
        <v>#DIV/0!</v>
      </c>
      <c r="M218" s="267" t="e">
        <f>D218/I218</f>
        <v>#DIV/0!</v>
      </c>
      <c r="N218" s="267" t="e">
        <f>D218/C218</f>
        <v>#DIV/0!</v>
      </c>
      <c r="O218" s="239" t="e">
        <f>(F218*3.6+G218)*100/H218</f>
        <v>#DIV/0!</v>
      </c>
      <c r="P218" s="239" t="e">
        <f>(F218*3.6+G218)*100/H218</f>
        <v>#DIV/0!</v>
      </c>
      <c r="Q218" s="267" t="e">
        <f>F218/(C218*8760)*1000</f>
        <v>#DIV/0!</v>
      </c>
      <c r="R218" s="267" t="e">
        <f>G218/(D218*8761)*1000/3.6</f>
        <v>#DIV/0!</v>
      </c>
      <c r="S218" s="268" t="e">
        <f>G218/(F218*3.6)</f>
        <v>#DIV/0!</v>
      </c>
      <c r="T218" s="269"/>
      <c r="U218" s="214" t="s">
        <v>549</v>
      </c>
      <c r="V218" s="214">
        <f>G252/1000</f>
        <v>2.2709999999999999</v>
      </c>
      <c r="Z218" s="214">
        <f t="shared" ref="Z218:Z223" si="120">C218-B218</f>
        <v>0</v>
      </c>
      <c r="AA218" s="214">
        <f t="shared" ref="AA218:AA223" si="121">F218-E218</f>
        <v>0</v>
      </c>
    </row>
    <row r="219" spans="1:27" ht="13.15" customHeight="1">
      <c r="A219" s="239" t="s">
        <v>263</v>
      </c>
      <c r="B219" s="320">
        <v>54.38</v>
      </c>
      <c r="C219" s="320">
        <v>54.38</v>
      </c>
      <c r="D219" s="320">
        <v>271.18579968113465</v>
      </c>
      <c r="E219" s="320">
        <v>77.426820000000006</v>
      </c>
      <c r="F219" s="320">
        <v>77.426820000000006</v>
      </c>
      <c r="G219" s="321">
        <v>2966.93795</v>
      </c>
      <c r="H219" s="319">
        <v>4090.7772000000004</v>
      </c>
      <c r="I219" s="320">
        <v>11</v>
      </c>
      <c r="J219" s="230"/>
      <c r="K219" s="245" t="s">
        <v>263</v>
      </c>
      <c r="L219" s="266">
        <f>C219/I219</f>
        <v>4.9436363636363643</v>
      </c>
      <c r="M219" s="267">
        <f>D219/I219</f>
        <v>24.653254516466788</v>
      </c>
      <c r="N219" s="267">
        <f>D219/C219</f>
        <v>4.9868664891712884</v>
      </c>
      <c r="O219" s="239">
        <f>(F219*3.6+G219)*100/H219</f>
        <v>79.341268011369564</v>
      </c>
      <c r="P219" s="239">
        <f>(F219*3.6+G219)*100/H219</f>
        <v>79.341268011369564</v>
      </c>
      <c r="Q219" s="267">
        <f>F219/(C219*8760)*1000</f>
        <v>0.16253545572254102</v>
      </c>
      <c r="R219" s="267">
        <f>G219/(D219*8761)*1000/3.6</f>
        <v>0.34688485429996596</v>
      </c>
      <c r="S219" s="268">
        <f>G219/(F219*3.6)</f>
        <v>10.644237107446173</v>
      </c>
      <c r="T219" s="269"/>
      <c r="U219" s="214" t="s">
        <v>550</v>
      </c>
      <c r="V219" s="214">
        <f>G257/1000</f>
        <v>0</v>
      </c>
      <c r="Z219" s="214">
        <f t="shared" si="120"/>
        <v>0</v>
      </c>
      <c r="AA219" s="214">
        <f t="shared" si="121"/>
        <v>0</v>
      </c>
    </row>
    <row r="220" spans="1:27" ht="13.15" customHeight="1">
      <c r="A220" s="239" t="s">
        <v>499</v>
      </c>
      <c r="B220" s="320"/>
      <c r="C220" s="320"/>
      <c r="D220" s="320"/>
      <c r="E220" s="320"/>
      <c r="F220" s="320"/>
      <c r="G220" s="321"/>
      <c r="H220" s="319"/>
      <c r="I220" s="320"/>
      <c r="J220" s="230"/>
      <c r="K220" s="245" t="s">
        <v>499</v>
      </c>
      <c r="L220" s="266" t="e">
        <f>C220/I220</f>
        <v>#DIV/0!</v>
      </c>
      <c r="M220" s="267" t="e">
        <f>D220/I220</f>
        <v>#DIV/0!</v>
      </c>
      <c r="N220" s="267" t="e">
        <f>D220/C220</f>
        <v>#DIV/0!</v>
      </c>
      <c r="O220" s="239" t="e">
        <f>(F220*3.6+G220)*100/H220</f>
        <v>#DIV/0!</v>
      </c>
      <c r="P220" s="239" t="e">
        <f>(F220*3.6+G220)*100/H220</f>
        <v>#DIV/0!</v>
      </c>
      <c r="Q220" s="267" t="e">
        <f>F220/(C220*8760)*1000</f>
        <v>#DIV/0!</v>
      </c>
      <c r="R220" s="267" t="e">
        <f>G220/(D220*8761)*1000/3.6</f>
        <v>#DIV/0!</v>
      </c>
      <c r="S220" s="268" t="e">
        <f>G220/(F220*3.6)</f>
        <v>#DIV/0!</v>
      </c>
      <c r="T220" s="269"/>
      <c r="U220" s="214" t="s">
        <v>551</v>
      </c>
      <c r="V220" s="214">
        <f>G248/1000</f>
        <v>3.74</v>
      </c>
      <c r="Z220" s="214">
        <f t="shared" si="120"/>
        <v>0</v>
      </c>
      <c r="AA220" s="214">
        <f t="shared" si="121"/>
        <v>0</v>
      </c>
    </row>
    <row r="221" spans="1:27" ht="13.15" customHeight="1">
      <c r="A221" s="239" t="s">
        <v>265</v>
      </c>
      <c r="B221" s="320">
        <v>73.628999999999991</v>
      </c>
      <c r="C221" s="320">
        <v>73.628999999999991</v>
      </c>
      <c r="D221" s="320">
        <v>259.14444591654285</v>
      </c>
      <c r="E221" s="320">
        <v>427.25739999999996</v>
      </c>
      <c r="F221" s="320">
        <v>427.25739999999996</v>
      </c>
      <c r="G221" s="321">
        <v>2835.1981999999998</v>
      </c>
      <c r="H221" s="319">
        <v>5410.0508</v>
      </c>
      <c r="I221" s="320">
        <v>11</v>
      </c>
      <c r="J221" s="230"/>
      <c r="K221" s="245" t="s">
        <v>265</v>
      </c>
      <c r="L221" s="266">
        <f>C221/I221</f>
        <v>6.693545454545454</v>
      </c>
      <c r="M221" s="267">
        <f>D221/I221</f>
        <v>23.558585992412986</v>
      </c>
      <c r="N221" s="267">
        <f>D221/C221</f>
        <v>3.519597521581753</v>
      </c>
      <c r="O221" s="239">
        <f>(F221*3.6+G221)*100/H221</f>
        <v>80.837038350915293</v>
      </c>
      <c r="P221" s="239">
        <f>(F221*3.6+G221)*100/H221</f>
        <v>80.837038350915293</v>
      </c>
      <c r="Q221" s="267">
        <f>F221/(C221*8760)*1000</f>
        <v>0.66242480271478299</v>
      </c>
      <c r="R221" s="267">
        <f>G221/(D221*8761)*1000/3.6</f>
        <v>0.34688485429996596</v>
      </c>
      <c r="S221" s="268">
        <f>G221/(F221*3.6)</f>
        <v>1.8432800825814966</v>
      </c>
      <c r="T221" s="269"/>
      <c r="U221" s="214" t="s">
        <v>552</v>
      </c>
      <c r="V221" s="214">
        <f>(G245+G246+G247+G249+G251+G253+G254+G255+G256+G258+G259+G260+G261+G262)/1000</f>
        <v>3.4119999999999999</v>
      </c>
      <c r="Z221" s="214">
        <f t="shared" si="120"/>
        <v>0</v>
      </c>
      <c r="AA221" s="214">
        <f t="shared" si="121"/>
        <v>0</v>
      </c>
    </row>
    <row r="222" spans="1:27" ht="13.15" customHeight="1">
      <c r="A222" s="239" t="s">
        <v>266</v>
      </c>
      <c r="B222" s="320"/>
      <c r="C222" s="320"/>
      <c r="D222" s="320"/>
      <c r="E222" s="320"/>
      <c r="F222" s="320"/>
      <c r="G222" s="321"/>
      <c r="H222" s="319"/>
      <c r="I222" s="320"/>
      <c r="J222" s="230"/>
      <c r="K222" s="245" t="s">
        <v>266</v>
      </c>
      <c r="L222" s="266" t="e">
        <f>C222/I222</f>
        <v>#DIV/0!</v>
      </c>
      <c r="M222" s="267" t="e">
        <f>D222/I222</f>
        <v>#DIV/0!</v>
      </c>
      <c r="N222" s="267" t="e">
        <f>D222/C222</f>
        <v>#DIV/0!</v>
      </c>
      <c r="O222" s="239" t="e">
        <f>(F222*3.6+G222)*100/H222</f>
        <v>#DIV/0!</v>
      </c>
      <c r="P222" s="239" t="e">
        <f>(F222*3.6+G222)*100/H222</f>
        <v>#DIV/0!</v>
      </c>
      <c r="Q222" s="267" t="e">
        <f>F222/(C222*8760)*1000</f>
        <v>#DIV/0!</v>
      </c>
      <c r="R222" s="267" t="e">
        <f>G222/(D222*8761)*1000/3.6</f>
        <v>#DIV/0!</v>
      </c>
      <c r="S222" s="268" t="e">
        <f>G222/(F222*3.6)</f>
        <v>#DIV/0!</v>
      </c>
      <c r="T222" s="269"/>
      <c r="Z222" s="214">
        <f t="shared" si="120"/>
        <v>0</v>
      </c>
      <c r="AA222" s="214">
        <f t="shared" si="121"/>
        <v>0</v>
      </c>
    </row>
    <row r="223" spans="1:27" ht="13.15" customHeight="1">
      <c r="A223" s="272" t="s">
        <v>267</v>
      </c>
      <c r="B223" s="395"/>
      <c r="C223" s="395"/>
      <c r="D223" s="395"/>
      <c r="E223" s="320"/>
      <c r="F223" s="319"/>
      <c r="G223" s="396"/>
      <c r="H223" s="397"/>
      <c r="I223" s="395"/>
      <c r="J223" s="230"/>
      <c r="K223" s="245" t="s">
        <v>267</v>
      </c>
      <c r="L223" s="266"/>
      <c r="M223" s="267"/>
      <c r="N223" s="267"/>
      <c r="O223" s="239"/>
      <c r="P223" s="272"/>
      <c r="Q223" s="272"/>
      <c r="R223" s="274"/>
      <c r="S223" s="275"/>
      <c r="T223" s="269"/>
      <c r="U223" s="214" t="s">
        <v>553</v>
      </c>
      <c r="V223" s="214">
        <f>H244/1000</f>
        <v>18.462799999999998</v>
      </c>
      <c r="Z223" s="214">
        <f t="shared" si="120"/>
        <v>0</v>
      </c>
      <c r="AA223" s="214">
        <f t="shared" si="121"/>
        <v>0</v>
      </c>
    </row>
    <row r="224" spans="1:27" ht="13.15" customHeight="1">
      <c r="A224" s="276" t="s">
        <v>500</v>
      </c>
      <c r="B224" s="277">
        <f t="shared" ref="B224:I224" si="122">SUM(B218:B223)</f>
        <v>128.00899999999999</v>
      </c>
      <c r="C224" s="277">
        <f t="shared" si="122"/>
        <v>128.00899999999999</v>
      </c>
      <c r="D224" s="277">
        <f t="shared" si="122"/>
        <v>530.3302455976775</v>
      </c>
      <c r="E224" s="277">
        <f t="shared" si="122"/>
        <v>504.68421999999998</v>
      </c>
      <c r="F224" s="277">
        <f t="shared" si="122"/>
        <v>504.68421999999998</v>
      </c>
      <c r="G224" s="277">
        <f t="shared" si="122"/>
        <v>5802.1361500000003</v>
      </c>
      <c r="H224" s="277">
        <f t="shared" si="122"/>
        <v>9500.8280000000013</v>
      </c>
      <c r="I224" s="278">
        <f t="shared" si="122"/>
        <v>22</v>
      </c>
      <c r="J224" s="244"/>
      <c r="K224" s="279" t="s">
        <v>169</v>
      </c>
      <c r="L224" s="280">
        <f>C224/I224</f>
        <v>5.8185909090909087</v>
      </c>
      <c r="M224" s="281">
        <f>D224/I224</f>
        <v>24.105920254439887</v>
      </c>
      <c r="N224" s="281">
        <f>D224/C224</f>
        <v>4.1429137451091531</v>
      </c>
      <c r="O224" s="282">
        <f>(F224*3.6+G224)*100/H224</f>
        <v>80.193003620316034</v>
      </c>
      <c r="P224" s="282">
        <f>(F224*3.6+G224)*100/H224</f>
        <v>80.193003620316034</v>
      </c>
      <c r="Q224" s="283">
        <f>F224/(C224*8760)*1000</f>
        <v>0.45006486951135111</v>
      </c>
      <c r="R224" s="283">
        <f>G224/(D224*8761)*1000/3.6</f>
        <v>0.34688485429996596</v>
      </c>
      <c r="S224" s="284">
        <f>G224/(F224*3.6)</f>
        <v>3.1934909439235315</v>
      </c>
      <c r="U224" s="214" t="s">
        <v>554</v>
      </c>
      <c r="V224" s="214">
        <f>H250/1000</f>
        <v>0</v>
      </c>
    </row>
    <row r="225" spans="1:27" ht="13.15" customHeight="1">
      <c r="A225" s="285" t="s">
        <v>501</v>
      </c>
      <c r="B225" s="228" t="s">
        <v>476</v>
      </c>
      <c r="C225" s="228"/>
      <c r="D225" s="286"/>
      <c r="E225" s="227" t="s">
        <v>477</v>
      </c>
      <c r="F225" s="228"/>
      <c r="G225" s="229"/>
      <c r="H225" s="200" t="s">
        <v>138</v>
      </c>
      <c r="I225" s="200" t="s">
        <v>478</v>
      </c>
      <c r="J225" s="244"/>
      <c r="K225" s="287" t="s">
        <v>501</v>
      </c>
      <c r="L225" s="288" t="s">
        <v>479</v>
      </c>
      <c r="M225" s="228"/>
      <c r="N225" s="286"/>
      <c r="O225" s="227" t="s">
        <v>480</v>
      </c>
      <c r="P225" s="228"/>
      <c r="Q225" s="228"/>
      <c r="R225" s="229"/>
      <c r="S225" s="289"/>
      <c r="T225" s="269"/>
      <c r="U225" s="214" t="s">
        <v>555</v>
      </c>
      <c r="V225" s="214">
        <f>H252/1000</f>
        <v>3.5644</v>
      </c>
    </row>
    <row r="226" spans="1:27" ht="13.15" customHeight="1">
      <c r="A226" s="239"/>
      <c r="B226" s="240" t="s">
        <v>481</v>
      </c>
      <c r="C226" s="240"/>
      <c r="D226" s="241" t="s">
        <v>34</v>
      </c>
      <c r="E226" s="242" t="s">
        <v>482</v>
      </c>
      <c r="F226" s="243"/>
      <c r="G226" s="244" t="s">
        <v>34</v>
      </c>
      <c r="H226" s="241" t="s">
        <v>170</v>
      </c>
      <c r="I226" s="241" t="s">
        <v>483</v>
      </c>
      <c r="J226" s="244"/>
      <c r="K226" s="245"/>
      <c r="L226" s="246" t="s">
        <v>484</v>
      </c>
      <c r="M226" s="247"/>
      <c r="N226" s="248" t="s">
        <v>485</v>
      </c>
      <c r="O226" s="248" t="s">
        <v>486</v>
      </c>
      <c r="P226" s="248" t="s">
        <v>486</v>
      </c>
      <c r="Q226" s="247" t="s">
        <v>487</v>
      </c>
      <c r="R226" s="249"/>
      <c r="S226" s="250" t="s">
        <v>485</v>
      </c>
      <c r="T226" s="269"/>
      <c r="U226" s="214" t="s">
        <v>556</v>
      </c>
      <c r="V226" s="214">
        <f>H257/1000</f>
        <v>0</v>
      </c>
    </row>
    <row r="227" spans="1:27" ht="13.15" customHeight="1">
      <c r="A227" s="251" t="s">
        <v>488</v>
      </c>
      <c r="B227" s="252" t="s">
        <v>0</v>
      </c>
      <c r="C227" s="252" t="s">
        <v>489</v>
      </c>
      <c r="D227" s="252" t="s">
        <v>490</v>
      </c>
      <c r="E227" s="252" t="s">
        <v>491</v>
      </c>
      <c r="F227" s="252" t="s">
        <v>489</v>
      </c>
      <c r="G227" s="230" t="s">
        <v>490</v>
      </c>
      <c r="H227" s="248"/>
      <c r="I227" s="241" t="s">
        <v>492</v>
      </c>
      <c r="J227" s="244"/>
      <c r="K227" s="253" t="s">
        <v>488</v>
      </c>
      <c r="L227" s="254" t="s">
        <v>88</v>
      </c>
      <c r="M227" s="252" t="s">
        <v>34</v>
      </c>
      <c r="N227" s="252" t="s">
        <v>493</v>
      </c>
      <c r="O227" s="248" t="s">
        <v>494</v>
      </c>
      <c r="P227" s="248" t="s">
        <v>495</v>
      </c>
      <c r="Q227" s="230" t="s">
        <v>88</v>
      </c>
      <c r="R227" s="248" t="s">
        <v>34</v>
      </c>
      <c r="S227" s="255" t="s">
        <v>88</v>
      </c>
      <c r="T227" s="269"/>
      <c r="U227" s="214" t="s">
        <v>557</v>
      </c>
      <c r="V227" s="214">
        <f>H248/1000</f>
        <v>8.5884</v>
      </c>
    </row>
    <row r="228" spans="1:27" ht="13.15" customHeight="1">
      <c r="A228" s="239"/>
      <c r="B228" s="252" t="s">
        <v>496</v>
      </c>
      <c r="C228" s="252" t="s">
        <v>496</v>
      </c>
      <c r="D228" s="252" t="s">
        <v>496</v>
      </c>
      <c r="E228" s="256" t="s">
        <v>473</v>
      </c>
      <c r="F228" s="256" t="s">
        <v>473</v>
      </c>
      <c r="G228" s="230" t="s">
        <v>451</v>
      </c>
      <c r="H228" s="257" t="s">
        <v>497</v>
      </c>
      <c r="I228" s="257" t="s">
        <v>498</v>
      </c>
      <c r="J228" s="244"/>
      <c r="K228" s="245"/>
      <c r="L228" s="258" t="s">
        <v>496</v>
      </c>
      <c r="M228" s="256" t="s">
        <v>496</v>
      </c>
      <c r="N228" s="256"/>
      <c r="O228" s="257" t="s">
        <v>79</v>
      </c>
      <c r="P228" s="257" t="s">
        <v>79</v>
      </c>
      <c r="Q228" s="259"/>
      <c r="R228" s="257"/>
      <c r="S228" s="260"/>
      <c r="T228" s="269"/>
      <c r="U228" s="214" t="s">
        <v>558</v>
      </c>
      <c r="V228" s="214">
        <f>(H245+H246+H247+H249+H251+H253+H254+H255+H256+H258+H259+H260+H261+H262)/1000</f>
        <v>6.31</v>
      </c>
    </row>
    <row r="229" spans="1:27" ht="13.15" customHeight="1">
      <c r="A229" s="261" t="s">
        <v>262</v>
      </c>
      <c r="B229" s="365"/>
      <c r="C229" s="365"/>
      <c r="D229" s="365"/>
      <c r="E229" s="320"/>
      <c r="F229" s="319"/>
      <c r="G229" s="368"/>
      <c r="H229" s="369"/>
      <c r="I229" s="320"/>
      <c r="J229" s="244"/>
      <c r="K229" s="265" t="s">
        <v>262</v>
      </c>
      <c r="L229" s="266" t="e">
        <f>B229/I229</f>
        <v>#DIV/0!</v>
      </c>
      <c r="M229" s="267" t="e">
        <f>D229/I229</f>
        <v>#DIV/0!</v>
      </c>
      <c r="N229" s="267" t="e">
        <f>D229/B229</f>
        <v>#DIV/0!</v>
      </c>
      <c r="O229" s="239" t="e">
        <f>(F229*3.6+G229)*100/H229</f>
        <v>#DIV/0!</v>
      </c>
      <c r="P229" s="267" t="e">
        <f>(E229*3.6+G229)*100/H229</f>
        <v>#DIV/0!</v>
      </c>
      <c r="Q229" s="267" t="e">
        <f>E229/(B229*8760)*1000</f>
        <v>#DIV/0!</v>
      </c>
      <c r="R229" s="267" t="e">
        <f>G229/(D229*8761)*1000/3.6</f>
        <v>#DIV/0!</v>
      </c>
      <c r="S229" s="268" t="e">
        <f>G229/(E229*3.6)</f>
        <v>#DIV/0!</v>
      </c>
      <c r="T229" s="269"/>
      <c r="Z229" s="214">
        <f t="shared" ref="Z229:Z236" si="123">C229-B229</f>
        <v>0</v>
      </c>
      <c r="AA229" s="214">
        <f t="shared" ref="AA229:AA236" si="124">F229-E229</f>
        <v>0</v>
      </c>
    </row>
    <row r="230" spans="1:27" ht="13.15" customHeight="1">
      <c r="A230" s="239" t="s">
        <v>263</v>
      </c>
      <c r="B230" s="320">
        <v>46.417999999999992</v>
      </c>
      <c r="C230" s="320">
        <v>46.417999999999992</v>
      </c>
      <c r="D230" s="320">
        <v>205.50259522426896</v>
      </c>
      <c r="E230" s="320">
        <v>152.98732000000001</v>
      </c>
      <c r="F230" s="319">
        <v>153</v>
      </c>
      <c r="G230" s="321">
        <v>2248.323656</v>
      </c>
      <c r="H230" s="319">
        <v>4682.8388332599998</v>
      </c>
      <c r="I230" s="320">
        <v>9</v>
      </c>
      <c r="J230" s="244"/>
      <c r="K230" s="245" t="s">
        <v>263</v>
      </c>
      <c r="L230" s="266">
        <f>B230/I230</f>
        <v>5.1575555555555548</v>
      </c>
      <c r="M230" s="267">
        <f>D230/I230</f>
        <v>22.833621691585439</v>
      </c>
      <c r="N230" s="267">
        <f>D230/B230</f>
        <v>4.4272177867264642</v>
      </c>
      <c r="O230" s="239">
        <f>(F230*3.6+G230)*100/H230</f>
        <v>59.774076274398823</v>
      </c>
      <c r="P230" s="267">
        <f>(E230*3.6+G230)*100/H230</f>
        <v>59.773101481081653</v>
      </c>
      <c r="Q230" s="267">
        <f>E230/(B230*8760)*1000</f>
        <v>0.37623994864218757</v>
      </c>
      <c r="R230" s="267">
        <f>G230/(D230*8761)*1000/3.6</f>
        <v>0.34688485429996596</v>
      </c>
      <c r="S230" s="268">
        <f>G230/(E230*3.6)</f>
        <v>4.0822621697594865</v>
      </c>
      <c r="T230" s="269"/>
      <c r="U230" s="239" t="s">
        <v>152</v>
      </c>
      <c r="V230" s="492">
        <f>B245/1000</f>
        <v>0</v>
      </c>
      <c r="Z230" s="214">
        <f t="shared" si="123"/>
        <v>0</v>
      </c>
      <c r="AA230" s="214">
        <f t="shared" si="124"/>
        <v>1.2679999999988922E-2</v>
      </c>
    </row>
    <row r="231" spans="1:27" ht="13.15" customHeight="1">
      <c r="A231" s="239" t="s">
        <v>499</v>
      </c>
      <c r="B231" s="320"/>
      <c r="C231" s="320"/>
      <c r="D231" s="320"/>
      <c r="E231" s="320"/>
      <c r="F231" s="319"/>
      <c r="G231" s="321"/>
      <c r="H231" s="319"/>
      <c r="I231" s="320"/>
      <c r="J231" s="244"/>
      <c r="K231" s="245" t="s">
        <v>499</v>
      </c>
      <c r="L231" s="266" t="e">
        <f>B231/I231</f>
        <v>#DIV/0!</v>
      </c>
      <c r="M231" s="267" t="e">
        <f>D231/I231</f>
        <v>#DIV/0!</v>
      </c>
      <c r="N231" s="267" t="e">
        <f>D231/B231</f>
        <v>#DIV/0!</v>
      </c>
      <c r="O231" s="239" t="e">
        <f>(F231*3.6+G231)*100/H231</f>
        <v>#DIV/0!</v>
      </c>
      <c r="P231" s="267" t="e">
        <f>(E231*3.6+G231)*100/H231</f>
        <v>#DIV/0!</v>
      </c>
      <c r="Q231" s="267" t="e">
        <f>E231/(B231*8760)*1000</f>
        <v>#DIV/0!</v>
      </c>
      <c r="R231" s="267" t="e">
        <f>G231/(D231*8761)*1000/3.6</f>
        <v>#DIV/0!</v>
      </c>
      <c r="S231" s="268" t="e">
        <f>G231/(E231*3.6)</f>
        <v>#DIV/0!</v>
      </c>
      <c r="T231" s="269"/>
      <c r="U231" s="239" t="s">
        <v>504</v>
      </c>
      <c r="V231" s="492">
        <f t="shared" ref="V231:V247" si="125">B246/1000</f>
        <v>0</v>
      </c>
      <c r="Z231" s="214">
        <f t="shared" si="123"/>
        <v>0</v>
      </c>
      <c r="AA231" s="214">
        <f t="shared" si="124"/>
        <v>0</v>
      </c>
    </row>
    <row r="232" spans="1:27" ht="13.15" customHeight="1">
      <c r="A232" s="239" t="s">
        <v>265</v>
      </c>
      <c r="B232" s="320">
        <v>59.86</v>
      </c>
      <c r="C232" s="320">
        <v>60</v>
      </c>
      <c r="D232" s="320">
        <v>125.46715917805345</v>
      </c>
      <c r="E232" s="320">
        <v>398.96598</v>
      </c>
      <c r="F232" s="319">
        <v>399</v>
      </c>
      <c r="G232" s="321">
        <v>1372.6871999999998</v>
      </c>
      <c r="H232" s="319">
        <v>4278.9225919999999</v>
      </c>
      <c r="I232" s="320">
        <v>8</v>
      </c>
      <c r="J232" s="244"/>
      <c r="K232" s="245" t="s">
        <v>265</v>
      </c>
      <c r="L232" s="266">
        <f>B232/I232</f>
        <v>7.4824999999999999</v>
      </c>
      <c r="M232" s="267">
        <f>D232/I232</f>
        <v>15.683394897256681</v>
      </c>
      <c r="N232" s="267">
        <f>D232/B232</f>
        <v>2.0960100096567564</v>
      </c>
      <c r="O232" s="239">
        <f>(F232*3.6+G232)*100/H232</f>
        <v>65.649404484482901</v>
      </c>
      <c r="P232" s="267">
        <f>(E232*3.6+G232)*100/H232</f>
        <v>65.646542268647792</v>
      </c>
      <c r="Q232" s="267">
        <f>E232/(B232*8760)*1000</f>
        <v>0.7608429943841567</v>
      </c>
      <c r="R232" s="267">
        <f>G232/(D232*8761)*1000/3.6</f>
        <v>0.34688485429996596</v>
      </c>
      <c r="S232" s="268">
        <f>G232/(E232*3.6)</f>
        <v>0.95572559845829441</v>
      </c>
      <c r="T232" s="269"/>
      <c r="U232" s="239" t="s">
        <v>505</v>
      </c>
      <c r="V232" s="492">
        <f t="shared" si="125"/>
        <v>0</v>
      </c>
      <c r="Z232" s="214">
        <f t="shared" si="123"/>
        <v>0.14000000000000057</v>
      </c>
      <c r="AA232" s="214">
        <f t="shared" si="124"/>
        <v>3.4019999999998163E-2</v>
      </c>
    </row>
    <row r="233" spans="1:27" ht="13.15" customHeight="1">
      <c r="A233" s="239" t="s">
        <v>266</v>
      </c>
      <c r="B233" s="320"/>
      <c r="C233" s="320"/>
      <c r="D233" s="320"/>
      <c r="E233" s="320"/>
      <c r="F233" s="319"/>
      <c r="G233" s="321"/>
      <c r="H233" s="319"/>
      <c r="I233" s="320"/>
      <c r="J233" s="244"/>
      <c r="K233" s="245" t="s">
        <v>266</v>
      </c>
      <c r="L233" s="266" t="e">
        <f>B233/I233</f>
        <v>#DIV/0!</v>
      </c>
      <c r="M233" s="267" t="e">
        <f>D233/I233</f>
        <v>#DIV/0!</v>
      </c>
      <c r="N233" s="267" t="e">
        <f>D233/B233</f>
        <v>#DIV/0!</v>
      </c>
      <c r="O233" s="239" t="e">
        <f>(F233*3.6+G233)*100/H233</f>
        <v>#DIV/0!</v>
      </c>
      <c r="P233" s="267" t="e">
        <f>(E233*3.6+G233)*100/H233</f>
        <v>#DIV/0!</v>
      </c>
      <c r="Q233" s="267" t="e">
        <f>E233/(B233*8760)*1000</f>
        <v>#DIV/0!</v>
      </c>
      <c r="R233" s="267" t="e">
        <f>G233/(D233*8761)*1000/3.6</f>
        <v>#DIV/0!</v>
      </c>
      <c r="S233" s="268" t="e">
        <f>G233/(E233*3.6)</f>
        <v>#DIV/0!</v>
      </c>
      <c r="T233" s="269"/>
      <c r="U233" s="239" t="s">
        <v>506</v>
      </c>
      <c r="V233" s="492">
        <f t="shared" si="125"/>
        <v>0.11559999999999999</v>
      </c>
      <c r="Z233" s="214">
        <f t="shared" si="123"/>
        <v>0</v>
      </c>
      <c r="AA233" s="214">
        <f t="shared" si="124"/>
        <v>0</v>
      </c>
    </row>
    <row r="234" spans="1:27" ht="13.15" customHeight="1">
      <c r="A234" s="272" t="s">
        <v>267</v>
      </c>
      <c r="B234" s="395"/>
      <c r="C234" s="395"/>
      <c r="D234" s="395"/>
      <c r="E234" s="320"/>
      <c r="F234" s="319"/>
      <c r="G234" s="396"/>
      <c r="H234" s="397"/>
      <c r="I234" s="395"/>
      <c r="J234" s="244"/>
      <c r="K234" s="245" t="s">
        <v>267</v>
      </c>
      <c r="L234" s="266"/>
      <c r="M234" s="267"/>
      <c r="N234" s="267"/>
      <c r="O234" s="239"/>
      <c r="P234" s="267"/>
      <c r="Q234" s="272"/>
      <c r="R234" s="274"/>
      <c r="S234" s="275"/>
      <c r="T234" s="269"/>
      <c r="U234" s="239" t="s">
        <v>507</v>
      </c>
      <c r="V234" s="492">
        <f t="shared" si="125"/>
        <v>0</v>
      </c>
      <c r="Z234" s="214">
        <f t="shared" si="123"/>
        <v>0</v>
      </c>
      <c r="AA234" s="214">
        <f t="shared" si="124"/>
        <v>0</v>
      </c>
    </row>
    <row r="235" spans="1:27" ht="13.15" customHeight="1">
      <c r="A235" s="276" t="s">
        <v>500</v>
      </c>
      <c r="B235" s="291">
        <f t="shared" ref="B235:I235" si="126">SUM(B229:B234)</f>
        <v>106.27799999999999</v>
      </c>
      <c r="C235" s="291">
        <f t="shared" si="126"/>
        <v>106.41799999999999</v>
      </c>
      <c r="D235" s="291">
        <f t="shared" si="126"/>
        <v>330.96975440232239</v>
      </c>
      <c r="E235" s="291">
        <f t="shared" si="126"/>
        <v>551.95330000000001</v>
      </c>
      <c r="F235" s="291">
        <f t="shared" si="126"/>
        <v>552</v>
      </c>
      <c r="G235" s="292">
        <f t="shared" si="126"/>
        <v>3621.0108559999999</v>
      </c>
      <c r="H235" s="291">
        <f t="shared" si="126"/>
        <v>8961.7614252599997</v>
      </c>
      <c r="I235" s="293">
        <f t="shared" si="126"/>
        <v>17</v>
      </c>
      <c r="J235" s="244"/>
      <c r="K235" s="279" t="s">
        <v>169</v>
      </c>
      <c r="L235" s="280">
        <f>B235/I235</f>
        <v>6.2516470588235293</v>
      </c>
      <c r="M235" s="281">
        <f>D235/I235</f>
        <v>19.468809082489553</v>
      </c>
      <c r="N235" s="281">
        <f>D235/B235</f>
        <v>3.1141887728628919</v>
      </c>
      <c r="O235" s="294">
        <f>(F235*3.6+G235)*100/H235</f>
        <v>62.579336693704654</v>
      </c>
      <c r="P235" s="295">
        <f>(E235*3.6+G235)*100/H235</f>
        <v>62.577460723211544</v>
      </c>
      <c r="Q235" s="283">
        <f>E235/(B235*8760)*1000</f>
        <v>0.5928636931435356</v>
      </c>
      <c r="R235" s="283">
        <f>G235/(D235*8761)*1000/3.6</f>
        <v>0.34688485429996591</v>
      </c>
      <c r="S235" s="284">
        <f>G235/(E235*3.6)</f>
        <v>1.8223214697491417</v>
      </c>
      <c r="U235" s="239" t="s">
        <v>156</v>
      </c>
      <c r="V235" s="492">
        <f t="shared" si="125"/>
        <v>0</v>
      </c>
      <c r="Z235" s="214">
        <f t="shared" si="123"/>
        <v>0.14000000000000057</v>
      </c>
      <c r="AA235" s="214">
        <f t="shared" si="124"/>
        <v>4.6699999999987085E-2</v>
      </c>
    </row>
    <row r="236" spans="1:27" ht="13.15" customHeight="1" thickBot="1">
      <c r="A236" s="296" t="s">
        <v>502</v>
      </c>
      <c r="B236" s="297">
        <f t="shared" ref="B236:I236" si="127">B224+B235</f>
        <v>234.28699999999998</v>
      </c>
      <c r="C236" s="297">
        <f>C235+B224</f>
        <v>234.42699999999996</v>
      </c>
      <c r="D236" s="297">
        <f t="shared" si="127"/>
        <v>861.3</v>
      </c>
      <c r="E236" s="297">
        <f t="shared" si="127"/>
        <v>1056.63752</v>
      </c>
      <c r="F236" s="297">
        <f>F235+E224</f>
        <v>1056.6842200000001</v>
      </c>
      <c r="G236" s="297">
        <f t="shared" si="127"/>
        <v>9423.1470059999992</v>
      </c>
      <c r="H236" s="297">
        <f t="shared" si="127"/>
        <v>18462.589425260001</v>
      </c>
      <c r="I236" s="298">
        <f t="shared" si="127"/>
        <v>39</v>
      </c>
      <c r="J236" s="244"/>
      <c r="K236" s="296" t="s">
        <v>502</v>
      </c>
      <c r="L236" s="299">
        <f>B236/I236</f>
        <v>6.0073589743589739</v>
      </c>
      <c r="M236" s="300">
        <f>D236/I236</f>
        <v>22.084615384615383</v>
      </c>
      <c r="N236" s="300">
        <f>D236/B236</f>
        <v>3.6762603132055984</v>
      </c>
      <c r="O236" s="301">
        <f>(F236*3.6+G236)*100/H236</f>
        <v>71.643310119342743</v>
      </c>
      <c r="P236" s="301">
        <f>(E236*3.6+G236)*100/H236</f>
        <v>71.642399521180536</v>
      </c>
      <c r="Q236" s="301">
        <f>E236/(B236*8760)*1000</f>
        <v>0.51484171747125207</v>
      </c>
      <c r="R236" s="301">
        <f>G236/(D236*8761)*1000/3.6</f>
        <v>0.34688485429996591</v>
      </c>
      <c r="S236" s="302">
        <f>G236/(E236*3.6)</f>
        <v>2.4772363137360478</v>
      </c>
      <c r="T236" s="269"/>
      <c r="U236" s="239" t="s">
        <v>508</v>
      </c>
      <c r="V236" s="492">
        <f t="shared" si="125"/>
        <v>1.427E-2</v>
      </c>
      <c r="Z236" s="214">
        <f t="shared" si="123"/>
        <v>0.13999999999998636</v>
      </c>
      <c r="AA236" s="214">
        <f t="shared" si="124"/>
        <v>4.6700000000100772E-2</v>
      </c>
    </row>
    <row r="237" spans="1:27" ht="13.15" customHeight="1">
      <c r="A237" s="208" t="s">
        <v>532</v>
      </c>
      <c r="U237" s="239" t="s">
        <v>509</v>
      </c>
      <c r="V237" s="492">
        <f t="shared" si="125"/>
        <v>3.0289999999999997E-2</v>
      </c>
    </row>
    <row r="238" spans="1:27" ht="13.15" customHeight="1">
      <c r="A238" s="251" t="s">
        <v>139</v>
      </c>
      <c r="B238" s="227" t="s">
        <v>476</v>
      </c>
      <c r="C238" s="228"/>
      <c r="D238" s="286"/>
      <c r="E238" s="227" t="s">
        <v>477</v>
      </c>
      <c r="F238" s="228"/>
      <c r="G238" s="229"/>
      <c r="H238" s="200" t="s">
        <v>138</v>
      </c>
      <c r="I238" s="200" t="s">
        <v>478</v>
      </c>
      <c r="J238" s="230"/>
      <c r="K238" s="303" t="s">
        <v>503</v>
      </c>
      <c r="L238" s="227" t="s">
        <v>479</v>
      </c>
      <c r="M238" s="228"/>
      <c r="N238" s="286"/>
      <c r="O238" s="227" t="s">
        <v>480</v>
      </c>
      <c r="P238" s="228"/>
      <c r="Q238" s="228"/>
      <c r="R238" s="229"/>
      <c r="S238" s="286"/>
      <c r="T238" s="304"/>
      <c r="U238" s="239" t="s">
        <v>510</v>
      </c>
      <c r="V238" s="492">
        <f t="shared" si="125"/>
        <v>1.1000000000000001E-3</v>
      </c>
    </row>
    <row r="239" spans="1:27" ht="13.15" customHeight="1">
      <c r="A239" s="239"/>
      <c r="B239" s="240" t="s">
        <v>9</v>
      </c>
      <c r="C239" s="240"/>
      <c r="D239" s="241" t="s">
        <v>34</v>
      </c>
      <c r="E239" s="242" t="s">
        <v>88</v>
      </c>
      <c r="F239" s="243"/>
      <c r="G239" s="244" t="s">
        <v>34</v>
      </c>
      <c r="H239" s="241" t="s">
        <v>170</v>
      </c>
      <c r="I239" s="241" t="s">
        <v>483</v>
      </c>
      <c r="J239" s="230"/>
      <c r="K239" s="305"/>
      <c r="L239" s="306" t="s">
        <v>484</v>
      </c>
      <c r="M239" s="247"/>
      <c r="N239" s="248" t="s">
        <v>485</v>
      </c>
      <c r="O239" s="248" t="s">
        <v>486</v>
      </c>
      <c r="P239" s="248" t="s">
        <v>486</v>
      </c>
      <c r="Q239" s="247" t="s">
        <v>487</v>
      </c>
      <c r="R239" s="249"/>
      <c r="S239" s="307" t="s">
        <v>485</v>
      </c>
      <c r="T239" s="230"/>
      <c r="U239" s="239" t="s">
        <v>511</v>
      </c>
      <c r="V239" s="492">
        <f t="shared" si="125"/>
        <v>0</v>
      </c>
    </row>
    <row r="240" spans="1:27" ht="13.15" customHeight="1">
      <c r="A240" s="239"/>
      <c r="B240" s="252" t="s">
        <v>0</v>
      </c>
      <c r="C240" s="252" t="s">
        <v>489</v>
      </c>
      <c r="D240" s="252" t="s">
        <v>490</v>
      </c>
      <c r="E240" s="252" t="s">
        <v>491</v>
      </c>
      <c r="F240" s="252" t="s">
        <v>489</v>
      </c>
      <c r="G240" s="230" t="s">
        <v>490</v>
      </c>
      <c r="H240" s="248"/>
      <c r="I240" s="241" t="s">
        <v>492</v>
      </c>
      <c r="J240" s="230"/>
      <c r="K240" s="305"/>
      <c r="L240" s="248" t="s">
        <v>88</v>
      </c>
      <c r="M240" s="252" t="s">
        <v>34</v>
      </c>
      <c r="N240" s="252" t="s">
        <v>493</v>
      </c>
      <c r="O240" s="248" t="s">
        <v>494</v>
      </c>
      <c r="P240" s="248" t="s">
        <v>495</v>
      </c>
      <c r="Q240" s="230" t="s">
        <v>88</v>
      </c>
      <c r="R240" s="248" t="s">
        <v>34</v>
      </c>
      <c r="S240" s="252" t="s">
        <v>88</v>
      </c>
      <c r="T240" s="230"/>
      <c r="U240" s="239" t="s">
        <v>512</v>
      </c>
      <c r="V240" s="492">
        <f t="shared" si="125"/>
        <v>5.3800000000000001E-2</v>
      </c>
    </row>
    <row r="241" spans="1:27" ht="13.15" customHeight="1">
      <c r="A241" s="239"/>
      <c r="B241" s="257" t="s">
        <v>496</v>
      </c>
      <c r="C241" s="256" t="s">
        <v>496</v>
      </c>
      <c r="D241" s="256" t="s">
        <v>496</v>
      </c>
      <c r="E241" s="256" t="s">
        <v>473</v>
      </c>
      <c r="F241" s="256" t="s">
        <v>473</v>
      </c>
      <c r="G241" s="257" t="s">
        <v>451</v>
      </c>
      <c r="H241" s="257" t="s">
        <v>497</v>
      </c>
      <c r="I241" s="257" t="s">
        <v>498</v>
      </c>
      <c r="J241" s="230"/>
      <c r="K241" s="305"/>
      <c r="L241" s="257" t="s">
        <v>496</v>
      </c>
      <c r="M241" s="256" t="s">
        <v>496</v>
      </c>
      <c r="N241" s="256"/>
      <c r="O241" s="257" t="s">
        <v>79</v>
      </c>
      <c r="P241" s="257" t="s">
        <v>79</v>
      </c>
      <c r="Q241" s="259"/>
      <c r="R241" s="257"/>
      <c r="S241" s="256"/>
      <c r="T241" s="230"/>
      <c r="U241" s="239" t="s">
        <v>513</v>
      </c>
      <c r="V241" s="492">
        <f t="shared" si="125"/>
        <v>1.2E-2</v>
      </c>
    </row>
    <row r="242" spans="1:27" ht="13.15" customHeight="1">
      <c r="A242" s="251" t="s">
        <v>150</v>
      </c>
      <c r="B242" s="308"/>
      <c r="C242" s="309"/>
      <c r="D242" s="310"/>
      <c r="E242" s="308"/>
      <c r="F242" s="308"/>
      <c r="G242" s="309"/>
      <c r="H242" s="311"/>
      <c r="I242" s="310"/>
      <c r="J242" s="244"/>
      <c r="K242" s="303" t="s">
        <v>150</v>
      </c>
      <c r="L242" s="312" t="e">
        <f>B242/I242</f>
        <v>#DIV/0!</v>
      </c>
      <c r="M242" s="313" t="e">
        <f>D242/I242</f>
        <v>#DIV/0!</v>
      </c>
      <c r="N242" s="313" t="e">
        <f>D242/B242</f>
        <v>#DIV/0!</v>
      </c>
      <c r="O242" s="312" t="e">
        <f>(F242*3.6+G242)*100/H242</f>
        <v>#DIV/0!</v>
      </c>
      <c r="P242" s="313" t="e">
        <f>(E242*3.6+G242)*100/H242</f>
        <v>#DIV/0!</v>
      </c>
      <c r="Q242" s="313" t="e">
        <f>E242/(B242*8760)*1000</f>
        <v>#DIV/0!</v>
      </c>
      <c r="R242" s="313" t="e">
        <f>G242/(D242*8761)*1000/3.6</f>
        <v>#DIV/0!</v>
      </c>
      <c r="S242" s="313" t="e">
        <f>G242/(E242*3.6)</f>
        <v>#DIV/0!</v>
      </c>
      <c r="T242" s="269"/>
      <c r="U242" s="239" t="s">
        <v>514</v>
      </c>
      <c r="V242" s="492">
        <f t="shared" si="125"/>
        <v>0</v>
      </c>
      <c r="Z242" s="214">
        <f>C242-B242</f>
        <v>0</v>
      </c>
      <c r="AA242" s="214">
        <f>F242-E242</f>
        <v>0</v>
      </c>
    </row>
    <row r="243" spans="1:27" ht="13.15" customHeight="1">
      <c r="A243" s="239"/>
      <c r="B243" s="314"/>
      <c r="C243" s="315"/>
      <c r="D243" s="315"/>
      <c r="E243" s="316"/>
      <c r="F243" s="316"/>
      <c r="G243" s="317"/>
      <c r="H243" s="314"/>
      <c r="I243" s="314"/>
      <c r="J243" s="230"/>
      <c r="K243" s="239"/>
      <c r="L243" s="312"/>
      <c r="M243" s="267"/>
      <c r="N243" s="267"/>
      <c r="O243" s="239"/>
      <c r="P243" s="313"/>
      <c r="Q243" s="267"/>
      <c r="R243" s="267"/>
      <c r="S243" s="239"/>
      <c r="T243" s="269"/>
      <c r="U243" s="239" t="s">
        <v>515</v>
      </c>
      <c r="V243" s="492">
        <f t="shared" si="125"/>
        <v>0</v>
      </c>
      <c r="Z243" s="214">
        <f t="shared" ref="Z243:Z263" si="128">C243-B243</f>
        <v>0</v>
      </c>
      <c r="AA243" s="214">
        <f t="shared" ref="AA243:AA263" si="129">F243-E243</f>
        <v>0</v>
      </c>
    </row>
    <row r="244" spans="1:27" ht="13.15" customHeight="1">
      <c r="A244" s="312" t="s">
        <v>7</v>
      </c>
      <c r="B244" s="310">
        <v>234.2</v>
      </c>
      <c r="C244" s="310">
        <v>234.2</v>
      </c>
      <c r="D244" s="310">
        <v>861.3</v>
      </c>
      <c r="E244" s="310">
        <v>1057.5</v>
      </c>
      <c r="F244" s="310">
        <v>1057.5</v>
      </c>
      <c r="G244" s="310">
        <v>9423</v>
      </c>
      <c r="H244" s="310">
        <v>18462.8</v>
      </c>
      <c r="I244" s="310">
        <v>39</v>
      </c>
      <c r="J244" s="244"/>
      <c r="K244" s="318" t="s">
        <v>7</v>
      </c>
      <c r="L244" s="312">
        <f>B244/I244</f>
        <v>6.0051282051282051</v>
      </c>
      <c r="M244" s="313">
        <f>D244/I244</f>
        <v>22.084615384615383</v>
      </c>
      <c r="N244" s="313">
        <f>D244/B244</f>
        <v>3.6776259607173354</v>
      </c>
      <c r="O244" s="312">
        <f t="shared" ref="O244:O261" si="130">(F244*3.6+G244)*100/H244</f>
        <v>71.657603397101198</v>
      </c>
      <c r="P244" s="313">
        <f>(E244*3.6+G244)*100/H244</f>
        <v>71.657603397101198</v>
      </c>
      <c r="Q244" s="313">
        <f>E244/(B244*8760)*1000</f>
        <v>0.51545336499654903</v>
      </c>
      <c r="R244" s="313">
        <f>G244/(D244*8761)*1000/3.6</f>
        <v>0.34687944271561322</v>
      </c>
      <c r="S244" s="313">
        <f>G244/(E244*3.6)</f>
        <v>2.4751773049645389</v>
      </c>
      <c r="T244" s="269"/>
      <c r="U244" s="239" t="s">
        <v>516</v>
      </c>
      <c r="V244" s="492">
        <f t="shared" si="125"/>
        <v>0</v>
      </c>
      <c r="Z244" s="214">
        <f t="shared" si="128"/>
        <v>0</v>
      </c>
      <c r="AA244" s="214">
        <f t="shared" si="129"/>
        <v>0</v>
      </c>
    </row>
    <row r="245" spans="1:27" ht="13.15" customHeight="1">
      <c r="A245" s="239" t="s">
        <v>152</v>
      </c>
      <c r="B245" s="319"/>
      <c r="C245" s="320"/>
      <c r="D245" s="320"/>
      <c r="E245" s="316"/>
      <c r="F245" s="316"/>
      <c r="G245" s="321"/>
      <c r="H245" s="319"/>
      <c r="I245" s="319"/>
      <c r="J245" s="230"/>
      <c r="K245" s="305" t="s">
        <v>152</v>
      </c>
      <c r="L245" s="239" t="e">
        <f t="shared" ref="L245:L261" si="131">B245/I245</f>
        <v>#DIV/0!</v>
      </c>
      <c r="M245" s="267" t="e">
        <f t="shared" ref="M245:M261" si="132">D245/I245</f>
        <v>#DIV/0!</v>
      </c>
      <c r="N245" s="267" t="e">
        <f t="shared" ref="N245:N261" si="133">D245/B245</f>
        <v>#DIV/0!</v>
      </c>
      <c r="O245" s="239" t="e">
        <f t="shared" si="130"/>
        <v>#DIV/0!</v>
      </c>
      <c r="P245" s="267" t="e">
        <f t="shared" ref="P245:P261" si="134">(E245*3.6+G245)*100/H245</f>
        <v>#DIV/0!</v>
      </c>
      <c r="Q245" s="267" t="e">
        <f t="shared" ref="Q245:Q261" si="135">E245/(B245*8760)*1000</f>
        <v>#DIV/0!</v>
      </c>
      <c r="R245" s="267" t="e">
        <f t="shared" ref="R245:R261" si="136">G245/(D245*8761)*1000/3.6</f>
        <v>#DIV/0!</v>
      </c>
      <c r="S245" s="267" t="e">
        <f t="shared" ref="S245:S261" si="137">G245/(E245*3.6)</f>
        <v>#DIV/0!</v>
      </c>
      <c r="T245" s="269"/>
      <c r="U245" s="239" t="s">
        <v>517</v>
      </c>
      <c r="V245" s="492">
        <f t="shared" si="125"/>
        <v>0</v>
      </c>
      <c r="Z245" s="214">
        <f t="shared" si="128"/>
        <v>0</v>
      </c>
      <c r="AA245" s="214">
        <f t="shared" si="129"/>
        <v>0</v>
      </c>
    </row>
    <row r="246" spans="1:27" ht="13.15" customHeight="1">
      <c r="A246" s="239" t="s">
        <v>504</v>
      </c>
      <c r="B246" s="319"/>
      <c r="C246" s="320"/>
      <c r="D246" s="320"/>
      <c r="E246" s="316"/>
      <c r="F246" s="316"/>
      <c r="G246" s="321"/>
      <c r="H246" s="319"/>
      <c r="I246" s="319"/>
      <c r="J246" s="230"/>
      <c r="K246" s="305" t="s">
        <v>504</v>
      </c>
      <c r="L246" s="239" t="e">
        <f t="shared" si="131"/>
        <v>#DIV/0!</v>
      </c>
      <c r="M246" s="267" t="e">
        <f t="shared" si="132"/>
        <v>#DIV/0!</v>
      </c>
      <c r="N246" s="267" t="e">
        <f t="shared" si="133"/>
        <v>#DIV/0!</v>
      </c>
      <c r="O246" s="239" t="e">
        <f t="shared" si="130"/>
        <v>#DIV/0!</v>
      </c>
      <c r="P246" s="267" t="e">
        <f t="shared" si="134"/>
        <v>#DIV/0!</v>
      </c>
      <c r="Q246" s="267" t="e">
        <f t="shared" si="135"/>
        <v>#DIV/0!</v>
      </c>
      <c r="R246" s="267" t="e">
        <f t="shared" si="136"/>
        <v>#DIV/0!</v>
      </c>
      <c r="S246" s="267" t="e">
        <f t="shared" si="137"/>
        <v>#DIV/0!</v>
      </c>
      <c r="T246" s="269"/>
      <c r="U246" s="239" t="s">
        <v>518</v>
      </c>
      <c r="V246" s="492">
        <f t="shared" si="125"/>
        <v>0</v>
      </c>
      <c r="Z246" s="214">
        <f t="shared" si="128"/>
        <v>0</v>
      </c>
      <c r="AA246" s="214">
        <f t="shared" si="129"/>
        <v>0</v>
      </c>
    </row>
    <row r="247" spans="1:27" ht="13.15" customHeight="1">
      <c r="A247" s="239" t="s">
        <v>505</v>
      </c>
      <c r="B247" s="319"/>
      <c r="C247" s="320"/>
      <c r="D247" s="320"/>
      <c r="E247" s="316"/>
      <c r="F247" s="316"/>
      <c r="G247" s="321"/>
      <c r="H247" s="319"/>
      <c r="I247" s="319"/>
      <c r="J247" s="230"/>
      <c r="K247" s="305" t="s">
        <v>505</v>
      </c>
      <c r="L247" s="239" t="e">
        <f t="shared" si="131"/>
        <v>#DIV/0!</v>
      </c>
      <c r="M247" s="267" t="e">
        <f t="shared" si="132"/>
        <v>#DIV/0!</v>
      </c>
      <c r="N247" s="267" t="e">
        <f t="shared" si="133"/>
        <v>#DIV/0!</v>
      </c>
      <c r="O247" s="239" t="e">
        <f t="shared" si="130"/>
        <v>#DIV/0!</v>
      </c>
      <c r="P247" s="267" t="e">
        <f t="shared" si="134"/>
        <v>#DIV/0!</v>
      </c>
      <c r="Q247" s="267" t="e">
        <f t="shared" si="135"/>
        <v>#DIV/0!</v>
      </c>
      <c r="R247" s="267" t="e">
        <f t="shared" si="136"/>
        <v>#DIV/0!</v>
      </c>
      <c r="S247" s="267" t="e">
        <f t="shared" si="137"/>
        <v>#DIV/0!</v>
      </c>
      <c r="T247" s="269"/>
      <c r="U247" s="239" t="s">
        <v>519</v>
      </c>
      <c r="V247" s="492">
        <f t="shared" si="125"/>
        <v>7.1399999999999996E-3</v>
      </c>
      <c r="Z247" s="214">
        <f t="shared" si="128"/>
        <v>0</v>
      </c>
      <c r="AA247" s="214">
        <f t="shared" si="129"/>
        <v>0</v>
      </c>
    </row>
    <row r="248" spans="1:27" ht="13.15" customHeight="1">
      <c r="A248" s="239" t="s">
        <v>506</v>
      </c>
      <c r="B248" s="319">
        <v>115.6</v>
      </c>
      <c r="C248" s="320">
        <v>115.6</v>
      </c>
      <c r="D248" s="320">
        <v>236</v>
      </c>
      <c r="E248" s="316">
        <v>749</v>
      </c>
      <c r="F248" s="316">
        <v>749</v>
      </c>
      <c r="G248" s="321">
        <v>3740</v>
      </c>
      <c r="H248" s="319">
        <v>8588.4</v>
      </c>
      <c r="I248" s="319">
        <v>8</v>
      </c>
      <c r="J248" s="230"/>
      <c r="K248" s="305" t="s">
        <v>506</v>
      </c>
      <c r="L248" s="239">
        <f t="shared" si="131"/>
        <v>14.45</v>
      </c>
      <c r="M248" s="267">
        <f t="shared" si="132"/>
        <v>29.5</v>
      </c>
      <c r="N248" s="267">
        <f t="shared" si="133"/>
        <v>2.0415224913494812</v>
      </c>
      <c r="O248" s="239">
        <f t="shared" si="130"/>
        <v>74.942946299660008</v>
      </c>
      <c r="P248" s="267">
        <f t="shared" si="134"/>
        <v>74.942946299660008</v>
      </c>
      <c r="Q248" s="267">
        <f t="shared" si="135"/>
        <v>0.73963912720607983</v>
      </c>
      <c r="R248" s="267">
        <f t="shared" si="136"/>
        <v>0.50246222612584313</v>
      </c>
      <c r="S248" s="267">
        <f t="shared" si="137"/>
        <v>1.387034564604658</v>
      </c>
      <c r="T248" s="269"/>
      <c r="Z248" s="214">
        <f t="shared" si="128"/>
        <v>0</v>
      </c>
      <c r="AA248" s="214">
        <f t="shared" si="129"/>
        <v>0</v>
      </c>
    </row>
    <row r="249" spans="1:27" ht="13.15" customHeight="1">
      <c r="A249" s="239" t="s">
        <v>507</v>
      </c>
      <c r="B249" s="319"/>
      <c r="C249" s="320"/>
      <c r="D249" s="320"/>
      <c r="E249" s="316"/>
      <c r="F249" s="316"/>
      <c r="G249" s="321"/>
      <c r="H249" s="319"/>
      <c r="I249" s="319"/>
      <c r="J249" s="230"/>
      <c r="K249" s="305" t="s">
        <v>507</v>
      </c>
      <c r="L249" s="239" t="e">
        <f t="shared" si="131"/>
        <v>#DIV/0!</v>
      </c>
      <c r="M249" s="267" t="e">
        <f t="shared" si="132"/>
        <v>#DIV/0!</v>
      </c>
      <c r="N249" s="267" t="e">
        <f t="shared" si="133"/>
        <v>#DIV/0!</v>
      </c>
      <c r="O249" s="239" t="e">
        <f t="shared" si="130"/>
        <v>#DIV/0!</v>
      </c>
      <c r="P249" s="267" t="e">
        <f t="shared" si="134"/>
        <v>#DIV/0!</v>
      </c>
      <c r="Q249" s="267" t="e">
        <f t="shared" si="135"/>
        <v>#DIV/0!</v>
      </c>
      <c r="R249" s="267" t="e">
        <f t="shared" si="136"/>
        <v>#DIV/0!</v>
      </c>
      <c r="S249" s="267" t="e">
        <f t="shared" si="137"/>
        <v>#DIV/0!</v>
      </c>
      <c r="T249" s="269"/>
      <c r="Z249" s="214">
        <f t="shared" si="128"/>
        <v>0</v>
      </c>
      <c r="AA249" s="214">
        <f t="shared" si="129"/>
        <v>0</v>
      </c>
    </row>
    <row r="250" spans="1:27" ht="13.15" customHeight="1">
      <c r="A250" s="239" t="s">
        <v>156</v>
      </c>
      <c r="B250" s="319"/>
      <c r="C250" s="320"/>
      <c r="D250" s="320"/>
      <c r="E250" s="316"/>
      <c r="F250" s="316"/>
      <c r="G250" s="321"/>
      <c r="H250" s="319"/>
      <c r="I250" s="319"/>
      <c r="J250" s="230"/>
      <c r="K250" s="305" t="s">
        <v>156</v>
      </c>
      <c r="L250" s="239" t="e">
        <f t="shared" si="131"/>
        <v>#DIV/0!</v>
      </c>
      <c r="M250" s="267" t="e">
        <f t="shared" si="132"/>
        <v>#DIV/0!</v>
      </c>
      <c r="N250" s="267" t="e">
        <f t="shared" si="133"/>
        <v>#DIV/0!</v>
      </c>
      <c r="O250" s="322" t="e">
        <f t="shared" si="130"/>
        <v>#DIV/0!</v>
      </c>
      <c r="P250" s="323" t="e">
        <f t="shared" si="134"/>
        <v>#DIV/0!</v>
      </c>
      <c r="Q250" s="267" t="e">
        <f t="shared" si="135"/>
        <v>#DIV/0!</v>
      </c>
      <c r="R250" s="267" t="e">
        <f t="shared" si="136"/>
        <v>#DIV/0!</v>
      </c>
      <c r="S250" s="267" t="e">
        <f t="shared" si="137"/>
        <v>#DIV/0!</v>
      </c>
      <c r="T250" s="269"/>
      <c r="Z250" s="214">
        <f t="shared" si="128"/>
        <v>0</v>
      </c>
      <c r="AA250" s="214">
        <f t="shared" si="129"/>
        <v>0</v>
      </c>
    </row>
    <row r="251" spans="1:27" ht="13.15" customHeight="1">
      <c r="A251" s="239" t="s">
        <v>508</v>
      </c>
      <c r="B251" s="319">
        <v>14.27</v>
      </c>
      <c r="C251" s="320">
        <v>14.27</v>
      </c>
      <c r="D251" s="320">
        <v>85</v>
      </c>
      <c r="E251" s="316">
        <v>54</v>
      </c>
      <c r="F251" s="316">
        <v>54</v>
      </c>
      <c r="G251" s="321">
        <v>840</v>
      </c>
      <c r="H251" s="319">
        <v>1653</v>
      </c>
      <c r="I251" s="319">
        <v>4</v>
      </c>
      <c r="J251" s="230"/>
      <c r="K251" s="305" t="s">
        <v>508</v>
      </c>
      <c r="L251" s="239">
        <f t="shared" si="131"/>
        <v>3.5674999999999999</v>
      </c>
      <c r="M251" s="267">
        <f t="shared" si="132"/>
        <v>21.25</v>
      </c>
      <c r="N251" s="267">
        <f t="shared" si="133"/>
        <v>5.9565522074281709</v>
      </c>
      <c r="O251" s="239">
        <f t="shared" si="130"/>
        <v>62.577132486388393</v>
      </c>
      <c r="P251" s="267">
        <f t="shared" si="134"/>
        <v>62.577132486388393</v>
      </c>
      <c r="Q251" s="267">
        <f t="shared" si="135"/>
        <v>0.43198202954757087</v>
      </c>
      <c r="R251" s="267">
        <f t="shared" si="136"/>
        <v>0.31333158762877361</v>
      </c>
      <c r="S251" s="267">
        <f t="shared" si="137"/>
        <v>4.3209876543209873</v>
      </c>
      <c r="T251" s="269"/>
      <c r="Z251" s="214">
        <f t="shared" si="128"/>
        <v>0</v>
      </c>
      <c r="AA251" s="214">
        <f t="shared" si="129"/>
        <v>0</v>
      </c>
    </row>
    <row r="252" spans="1:27" ht="13.15" customHeight="1">
      <c r="A252" s="239" t="s">
        <v>509</v>
      </c>
      <c r="B252" s="319">
        <v>30.29</v>
      </c>
      <c r="C252" s="320">
        <v>30.29</v>
      </c>
      <c r="D252" s="320">
        <v>94</v>
      </c>
      <c r="E252" s="316">
        <v>105</v>
      </c>
      <c r="F252" s="316">
        <v>105</v>
      </c>
      <c r="G252" s="321">
        <v>2271</v>
      </c>
      <c r="H252" s="319">
        <v>3564.4</v>
      </c>
      <c r="I252" s="319">
        <v>7</v>
      </c>
      <c r="J252" s="230"/>
      <c r="K252" s="305" t="s">
        <v>509</v>
      </c>
      <c r="L252" s="239">
        <f t="shared" si="131"/>
        <v>4.3271428571428574</v>
      </c>
      <c r="M252" s="267">
        <f t="shared" si="132"/>
        <v>13.428571428571429</v>
      </c>
      <c r="N252" s="267">
        <f t="shared" si="133"/>
        <v>3.1033344338065367</v>
      </c>
      <c r="O252" s="239">
        <f t="shared" si="130"/>
        <v>74.318258332398159</v>
      </c>
      <c r="P252" s="267">
        <f t="shared" si="134"/>
        <v>74.318258332398159</v>
      </c>
      <c r="Q252" s="267">
        <f t="shared" si="135"/>
        <v>0.3957181039901953</v>
      </c>
      <c r="R252" s="267">
        <f t="shared" si="136"/>
        <v>0.76600763700507002</v>
      </c>
      <c r="S252" s="267">
        <f t="shared" si="137"/>
        <v>6.0079365079365079</v>
      </c>
      <c r="T252" s="269"/>
      <c r="Z252" s="214">
        <f t="shared" si="128"/>
        <v>0</v>
      </c>
      <c r="AA252" s="214">
        <f t="shared" si="129"/>
        <v>0</v>
      </c>
    </row>
    <row r="253" spans="1:27" ht="13.15" customHeight="1">
      <c r="A253" s="239" t="s">
        <v>510</v>
      </c>
      <c r="B253" s="319">
        <v>1.1000000000000001</v>
      </c>
      <c r="C253" s="320">
        <v>1.1000000000000001</v>
      </c>
      <c r="D253" s="320">
        <v>4.3</v>
      </c>
      <c r="E253" s="316">
        <v>6</v>
      </c>
      <c r="F253" s="316">
        <v>6</v>
      </c>
      <c r="G253" s="321">
        <v>60</v>
      </c>
      <c r="H253" s="319">
        <v>99</v>
      </c>
      <c r="I253" s="319">
        <v>1</v>
      </c>
      <c r="J253" s="230"/>
      <c r="K253" s="305" t="s">
        <v>510</v>
      </c>
      <c r="L253" s="239">
        <f t="shared" si="131"/>
        <v>1.1000000000000001</v>
      </c>
      <c r="M253" s="267">
        <f t="shared" si="132"/>
        <v>4.3</v>
      </c>
      <c r="N253" s="267">
        <f t="shared" si="133"/>
        <v>3.9090909090909087</v>
      </c>
      <c r="O253" s="322">
        <f t="shared" si="130"/>
        <v>82.424242424242422</v>
      </c>
      <c r="P253" s="323">
        <f t="shared" si="134"/>
        <v>82.424242424242422</v>
      </c>
      <c r="Q253" s="267">
        <f t="shared" si="135"/>
        <v>0.62266500622665011</v>
      </c>
      <c r="R253" s="267">
        <f t="shared" si="136"/>
        <v>0.44241171010707253</v>
      </c>
      <c r="S253" s="267">
        <f t="shared" si="137"/>
        <v>2.7777777777777777</v>
      </c>
      <c r="T253" s="269"/>
      <c r="Z253" s="214">
        <f t="shared" si="128"/>
        <v>0</v>
      </c>
      <c r="AA253" s="214">
        <f t="shared" si="129"/>
        <v>0</v>
      </c>
    </row>
    <row r="254" spans="1:27" ht="13.15" customHeight="1">
      <c r="A254" s="239" t="s">
        <v>511</v>
      </c>
      <c r="B254" s="324"/>
      <c r="C254" s="324"/>
      <c r="D254" s="320"/>
      <c r="E254" s="316"/>
      <c r="F254" s="316"/>
      <c r="G254" s="321"/>
      <c r="H254" s="319"/>
      <c r="I254" s="319"/>
      <c r="J254" s="230"/>
      <c r="K254" s="305" t="s">
        <v>511</v>
      </c>
      <c r="L254" s="239" t="e">
        <f t="shared" si="131"/>
        <v>#DIV/0!</v>
      </c>
      <c r="M254" s="267" t="e">
        <f t="shared" si="132"/>
        <v>#DIV/0!</v>
      </c>
      <c r="N254" s="267" t="e">
        <f t="shared" si="133"/>
        <v>#DIV/0!</v>
      </c>
      <c r="O254" s="239" t="e">
        <f t="shared" si="130"/>
        <v>#DIV/0!</v>
      </c>
      <c r="P254" s="267" t="e">
        <f t="shared" si="134"/>
        <v>#DIV/0!</v>
      </c>
      <c r="Q254" s="267" t="e">
        <f t="shared" si="135"/>
        <v>#DIV/0!</v>
      </c>
      <c r="R254" s="267" t="e">
        <f t="shared" si="136"/>
        <v>#DIV/0!</v>
      </c>
      <c r="S254" s="267" t="e">
        <f t="shared" si="137"/>
        <v>#DIV/0!</v>
      </c>
      <c r="T254" s="269"/>
      <c r="Z254" s="214">
        <f t="shared" si="128"/>
        <v>0</v>
      </c>
      <c r="AA254" s="214">
        <f t="shared" si="129"/>
        <v>0</v>
      </c>
    </row>
    <row r="255" spans="1:27" ht="13.15" customHeight="1">
      <c r="A255" s="239" t="s">
        <v>512</v>
      </c>
      <c r="B255" s="324">
        <v>53.8</v>
      </c>
      <c r="C255" s="325">
        <v>53.8</v>
      </c>
      <c r="D255" s="320">
        <v>342</v>
      </c>
      <c r="E255" s="316">
        <v>96</v>
      </c>
      <c r="F255" s="316">
        <v>96</v>
      </c>
      <c r="G255" s="321">
        <v>2315</v>
      </c>
      <c r="H255" s="319">
        <v>3997</v>
      </c>
      <c r="I255" s="319">
        <v>11</v>
      </c>
      <c r="J255" s="230"/>
      <c r="K255" s="305" t="s">
        <v>512</v>
      </c>
      <c r="L255" s="239">
        <f t="shared" si="131"/>
        <v>4.8909090909090907</v>
      </c>
      <c r="M255" s="267">
        <f t="shared" si="132"/>
        <v>31.09090909090909</v>
      </c>
      <c r="N255" s="267">
        <f t="shared" si="133"/>
        <v>6.3568773234200746</v>
      </c>
      <c r="O255" s="239">
        <f t="shared" si="130"/>
        <v>66.564923692769582</v>
      </c>
      <c r="P255" s="267">
        <f t="shared" si="134"/>
        <v>66.564923692769582</v>
      </c>
      <c r="Q255" s="267">
        <f t="shared" si="135"/>
        <v>0.20369710240871824</v>
      </c>
      <c r="R255" s="267">
        <f t="shared" si="136"/>
        <v>0.21461926745910587</v>
      </c>
      <c r="S255" s="267">
        <f t="shared" si="137"/>
        <v>6.6984953703703702</v>
      </c>
      <c r="T255" s="269"/>
      <c r="Z255" s="214">
        <f t="shared" si="128"/>
        <v>0</v>
      </c>
      <c r="AA255" s="214">
        <f t="shared" si="129"/>
        <v>0</v>
      </c>
    </row>
    <row r="256" spans="1:27" ht="13.15" customHeight="1">
      <c r="A256" s="239" t="s">
        <v>513</v>
      </c>
      <c r="B256" s="324">
        <v>12</v>
      </c>
      <c r="C256" s="325">
        <v>12</v>
      </c>
      <c r="D256" s="320">
        <v>73</v>
      </c>
      <c r="E256" s="316">
        <v>15.3</v>
      </c>
      <c r="F256" s="316">
        <v>15.3</v>
      </c>
      <c r="G256" s="321">
        <v>114</v>
      </c>
      <c r="H256" s="319">
        <v>209</v>
      </c>
      <c r="I256" s="319">
        <v>5</v>
      </c>
      <c r="J256" s="230"/>
      <c r="K256" s="305" t="s">
        <v>513</v>
      </c>
      <c r="L256" s="239">
        <f t="shared" si="131"/>
        <v>2.4</v>
      </c>
      <c r="M256" s="267">
        <f t="shared" si="132"/>
        <v>14.6</v>
      </c>
      <c r="N256" s="267">
        <f t="shared" si="133"/>
        <v>6.083333333333333</v>
      </c>
      <c r="O256" s="239">
        <f t="shared" si="130"/>
        <v>80.899521531100476</v>
      </c>
      <c r="P256" s="267">
        <f t="shared" si="134"/>
        <v>80.899521531100476</v>
      </c>
      <c r="Q256" s="267">
        <f t="shared" si="135"/>
        <v>0.14554794520547948</v>
      </c>
      <c r="R256" s="267">
        <f t="shared" si="136"/>
        <v>4.9513748925681944E-2</v>
      </c>
      <c r="S256" s="267">
        <f t="shared" si="137"/>
        <v>2.0697167755991281</v>
      </c>
      <c r="T256" s="269"/>
      <c r="Z256" s="214">
        <f t="shared" si="128"/>
        <v>0</v>
      </c>
      <c r="AA256" s="214">
        <f t="shared" si="129"/>
        <v>0</v>
      </c>
    </row>
    <row r="257" spans="1:27" ht="13.15" customHeight="1">
      <c r="A257" s="239" t="s">
        <v>514</v>
      </c>
      <c r="B257" s="324"/>
      <c r="C257" s="325"/>
      <c r="D257" s="320"/>
      <c r="E257" s="316"/>
      <c r="F257" s="316"/>
      <c r="G257" s="321"/>
      <c r="H257" s="319"/>
      <c r="I257" s="319"/>
      <c r="J257" s="230"/>
      <c r="K257" s="305" t="s">
        <v>514</v>
      </c>
      <c r="L257" s="239" t="e">
        <f t="shared" si="131"/>
        <v>#DIV/0!</v>
      </c>
      <c r="M257" s="267" t="e">
        <f t="shared" si="132"/>
        <v>#DIV/0!</v>
      </c>
      <c r="N257" s="267" t="e">
        <f t="shared" si="133"/>
        <v>#DIV/0!</v>
      </c>
      <c r="O257" s="239" t="e">
        <f t="shared" si="130"/>
        <v>#DIV/0!</v>
      </c>
      <c r="P257" s="267" t="e">
        <f t="shared" si="134"/>
        <v>#DIV/0!</v>
      </c>
      <c r="Q257" s="267" t="e">
        <f t="shared" si="135"/>
        <v>#DIV/0!</v>
      </c>
      <c r="R257" s="267" t="e">
        <f t="shared" si="136"/>
        <v>#DIV/0!</v>
      </c>
      <c r="S257" s="267" t="e">
        <f t="shared" si="137"/>
        <v>#DIV/0!</v>
      </c>
      <c r="T257" s="269"/>
      <c r="Z257" s="214">
        <f t="shared" si="128"/>
        <v>0</v>
      </c>
      <c r="AA257" s="214">
        <f t="shared" si="129"/>
        <v>0</v>
      </c>
    </row>
    <row r="258" spans="1:27" ht="13.15" customHeight="1">
      <c r="A258" s="239" t="s">
        <v>515</v>
      </c>
      <c r="B258" s="324"/>
      <c r="C258" s="325"/>
      <c r="D258" s="320"/>
      <c r="E258" s="316"/>
      <c r="F258" s="316"/>
      <c r="G258" s="321"/>
      <c r="H258" s="319"/>
      <c r="I258" s="319"/>
      <c r="J258" s="230"/>
      <c r="K258" s="305" t="s">
        <v>515</v>
      </c>
      <c r="L258" s="239" t="e">
        <f t="shared" si="131"/>
        <v>#DIV/0!</v>
      </c>
      <c r="M258" s="267" t="e">
        <f t="shared" si="132"/>
        <v>#DIV/0!</v>
      </c>
      <c r="N258" s="267" t="e">
        <f t="shared" si="133"/>
        <v>#DIV/0!</v>
      </c>
      <c r="O258" s="239" t="e">
        <f t="shared" si="130"/>
        <v>#DIV/0!</v>
      </c>
      <c r="P258" s="267" t="e">
        <f t="shared" si="134"/>
        <v>#DIV/0!</v>
      </c>
      <c r="Q258" s="267" t="e">
        <f t="shared" si="135"/>
        <v>#DIV/0!</v>
      </c>
      <c r="R258" s="267" t="e">
        <f t="shared" si="136"/>
        <v>#DIV/0!</v>
      </c>
      <c r="S258" s="267" t="e">
        <f t="shared" si="137"/>
        <v>#DIV/0!</v>
      </c>
      <c r="T258" s="269"/>
      <c r="Z258" s="214">
        <f t="shared" si="128"/>
        <v>0</v>
      </c>
      <c r="AA258" s="214">
        <f t="shared" si="129"/>
        <v>0</v>
      </c>
    </row>
    <row r="259" spans="1:27" ht="13.15" customHeight="1">
      <c r="A259" s="239" t="s">
        <v>516</v>
      </c>
      <c r="B259" s="319"/>
      <c r="C259" s="320"/>
      <c r="D259" s="319"/>
      <c r="E259" s="316"/>
      <c r="F259" s="316"/>
      <c r="G259" s="321"/>
      <c r="H259" s="319"/>
      <c r="I259" s="319"/>
      <c r="J259" s="244"/>
      <c r="K259" s="239" t="s">
        <v>516</v>
      </c>
      <c r="L259" s="239" t="e">
        <f t="shared" si="131"/>
        <v>#DIV/0!</v>
      </c>
      <c r="M259" s="267" t="e">
        <f t="shared" si="132"/>
        <v>#DIV/0!</v>
      </c>
      <c r="N259" s="267" t="e">
        <f t="shared" si="133"/>
        <v>#DIV/0!</v>
      </c>
      <c r="O259" s="239" t="e">
        <f t="shared" si="130"/>
        <v>#DIV/0!</v>
      </c>
      <c r="P259" s="267" t="e">
        <f t="shared" si="134"/>
        <v>#DIV/0!</v>
      </c>
      <c r="Q259" s="267" t="e">
        <f t="shared" si="135"/>
        <v>#DIV/0!</v>
      </c>
      <c r="R259" s="267" t="e">
        <f t="shared" si="136"/>
        <v>#DIV/0!</v>
      </c>
      <c r="S259" s="267" t="e">
        <f t="shared" si="137"/>
        <v>#DIV/0!</v>
      </c>
      <c r="Z259" s="214">
        <f t="shared" si="128"/>
        <v>0</v>
      </c>
      <c r="AA259" s="214">
        <f t="shared" si="129"/>
        <v>0</v>
      </c>
    </row>
    <row r="260" spans="1:27" ht="13.15" customHeight="1">
      <c r="A260" s="239" t="s">
        <v>517</v>
      </c>
      <c r="B260" s="319"/>
      <c r="C260" s="320"/>
      <c r="D260" s="320"/>
      <c r="E260" s="316"/>
      <c r="F260" s="316"/>
      <c r="G260" s="321"/>
      <c r="H260" s="319"/>
      <c r="I260" s="319"/>
      <c r="K260" s="239" t="s">
        <v>517</v>
      </c>
      <c r="L260" s="239" t="e">
        <f t="shared" si="131"/>
        <v>#DIV/0!</v>
      </c>
      <c r="M260" s="267" t="e">
        <f t="shared" si="132"/>
        <v>#DIV/0!</v>
      </c>
      <c r="N260" s="267" t="e">
        <f t="shared" si="133"/>
        <v>#DIV/0!</v>
      </c>
      <c r="O260" s="239" t="e">
        <f t="shared" si="130"/>
        <v>#DIV/0!</v>
      </c>
      <c r="P260" s="267" t="e">
        <f t="shared" si="134"/>
        <v>#DIV/0!</v>
      </c>
      <c r="Q260" s="267" t="e">
        <f t="shared" si="135"/>
        <v>#DIV/0!</v>
      </c>
      <c r="R260" s="267" t="e">
        <f t="shared" si="136"/>
        <v>#DIV/0!</v>
      </c>
      <c r="S260" s="267" t="e">
        <f t="shared" si="137"/>
        <v>#DIV/0!</v>
      </c>
      <c r="Z260" s="214">
        <f t="shared" si="128"/>
        <v>0</v>
      </c>
      <c r="AA260" s="214">
        <f t="shared" si="129"/>
        <v>0</v>
      </c>
    </row>
    <row r="261" spans="1:27" ht="13.15" customHeight="1">
      <c r="A261" s="239" t="s">
        <v>518</v>
      </c>
      <c r="B261" s="319"/>
      <c r="C261" s="320"/>
      <c r="D261" s="320"/>
      <c r="E261" s="316"/>
      <c r="F261" s="316"/>
      <c r="G261" s="321"/>
      <c r="H261" s="319"/>
      <c r="I261" s="319"/>
      <c r="K261" s="239" t="s">
        <v>518</v>
      </c>
      <c r="L261" s="239" t="e">
        <f t="shared" si="131"/>
        <v>#DIV/0!</v>
      </c>
      <c r="M261" s="267" t="e">
        <f t="shared" si="132"/>
        <v>#DIV/0!</v>
      </c>
      <c r="N261" s="267" t="e">
        <f t="shared" si="133"/>
        <v>#DIV/0!</v>
      </c>
      <c r="O261" s="239" t="e">
        <f t="shared" si="130"/>
        <v>#DIV/0!</v>
      </c>
      <c r="P261" s="267" t="e">
        <f t="shared" si="134"/>
        <v>#DIV/0!</v>
      </c>
      <c r="Q261" s="267" t="e">
        <f t="shared" si="135"/>
        <v>#DIV/0!</v>
      </c>
      <c r="R261" s="267" t="e">
        <f t="shared" si="136"/>
        <v>#DIV/0!</v>
      </c>
      <c r="S261" s="267" t="e">
        <f t="shared" si="137"/>
        <v>#DIV/0!</v>
      </c>
      <c r="Z261" s="214">
        <f t="shared" si="128"/>
        <v>0</v>
      </c>
      <c r="AA261" s="214">
        <f t="shared" si="129"/>
        <v>0</v>
      </c>
    </row>
    <row r="262" spans="1:27" ht="13.15" customHeight="1">
      <c r="A262" s="239" t="s">
        <v>519</v>
      </c>
      <c r="B262" s="319">
        <v>7.14</v>
      </c>
      <c r="C262" s="320">
        <v>7.14</v>
      </c>
      <c r="D262" s="320">
        <v>27</v>
      </c>
      <c r="E262" s="316">
        <v>32.200000000000003</v>
      </c>
      <c r="F262" s="316">
        <v>32.200000000000003</v>
      </c>
      <c r="G262" s="321">
        <v>83</v>
      </c>
      <c r="H262" s="319">
        <v>352</v>
      </c>
      <c r="I262" s="319">
        <v>3</v>
      </c>
      <c r="K262" s="239" t="s">
        <v>519</v>
      </c>
      <c r="L262" s="239"/>
      <c r="M262" s="267"/>
      <c r="N262" s="267"/>
      <c r="O262" s="239"/>
      <c r="P262" s="267"/>
      <c r="Q262" s="267"/>
      <c r="R262" s="267"/>
      <c r="S262" s="267"/>
      <c r="Z262" s="214">
        <f t="shared" si="128"/>
        <v>0</v>
      </c>
      <c r="AA262" s="214">
        <f t="shared" si="129"/>
        <v>0</v>
      </c>
    </row>
    <row r="263" spans="1:27" ht="13.15" customHeight="1">
      <c r="A263" s="282" t="s">
        <v>169</v>
      </c>
      <c r="B263" s="326">
        <f>(B242+B244)</f>
        <v>234.2</v>
      </c>
      <c r="C263" s="326">
        <f t="shared" ref="C263:I263" si="138">(C242+C244)</f>
        <v>234.2</v>
      </c>
      <c r="D263" s="326">
        <f t="shared" si="138"/>
        <v>861.3</v>
      </c>
      <c r="E263" s="326">
        <f t="shared" si="138"/>
        <v>1057.5</v>
      </c>
      <c r="F263" s="326">
        <f t="shared" si="138"/>
        <v>1057.5</v>
      </c>
      <c r="G263" s="327">
        <f t="shared" si="138"/>
        <v>9423</v>
      </c>
      <c r="H263" s="326">
        <f t="shared" si="138"/>
        <v>18462.8</v>
      </c>
      <c r="I263" s="326">
        <f t="shared" si="138"/>
        <v>39</v>
      </c>
      <c r="K263" s="328" t="s">
        <v>169</v>
      </c>
      <c r="L263" s="282">
        <f>B263/I263</f>
        <v>6.0051282051282051</v>
      </c>
      <c r="M263" s="281">
        <f>D263/I263</f>
        <v>22.084615384615383</v>
      </c>
      <c r="N263" s="281">
        <f>D263/B263</f>
        <v>3.6776259607173354</v>
      </c>
      <c r="O263" s="282">
        <f>(F263*3.6+G263)*100/H263</f>
        <v>71.657603397101198</v>
      </c>
      <c r="P263" s="282">
        <f>(E263*3.6+G263)*100/H263</f>
        <v>71.657603397101198</v>
      </c>
      <c r="Q263" s="281">
        <f>E263/(B263*8760)*1000</f>
        <v>0.51545336499654903</v>
      </c>
      <c r="R263" s="281">
        <f>G263/(D263*8761)*1000/3.6</f>
        <v>0.34687944271561322</v>
      </c>
      <c r="S263" s="281">
        <f>G263/(E263*3.6)</f>
        <v>2.4751773049645389</v>
      </c>
      <c r="Z263" s="214">
        <f t="shared" si="128"/>
        <v>0</v>
      </c>
      <c r="AA263" s="214">
        <f t="shared" si="129"/>
        <v>0</v>
      </c>
    </row>
    <row r="264" spans="1:27" ht="13.15" customHeight="1"/>
    <row r="265" spans="1:27" ht="13.15" customHeight="1">
      <c r="A265" s="251" t="s">
        <v>520</v>
      </c>
      <c r="B265" s="227" t="s">
        <v>476</v>
      </c>
      <c r="C265" s="228"/>
      <c r="D265" s="286"/>
      <c r="E265" s="227" t="s">
        <v>521</v>
      </c>
      <c r="F265" s="228"/>
      <c r="G265" s="286"/>
      <c r="H265" s="200" t="s">
        <v>138</v>
      </c>
      <c r="I265" s="200" t="s">
        <v>478</v>
      </c>
    </row>
    <row r="266" spans="1:27" ht="13.15" customHeight="1">
      <c r="A266" s="239"/>
      <c r="B266" s="243" t="s">
        <v>88</v>
      </c>
      <c r="C266" s="243"/>
      <c r="D266" s="241" t="s">
        <v>34</v>
      </c>
      <c r="E266" s="243" t="s">
        <v>88</v>
      </c>
      <c r="F266" s="243"/>
      <c r="G266" s="241" t="s">
        <v>34</v>
      </c>
      <c r="H266" s="241" t="s">
        <v>170</v>
      </c>
      <c r="I266" s="241" t="s">
        <v>483</v>
      </c>
    </row>
    <row r="267" spans="1:27" ht="13.15" customHeight="1">
      <c r="A267" s="239"/>
      <c r="B267" s="252" t="s">
        <v>0</v>
      </c>
      <c r="C267" s="252" t="s">
        <v>489</v>
      </c>
      <c r="D267" s="252" t="s">
        <v>490</v>
      </c>
      <c r="E267" s="252" t="s">
        <v>491</v>
      </c>
      <c r="F267" s="252" t="s">
        <v>489</v>
      </c>
      <c r="G267" s="252" t="s">
        <v>490</v>
      </c>
      <c r="H267" s="248"/>
      <c r="I267" s="241" t="s">
        <v>492</v>
      </c>
    </row>
    <row r="268" spans="1:27" ht="13.15" customHeight="1">
      <c r="A268" s="239"/>
      <c r="B268" s="257" t="s">
        <v>496</v>
      </c>
      <c r="C268" s="256" t="s">
        <v>496</v>
      </c>
      <c r="D268" s="252" t="s">
        <v>496</v>
      </c>
      <c r="E268" s="329" t="s">
        <v>473</v>
      </c>
      <c r="F268" s="329" t="s">
        <v>473</v>
      </c>
      <c r="G268" s="252" t="s">
        <v>496</v>
      </c>
      <c r="H268" s="257" t="s">
        <v>497</v>
      </c>
      <c r="I268" s="257" t="s">
        <v>498</v>
      </c>
    </row>
    <row r="269" spans="1:27" ht="13.15" customHeight="1">
      <c r="A269" s="251" t="s">
        <v>522</v>
      </c>
      <c r="B269" s="389">
        <v>234.28699999999998</v>
      </c>
      <c r="C269" s="389">
        <v>234.28699999999998</v>
      </c>
      <c r="D269" s="200">
        <v>861.3</v>
      </c>
      <c r="E269" s="389">
        <v>1056.6375199999998</v>
      </c>
      <c r="F269" s="389">
        <v>1056.6375199999998</v>
      </c>
      <c r="G269" s="200">
        <v>9423.1470059999992</v>
      </c>
      <c r="H269" s="200">
        <v>18462.589425260001</v>
      </c>
      <c r="I269" s="200">
        <v>39</v>
      </c>
    </row>
    <row r="270" spans="1:27" ht="13.15" customHeight="1">
      <c r="A270" s="239" t="s">
        <v>523</v>
      </c>
      <c r="B270" s="216"/>
      <c r="C270" s="204"/>
      <c r="D270" s="204"/>
      <c r="E270" s="216"/>
      <c r="F270" s="204"/>
      <c r="G270" s="204"/>
      <c r="H270" s="202"/>
      <c r="I270" s="216"/>
    </row>
    <row r="271" spans="1:27" ht="13.15" customHeight="1">
      <c r="A271" s="239" t="s">
        <v>524</v>
      </c>
      <c r="B271" s="216">
        <v>45.51</v>
      </c>
      <c r="C271" s="204">
        <v>45.51</v>
      </c>
      <c r="D271" s="204">
        <v>127.7877296985894</v>
      </c>
      <c r="E271" s="216">
        <v>84.011139999999997</v>
      </c>
      <c r="F271" s="204">
        <v>84.011139999999997</v>
      </c>
      <c r="G271" s="204">
        <v>1398.075656</v>
      </c>
      <c r="H271" s="202">
        <v>3074.7584332599999</v>
      </c>
      <c r="I271" s="216">
        <v>9</v>
      </c>
    </row>
    <row r="272" spans="1:27" ht="13.15" customHeight="1">
      <c r="A272" s="239" t="s">
        <v>525</v>
      </c>
      <c r="B272" s="216">
        <v>151.34899999999999</v>
      </c>
      <c r="C272" s="216">
        <v>151.34899999999999</v>
      </c>
      <c r="D272" s="204">
        <v>518.32770137089381</v>
      </c>
      <c r="E272" s="216">
        <v>835.97337999999991</v>
      </c>
      <c r="F272" s="216">
        <v>835.97337999999991</v>
      </c>
      <c r="G272" s="204">
        <v>5670.8209999999999</v>
      </c>
      <c r="H272" s="202">
        <v>11471.390992000001</v>
      </c>
      <c r="I272" s="216">
        <v>20</v>
      </c>
    </row>
    <row r="273" spans="1:27" ht="13.15" customHeight="1">
      <c r="A273" s="239" t="s">
        <v>267</v>
      </c>
      <c r="B273" s="216">
        <v>37.427999999999997</v>
      </c>
      <c r="C273" s="204">
        <v>37.427999999999997</v>
      </c>
      <c r="D273" s="204">
        <v>215.1845689305168</v>
      </c>
      <c r="E273" s="216">
        <v>136.65299999999999</v>
      </c>
      <c r="F273" s="204">
        <v>136.65299999999999</v>
      </c>
      <c r="G273" s="204">
        <v>2354.2503500000003</v>
      </c>
      <c r="H273" s="202">
        <v>3916.44</v>
      </c>
      <c r="I273" s="216">
        <v>10</v>
      </c>
    </row>
    <row r="274" spans="1:27" ht="13.15" customHeight="1">
      <c r="A274" s="312" t="s">
        <v>526</v>
      </c>
      <c r="B274" s="391"/>
      <c r="C274" s="391"/>
      <c r="D274" s="205"/>
      <c r="E274" s="391"/>
      <c r="F274" s="391"/>
      <c r="G274" s="205"/>
      <c r="H274" s="205"/>
      <c r="I274" s="391"/>
    </row>
    <row r="275" spans="1:27" ht="13.15" customHeight="1">
      <c r="A275" s="239" t="s">
        <v>527</v>
      </c>
      <c r="B275" s="216"/>
      <c r="C275" s="204"/>
      <c r="D275" s="204"/>
      <c r="E275" s="216"/>
      <c r="F275" s="204"/>
      <c r="G275" s="204"/>
      <c r="H275" s="202"/>
      <c r="I275" s="216"/>
    </row>
    <row r="276" spans="1:27" ht="13.15" customHeight="1">
      <c r="A276" s="239" t="s">
        <v>528</v>
      </c>
      <c r="B276" s="204"/>
      <c r="C276" s="204"/>
      <c r="D276" s="204"/>
      <c r="E276" s="204"/>
      <c r="F276" s="204"/>
      <c r="G276" s="204"/>
      <c r="H276" s="202"/>
      <c r="I276" s="204"/>
    </row>
    <row r="277" spans="1:27" ht="13.15" customHeight="1">
      <c r="A277" s="239" t="s">
        <v>529</v>
      </c>
      <c r="B277" s="204"/>
      <c r="C277" s="204"/>
      <c r="D277" s="204"/>
      <c r="E277" s="204"/>
      <c r="F277" s="204"/>
      <c r="G277" s="204"/>
      <c r="H277" s="202"/>
      <c r="I277" s="204"/>
    </row>
    <row r="278" spans="1:27" ht="13.15" customHeight="1">
      <c r="A278" s="239" t="s">
        <v>530</v>
      </c>
      <c r="B278" s="204"/>
      <c r="C278" s="204"/>
      <c r="D278" s="204"/>
      <c r="E278" s="204"/>
      <c r="F278" s="204"/>
      <c r="G278" s="204"/>
      <c r="H278" s="202"/>
      <c r="I278" s="204"/>
    </row>
    <row r="279" spans="1:27" ht="13.15" customHeight="1">
      <c r="A279" s="282" t="s">
        <v>169</v>
      </c>
      <c r="B279" s="360">
        <f t="shared" ref="B279:I279" si="139">SUM(B270:B278)</f>
        <v>234.28699999999998</v>
      </c>
      <c r="C279" s="360">
        <f t="shared" si="139"/>
        <v>234.28699999999998</v>
      </c>
      <c r="D279" s="360">
        <f t="shared" si="139"/>
        <v>861.3</v>
      </c>
      <c r="E279" s="360">
        <f t="shared" si="139"/>
        <v>1056.6375199999998</v>
      </c>
      <c r="F279" s="360">
        <f t="shared" si="139"/>
        <v>1056.6375199999998</v>
      </c>
      <c r="G279" s="360">
        <f t="shared" si="139"/>
        <v>9423.1470059999992</v>
      </c>
      <c r="H279" s="360">
        <f t="shared" si="139"/>
        <v>18462.589425260001</v>
      </c>
      <c r="I279" s="360">
        <f t="shared" si="139"/>
        <v>39</v>
      </c>
    </row>
    <row r="280" spans="1:27" ht="13.15" customHeight="1"/>
    <row r="281" spans="1:27" ht="13.15" customHeight="1"/>
    <row r="282" spans="1:27" ht="13.15" customHeight="1">
      <c r="A282" s="221" t="s">
        <v>184</v>
      </c>
      <c r="D282" s="220"/>
      <c r="I282" s="221">
        <v>2002</v>
      </c>
      <c r="K282" s="221" t="str">
        <f>+A282</f>
        <v>Spain</v>
      </c>
      <c r="M282" s="220"/>
      <c r="S282" s="221">
        <v>2002</v>
      </c>
    </row>
    <row r="283" spans="1:27" ht="12.75" customHeight="1" thickBot="1">
      <c r="B283" s="223"/>
      <c r="C283" s="223"/>
      <c r="D283" s="223"/>
    </row>
    <row r="284" spans="1:27" ht="13.15" customHeight="1">
      <c r="A284" s="224" t="s">
        <v>475</v>
      </c>
      <c r="B284" s="225" t="s">
        <v>476</v>
      </c>
      <c r="C284" s="225"/>
      <c r="D284" s="226"/>
      <c r="E284" s="227" t="s">
        <v>477</v>
      </c>
      <c r="F284" s="228"/>
      <c r="G284" s="229"/>
      <c r="H284" s="200" t="s">
        <v>138</v>
      </c>
      <c r="I284" s="200" t="s">
        <v>478</v>
      </c>
      <c r="J284" s="230"/>
      <c r="K284" s="231" t="s">
        <v>475</v>
      </c>
      <c r="L284" s="232" t="s">
        <v>479</v>
      </c>
      <c r="M284" s="233"/>
      <c r="N284" s="234"/>
      <c r="O284" s="235" t="s">
        <v>480</v>
      </c>
      <c r="P284" s="233"/>
      <c r="Q284" s="233"/>
      <c r="R284" s="236"/>
      <c r="S284" s="237"/>
      <c r="T284" s="238"/>
    </row>
    <row r="285" spans="1:27" ht="13.15" customHeight="1">
      <c r="A285" s="239"/>
      <c r="B285" s="240" t="s">
        <v>481</v>
      </c>
      <c r="C285" s="240"/>
      <c r="D285" s="241" t="s">
        <v>34</v>
      </c>
      <c r="E285" s="242" t="s">
        <v>482</v>
      </c>
      <c r="F285" s="243"/>
      <c r="G285" s="244" t="s">
        <v>34</v>
      </c>
      <c r="H285" s="241" t="s">
        <v>170</v>
      </c>
      <c r="I285" s="241" t="s">
        <v>483</v>
      </c>
      <c r="J285" s="230"/>
      <c r="K285" s="245"/>
      <c r="L285" s="246" t="s">
        <v>484</v>
      </c>
      <c r="M285" s="247"/>
      <c r="N285" s="248" t="s">
        <v>485</v>
      </c>
      <c r="O285" s="248" t="s">
        <v>486</v>
      </c>
      <c r="P285" s="248" t="s">
        <v>486</v>
      </c>
      <c r="Q285" s="247" t="s">
        <v>487</v>
      </c>
      <c r="R285" s="249"/>
      <c r="S285" s="250" t="s">
        <v>485</v>
      </c>
      <c r="T285" s="230"/>
      <c r="U285" s="214" t="str">
        <f>A282</f>
        <v>Spain</v>
      </c>
    </row>
    <row r="286" spans="1:27" ht="13.15" customHeight="1">
      <c r="A286" s="251" t="s">
        <v>488</v>
      </c>
      <c r="B286" s="252" t="s">
        <v>0</v>
      </c>
      <c r="C286" s="252" t="s">
        <v>489</v>
      </c>
      <c r="D286" s="252" t="s">
        <v>490</v>
      </c>
      <c r="E286" s="252" t="s">
        <v>491</v>
      </c>
      <c r="F286" s="252" t="s">
        <v>489</v>
      </c>
      <c r="G286" s="230" t="s">
        <v>490</v>
      </c>
      <c r="H286" s="248"/>
      <c r="I286" s="241" t="s">
        <v>492</v>
      </c>
      <c r="J286" s="230"/>
      <c r="K286" s="253" t="s">
        <v>488</v>
      </c>
      <c r="L286" s="254" t="s">
        <v>88</v>
      </c>
      <c r="M286" s="252" t="s">
        <v>34</v>
      </c>
      <c r="N286" s="252" t="s">
        <v>493</v>
      </c>
      <c r="O286" s="248" t="s">
        <v>494</v>
      </c>
      <c r="P286" s="248" t="s">
        <v>495</v>
      </c>
      <c r="Q286" s="230" t="s">
        <v>88</v>
      </c>
      <c r="R286" s="248" t="s">
        <v>34</v>
      </c>
      <c r="S286" s="255" t="s">
        <v>88</v>
      </c>
      <c r="T286" s="230"/>
      <c r="U286" s="214" t="s">
        <v>547</v>
      </c>
      <c r="V286" s="214">
        <f>G314/1000</f>
        <v>160.20621471959996</v>
      </c>
    </row>
    <row r="287" spans="1:27" ht="13.15" customHeight="1">
      <c r="A287" s="239"/>
      <c r="B287" s="252" t="s">
        <v>496</v>
      </c>
      <c r="C287" s="252" t="s">
        <v>496</v>
      </c>
      <c r="D287" s="252" t="s">
        <v>496</v>
      </c>
      <c r="E287" s="256" t="s">
        <v>473</v>
      </c>
      <c r="F287" s="256" t="s">
        <v>473</v>
      </c>
      <c r="G287" s="230" t="s">
        <v>451</v>
      </c>
      <c r="H287" s="257" t="s">
        <v>497</v>
      </c>
      <c r="I287" s="257" t="s">
        <v>498</v>
      </c>
      <c r="J287" s="230"/>
      <c r="K287" s="245"/>
      <c r="L287" s="258" t="s">
        <v>496</v>
      </c>
      <c r="M287" s="256" t="s">
        <v>496</v>
      </c>
      <c r="N287" s="256"/>
      <c r="O287" s="257" t="s">
        <v>79</v>
      </c>
      <c r="P287" s="257" t="s">
        <v>79</v>
      </c>
      <c r="Q287" s="259"/>
      <c r="R287" s="257"/>
      <c r="S287" s="260"/>
      <c r="T287" s="230"/>
      <c r="U287" s="214" t="s">
        <v>548</v>
      </c>
      <c r="V287" s="214">
        <f>G320/1000</f>
        <v>1.3788555912</v>
      </c>
    </row>
    <row r="288" spans="1:27" ht="13.15" customHeight="1">
      <c r="A288" s="261" t="s">
        <v>262</v>
      </c>
      <c r="B288" s="262">
        <v>29.5</v>
      </c>
      <c r="C288" s="262">
        <v>29.5</v>
      </c>
      <c r="D288" s="262">
        <v>33.790396158883453</v>
      </c>
      <c r="E288" s="262">
        <v>215.59100000000001</v>
      </c>
      <c r="F288" s="263">
        <v>215.59100000000001</v>
      </c>
      <c r="G288" s="262">
        <v>1599.4706436000001</v>
      </c>
      <c r="H288" s="262">
        <v>2638.646964</v>
      </c>
      <c r="I288" s="264">
        <v>2</v>
      </c>
      <c r="J288" s="230"/>
      <c r="K288" s="265" t="s">
        <v>262</v>
      </c>
      <c r="L288" s="266">
        <f>C288/I288</f>
        <v>14.75</v>
      </c>
      <c r="M288" s="267">
        <f>D288/I288</f>
        <v>16.895198079441727</v>
      </c>
      <c r="N288" s="267">
        <f>D288/C288</f>
        <v>1.1454371579282527</v>
      </c>
      <c r="O288" s="239">
        <f>(F288*3.6+G288)*100/H288</f>
        <v>90.030924030805664</v>
      </c>
      <c r="P288" s="239">
        <f>(F288*3.6+G288)*100/H288</f>
        <v>90.030924030805664</v>
      </c>
      <c r="Q288" s="267">
        <f>F288/(C288*8760)*1000</f>
        <v>0.83426592369011687</v>
      </c>
      <c r="R288" s="267">
        <f>G288/(D288*8761)*1000/3.6</f>
        <v>1.5008137811838682</v>
      </c>
      <c r="S288" s="268">
        <f>G288/(F288*3.6)</f>
        <v>2.0608346405926037</v>
      </c>
      <c r="T288" s="269"/>
      <c r="U288" s="214" t="s">
        <v>549</v>
      </c>
      <c r="V288" s="214">
        <f>G322/1000</f>
        <v>26.337563629199998</v>
      </c>
      <c r="Z288" s="214">
        <f t="shared" ref="Z288:Z293" si="140">C288-B288</f>
        <v>0</v>
      </c>
      <c r="AA288" s="214">
        <f t="shared" ref="AA288:AA293" si="141">F288-E288</f>
        <v>0</v>
      </c>
    </row>
    <row r="289" spans="1:27" ht="13.15" customHeight="1">
      <c r="A289" s="239" t="s">
        <v>263</v>
      </c>
      <c r="B289" s="262">
        <v>551.69199999999989</v>
      </c>
      <c r="C289" s="262">
        <v>551.69199999999989</v>
      </c>
      <c r="D289" s="262">
        <v>4671.1437758513503</v>
      </c>
      <c r="E289" s="262">
        <v>2385.1960000000004</v>
      </c>
      <c r="F289" s="263">
        <v>2385.1960000000004</v>
      </c>
      <c r="G289" s="262">
        <v>34044.712991999993</v>
      </c>
      <c r="H289" s="262">
        <v>54049.222751076006</v>
      </c>
      <c r="I289" s="270">
        <v>30</v>
      </c>
      <c r="J289" s="230"/>
      <c r="K289" s="245" t="s">
        <v>263</v>
      </c>
      <c r="L289" s="266">
        <f>C289/I289</f>
        <v>18.389733333333329</v>
      </c>
      <c r="M289" s="267">
        <f>D289/I289</f>
        <v>155.70479252837833</v>
      </c>
      <c r="N289" s="267">
        <f>D289/C289</f>
        <v>8.4669412930608949</v>
      </c>
      <c r="O289" s="239">
        <f>(F289*3.6+G289)*100/H289</f>
        <v>78.875174187683015</v>
      </c>
      <c r="P289" s="239">
        <f>(F289*3.6+G289)*100/H289</f>
        <v>78.875174187683015</v>
      </c>
      <c r="Q289" s="267">
        <f>F289/(C289*8760)*1000</f>
        <v>0.49354104899441464</v>
      </c>
      <c r="R289" s="267">
        <f>G289/(D289*8761)*1000/3.6</f>
        <v>0.23108420476826105</v>
      </c>
      <c r="S289" s="268">
        <f>G289/(F289*3.6)</f>
        <v>3.9648166104588456</v>
      </c>
      <c r="T289" s="269"/>
      <c r="U289" s="214" t="s">
        <v>550</v>
      </c>
      <c r="V289" s="214">
        <f>G327/1000</f>
        <v>47.047410730799996</v>
      </c>
      <c r="Z289" s="214">
        <f t="shared" si="140"/>
        <v>0</v>
      </c>
      <c r="AA289" s="214">
        <f t="shared" si="141"/>
        <v>0</v>
      </c>
    </row>
    <row r="290" spans="1:27" ht="13.15" customHeight="1">
      <c r="A290" s="239" t="s">
        <v>499</v>
      </c>
      <c r="B290" s="262"/>
      <c r="C290" s="262"/>
      <c r="D290" s="262"/>
      <c r="E290" s="262"/>
      <c r="F290" s="263"/>
      <c r="G290" s="262"/>
      <c r="H290" s="262"/>
      <c r="I290" s="270"/>
      <c r="J290" s="230"/>
      <c r="K290" s="245" t="s">
        <v>499</v>
      </c>
      <c r="L290" s="266" t="e">
        <f>C290/I290</f>
        <v>#DIV/0!</v>
      </c>
      <c r="M290" s="267" t="e">
        <f>D290/I290</f>
        <v>#DIV/0!</v>
      </c>
      <c r="N290" s="267" t="e">
        <f>D290/C290</f>
        <v>#DIV/0!</v>
      </c>
      <c r="O290" s="239" t="e">
        <f>(F290*3.6+G290)*100/H290</f>
        <v>#DIV/0!</v>
      </c>
      <c r="P290" s="239" t="e">
        <f>(F290*3.6+G290)*100/H290</f>
        <v>#DIV/0!</v>
      </c>
      <c r="Q290" s="267" t="e">
        <f>F290/(C290*8760)*1000</f>
        <v>#DIV/0!</v>
      </c>
      <c r="R290" s="267" t="e">
        <f>G290/(D290*8761)*1000/3.6</f>
        <v>#DIV/0!</v>
      </c>
      <c r="S290" s="268" t="e">
        <f>G290/(F290*3.6)</f>
        <v>#DIV/0!</v>
      </c>
      <c r="T290" s="269"/>
      <c r="U290" s="214" t="s">
        <v>551</v>
      </c>
      <c r="V290" s="214">
        <f>G318/1000</f>
        <v>18.917503142399998</v>
      </c>
      <c r="Z290" s="214">
        <f t="shared" si="140"/>
        <v>0</v>
      </c>
      <c r="AA290" s="214">
        <f t="shared" si="141"/>
        <v>0</v>
      </c>
    </row>
    <row r="291" spans="1:27" ht="13.15" customHeight="1">
      <c r="A291" s="239" t="s">
        <v>265</v>
      </c>
      <c r="B291" s="262">
        <v>375.58300000000003</v>
      </c>
      <c r="C291" s="262">
        <v>375.58300000000003</v>
      </c>
      <c r="D291" s="262">
        <v>1071.7753519008681</v>
      </c>
      <c r="E291" s="262">
        <v>2403.1929999999998</v>
      </c>
      <c r="F291" s="263">
        <v>2403.1929999999998</v>
      </c>
      <c r="G291" s="262">
        <v>17213.643014400001</v>
      </c>
      <c r="H291" s="262">
        <v>32249.777236128008</v>
      </c>
      <c r="I291" s="271">
        <v>34</v>
      </c>
      <c r="J291" s="230"/>
      <c r="K291" s="245" t="s">
        <v>265</v>
      </c>
      <c r="L291" s="266">
        <f>C291/I291</f>
        <v>11.046558823529413</v>
      </c>
      <c r="M291" s="267">
        <f>D291/I291</f>
        <v>31.522804467672593</v>
      </c>
      <c r="N291" s="267">
        <f>D291/C291</f>
        <v>2.8536311598258388</v>
      </c>
      <c r="O291" s="239">
        <f>(F291*3.6+G291)*100/H291</f>
        <v>80.202531710589369</v>
      </c>
      <c r="P291" s="239">
        <f>(F291*3.6+G291)*100/H291</f>
        <v>80.202531710589369</v>
      </c>
      <c r="Q291" s="267">
        <f>F291/(C291*8760)*1000</f>
        <v>0.73043002600389528</v>
      </c>
      <c r="R291" s="267">
        <f>G291/(D291*8761)*1000/3.6</f>
        <v>0.50922866885563411</v>
      </c>
      <c r="S291" s="268">
        <f>G291/(F291*3.6)</f>
        <v>1.9896726996125575</v>
      </c>
      <c r="T291" s="269"/>
      <c r="U291" s="214" t="s">
        <v>552</v>
      </c>
      <c r="V291" s="214">
        <f>(G315+G316+G317+G319+G321+G323+G324+G325+G326+G328+G329+G330+G331+G332)/1000</f>
        <v>66.524881625999981</v>
      </c>
      <c r="Z291" s="214">
        <f t="shared" si="140"/>
        <v>0</v>
      </c>
      <c r="AA291" s="214">
        <f t="shared" si="141"/>
        <v>0</v>
      </c>
    </row>
    <row r="292" spans="1:27" ht="13.15" customHeight="1">
      <c r="A292" s="239" t="s">
        <v>266</v>
      </c>
      <c r="B292" s="262">
        <v>150.22099999999998</v>
      </c>
      <c r="C292" s="262">
        <v>150.22099999999998</v>
      </c>
      <c r="D292" s="262">
        <v>188.31507211088092</v>
      </c>
      <c r="E292" s="262">
        <v>644.36300000000006</v>
      </c>
      <c r="F292" s="263">
        <v>644.36300000000006</v>
      </c>
      <c r="G292" s="262">
        <v>3631.2618816000004</v>
      </c>
      <c r="H292" s="262">
        <v>7544.7392039999995</v>
      </c>
      <c r="I292" s="271">
        <v>39</v>
      </c>
      <c r="J292" s="230"/>
      <c r="K292" s="245" t="s">
        <v>266</v>
      </c>
      <c r="L292" s="266">
        <f>C292/I292</f>
        <v>3.8518205128205123</v>
      </c>
      <c r="M292" s="267">
        <f>D292/I292</f>
        <v>4.8285915925866902</v>
      </c>
      <c r="N292" s="267">
        <f>D292/C292</f>
        <v>1.2535868627614046</v>
      </c>
      <c r="O292" s="239">
        <f>(F292*3.6+G292)*100/H292</f>
        <v>78.875737393877998</v>
      </c>
      <c r="P292" s="239">
        <f>(F292*3.6+G292)*100/H292</f>
        <v>78.875737393877998</v>
      </c>
      <c r="Q292" s="267">
        <f>F292/(C292*8760)*1000</f>
        <v>0.48966136619596606</v>
      </c>
      <c r="R292" s="267">
        <f>G292/(D292*8761)*1000/3.6</f>
        <v>0.6113871530809849</v>
      </c>
      <c r="S292" s="268">
        <f>G292/(F292*3.6)</f>
        <v>1.5653969206798031</v>
      </c>
      <c r="T292" s="269"/>
      <c r="Z292" s="214">
        <f t="shared" si="140"/>
        <v>0</v>
      </c>
      <c r="AA292" s="214">
        <f t="shared" si="141"/>
        <v>0</v>
      </c>
    </row>
    <row r="293" spans="1:27" ht="13.15" customHeight="1">
      <c r="A293" s="272" t="s">
        <v>267</v>
      </c>
      <c r="B293" s="262"/>
      <c r="C293" s="262"/>
      <c r="D293" s="262"/>
      <c r="E293" s="262"/>
      <c r="F293" s="263"/>
      <c r="G293" s="262"/>
      <c r="H293" s="262"/>
      <c r="I293" s="273"/>
      <c r="J293" s="230"/>
      <c r="K293" s="245" t="s">
        <v>267</v>
      </c>
      <c r="L293" s="266"/>
      <c r="M293" s="267"/>
      <c r="N293" s="267"/>
      <c r="O293" s="239"/>
      <c r="P293" s="272"/>
      <c r="Q293" s="272"/>
      <c r="R293" s="274"/>
      <c r="S293" s="275"/>
      <c r="T293" s="269"/>
      <c r="U293" s="214" t="s">
        <v>553</v>
      </c>
      <c r="V293" s="214">
        <f>H314/1000</f>
        <v>352.04694227650441</v>
      </c>
      <c r="Z293" s="214">
        <f t="shared" si="140"/>
        <v>0</v>
      </c>
      <c r="AA293" s="214">
        <f t="shared" si="141"/>
        <v>0</v>
      </c>
    </row>
    <row r="294" spans="1:27" ht="13.15" customHeight="1">
      <c r="A294" s="276" t="s">
        <v>500</v>
      </c>
      <c r="B294" s="277">
        <f t="shared" ref="B294:I294" si="142">SUM(B288:B293)</f>
        <v>1106.9959999999999</v>
      </c>
      <c r="C294" s="277">
        <f t="shared" si="142"/>
        <v>1106.9959999999999</v>
      </c>
      <c r="D294" s="277">
        <f t="shared" si="142"/>
        <v>5965.0245960219836</v>
      </c>
      <c r="E294" s="277">
        <f t="shared" si="142"/>
        <v>5648.3429999999998</v>
      </c>
      <c r="F294" s="277">
        <f t="shared" si="142"/>
        <v>5648.3429999999998</v>
      </c>
      <c r="G294" s="277">
        <f t="shared" si="142"/>
        <v>56489.088531599991</v>
      </c>
      <c r="H294" s="277">
        <f t="shared" si="142"/>
        <v>96482.386155204018</v>
      </c>
      <c r="I294" s="278">
        <f t="shared" si="142"/>
        <v>105</v>
      </c>
      <c r="J294" s="244"/>
      <c r="K294" s="279" t="s">
        <v>169</v>
      </c>
      <c r="L294" s="280">
        <f>C294/I294</f>
        <v>10.542819047619046</v>
      </c>
      <c r="M294" s="281">
        <f>D294/I294</f>
        <v>56.809758057352227</v>
      </c>
      <c r="N294" s="281">
        <f>D294/C294</f>
        <v>5.3884789068993788</v>
      </c>
      <c r="O294" s="282">
        <f>(F294*3.6+G294)*100/H294</f>
        <v>79.623987748416951</v>
      </c>
      <c r="P294" s="282">
        <f>(F294*3.6+G294)*100/H294</f>
        <v>79.623987748416951</v>
      </c>
      <c r="Q294" s="283">
        <f>F294/(C294*8760)*1000</f>
        <v>0.58246643501749795</v>
      </c>
      <c r="R294" s="283">
        <f>G294/(D294*8761)*1000/3.6</f>
        <v>0.30025907852970823</v>
      </c>
      <c r="S294" s="284">
        <f>G294/(F294*3.6)</f>
        <v>2.7780560566169576</v>
      </c>
      <c r="U294" s="214" t="s">
        <v>554</v>
      </c>
      <c r="V294" s="214">
        <f>H320/1000</f>
        <v>2.9712758059512003</v>
      </c>
    </row>
    <row r="295" spans="1:27" ht="13.15" customHeight="1">
      <c r="A295" s="285" t="s">
        <v>501</v>
      </c>
      <c r="B295" s="228" t="s">
        <v>476</v>
      </c>
      <c r="C295" s="228"/>
      <c r="D295" s="286"/>
      <c r="E295" s="227" t="s">
        <v>477</v>
      </c>
      <c r="F295" s="228"/>
      <c r="G295" s="229"/>
      <c r="H295" s="200" t="s">
        <v>138</v>
      </c>
      <c r="I295" s="200" t="s">
        <v>478</v>
      </c>
      <c r="J295" s="244"/>
      <c r="K295" s="287" t="s">
        <v>501</v>
      </c>
      <c r="L295" s="288" t="s">
        <v>479</v>
      </c>
      <c r="M295" s="228"/>
      <c r="N295" s="286"/>
      <c r="O295" s="227" t="s">
        <v>480</v>
      </c>
      <c r="P295" s="228"/>
      <c r="Q295" s="228"/>
      <c r="R295" s="229"/>
      <c r="S295" s="289"/>
      <c r="T295" s="269"/>
      <c r="U295" s="214" t="s">
        <v>555</v>
      </c>
      <c r="V295" s="214">
        <f>H322/1000</f>
        <v>56.255357181016805</v>
      </c>
    </row>
    <row r="296" spans="1:27" ht="13.15" customHeight="1">
      <c r="A296" s="239"/>
      <c r="B296" s="240" t="s">
        <v>481</v>
      </c>
      <c r="C296" s="240"/>
      <c r="D296" s="241" t="s">
        <v>34</v>
      </c>
      <c r="E296" s="242" t="s">
        <v>482</v>
      </c>
      <c r="F296" s="243"/>
      <c r="G296" s="244" t="s">
        <v>34</v>
      </c>
      <c r="H296" s="241" t="s">
        <v>170</v>
      </c>
      <c r="I296" s="241" t="s">
        <v>483</v>
      </c>
      <c r="J296" s="244"/>
      <c r="K296" s="245"/>
      <c r="L296" s="246" t="s">
        <v>484</v>
      </c>
      <c r="M296" s="247"/>
      <c r="N296" s="248" t="s">
        <v>485</v>
      </c>
      <c r="O296" s="248" t="s">
        <v>486</v>
      </c>
      <c r="P296" s="248" t="s">
        <v>486</v>
      </c>
      <c r="Q296" s="247" t="s">
        <v>487</v>
      </c>
      <c r="R296" s="249"/>
      <c r="S296" s="250" t="s">
        <v>485</v>
      </c>
      <c r="T296" s="269"/>
      <c r="U296" s="214" t="s">
        <v>556</v>
      </c>
      <c r="V296" s="214">
        <f>H327/1000</f>
        <v>85.049155509173985</v>
      </c>
    </row>
    <row r="297" spans="1:27" ht="13.15" customHeight="1">
      <c r="A297" s="251" t="s">
        <v>488</v>
      </c>
      <c r="B297" s="252" t="s">
        <v>0</v>
      </c>
      <c r="C297" s="252" t="s">
        <v>489</v>
      </c>
      <c r="D297" s="252" t="s">
        <v>490</v>
      </c>
      <c r="E297" s="252" t="s">
        <v>491</v>
      </c>
      <c r="F297" s="252" t="s">
        <v>489</v>
      </c>
      <c r="G297" s="230" t="s">
        <v>490</v>
      </c>
      <c r="H297" s="248"/>
      <c r="I297" s="241" t="s">
        <v>492</v>
      </c>
      <c r="J297" s="244"/>
      <c r="K297" s="253" t="s">
        <v>488</v>
      </c>
      <c r="L297" s="254" t="s">
        <v>88</v>
      </c>
      <c r="M297" s="252" t="s">
        <v>34</v>
      </c>
      <c r="N297" s="252" t="s">
        <v>493</v>
      </c>
      <c r="O297" s="248" t="s">
        <v>494</v>
      </c>
      <c r="P297" s="248" t="s">
        <v>495</v>
      </c>
      <c r="Q297" s="230" t="s">
        <v>88</v>
      </c>
      <c r="R297" s="248" t="s">
        <v>34</v>
      </c>
      <c r="S297" s="255" t="s">
        <v>88</v>
      </c>
      <c r="T297" s="269"/>
      <c r="U297" s="214" t="s">
        <v>557</v>
      </c>
      <c r="V297" s="214">
        <f>H318/1000</f>
        <v>44.528244006582007</v>
      </c>
    </row>
    <row r="298" spans="1:27" ht="13.15" customHeight="1">
      <c r="A298" s="239"/>
      <c r="B298" s="252" t="s">
        <v>496</v>
      </c>
      <c r="C298" s="252" t="s">
        <v>496</v>
      </c>
      <c r="D298" s="252" t="s">
        <v>496</v>
      </c>
      <c r="E298" s="256" t="s">
        <v>473</v>
      </c>
      <c r="F298" s="256" t="s">
        <v>473</v>
      </c>
      <c r="G298" s="230" t="s">
        <v>451</v>
      </c>
      <c r="H298" s="257" t="s">
        <v>497</v>
      </c>
      <c r="I298" s="257" t="s">
        <v>498</v>
      </c>
      <c r="J298" s="244"/>
      <c r="K298" s="245"/>
      <c r="L298" s="258" t="s">
        <v>496</v>
      </c>
      <c r="M298" s="256" t="s">
        <v>496</v>
      </c>
      <c r="N298" s="256"/>
      <c r="O298" s="257" t="s">
        <v>79</v>
      </c>
      <c r="P298" s="257" t="s">
        <v>79</v>
      </c>
      <c r="Q298" s="259"/>
      <c r="R298" s="257"/>
      <c r="S298" s="260"/>
      <c r="T298" s="269"/>
      <c r="U298" s="214" t="s">
        <v>558</v>
      </c>
      <c r="V298" s="214">
        <f>(H315+H316+H317+H319+H321+H323+H324+H325+H326+H328+H329+H330+H331+H332)/1000</f>
        <v>163.24290977378035</v>
      </c>
    </row>
    <row r="299" spans="1:27" ht="13.15" customHeight="1">
      <c r="A299" s="261" t="s">
        <v>533</v>
      </c>
      <c r="B299" s="262">
        <v>738.55112611801019</v>
      </c>
      <c r="C299" s="372">
        <v>1028.2380000000001</v>
      </c>
      <c r="D299" s="372">
        <v>2830.1510855164606</v>
      </c>
      <c r="E299" s="372">
        <v>5438.3900671000001</v>
      </c>
      <c r="F299" s="372">
        <v>6321.6819999999998</v>
      </c>
      <c r="G299" s="262">
        <v>37207.798523999998</v>
      </c>
      <c r="H299" s="262">
        <v>81553.84556754239</v>
      </c>
      <c r="I299" s="264">
        <v>43</v>
      </c>
      <c r="J299" s="244"/>
      <c r="K299" s="265" t="s">
        <v>262</v>
      </c>
      <c r="L299" s="266">
        <f>B299/I299</f>
        <v>17.175607584139772</v>
      </c>
      <c r="M299" s="267">
        <f>D299/I299</f>
        <v>65.81746710503397</v>
      </c>
      <c r="N299" s="267">
        <f>D299/B299</f>
        <v>3.832031372550154</v>
      </c>
      <c r="O299" s="239">
        <f>(F299*3.6+G299)*100/H299</f>
        <v>73.529155255268307</v>
      </c>
      <c r="P299" s="267">
        <f>(E299*3.6+G299)*100/H299</f>
        <v>69.630073689817834</v>
      </c>
      <c r="Q299" s="267">
        <f>E299/(B299*8760)*1000</f>
        <v>0.84059283367246074</v>
      </c>
      <c r="R299" s="267">
        <f>G299/(D299*8761)*1000/3.6</f>
        <v>0.41683883469345362</v>
      </c>
      <c r="S299" s="268">
        <f>G299/(E299*3.6)</f>
        <v>1.9004704448335688</v>
      </c>
      <c r="T299" s="269"/>
      <c r="Z299" s="214">
        <f t="shared" ref="Z299:Z306" si="143">C299-B299</f>
        <v>289.68687388198987</v>
      </c>
      <c r="AA299" s="214">
        <f t="shared" ref="AA299:AA306" si="144">F299-E299</f>
        <v>883.29193289999967</v>
      </c>
    </row>
    <row r="300" spans="1:27" ht="13.15" customHeight="1">
      <c r="A300" s="239" t="s">
        <v>263</v>
      </c>
      <c r="B300" s="262">
        <v>120.32627336108595</v>
      </c>
      <c r="C300" s="262">
        <v>265.82100000000003</v>
      </c>
      <c r="D300" s="262">
        <v>603.73200420801265</v>
      </c>
      <c r="E300" s="262">
        <v>568.86908572000004</v>
      </c>
      <c r="F300" s="262">
        <v>1601.9610000000002</v>
      </c>
      <c r="G300" s="262">
        <v>9230.0392475999997</v>
      </c>
      <c r="H300" s="262">
        <v>20539.343523456002</v>
      </c>
      <c r="I300" s="270">
        <v>12</v>
      </c>
      <c r="J300" s="244"/>
      <c r="K300" s="245" t="s">
        <v>263</v>
      </c>
      <c r="L300" s="266">
        <f>B300/I300</f>
        <v>10.027189446757163</v>
      </c>
      <c r="M300" s="267">
        <f>D300/I300</f>
        <v>50.311000350667719</v>
      </c>
      <c r="N300" s="267">
        <f>D300/B300</f>
        <v>5.0174578447740927</v>
      </c>
      <c r="O300" s="239">
        <f>(F300*3.6+G300)*100/H300</f>
        <v>73.016446852224192</v>
      </c>
      <c r="P300" s="267">
        <f>(E300*3.6+G300)*100/H300</f>
        <v>54.90909650209862</v>
      </c>
      <c r="Q300" s="267">
        <f>E300/(B300*8760)*1000</f>
        <v>0.53969421251962124</v>
      </c>
      <c r="R300" s="267">
        <f>G300/(D300*8761)*1000/3.6</f>
        <v>0.48473364847107564</v>
      </c>
      <c r="S300" s="268">
        <f>G300/(E300*3.6)</f>
        <v>4.5070119916165794</v>
      </c>
      <c r="T300" s="269"/>
      <c r="U300" s="239" t="s">
        <v>152</v>
      </c>
      <c r="V300" s="492">
        <f>B315/1000</f>
        <v>3.1313868613138682E-3</v>
      </c>
      <c r="Z300" s="214">
        <f t="shared" si="143"/>
        <v>145.49472663891407</v>
      </c>
      <c r="AA300" s="214">
        <f t="shared" si="144"/>
        <v>1033.0919142800003</v>
      </c>
    </row>
    <row r="301" spans="1:27" ht="13.15" customHeight="1">
      <c r="A301" s="239" t="s">
        <v>499</v>
      </c>
      <c r="B301" s="262">
        <v>126.75849547080777</v>
      </c>
      <c r="C301" s="262">
        <v>203.761</v>
      </c>
      <c r="D301" s="262">
        <v>422.52831823602588</v>
      </c>
      <c r="E301" s="262">
        <v>656.21652875999996</v>
      </c>
      <c r="F301" s="262">
        <v>1282.9839999999999</v>
      </c>
      <c r="G301" s="262">
        <v>7875.9527651999988</v>
      </c>
      <c r="H301" s="262">
        <v>16712.528271840001</v>
      </c>
      <c r="I301" s="270">
        <v>7</v>
      </c>
      <c r="J301" s="244"/>
      <c r="K301" s="245" t="s">
        <v>499</v>
      </c>
      <c r="L301" s="266">
        <f>B301/I301</f>
        <v>18.108356495829682</v>
      </c>
      <c r="M301" s="267">
        <f>D301/I301</f>
        <v>60.361188319432266</v>
      </c>
      <c r="N301" s="267">
        <f>D301/B301</f>
        <v>3.333333333333333</v>
      </c>
      <c r="O301" s="239">
        <f>(F301*3.6+G301)*100/H301</f>
        <v>74.762447440421695</v>
      </c>
      <c r="P301" s="267">
        <f>(E301*3.6+G301)*100/H301</f>
        <v>61.2614207868669</v>
      </c>
      <c r="Q301" s="267">
        <f>E301/(B301*8760)*1000</f>
        <v>0.59097074610740663</v>
      </c>
      <c r="R301" s="267">
        <f>G301/(D301*8761)*1000/3.6</f>
        <v>0.59100492594682064</v>
      </c>
      <c r="S301" s="268">
        <f>G301/(E301*3.6)</f>
        <v>3.3339066620800364</v>
      </c>
      <c r="T301" s="269"/>
      <c r="U301" s="239" t="s">
        <v>504</v>
      </c>
      <c r="V301" s="492">
        <f t="shared" ref="V301:V317" si="145">B316/1000</f>
        <v>0</v>
      </c>
      <c r="Z301" s="214">
        <f t="shared" si="143"/>
        <v>77.002504529192223</v>
      </c>
      <c r="AA301" s="214">
        <f t="shared" si="144"/>
        <v>626.76747123999996</v>
      </c>
    </row>
    <row r="302" spans="1:27" ht="13.15" customHeight="1">
      <c r="A302" s="239" t="s">
        <v>265</v>
      </c>
      <c r="B302" s="262">
        <v>344.22853161279772</v>
      </c>
      <c r="C302" s="262">
        <v>712.84099999999978</v>
      </c>
      <c r="D302" s="262">
        <v>893.76145401683175</v>
      </c>
      <c r="E302" s="262">
        <v>2379.4263763200001</v>
      </c>
      <c r="F302" s="262">
        <v>4115.2669999999998</v>
      </c>
      <c r="G302" s="262">
        <v>21424.634344799997</v>
      </c>
      <c r="H302" s="262">
        <v>50220.518729310003</v>
      </c>
      <c r="I302" s="270">
        <v>64</v>
      </c>
      <c r="J302" s="244"/>
      <c r="K302" s="245" t="s">
        <v>265</v>
      </c>
      <c r="L302" s="266">
        <f>B302/I302</f>
        <v>5.3785708064499644</v>
      </c>
      <c r="M302" s="267">
        <f>D302/I302</f>
        <v>13.965022719012996</v>
      </c>
      <c r="N302" s="267">
        <f>D302/B302</f>
        <v>2.5964188669350947</v>
      </c>
      <c r="O302" s="239">
        <f>(F302*3.6+G302)*100/H302</f>
        <v>72.160934338676242</v>
      </c>
      <c r="P302" s="267">
        <f>(E302*3.6+G302)*100/H302</f>
        <v>59.717760904067923</v>
      </c>
      <c r="Q302" s="267">
        <f>E302/(B302*8760)*1000</f>
        <v>0.78908048176313761</v>
      </c>
      <c r="R302" s="267">
        <f>G302/(D302*8761)*1000/3.6</f>
        <v>0.76003854324701581</v>
      </c>
      <c r="S302" s="268">
        <f>G302/(E302*3.6)</f>
        <v>2.5011437114537696</v>
      </c>
      <c r="T302" s="269"/>
      <c r="U302" s="239" t="s">
        <v>505</v>
      </c>
      <c r="V302" s="492">
        <f t="shared" si="145"/>
        <v>6.4764549415191964E-3</v>
      </c>
      <c r="Z302" s="214">
        <f t="shared" si="143"/>
        <v>368.61246838720206</v>
      </c>
      <c r="AA302" s="214">
        <f t="shared" si="144"/>
        <v>1735.8406236799997</v>
      </c>
    </row>
    <row r="303" spans="1:27" ht="13.15" customHeight="1">
      <c r="A303" s="239" t="s">
        <v>266</v>
      </c>
      <c r="B303" s="262">
        <v>886.85910671803003</v>
      </c>
      <c r="C303" s="262">
        <v>2092.4220000000014</v>
      </c>
      <c r="D303" s="262">
        <v>1616.1842391636874</v>
      </c>
      <c r="E303" s="262">
        <v>4624.3923107199998</v>
      </c>
      <c r="F303" s="262">
        <v>8607.3840000000018</v>
      </c>
      <c r="G303" s="262">
        <v>27978.701306400017</v>
      </c>
      <c r="H303" s="262">
        <v>86538.320029151961</v>
      </c>
      <c r="I303" s="271">
        <v>445</v>
      </c>
      <c r="J303" s="244"/>
      <c r="K303" s="245" t="s">
        <v>266</v>
      </c>
      <c r="L303" s="266">
        <f>B303/I303</f>
        <v>1.9929418128495058</v>
      </c>
      <c r="M303" s="267">
        <f>D303/I303</f>
        <v>3.6318746947498592</v>
      </c>
      <c r="N303" s="267">
        <f>D303/B303</f>
        <v>1.822368656893705</v>
      </c>
      <c r="O303" s="239">
        <f>(F303*3.6+G303)*100/H303</f>
        <v>68.137772591999152</v>
      </c>
      <c r="P303" s="267">
        <f>(E303*3.6+G303)*100/H303</f>
        <v>51.56850007021027</v>
      </c>
      <c r="Q303" s="267">
        <f>E303/(B303*8760)*1000</f>
        <v>0.59524524426532976</v>
      </c>
      <c r="R303" s="267">
        <f>G303/(D303*8761)*1000/3.6</f>
        <v>0.54888391438550543</v>
      </c>
      <c r="S303" s="268">
        <f>G303/(E303*3.6)</f>
        <v>1.6806233017868579</v>
      </c>
      <c r="T303" s="269"/>
      <c r="U303" s="239" t="s">
        <v>506</v>
      </c>
      <c r="V303" s="492">
        <f t="shared" si="145"/>
        <v>0.49630430118595587</v>
      </c>
      <c r="Z303" s="214">
        <f t="shared" si="143"/>
        <v>1205.5628932819714</v>
      </c>
      <c r="AA303" s="214">
        <f t="shared" si="144"/>
        <v>3982.991689280002</v>
      </c>
    </row>
    <row r="304" spans="1:27" ht="13.15" customHeight="1">
      <c r="A304" s="272" t="s">
        <v>267</v>
      </c>
      <c r="B304" s="395"/>
      <c r="C304" s="395"/>
      <c r="D304" s="395"/>
      <c r="E304" s="320"/>
      <c r="F304" s="319"/>
      <c r="G304" s="396"/>
      <c r="H304" s="397"/>
      <c r="I304" s="395"/>
      <c r="J304" s="244"/>
      <c r="K304" s="245" t="s">
        <v>267</v>
      </c>
      <c r="L304" s="266"/>
      <c r="M304" s="267"/>
      <c r="N304" s="267"/>
      <c r="O304" s="239"/>
      <c r="P304" s="267"/>
      <c r="Q304" s="272"/>
      <c r="R304" s="274"/>
      <c r="S304" s="275"/>
      <c r="T304" s="269"/>
      <c r="U304" s="239" t="s">
        <v>507</v>
      </c>
      <c r="V304" s="492">
        <f t="shared" si="145"/>
        <v>0</v>
      </c>
      <c r="Z304" s="214">
        <f t="shared" si="143"/>
        <v>0</v>
      </c>
      <c r="AA304" s="214">
        <f t="shared" si="144"/>
        <v>0</v>
      </c>
    </row>
    <row r="305" spans="1:27" ht="13.15" customHeight="1">
      <c r="A305" s="276" t="s">
        <v>500</v>
      </c>
      <c r="B305" s="291">
        <f t="shared" ref="B305:I305" si="146">SUM(B299:B304)</f>
        <v>2216.7235332807318</v>
      </c>
      <c r="C305" s="291">
        <f t="shared" si="146"/>
        <v>4303.0830000000014</v>
      </c>
      <c r="D305" s="291">
        <f t="shared" si="146"/>
        <v>6366.3571011410186</v>
      </c>
      <c r="E305" s="291">
        <f t="shared" si="146"/>
        <v>13667.294368620001</v>
      </c>
      <c r="F305" s="291">
        <f t="shared" si="146"/>
        <v>21929.278000000002</v>
      </c>
      <c r="G305" s="292">
        <f t="shared" si="146"/>
        <v>103717.12618800001</v>
      </c>
      <c r="H305" s="291">
        <f t="shared" si="146"/>
        <v>255564.55612130038</v>
      </c>
      <c r="I305" s="293">
        <f t="shared" si="146"/>
        <v>571</v>
      </c>
      <c r="J305" s="244"/>
      <c r="K305" s="279" t="s">
        <v>169</v>
      </c>
      <c r="L305" s="280">
        <f>B305/I305</f>
        <v>3.8821778166037335</v>
      </c>
      <c r="M305" s="281">
        <f>D305/I305</f>
        <v>11.149487042278491</v>
      </c>
      <c r="N305" s="281">
        <f>D305/B305</f>
        <v>2.8719671197422012</v>
      </c>
      <c r="O305" s="294">
        <f>(F305*3.6+G305)*100/H305</f>
        <v>71.474123704893429</v>
      </c>
      <c r="P305" s="295">
        <f>(E305*3.6+G305)*100/H305</f>
        <v>59.835913178215065</v>
      </c>
      <c r="Q305" s="283">
        <f>E305/(B305*8760)*1000</f>
        <v>0.70382860002675651</v>
      </c>
      <c r="R305" s="283">
        <f>G305/(D305*8761)*1000/3.6</f>
        <v>0.51653921510518896</v>
      </c>
      <c r="S305" s="284">
        <f>G305/(E305*3.6)</f>
        <v>2.1079748524439665</v>
      </c>
      <c r="U305" s="239" t="s">
        <v>156</v>
      </c>
      <c r="V305" s="492">
        <f t="shared" si="145"/>
        <v>4.9405843305413637E-2</v>
      </c>
      <c r="Z305" s="214">
        <f t="shared" si="143"/>
        <v>2086.3594667192697</v>
      </c>
      <c r="AA305" s="214">
        <f t="shared" si="144"/>
        <v>8261.9836313800006</v>
      </c>
    </row>
    <row r="306" spans="1:27" ht="13.15" customHeight="1" thickBot="1">
      <c r="A306" s="296" t="s">
        <v>502</v>
      </c>
      <c r="B306" s="297">
        <f t="shared" ref="B306:I306" si="147">B294+B305</f>
        <v>3323.7195332807314</v>
      </c>
      <c r="C306" s="297">
        <f>C305+B294</f>
        <v>5410.0790000000015</v>
      </c>
      <c r="D306" s="297">
        <f t="shared" si="147"/>
        <v>12331.381697163002</v>
      </c>
      <c r="E306" s="297">
        <f t="shared" si="147"/>
        <v>19315.637368620002</v>
      </c>
      <c r="F306" s="297">
        <f>F305+E294</f>
        <v>27577.621000000003</v>
      </c>
      <c r="G306" s="297">
        <f t="shared" si="147"/>
        <v>160206.21471959999</v>
      </c>
      <c r="H306" s="297">
        <f t="shared" si="147"/>
        <v>352046.94227650441</v>
      </c>
      <c r="I306" s="298">
        <f t="shared" si="147"/>
        <v>676</v>
      </c>
      <c r="J306" s="244"/>
      <c r="K306" s="296" t="s">
        <v>502</v>
      </c>
      <c r="L306" s="299">
        <f>B306/I306</f>
        <v>4.9167448717170581</v>
      </c>
      <c r="M306" s="300">
        <f>D306/I306</f>
        <v>18.2416889011287</v>
      </c>
      <c r="N306" s="300">
        <f>D306/B306</f>
        <v>3.7101150002843686</v>
      </c>
      <c r="O306" s="301">
        <f>(F306*3.6+G306)*100/H306</f>
        <v>73.707684731371714</v>
      </c>
      <c r="P306" s="301">
        <f>(E306*3.6+G306)*100/H306</f>
        <v>65.259055443290237</v>
      </c>
      <c r="Q306" s="301">
        <f>E306/(B306*8760)*1000</f>
        <v>0.66340779139012074</v>
      </c>
      <c r="R306" s="301">
        <f>G306/(D306*8761)*1000/3.6</f>
        <v>0.41191863275791274</v>
      </c>
      <c r="S306" s="302">
        <f>G306/(E306*3.6)</f>
        <v>2.3039222295246167</v>
      </c>
      <c r="T306" s="269"/>
      <c r="U306" s="239" t="s">
        <v>508</v>
      </c>
      <c r="V306" s="492">
        <f t="shared" si="145"/>
        <v>1.713971515207293E-2</v>
      </c>
      <c r="Z306" s="214">
        <f t="shared" si="143"/>
        <v>2086.3594667192701</v>
      </c>
      <c r="AA306" s="214">
        <f t="shared" si="144"/>
        <v>8261.9836313800006</v>
      </c>
    </row>
    <row r="307" spans="1:27" ht="13.15" customHeight="1">
      <c r="A307" s="398" t="s">
        <v>534</v>
      </c>
      <c r="U307" s="239" t="s">
        <v>509</v>
      </c>
      <c r="V307" s="492">
        <f t="shared" si="145"/>
        <v>0.46637585163522438</v>
      </c>
    </row>
    <row r="308" spans="1:27" ht="13.15" customHeight="1">
      <c r="A308" s="251" t="s">
        <v>139</v>
      </c>
      <c r="B308" s="227" t="s">
        <v>476</v>
      </c>
      <c r="C308" s="228"/>
      <c r="D308" s="286"/>
      <c r="E308" s="227" t="s">
        <v>477</v>
      </c>
      <c r="F308" s="228"/>
      <c r="G308" s="229"/>
      <c r="H308" s="200" t="s">
        <v>138</v>
      </c>
      <c r="I308" s="200" t="s">
        <v>478</v>
      </c>
      <c r="J308" s="230"/>
      <c r="K308" s="303" t="s">
        <v>503</v>
      </c>
      <c r="L308" s="227" t="s">
        <v>479</v>
      </c>
      <c r="M308" s="228"/>
      <c r="N308" s="286"/>
      <c r="O308" s="227" t="s">
        <v>480</v>
      </c>
      <c r="P308" s="228"/>
      <c r="Q308" s="228"/>
      <c r="R308" s="229"/>
      <c r="S308" s="286"/>
      <c r="T308" s="304"/>
      <c r="U308" s="239" t="s">
        <v>510</v>
      </c>
      <c r="V308" s="492">
        <f t="shared" si="145"/>
        <v>0.29260194962463953</v>
      </c>
    </row>
    <row r="309" spans="1:27" ht="13.15" customHeight="1">
      <c r="A309" s="239"/>
      <c r="B309" s="240" t="s">
        <v>9</v>
      </c>
      <c r="C309" s="240"/>
      <c r="D309" s="241" t="s">
        <v>34</v>
      </c>
      <c r="E309" s="242" t="s">
        <v>88</v>
      </c>
      <c r="F309" s="243"/>
      <c r="G309" s="244" t="s">
        <v>34</v>
      </c>
      <c r="H309" s="241" t="s">
        <v>170</v>
      </c>
      <c r="I309" s="241" t="s">
        <v>483</v>
      </c>
      <c r="J309" s="230"/>
      <c r="K309" s="305"/>
      <c r="L309" s="306" t="s">
        <v>484</v>
      </c>
      <c r="M309" s="247"/>
      <c r="N309" s="248" t="s">
        <v>485</v>
      </c>
      <c r="O309" s="248" t="s">
        <v>486</v>
      </c>
      <c r="P309" s="248" t="s">
        <v>486</v>
      </c>
      <c r="Q309" s="247" t="s">
        <v>487</v>
      </c>
      <c r="R309" s="249"/>
      <c r="S309" s="307" t="s">
        <v>485</v>
      </c>
      <c r="T309" s="230"/>
      <c r="U309" s="239" t="s">
        <v>511</v>
      </c>
      <c r="V309" s="492">
        <f t="shared" si="145"/>
        <v>5.7424421236473053E-2</v>
      </c>
    </row>
    <row r="310" spans="1:27" ht="13.15" customHeight="1">
      <c r="A310" s="239"/>
      <c r="B310" s="252" t="s">
        <v>0</v>
      </c>
      <c r="C310" s="252" t="s">
        <v>489</v>
      </c>
      <c r="D310" s="252" t="s">
        <v>490</v>
      </c>
      <c r="E310" s="252" t="s">
        <v>491</v>
      </c>
      <c r="F310" s="252" t="s">
        <v>489</v>
      </c>
      <c r="G310" s="230" t="s">
        <v>490</v>
      </c>
      <c r="H310" s="248"/>
      <c r="I310" s="241" t="s">
        <v>492</v>
      </c>
      <c r="J310" s="230"/>
      <c r="K310" s="305"/>
      <c r="L310" s="248" t="s">
        <v>88</v>
      </c>
      <c r="M310" s="252" t="s">
        <v>34</v>
      </c>
      <c r="N310" s="252" t="s">
        <v>493</v>
      </c>
      <c r="O310" s="248" t="s">
        <v>494</v>
      </c>
      <c r="P310" s="248" t="s">
        <v>495</v>
      </c>
      <c r="Q310" s="230" t="s">
        <v>88</v>
      </c>
      <c r="R310" s="248" t="s">
        <v>34</v>
      </c>
      <c r="S310" s="252" t="s">
        <v>88</v>
      </c>
      <c r="T310" s="230"/>
      <c r="U310" s="239" t="s">
        <v>512</v>
      </c>
      <c r="V310" s="492">
        <f t="shared" si="145"/>
        <v>0.4707909692686012</v>
      </c>
    </row>
    <row r="311" spans="1:27" ht="13.15" customHeight="1">
      <c r="A311" s="239"/>
      <c r="B311" s="257" t="s">
        <v>496</v>
      </c>
      <c r="C311" s="256" t="s">
        <v>496</v>
      </c>
      <c r="D311" s="256" t="s">
        <v>496</v>
      </c>
      <c r="E311" s="256" t="s">
        <v>473</v>
      </c>
      <c r="F311" s="256" t="s">
        <v>473</v>
      </c>
      <c r="G311" s="257" t="s">
        <v>451</v>
      </c>
      <c r="H311" s="257" t="s">
        <v>497</v>
      </c>
      <c r="I311" s="257" t="s">
        <v>498</v>
      </c>
      <c r="J311" s="230"/>
      <c r="K311" s="305"/>
      <c r="L311" s="257" t="s">
        <v>496</v>
      </c>
      <c r="M311" s="256" t="s">
        <v>496</v>
      </c>
      <c r="N311" s="256"/>
      <c r="O311" s="257" t="s">
        <v>79</v>
      </c>
      <c r="P311" s="257" t="s">
        <v>79</v>
      </c>
      <c r="Q311" s="259"/>
      <c r="R311" s="257"/>
      <c r="S311" s="256"/>
      <c r="T311" s="230"/>
      <c r="U311" s="239" t="s">
        <v>513</v>
      </c>
      <c r="V311" s="492">
        <f t="shared" si="145"/>
        <v>0.28569041987304877</v>
      </c>
    </row>
    <row r="312" spans="1:27" ht="13.15" customHeight="1">
      <c r="A312" s="251" t="s">
        <v>150</v>
      </c>
      <c r="B312" s="308">
        <v>0</v>
      </c>
      <c r="C312" s="309">
        <v>0</v>
      </c>
      <c r="D312" s="310">
        <v>0</v>
      </c>
      <c r="E312" s="308">
        <v>0</v>
      </c>
      <c r="F312" s="308">
        <v>0</v>
      </c>
      <c r="G312" s="309">
        <v>0</v>
      </c>
      <c r="H312" s="311">
        <v>0</v>
      </c>
      <c r="I312" s="310">
        <v>0</v>
      </c>
      <c r="J312" s="244"/>
      <c r="K312" s="303" t="s">
        <v>150</v>
      </c>
      <c r="L312" s="312" t="e">
        <f>B312/I312</f>
        <v>#DIV/0!</v>
      </c>
      <c r="M312" s="313" t="e">
        <f>D312/I312</f>
        <v>#DIV/0!</v>
      </c>
      <c r="N312" s="313" t="e">
        <f>D312/B312</f>
        <v>#DIV/0!</v>
      </c>
      <c r="O312" s="312" t="e">
        <f>(F312*3.6+G312)*100/H312</f>
        <v>#DIV/0!</v>
      </c>
      <c r="P312" s="313" t="e">
        <f>(E312*3.6+G312)*100/H312</f>
        <v>#DIV/0!</v>
      </c>
      <c r="Q312" s="313" t="e">
        <f>E312/(B312*8760)*1000</f>
        <v>#DIV/0!</v>
      </c>
      <c r="R312" s="313" t="e">
        <f>G312/(D312*8761)*1000/3.6</f>
        <v>#DIV/0!</v>
      </c>
      <c r="S312" s="313" t="e">
        <f>G312/(E312*3.6)</f>
        <v>#DIV/0!</v>
      </c>
      <c r="T312" s="269"/>
      <c r="U312" s="239" t="s">
        <v>514</v>
      </c>
      <c r="V312" s="492">
        <f t="shared" si="145"/>
        <v>0.54589185561105691</v>
      </c>
      <c r="Z312" s="214">
        <f>C312-B312</f>
        <v>0</v>
      </c>
      <c r="AA312" s="214">
        <f>F312-E312</f>
        <v>0</v>
      </c>
    </row>
    <row r="313" spans="1:27" ht="13.15" customHeight="1">
      <c r="A313" s="239"/>
      <c r="B313" s="314"/>
      <c r="C313" s="315"/>
      <c r="D313" s="315"/>
      <c r="E313" s="316"/>
      <c r="F313" s="316"/>
      <c r="G313" s="317"/>
      <c r="H313" s="314"/>
      <c r="I313" s="314"/>
      <c r="J313" s="230"/>
      <c r="K313" s="239"/>
      <c r="L313" s="312"/>
      <c r="M313" s="267"/>
      <c r="N313" s="267"/>
      <c r="O313" s="239"/>
      <c r="P313" s="313"/>
      <c r="Q313" s="267"/>
      <c r="R313" s="267"/>
      <c r="S313" s="239"/>
      <c r="T313" s="269"/>
      <c r="U313" s="239" t="s">
        <v>515</v>
      </c>
      <c r="V313" s="492">
        <f t="shared" si="145"/>
        <v>8.7244145987306371E-2</v>
      </c>
      <c r="Z313" s="214">
        <f t="shared" ref="Z313:Z333" si="148">C313-B313</f>
        <v>0</v>
      </c>
      <c r="AA313" s="214">
        <f t="shared" ref="AA313:AA333" si="149">F313-E313</f>
        <v>0</v>
      </c>
    </row>
    <row r="314" spans="1:27" ht="13.15" customHeight="1">
      <c r="A314" s="312" t="s">
        <v>7</v>
      </c>
      <c r="B314" s="310">
        <v>3323.7195332807314</v>
      </c>
      <c r="C314" s="310">
        <v>5410.0790000000006</v>
      </c>
      <c r="D314" s="310">
        <v>12331.381697163004</v>
      </c>
      <c r="E314" s="310">
        <v>19315.637368619999</v>
      </c>
      <c r="F314" s="310">
        <v>27577.621000000003</v>
      </c>
      <c r="G314" s="310">
        <v>160206.21471959996</v>
      </c>
      <c r="H314" s="310">
        <v>352046.94227650441</v>
      </c>
      <c r="I314" s="310">
        <v>676</v>
      </c>
      <c r="J314" s="244"/>
      <c r="K314" s="318" t="s">
        <v>7</v>
      </c>
      <c r="L314" s="312">
        <f>B314/I314</f>
        <v>4.9167448717170581</v>
      </c>
      <c r="M314" s="313">
        <f>D314/I314</f>
        <v>18.241688901128704</v>
      </c>
      <c r="N314" s="313">
        <f>D314/B314</f>
        <v>3.710115000284369</v>
      </c>
      <c r="O314" s="312">
        <f t="shared" ref="O314:O331" si="150">(F314*3.6+G314)*100/H314</f>
        <v>73.707684731371685</v>
      </c>
      <c r="P314" s="313">
        <f>(E314*3.6+G314)*100/H314</f>
        <v>65.259055443290222</v>
      </c>
      <c r="Q314" s="313">
        <f>E314/(B314*8760)*1000</f>
        <v>0.66340779139012063</v>
      </c>
      <c r="R314" s="313">
        <f>G314/(D314*8761)*1000/3.6</f>
        <v>0.41191863275791263</v>
      </c>
      <c r="S314" s="313">
        <f>G314/(E314*3.6)</f>
        <v>2.3039222295246167</v>
      </c>
      <c r="T314" s="269"/>
      <c r="U314" s="239" t="s">
        <v>516</v>
      </c>
      <c r="V314" s="492">
        <f t="shared" si="145"/>
        <v>0.28336674018350755</v>
      </c>
      <c r="Z314" s="214">
        <f t="shared" si="148"/>
        <v>2086.3594667192692</v>
      </c>
      <c r="AA314" s="214">
        <f t="shared" si="149"/>
        <v>8261.9836313800042</v>
      </c>
    </row>
    <row r="315" spans="1:27" ht="13.15" customHeight="1">
      <c r="A315" s="239" t="s">
        <v>152</v>
      </c>
      <c r="B315" s="319">
        <v>3.1313868613138682</v>
      </c>
      <c r="C315" s="320">
        <v>4</v>
      </c>
      <c r="D315" s="320">
        <v>11.37522810218978</v>
      </c>
      <c r="E315" s="316">
        <v>16.054767999999999</v>
      </c>
      <c r="F315" s="316">
        <v>16.716000000000001</v>
      </c>
      <c r="G315" s="321">
        <v>267.61606919999997</v>
      </c>
      <c r="H315" s="319">
        <v>407.12443200000001</v>
      </c>
      <c r="I315" s="319">
        <v>2</v>
      </c>
      <c r="J315" s="230"/>
      <c r="K315" s="305" t="s">
        <v>152</v>
      </c>
      <c r="L315" s="239">
        <f t="shared" ref="L315:L331" si="151">B315/I315</f>
        <v>1.5656934306569341</v>
      </c>
      <c r="M315" s="267">
        <f t="shared" ref="M315:M331" si="152">D315/I315</f>
        <v>5.68761405109489</v>
      </c>
      <c r="N315" s="267">
        <f t="shared" ref="N315:N331" si="153">D315/B315</f>
        <v>3.6326486013986017</v>
      </c>
      <c r="O315" s="239">
        <f t="shared" si="150"/>
        <v>80.514369425021371</v>
      </c>
      <c r="P315" s="267">
        <f t="shared" ref="P315:P331" si="154">(E315*3.6+G315)*100/H315</f>
        <v>79.929674670077276</v>
      </c>
      <c r="Q315" s="267">
        <f t="shared" ref="Q315:Q331" si="155">E315/(B315*8760)*1000</f>
        <v>0.5852793520026397</v>
      </c>
      <c r="R315" s="267">
        <f t="shared" ref="R315:R331" si="156">G315/(D315*8761)*1000/3.6</f>
        <v>0.74592625247032052</v>
      </c>
      <c r="S315" s="267">
        <f t="shared" ref="S315:S331" si="157">G315/(E315*3.6)</f>
        <v>4.6302629225162271</v>
      </c>
      <c r="T315" s="269"/>
      <c r="U315" s="239" t="s">
        <v>517</v>
      </c>
      <c r="V315" s="492">
        <f t="shared" si="145"/>
        <v>6.6492493150684931E-4</v>
      </c>
      <c r="Z315" s="214">
        <f t="shared" si="148"/>
        <v>0.86861313868613177</v>
      </c>
      <c r="AA315" s="214">
        <f t="shared" si="149"/>
        <v>0.66123200000000182</v>
      </c>
    </row>
    <row r="316" spans="1:27" ht="13.15" customHeight="1">
      <c r="A316" s="239" t="s">
        <v>504</v>
      </c>
      <c r="B316" s="319"/>
      <c r="C316" s="320"/>
      <c r="D316" s="320"/>
      <c r="E316" s="316"/>
      <c r="F316" s="316"/>
      <c r="G316" s="321"/>
      <c r="H316" s="319"/>
      <c r="I316" s="319"/>
      <c r="J316" s="230"/>
      <c r="K316" s="305" t="s">
        <v>504</v>
      </c>
      <c r="L316" s="239" t="e">
        <f t="shared" si="151"/>
        <v>#DIV/0!</v>
      </c>
      <c r="M316" s="267" t="e">
        <f t="shared" si="152"/>
        <v>#DIV/0!</v>
      </c>
      <c r="N316" s="267" t="e">
        <f t="shared" si="153"/>
        <v>#DIV/0!</v>
      </c>
      <c r="O316" s="239" t="e">
        <f t="shared" si="150"/>
        <v>#DIV/0!</v>
      </c>
      <c r="P316" s="267" t="e">
        <f t="shared" si="154"/>
        <v>#DIV/0!</v>
      </c>
      <c r="Q316" s="267" t="e">
        <f t="shared" si="155"/>
        <v>#DIV/0!</v>
      </c>
      <c r="R316" s="267" t="e">
        <f t="shared" si="156"/>
        <v>#DIV/0!</v>
      </c>
      <c r="S316" s="267" t="e">
        <f t="shared" si="157"/>
        <v>#DIV/0!</v>
      </c>
      <c r="T316" s="269"/>
      <c r="U316" s="239" t="s">
        <v>518</v>
      </c>
      <c r="V316" s="492">
        <f t="shared" si="145"/>
        <v>0.21356391687115042</v>
      </c>
      <c r="Z316" s="214">
        <f t="shared" si="148"/>
        <v>0</v>
      </c>
      <c r="AA316" s="214">
        <f t="shared" si="149"/>
        <v>0</v>
      </c>
    </row>
    <row r="317" spans="1:27" ht="13.15" customHeight="1">
      <c r="A317" s="239" t="s">
        <v>505</v>
      </c>
      <c r="B317" s="319">
        <v>6.4764549415191963</v>
      </c>
      <c r="C317" s="320">
        <v>6.5279999999999996</v>
      </c>
      <c r="D317" s="320">
        <v>10.794091569198661</v>
      </c>
      <c r="E317" s="316">
        <v>34.186320000000002</v>
      </c>
      <c r="F317" s="316">
        <v>40.774000000000001</v>
      </c>
      <c r="G317" s="321">
        <v>205.15319999999997</v>
      </c>
      <c r="H317" s="319">
        <v>558.03345119999994</v>
      </c>
      <c r="I317" s="319">
        <v>1</v>
      </c>
      <c r="J317" s="230"/>
      <c r="K317" s="305" t="s">
        <v>505</v>
      </c>
      <c r="L317" s="239">
        <f t="shared" si="151"/>
        <v>6.4764549415191963</v>
      </c>
      <c r="M317" s="267">
        <f t="shared" si="152"/>
        <v>10.794091569198661</v>
      </c>
      <c r="N317" s="267">
        <f t="shared" si="153"/>
        <v>1.6666666666666667</v>
      </c>
      <c r="O317" s="239">
        <f t="shared" si="150"/>
        <v>63.06783208841442</v>
      </c>
      <c r="P317" s="267">
        <f t="shared" si="154"/>
        <v>58.817970731715882</v>
      </c>
      <c r="Q317" s="267">
        <f t="shared" si="155"/>
        <v>0.60257470799141399</v>
      </c>
      <c r="R317" s="267">
        <f t="shared" si="156"/>
        <v>0.60260955896650803</v>
      </c>
      <c r="S317" s="267">
        <f t="shared" si="157"/>
        <v>1.666953331040018</v>
      </c>
      <c r="T317" s="269"/>
      <c r="U317" s="239" t="s">
        <v>519</v>
      </c>
      <c r="V317" s="492">
        <f t="shared" si="145"/>
        <v>4.7646636611941233E-2</v>
      </c>
      <c r="Z317" s="214">
        <f t="shared" si="148"/>
        <v>5.1545058480803263E-2</v>
      </c>
      <c r="AA317" s="214">
        <f t="shared" si="149"/>
        <v>6.5876799999999989</v>
      </c>
    </row>
    <row r="318" spans="1:27" ht="13.15" customHeight="1">
      <c r="A318" s="239" t="s">
        <v>506</v>
      </c>
      <c r="B318" s="320">
        <v>496.30430118595586</v>
      </c>
      <c r="C318" s="320">
        <v>585.03499999999997</v>
      </c>
      <c r="D318" s="320">
        <v>2071.6461377856676</v>
      </c>
      <c r="E318" s="316">
        <v>3107.0438453400002</v>
      </c>
      <c r="F318" s="316">
        <v>4038.7240000000002</v>
      </c>
      <c r="G318" s="321">
        <v>18917.503142399997</v>
      </c>
      <c r="H318" s="319">
        <v>44528.244006582005</v>
      </c>
      <c r="I318" s="319">
        <v>12</v>
      </c>
      <c r="J318" s="230"/>
      <c r="K318" s="305" t="s">
        <v>506</v>
      </c>
      <c r="L318" s="239">
        <f t="shared" si="151"/>
        <v>41.358691765496324</v>
      </c>
      <c r="M318" s="267">
        <f t="shared" si="152"/>
        <v>172.63717814880565</v>
      </c>
      <c r="N318" s="267">
        <f t="shared" si="153"/>
        <v>4.1741450413291119</v>
      </c>
      <c r="O318" s="239">
        <f t="shared" si="150"/>
        <v>75.136377570726836</v>
      </c>
      <c r="P318" s="267">
        <f t="shared" si="154"/>
        <v>67.60397059712102</v>
      </c>
      <c r="Q318" s="267">
        <f t="shared" si="155"/>
        <v>0.71465302562370658</v>
      </c>
      <c r="R318" s="267">
        <f t="shared" si="156"/>
        <v>0.28952899245349834</v>
      </c>
      <c r="S318" s="267">
        <f t="shared" si="157"/>
        <v>1.691273842781889</v>
      </c>
      <c r="T318" s="269"/>
      <c r="Z318" s="214">
        <f t="shared" si="148"/>
        <v>88.730698814044104</v>
      </c>
      <c r="AA318" s="214">
        <f t="shared" si="149"/>
        <v>931.68015465999997</v>
      </c>
    </row>
    <row r="319" spans="1:27" ht="13.15" customHeight="1">
      <c r="A319" s="239" t="s">
        <v>507</v>
      </c>
      <c r="B319" s="319"/>
      <c r="C319" s="320"/>
      <c r="D319" s="320"/>
      <c r="E319" s="316"/>
      <c r="F319" s="316"/>
      <c r="G319" s="321"/>
      <c r="H319" s="319"/>
      <c r="I319" s="319"/>
      <c r="J319" s="230"/>
      <c r="K319" s="305" t="s">
        <v>507</v>
      </c>
      <c r="L319" s="239" t="e">
        <f t="shared" si="151"/>
        <v>#DIV/0!</v>
      </c>
      <c r="M319" s="267" t="e">
        <f t="shared" si="152"/>
        <v>#DIV/0!</v>
      </c>
      <c r="N319" s="267" t="e">
        <f t="shared" si="153"/>
        <v>#DIV/0!</v>
      </c>
      <c r="O319" s="239" t="e">
        <f t="shared" si="150"/>
        <v>#DIV/0!</v>
      </c>
      <c r="P319" s="267" t="e">
        <f t="shared" si="154"/>
        <v>#DIV/0!</v>
      </c>
      <c r="Q319" s="267" t="e">
        <f t="shared" si="155"/>
        <v>#DIV/0!</v>
      </c>
      <c r="R319" s="267" t="e">
        <f t="shared" si="156"/>
        <v>#DIV/0!</v>
      </c>
      <c r="S319" s="267" t="e">
        <f t="shared" si="157"/>
        <v>#DIV/0!</v>
      </c>
      <c r="T319" s="269"/>
      <c r="Z319" s="214">
        <f t="shared" si="148"/>
        <v>0</v>
      </c>
      <c r="AA319" s="214">
        <f t="shared" si="149"/>
        <v>0</v>
      </c>
    </row>
    <row r="320" spans="1:27" ht="13.15" customHeight="1">
      <c r="A320" s="239" t="s">
        <v>156</v>
      </c>
      <c r="B320" s="319">
        <v>49.40584330541364</v>
      </c>
      <c r="C320" s="320">
        <v>62.561999999999998</v>
      </c>
      <c r="D320" s="320">
        <v>798.74089140889191</v>
      </c>
      <c r="E320" s="316">
        <v>227.72487255999999</v>
      </c>
      <c r="F320" s="316">
        <v>242.54199999999997</v>
      </c>
      <c r="G320" s="321">
        <v>1378.8555911999999</v>
      </c>
      <c r="H320" s="319">
        <v>2971.2758059512003</v>
      </c>
      <c r="I320" s="319">
        <v>6</v>
      </c>
      <c r="J320" s="230"/>
      <c r="K320" s="305" t="s">
        <v>156</v>
      </c>
      <c r="L320" s="239">
        <f t="shared" si="151"/>
        <v>8.23430721756894</v>
      </c>
      <c r="M320" s="267">
        <f t="shared" si="152"/>
        <v>133.12348190148199</v>
      </c>
      <c r="N320" s="267">
        <f t="shared" si="153"/>
        <v>16.166931641492091</v>
      </c>
      <c r="O320" s="322">
        <f t="shared" si="150"/>
        <v>75.792586695904546</v>
      </c>
      <c r="P320" s="323">
        <f t="shared" si="154"/>
        <v>73.997342421469924</v>
      </c>
      <c r="Q320" s="267">
        <f t="shared" si="155"/>
        <v>0.52617237717337639</v>
      </c>
      <c r="R320" s="267">
        <f t="shared" si="156"/>
        <v>5.4733936595616067E-2</v>
      </c>
      <c r="S320" s="267">
        <f t="shared" si="157"/>
        <v>1.6819218634059601</v>
      </c>
      <c r="T320" s="269"/>
      <c r="Z320" s="214">
        <f t="shared" si="148"/>
        <v>13.156156694586358</v>
      </c>
      <c r="AA320" s="214">
        <f t="shared" si="149"/>
        <v>14.817127439999979</v>
      </c>
    </row>
    <row r="321" spans="1:27" ht="13.15" customHeight="1">
      <c r="A321" s="239" t="s">
        <v>508</v>
      </c>
      <c r="B321" s="319">
        <v>17.139715152072931</v>
      </c>
      <c r="C321" s="320">
        <v>26.426000000000002</v>
      </c>
      <c r="D321" s="320">
        <v>78.01405315629394</v>
      </c>
      <c r="E321" s="316">
        <v>99.755929600000002</v>
      </c>
      <c r="F321" s="316">
        <v>133.12200000000001</v>
      </c>
      <c r="G321" s="321">
        <v>1035.060696</v>
      </c>
      <c r="H321" s="319">
        <v>2017.1156666399997</v>
      </c>
      <c r="I321" s="319">
        <v>6</v>
      </c>
      <c r="J321" s="230"/>
      <c r="K321" s="305" t="s">
        <v>508</v>
      </c>
      <c r="L321" s="239">
        <f t="shared" si="151"/>
        <v>2.8566191920121553</v>
      </c>
      <c r="M321" s="267">
        <f t="shared" si="152"/>
        <v>13.002342192715657</v>
      </c>
      <c r="N321" s="267">
        <f t="shared" si="153"/>
        <v>4.5516540073222087</v>
      </c>
      <c r="O321" s="239">
        <f t="shared" si="150"/>
        <v>75.072536545335424</v>
      </c>
      <c r="P321" s="267">
        <f t="shared" si="154"/>
        <v>69.11760518336321</v>
      </c>
      <c r="Q321" s="267">
        <f t="shared" si="155"/>
        <v>0.66440212659950604</v>
      </c>
      <c r="R321" s="267">
        <f t="shared" si="156"/>
        <v>0.42066540203076241</v>
      </c>
      <c r="S321" s="267">
        <f t="shared" si="157"/>
        <v>2.88220320489099</v>
      </c>
      <c r="T321" s="269"/>
      <c r="Z321" s="214">
        <f t="shared" si="148"/>
        <v>9.286284847927071</v>
      </c>
      <c r="AA321" s="214">
        <f t="shared" si="149"/>
        <v>33.366070400000012</v>
      </c>
    </row>
    <row r="322" spans="1:27" ht="13.15" customHeight="1">
      <c r="A322" s="239" t="s">
        <v>509</v>
      </c>
      <c r="B322" s="319">
        <v>466.37585163522436</v>
      </c>
      <c r="C322" s="320">
        <v>823.48</v>
      </c>
      <c r="D322" s="320">
        <v>1599.6666421666612</v>
      </c>
      <c r="E322" s="316">
        <v>2843.1075744</v>
      </c>
      <c r="F322" s="316">
        <v>4273.1909999999998</v>
      </c>
      <c r="G322" s="321">
        <v>26337.563629199998</v>
      </c>
      <c r="H322" s="319">
        <v>56255.357181016807</v>
      </c>
      <c r="I322" s="319">
        <v>55</v>
      </c>
      <c r="J322" s="230"/>
      <c r="K322" s="305" t="s">
        <v>509</v>
      </c>
      <c r="L322" s="239">
        <f t="shared" si="151"/>
        <v>8.4795609388222619</v>
      </c>
      <c r="M322" s="267">
        <f t="shared" si="152"/>
        <v>29.08484803939384</v>
      </c>
      <c r="N322" s="267">
        <f t="shared" si="153"/>
        <v>3.4299945774590399</v>
      </c>
      <c r="O322" s="239">
        <f t="shared" si="150"/>
        <v>74.163694481489557</v>
      </c>
      <c r="P322" s="267">
        <f t="shared" si="154"/>
        <v>65.01203215074662</v>
      </c>
      <c r="Q322" s="267">
        <f t="shared" si="155"/>
        <v>0.69591008633940421</v>
      </c>
      <c r="R322" s="267">
        <f t="shared" si="156"/>
        <v>0.52202334859285038</v>
      </c>
      <c r="S322" s="267">
        <f t="shared" si="157"/>
        <v>2.5732371025545673</v>
      </c>
      <c r="T322" s="269"/>
      <c r="Z322" s="214">
        <f t="shared" si="148"/>
        <v>357.10414836477565</v>
      </c>
      <c r="AA322" s="214">
        <f t="shared" si="149"/>
        <v>1430.0834255999998</v>
      </c>
    </row>
    <row r="323" spans="1:27" ht="13.15" customHeight="1">
      <c r="A323" s="239" t="s">
        <v>510</v>
      </c>
      <c r="B323" s="319">
        <v>292.60194962463953</v>
      </c>
      <c r="C323" s="320">
        <v>518.61400000000003</v>
      </c>
      <c r="D323" s="320">
        <v>526.99546900256087</v>
      </c>
      <c r="E323" s="316">
        <v>1784.8699658400001</v>
      </c>
      <c r="F323" s="316">
        <v>2496.8669999999997</v>
      </c>
      <c r="G323" s="321">
        <v>13223.258362799994</v>
      </c>
      <c r="H323" s="319">
        <v>30491.745945119997</v>
      </c>
      <c r="I323" s="319">
        <v>141</v>
      </c>
      <c r="J323" s="230"/>
      <c r="K323" s="305" t="s">
        <v>510</v>
      </c>
      <c r="L323" s="239">
        <f t="shared" si="151"/>
        <v>2.0751911320896421</v>
      </c>
      <c r="M323" s="267">
        <f t="shared" si="152"/>
        <v>3.7375565177486587</v>
      </c>
      <c r="N323" s="267">
        <f t="shared" si="153"/>
        <v>1.8010661572098543</v>
      </c>
      <c r="O323" s="322">
        <f t="shared" si="150"/>
        <v>72.845876398084286</v>
      </c>
      <c r="P323" s="323">
        <f t="shared" si="154"/>
        <v>64.439702059660689</v>
      </c>
      <c r="Q323" s="267">
        <f t="shared" si="155"/>
        <v>0.69634628021740907</v>
      </c>
      <c r="R323" s="267">
        <f t="shared" si="156"/>
        <v>0.79556454672971544</v>
      </c>
      <c r="S323" s="267">
        <f t="shared" si="157"/>
        <v>2.0579243268690117</v>
      </c>
      <c r="T323" s="269"/>
      <c r="Z323" s="214">
        <f t="shared" si="148"/>
        <v>226.0120503753605</v>
      </c>
      <c r="AA323" s="214">
        <f t="shared" si="149"/>
        <v>711.99703415999966</v>
      </c>
    </row>
    <row r="324" spans="1:27" ht="13.15" customHeight="1">
      <c r="A324" s="239" t="s">
        <v>511</v>
      </c>
      <c r="B324" s="324">
        <v>57.424421236473052</v>
      </c>
      <c r="C324" s="325">
        <v>82.92</v>
      </c>
      <c r="D324" s="320">
        <v>78.938560290215065</v>
      </c>
      <c r="E324" s="316">
        <v>468.46695199999999</v>
      </c>
      <c r="F324" s="316">
        <v>530.53800000000001</v>
      </c>
      <c r="G324" s="321">
        <v>2716.521444</v>
      </c>
      <c r="H324" s="319">
        <v>6413.4373737600008</v>
      </c>
      <c r="I324" s="319">
        <v>7</v>
      </c>
      <c r="J324" s="230"/>
      <c r="K324" s="305" t="s">
        <v>511</v>
      </c>
      <c r="L324" s="239">
        <f t="shared" si="151"/>
        <v>8.2034887480675796</v>
      </c>
      <c r="M324" s="267">
        <f t="shared" si="152"/>
        <v>11.276937184316438</v>
      </c>
      <c r="N324" s="267">
        <f t="shared" si="153"/>
        <v>1.3746513868228127</v>
      </c>
      <c r="O324" s="239">
        <f t="shared" si="150"/>
        <v>72.136952064562692</v>
      </c>
      <c r="P324" s="267">
        <f t="shared" si="154"/>
        <v>68.652770965137762</v>
      </c>
      <c r="Q324" s="267">
        <f t="shared" si="155"/>
        <v>0.93127560375151264</v>
      </c>
      <c r="R324" s="267">
        <f t="shared" si="156"/>
        <v>1.091108038244281</v>
      </c>
      <c r="S324" s="267">
        <f t="shared" si="157"/>
        <v>1.6107631216641296</v>
      </c>
      <c r="T324" s="269"/>
      <c r="Z324" s="214">
        <f t="shared" si="148"/>
        <v>25.49557876352695</v>
      </c>
      <c r="AA324" s="214">
        <f t="shared" si="149"/>
        <v>62.071048000000019</v>
      </c>
    </row>
    <row r="325" spans="1:27" ht="13.15" customHeight="1">
      <c r="A325" s="239" t="s">
        <v>512</v>
      </c>
      <c r="B325" s="324">
        <v>470.7909692686012</v>
      </c>
      <c r="C325" s="325">
        <v>944.66300000000012</v>
      </c>
      <c r="D325" s="320">
        <v>1435.22554793687</v>
      </c>
      <c r="E325" s="316">
        <v>2090.5501043999998</v>
      </c>
      <c r="F325" s="316">
        <v>3829.7450000000013</v>
      </c>
      <c r="G325" s="321">
        <v>18080.344108799996</v>
      </c>
      <c r="H325" s="319">
        <v>44475.032470694401</v>
      </c>
      <c r="I325" s="319">
        <v>122</v>
      </c>
      <c r="J325" s="230"/>
      <c r="K325" s="305" t="s">
        <v>512</v>
      </c>
      <c r="L325" s="239">
        <f t="shared" si="151"/>
        <v>3.8589423710541082</v>
      </c>
      <c r="M325" s="267">
        <f t="shared" si="152"/>
        <v>11.764143835548115</v>
      </c>
      <c r="N325" s="267">
        <f t="shared" si="153"/>
        <v>3.0485409483673171</v>
      </c>
      <c r="O325" s="239">
        <f t="shared" si="150"/>
        <v>71.652395374411839</v>
      </c>
      <c r="P325" s="267">
        <f t="shared" si="154"/>
        <v>57.574605485701625</v>
      </c>
      <c r="Q325" s="267">
        <f t="shared" si="155"/>
        <v>0.50690707292565962</v>
      </c>
      <c r="R325" s="267">
        <f t="shared" si="156"/>
        <v>0.39942050295842702</v>
      </c>
      <c r="S325" s="267">
        <f t="shared" si="157"/>
        <v>2.4023905465979891</v>
      </c>
      <c r="T325" s="269"/>
      <c r="Z325" s="214">
        <f t="shared" si="148"/>
        <v>473.87203073139892</v>
      </c>
      <c r="AA325" s="214">
        <f t="shared" si="149"/>
        <v>1739.1948956000015</v>
      </c>
    </row>
    <row r="326" spans="1:27" ht="13.15" customHeight="1">
      <c r="A326" s="239" t="s">
        <v>513</v>
      </c>
      <c r="B326" s="324">
        <v>285.69041987304877</v>
      </c>
      <c r="C326" s="325">
        <v>440.04899999999998</v>
      </c>
      <c r="D326" s="320">
        <v>897.05704970252555</v>
      </c>
      <c r="E326" s="316">
        <v>1521.7260691400002</v>
      </c>
      <c r="F326" s="316">
        <v>2026.325</v>
      </c>
      <c r="G326" s="321">
        <v>10987.477855199997</v>
      </c>
      <c r="H326" s="319">
        <v>25400.129060879997</v>
      </c>
      <c r="I326" s="319">
        <v>60</v>
      </c>
      <c r="J326" s="230"/>
      <c r="K326" s="305" t="s">
        <v>513</v>
      </c>
      <c r="L326" s="239">
        <f t="shared" si="151"/>
        <v>4.7615069978841458</v>
      </c>
      <c r="M326" s="267">
        <f t="shared" si="152"/>
        <v>14.950950828375426</v>
      </c>
      <c r="N326" s="267">
        <f t="shared" si="153"/>
        <v>3.1399619563762329</v>
      </c>
      <c r="O326" s="239">
        <f t="shared" si="150"/>
        <v>71.976988035692287</v>
      </c>
      <c r="P326" s="267">
        <f t="shared" si="154"/>
        <v>64.825228504305642</v>
      </c>
      <c r="Q326" s="267">
        <f t="shared" si="155"/>
        <v>0.60804636595275563</v>
      </c>
      <c r="R326" s="267">
        <f t="shared" si="156"/>
        <v>0.38834862171376006</v>
      </c>
      <c r="S326" s="267">
        <f t="shared" si="157"/>
        <v>2.005667934521798</v>
      </c>
      <c r="T326" s="269"/>
      <c r="Z326" s="214">
        <f t="shared" si="148"/>
        <v>154.35858012695121</v>
      </c>
      <c r="AA326" s="214">
        <f t="shared" si="149"/>
        <v>504.59893085999988</v>
      </c>
    </row>
    <row r="327" spans="1:27" ht="13.15" customHeight="1">
      <c r="A327" s="239" t="s">
        <v>514</v>
      </c>
      <c r="B327" s="324">
        <v>545.89185561105694</v>
      </c>
      <c r="C327" s="325">
        <v>799.25199999999995</v>
      </c>
      <c r="D327" s="320">
        <v>3829.8579891985637</v>
      </c>
      <c r="E327" s="316">
        <v>3817.8242008799998</v>
      </c>
      <c r="F327" s="316">
        <v>4906.4120000000003</v>
      </c>
      <c r="G327" s="321">
        <v>47047.410730799995</v>
      </c>
      <c r="H327" s="319">
        <v>85049.155509173987</v>
      </c>
      <c r="I327" s="319">
        <v>74</v>
      </c>
      <c r="J327" s="230"/>
      <c r="K327" s="305" t="s">
        <v>514</v>
      </c>
      <c r="L327" s="239">
        <f t="shared" si="151"/>
        <v>7.3769169677169852</v>
      </c>
      <c r="M327" s="267">
        <f t="shared" si="152"/>
        <v>51.754837691872481</v>
      </c>
      <c r="N327" s="267">
        <f t="shared" si="153"/>
        <v>7.0157815139255408</v>
      </c>
      <c r="O327" s="239">
        <f t="shared" si="150"/>
        <v>76.08599232219288</v>
      </c>
      <c r="P327" s="267">
        <f t="shared" si="154"/>
        <v>71.478167525614751</v>
      </c>
      <c r="Q327" s="267">
        <f t="shared" si="155"/>
        <v>0.79837183131794975</v>
      </c>
      <c r="R327" s="267">
        <f t="shared" si="156"/>
        <v>0.3894905051909347</v>
      </c>
      <c r="S327" s="267">
        <f t="shared" si="157"/>
        <v>3.4230819742794041</v>
      </c>
      <c r="T327" s="269"/>
      <c r="Z327" s="214">
        <f t="shared" si="148"/>
        <v>253.36014438894301</v>
      </c>
      <c r="AA327" s="214">
        <f t="shared" si="149"/>
        <v>1088.5877991200005</v>
      </c>
    </row>
    <row r="328" spans="1:27" ht="13.15" customHeight="1">
      <c r="A328" s="239" t="s">
        <v>515</v>
      </c>
      <c r="B328" s="324">
        <v>87.244145987306368</v>
      </c>
      <c r="C328" s="325">
        <v>137.678</v>
      </c>
      <c r="D328" s="320">
        <v>126.8983570100114</v>
      </c>
      <c r="E328" s="316">
        <v>483.84434388</v>
      </c>
      <c r="F328" s="316">
        <v>615.85</v>
      </c>
      <c r="G328" s="321">
        <v>2615.5525751999999</v>
      </c>
      <c r="H328" s="319">
        <v>6820.1531740799983</v>
      </c>
      <c r="I328" s="319">
        <v>18</v>
      </c>
      <c r="J328" s="230"/>
      <c r="K328" s="305" t="s">
        <v>515</v>
      </c>
      <c r="L328" s="239">
        <f t="shared" si="151"/>
        <v>4.8468969992947981</v>
      </c>
      <c r="M328" s="267">
        <f t="shared" si="152"/>
        <v>7.0499087227784107</v>
      </c>
      <c r="N328" s="267">
        <f t="shared" si="153"/>
        <v>1.4545200205005679</v>
      </c>
      <c r="O328" s="239">
        <f t="shared" si="150"/>
        <v>70.857830489296788</v>
      </c>
      <c r="P328" s="267">
        <f t="shared" si="154"/>
        <v>63.889946485780925</v>
      </c>
      <c r="Q328" s="267">
        <f t="shared" si="155"/>
        <v>0.63308972727038104</v>
      </c>
      <c r="R328" s="267">
        <f t="shared" si="156"/>
        <v>0.65350854996819252</v>
      </c>
      <c r="S328" s="267">
        <f t="shared" si="157"/>
        <v>1.5016035450032921</v>
      </c>
      <c r="T328" s="269"/>
      <c r="Z328" s="214">
        <f t="shared" si="148"/>
        <v>50.433854012693629</v>
      </c>
      <c r="AA328" s="214">
        <f t="shared" si="149"/>
        <v>132.00565612000003</v>
      </c>
    </row>
    <row r="329" spans="1:27" ht="13.15" customHeight="1">
      <c r="A329" s="239" t="s">
        <v>516</v>
      </c>
      <c r="B329" s="319">
        <v>283.36674018350755</v>
      </c>
      <c r="C329" s="320">
        <v>536.92099999999994</v>
      </c>
      <c r="D329" s="319">
        <v>406.54647426027896</v>
      </c>
      <c r="E329" s="316">
        <v>1631.3527682599999</v>
      </c>
      <c r="F329" s="316">
        <v>2549.0700000000002</v>
      </c>
      <c r="G329" s="321">
        <v>9376.6526099999955</v>
      </c>
      <c r="H329" s="319">
        <v>25711.314645599999</v>
      </c>
      <c r="I329" s="319">
        <v>73</v>
      </c>
      <c r="J329" s="244"/>
      <c r="K329" s="239" t="s">
        <v>516</v>
      </c>
      <c r="L329" s="239">
        <f t="shared" si="151"/>
        <v>3.8817361668973636</v>
      </c>
      <c r="M329" s="267">
        <f t="shared" si="152"/>
        <v>5.5691297843873828</v>
      </c>
      <c r="N329" s="267">
        <f t="shared" si="153"/>
        <v>1.4347007485670356</v>
      </c>
      <c r="O329" s="239">
        <f t="shared" si="150"/>
        <v>72.160077637939992</v>
      </c>
      <c r="P329" s="267">
        <f t="shared" si="154"/>
        <v>59.310551739312402</v>
      </c>
      <c r="Q329" s="267">
        <f t="shared" si="155"/>
        <v>0.65719598863503459</v>
      </c>
      <c r="R329" s="267">
        <f t="shared" si="156"/>
        <v>0.73127621191884673</v>
      </c>
      <c r="S329" s="267">
        <f t="shared" si="157"/>
        <v>1.59660483966205</v>
      </c>
      <c r="Z329" s="214">
        <f t="shared" si="148"/>
        <v>253.55425981649239</v>
      </c>
      <c r="AA329" s="214">
        <f t="shared" si="149"/>
        <v>917.71723174000022</v>
      </c>
    </row>
    <row r="330" spans="1:27" ht="13.15" customHeight="1">
      <c r="A330" s="239" t="s">
        <v>517</v>
      </c>
      <c r="B330" s="319">
        <v>0.66492493150684928</v>
      </c>
      <c r="C330" s="320">
        <v>1.272</v>
      </c>
      <c r="D330" s="320">
        <v>1.1082082191780822</v>
      </c>
      <c r="E330" s="316">
        <v>3.4911907200000001</v>
      </c>
      <c r="F330" s="316">
        <v>5.2919999999999998</v>
      </c>
      <c r="G330" s="321">
        <v>20.950747199999999</v>
      </c>
      <c r="H330" s="319">
        <v>57.191687999999999</v>
      </c>
      <c r="I330" s="319">
        <v>1</v>
      </c>
      <c r="K330" s="239" t="s">
        <v>517</v>
      </c>
      <c r="L330" s="239">
        <f t="shared" si="151"/>
        <v>0.66492493150684928</v>
      </c>
      <c r="M330" s="267">
        <f t="shared" si="152"/>
        <v>1.1082082191780822</v>
      </c>
      <c r="N330" s="267">
        <f t="shared" si="153"/>
        <v>1.6666666666666667</v>
      </c>
      <c r="O330" s="239">
        <f t="shared" si="150"/>
        <v>69.943637963614577</v>
      </c>
      <c r="P330" s="267">
        <f t="shared" si="154"/>
        <v>58.608226062500549</v>
      </c>
      <c r="Q330" s="267">
        <f t="shared" si="155"/>
        <v>0.59937255250979005</v>
      </c>
      <c r="R330" s="267">
        <f t="shared" si="156"/>
        <v>0.5994072182825525</v>
      </c>
      <c r="S330" s="267">
        <f t="shared" si="157"/>
        <v>1.6669533310400182</v>
      </c>
      <c r="Z330" s="214">
        <f t="shared" si="148"/>
        <v>0.60707506849315074</v>
      </c>
      <c r="AA330" s="214">
        <f t="shared" si="149"/>
        <v>1.8008092799999997</v>
      </c>
    </row>
    <row r="331" spans="1:27" ht="13.15" customHeight="1">
      <c r="A331" s="239" t="s">
        <v>518</v>
      </c>
      <c r="B331" s="319">
        <v>213.56391687115041</v>
      </c>
      <c r="C331" s="320">
        <v>334.73099999999988</v>
      </c>
      <c r="D331" s="320">
        <v>374.78240012974135</v>
      </c>
      <c r="E331" s="316">
        <v>952.3164205600001</v>
      </c>
      <c r="F331" s="316">
        <v>1463.1769999999999</v>
      </c>
      <c r="G331" s="321">
        <v>6575.386147199998</v>
      </c>
      <c r="H331" s="319">
        <v>16775.607207726003</v>
      </c>
      <c r="I331" s="319">
        <v>80</v>
      </c>
      <c r="K331" s="239" t="s">
        <v>518</v>
      </c>
      <c r="L331" s="239">
        <f t="shared" si="151"/>
        <v>2.6695489608893803</v>
      </c>
      <c r="M331" s="267">
        <f t="shared" si="152"/>
        <v>4.6847800016217667</v>
      </c>
      <c r="N331" s="267">
        <f t="shared" si="153"/>
        <v>1.7548957034528401</v>
      </c>
      <c r="O331" s="239">
        <f t="shared" si="150"/>
        <v>70.595497382328944</v>
      </c>
      <c r="P331" s="267">
        <f t="shared" si="154"/>
        <v>59.632567318390628</v>
      </c>
      <c r="Q331" s="267">
        <f t="shared" si="155"/>
        <v>0.50903692790407262</v>
      </c>
      <c r="R331" s="267">
        <f t="shared" si="156"/>
        <v>0.55627032577914004</v>
      </c>
      <c r="S331" s="267">
        <f t="shared" si="157"/>
        <v>1.9179509169084228</v>
      </c>
      <c r="Z331" s="214">
        <f t="shared" si="148"/>
        <v>121.16708312884947</v>
      </c>
      <c r="AA331" s="214">
        <f t="shared" si="149"/>
        <v>510.86057943999981</v>
      </c>
    </row>
    <row r="332" spans="1:27" ht="13.15" customHeight="1">
      <c r="A332" s="239" t="s">
        <v>519</v>
      </c>
      <c r="B332" s="319">
        <v>47.646636611941233</v>
      </c>
      <c r="C332" s="320">
        <v>105.94800000000001</v>
      </c>
      <c r="D332" s="320">
        <v>83.734597224153248</v>
      </c>
      <c r="E332" s="316">
        <v>233.32204303999998</v>
      </c>
      <c r="F332" s="316">
        <v>409.27599999999995</v>
      </c>
      <c r="G332" s="321">
        <v>1420.9078104</v>
      </c>
      <c r="H332" s="319">
        <v>4116.0246580799994</v>
      </c>
      <c r="I332" s="319">
        <v>18</v>
      </c>
      <c r="K332" s="239" t="s">
        <v>519</v>
      </c>
      <c r="L332" s="239"/>
      <c r="M332" s="267"/>
      <c r="N332" s="267"/>
      <c r="O332" s="239"/>
      <c r="P332" s="267"/>
      <c r="Q332" s="267"/>
      <c r="R332" s="267"/>
      <c r="S332" s="267"/>
      <c r="Z332" s="214">
        <f t="shared" si="148"/>
        <v>58.301363388058775</v>
      </c>
      <c r="AA332" s="214">
        <f t="shared" si="149"/>
        <v>175.95395695999997</v>
      </c>
    </row>
    <row r="333" spans="1:27" ht="13.15" customHeight="1">
      <c r="A333" s="282" t="s">
        <v>169</v>
      </c>
      <c r="B333" s="326">
        <f>(B312+B314)</f>
        <v>3323.7195332807314</v>
      </c>
      <c r="C333" s="326">
        <f t="shared" ref="C333:I333" si="158">(C312+C314)</f>
        <v>5410.0790000000006</v>
      </c>
      <c r="D333" s="326">
        <f t="shared" si="158"/>
        <v>12331.381697163004</v>
      </c>
      <c r="E333" s="326">
        <f t="shared" si="158"/>
        <v>19315.637368619999</v>
      </c>
      <c r="F333" s="326">
        <f t="shared" si="158"/>
        <v>27577.621000000003</v>
      </c>
      <c r="G333" s="327">
        <f t="shared" si="158"/>
        <v>160206.21471959996</v>
      </c>
      <c r="H333" s="326">
        <f t="shared" si="158"/>
        <v>352046.94227650441</v>
      </c>
      <c r="I333" s="326">
        <f t="shared" si="158"/>
        <v>676</v>
      </c>
      <c r="K333" s="328" t="s">
        <v>169</v>
      </c>
      <c r="L333" s="282">
        <f>B333/I333</f>
        <v>4.9167448717170581</v>
      </c>
      <c r="M333" s="281">
        <f>D333/I333</f>
        <v>18.241688901128704</v>
      </c>
      <c r="N333" s="281">
        <f>D333/B333</f>
        <v>3.710115000284369</v>
      </c>
      <c r="O333" s="282">
        <f>(F333*3.6+G333)*100/H333</f>
        <v>73.707684731371685</v>
      </c>
      <c r="P333" s="282">
        <f>(E333*3.6+G333)*100/H333</f>
        <v>65.259055443290222</v>
      </c>
      <c r="Q333" s="281">
        <f>E333/(B333*8760)*1000</f>
        <v>0.66340779139012063</v>
      </c>
      <c r="R333" s="281">
        <f>G333/(D333*8761)*1000/3.6</f>
        <v>0.41191863275791263</v>
      </c>
      <c r="S333" s="281">
        <f>G333/(E333*3.6)</f>
        <v>2.3039222295246167</v>
      </c>
      <c r="Z333" s="214">
        <f t="shared" si="148"/>
        <v>2086.3594667192692</v>
      </c>
      <c r="AA333" s="214">
        <f t="shared" si="149"/>
        <v>8261.9836313800042</v>
      </c>
    </row>
    <row r="334" spans="1:27" ht="13.15" customHeight="1"/>
    <row r="335" spans="1:27" ht="13.15" customHeight="1">
      <c r="A335" s="251" t="s">
        <v>520</v>
      </c>
      <c r="B335" s="227" t="s">
        <v>476</v>
      </c>
      <c r="C335" s="228"/>
      <c r="D335" s="286"/>
      <c r="E335" s="227" t="s">
        <v>521</v>
      </c>
      <c r="F335" s="228"/>
      <c r="G335" s="286"/>
      <c r="H335" s="200" t="s">
        <v>138</v>
      </c>
      <c r="I335" s="200" t="s">
        <v>478</v>
      </c>
    </row>
    <row r="336" spans="1:27" ht="13.15" customHeight="1">
      <c r="A336" s="239"/>
      <c r="B336" s="243" t="s">
        <v>88</v>
      </c>
      <c r="C336" s="243"/>
      <c r="D336" s="241" t="s">
        <v>34</v>
      </c>
      <c r="E336" s="243" t="s">
        <v>88</v>
      </c>
      <c r="F336" s="243"/>
      <c r="G336" s="241" t="s">
        <v>34</v>
      </c>
      <c r="H336" s="241" t="s">
        <v>170</v>
      </c>
      <c r="I336" s="241" t="s">
        <v>483</v>
      </c>
    </row>
    <row r="337" spans="1:19" ht="13.15" customHeight="1">
      <c r="A337" s="239"/>
      <c r="B337" s="252" t="s">
        <v>0</v>
      </c>
      <c r="C337" s="252" t="s">
        <v>489</v>
      </c>
      <c r="D337" s="252" t="s">
        <v>490</v>
      </c>
      <c r="E337" s="252" t="s">
        <v>491</v>
      </c>
      <c r="F337" s="252" t="s">
        <v>489</v>
      </c>
      <c r="G337" s="252" t="s">
        <v>490</v>
      </c>
      <c r="H337" s="248"/>
      <c r="I337" s="241" t="s">
        <v>492</v>
      </c>
    </row>
    <row r="338" spans="1:19" ht="13.15" customHeight="1">
      <c r="A338" s="239"/>
      <c r="B338" s="257" t="s">
        <v>496</v>
      </c>
      <c r="C338" s="256" t="s">
        <v>496</v>
      </c>
      <c r="D338" s="252" t="s">
        <v>496</v>
      </c>
      <c r="E338" s="329" t="s">
        <v>473</v>
      </c>
      <c r="F338" s="329" t="s">
        <v>473</v>
      </c>
      <c r="G338" s="252" t="s">
        <v>496</v>
      </c>
      <c r="H338" s="257" t="s">
        <v>497</v>
      </c>
      <c r="I338" s="257" t="s">
        <v>498</v>
      </c>
    </row>
    <row r="339" spans="1:19" ht="13.15" customHeight="1">
      <c r="A339" s="251" t="s">
        <v>522</v>
      </c>
      <c r="B339" s="389">
        <v>2455.4178204025447</v>
      </c>
      <c r="C339" s="389">
        <v>4447.1929999999993</v>
      </c>
      <c r="D339" s="200">
        <v>5166.4724142367177</v>
      </c>
      <c r="E339" s="389">
        <v>14925.365444139999</v>
      </c>
      <c r="F339" s="389">
        <v>22045.005000000008</v>
      </c>
      <c r="G339" s="200">
        <v>107706.30922800004</v>
      </c>
      <c r="H339" s="200">
        <v>258162.66802425616</v>
      </c>
      <c r="I339" s="200">
        <v>643</v>
      </c>
    </row>
    <row r="340" spans="1:19" ht="13.15" customHeight="1">
      <c r="A340" s="239" t="s">
        <v>523</v>
      </c>
      <c r="B340" s="204">
        <v>3.2929922464496526</v>
      </c>
      <c r="C340" s="204">
        <v>13.847999999999999</v>
      </c>
      <c r="D340" s="204">
        <v>9.8670844956168438</v>
      </c>
      <c r="E340" s="216">
        <v>33.511896</v>
      </c>
      <c r="F340" s="204">
        <v>92.945999999999998</v>
      </c>
      <c r="G340" s="204">
        <v>380.99879999999996</v>
      </c>
      <c r="H340" s="202">
        <v>1011.08875392</v>
      </c>
      <c r="I340" s="216">
        <v>4</v>
      </c>
    </row>
    <row r="341" spans="1:19" ht="13.15" customHeight="1">
      <c r="A341" s="239" t="s">
        <v>524</v>
      </c>
      <c r="B341" s="204">
        <v>447.05872304283082</v>
      </c>
      <c r="C341" s="204">
        <v>1088.2249999999999</v>
      </c>
      <c r="D341" s="204">
        <v>1314.5328888174072</v>
      </c>
      <c r="E341" s="216">
        <v>2012.9821081999999</v>
      </c>
      <c r="F341" s="204">
        <v>4278.3819999999987</v>
      </c>
      <c r="G341" s="204">
        <v>16964.800556400001</v>
      </c>
      <c r="H341" s="202">
        <v>46008.494913096001</v>
      </c>
      <c r="I341" s="216">
        <v>166</v>
      </c>
    </row>
    <row r="342" spans="1:19" ht="13.15" customHeight="1">
      <c r="A342" s="239" t="s">
        <v>525</v>
      </c>
      <c r="B342" s="204">
        <v>2005.066105113264</v>
      </c>
      <c r="C342" s="204">
        <v>3345.12</v>
      </c>
      <c r="D342" s="204">
        <v>3842.0724409236936</v>
      </c>
      <c r="E342" s="216">
        <v>12878.87143994</v>
      </c>
      <c r="F342" s="204">
        <v>17673.677000000011</v>
      </c>
      <c r="G342" s="204">
        <v>90360.509871600036</v>
      </c>
      <c r="H342" s="202">
        <v>211143.08435724015</v>
      </c>
      <c r="I342" s="216">
        <v>473</v>
      </c>
    </row>
    <row r="343" spans="1:19" ht="13.15" customHeight="1">
      <c r="A343" s="239" t="s">
        <v>267</v>
      </c>
      <c r="B343" s="204"/>
      <c r="C343" s="204"/>
      <c r="D343" s="204"/>
      <c r="E343" s="216"/>
      <c r="F343" s="204"/>
      <c r="G343" s="204"/>
      <c r="H343" s="202"/>
      <c r="I343" s="216"/>
    </row>
    <row r="344" spans="1:19" ht="13.15" customHeight="1">
      <c r="A344" s="312" t="s">
        <v>526</v>
      </c>
      <c r="B344" s="391">
        <v>868.30171287818723</v>
      </c>
      <c r="C344" s="391">
        <v>962.88599999999997</v>
      </c>
      <c r="D344" s="205">
        <v>7164.9092829262854</v>
      </c>
      <c r="E344" s="391">
        <v>4390.2719244800001</v>
      </c>
      <c r="F344" s="391">
        <v>5532.616</v>
      </c>
      <c r="G344" s="205">
        <v>52499.90549160001</v>
      </c>
      <c r="H344" s="205">
        <v>93884.274252248419</v>
      </c>
      <c r="I344" s="391">
        <v>33</v>
      </c>
    </row>
    <row r="345" spans="1:19" ht="13.15" customHeight="1">
      <c r="A345" s="239" t="s">
        <v>527</v>
      </c>
      <c r="B345" s="216">
        <v>115.44979290487174</v>
      </c>
      <c r="C345" s="216">
        <v>118.68899999999999</v>
      </c>
      <c r="D345" s="204">
        <v>1526.7632077707381</v>
      </c>
      <c r="E345" s="216">
        <v>438.01022211999998</v>
      </c>
      <c r="F345" s="204">
        <v>468.17699999999996</v>
      </c>
      <c r="G345" s="204">
        <v>4704.2298647999996</v>
      </c>
      <c r="H345" s="202">
        <v>9105.6135554712018</v>
      </c>
      <c r="I345" s="216">
        <v>5</v>
      </c>
    </row>
    <row r="346" spans="1:19" ht="13.15" customHeight="1">
      <c r="A346" s="239" t="s">
        <v>528</v>
      </c>
      <c r="B346" s="204">
        <v>702.21146503179625</v>
      </c>
      <c r="C346" s="204">
        <v>793.505</v>
      </c>
      <c r="D346" s="204">
        <v>5012.9822683643542</v>
      </c>
      <c r="E346" s="204">
        <v>3620.9473823600001</v>
      </c>
      <c r="F346" s="204">
        <v>4726.5370000000003</v>
      </c>
      <c r="G346" s="204">
        <v>42465.586150800009</v>
      </c>
      <c r="H346" s="202">
        <v>75981.825307652412</v>
      </c>
      <c r="I346" s="204">
        <v>26</v>
      </c>
    </row>
    <row r="347" spans="1:19" ht="13.15" customHeight="1">
      <c r="A347" s="239" t="s">
        <v>529</v>
      </c>
      <c r="B347" s="204">
        <v>44.164000000000001</v>
      </c>
      <c r="C347" s="204">
        <v>44.164000000000001</v>
      </c>
      <c r="D347" s="204">
        <v>614.36971522199406</v>
      </c>
      <c r="E347" s="204">
        <v>297.12799999999999</v>
      </c>
      <c r="F347" s="204">
        <v>297.12799999999999</v>
      </c>
      <c r="G347" s="204">
        <v>5124.9362759999995</v>
      </c>
      <c r="H347" s="202">
        <v>8238.8019379247999</v>
      </c>
      <c r="I347" s="204">
        <v>1</v>
      </c>
    </row>
    <row r="348" spans="1:19" ht="13.15" customHeight="1">
      <c r="A348" s="239" t="s">
        <v>530</v>
      </c>
      <c r="B348" s="204">
        <v>6.4764549415191963</v>
      </c>
      <c r="C348" s="204">
        <v>6.5279999999999996</v>
      </c>
      <c r="D348" s="204">
        <v>10.794091569198661</v>
      </c>
      <c r="E348" s="204">
        <v>34.186320000000002</v>
      </c>
      <c r="F348" s="204">
        <v>40.774000000000001</v>
      </c>
      <c r="G348" s="204">
        <v>205.15319999999997</v>
      </c>
      <c r="H348" s="202">
        <v>558.03345119999994</v>
      </c>
      <c r="I348" s="204">
        <v>1</v>
      </c>
    </row>
    <row r="349" spans="1:19" ht="13.15" customHeight="1">
      <c r="A349" s="282" t="s">
        <v>169</v>
      </c>
      <c r="B349" s="360">
        <v>3323.7195332807319</v>
      </c>
      <c r="C349" s="360">
        <v>5410.0789999999997</v>
      </c>
      <c r="D349" s="360">
        <v>12331.381697163004</v>
      </c>
      <c r="E349" s="360">
        <v>19315.637368619999</v>
      </c>
      <c r="F349" s="360">
        <v>27577.621000000006</v>
      </c>
      <c r="G349" s="360">
        <v>160206.21471960004</v>
      </c>
      <c r="H349" s="360">
        <v>352046.94227650459</v>
      </c>
      <c r="I349" s="360">
        <v>676</v>
      </c>
    </row>
    <row r="350" spans="1:19" ht="13.15" customHeight="1">
      <c r="D350" s="220"/>
    </row>
    <row r="351" spans="1:19" ht="13.15" customHeight="1">
      <c r="D351" s="220"/>
    </row>
    <row r="352" spans="1:19" ht="13.15" customHeight="1">
      <c r="A352" s="221" t="s">
        <v>185</v>
      </c>
      <c r="D352" s="220"/>
      <c r="I352" s="399">
        <v>2002</v>
      </c>
      <c r="K352" s="399" t="str">
        <f>+A352</f>
        <v>France</v>
      </c>
      <c r="M352" s="220"/>
      <c r="S352" s="399">
        <v>2002</v>
      </c>
    </row>
    <row r="353" spans="1:27" ht="13.15" customHeight="1" thickBot="1"/>
    <row r="354" spans="1:27" ht="13.15" customHeight="1">
      <c r="A354" s="346" t="s">
        <v>475</v>
      </c>
      <c r="B354" s="233" t="s">
        <v>476</v>
      </c>
      <c r="C354" s="233"/>
      <c r="D354" s="234"/>
      <c r="E354" s="235" t="s">
        <v>477</v>
      </c>
      <c r="F354" s="233"/>
      <c r="G354" s="236"/>
      <c r="H354" s="347" t="s">
        <v>138</v>
      </c>
      <c r="I354" s="348" t="s">
        <v>478</v>
      </c>
      <c r="J354" s="230"/>
      <c r="K354" s="231" t="s">
        <v>475</v>
      </c>
      <c r="L354" s="232" t="s">
        <v>479</v>
      </c>
      <c r="M354" s="233"/>
      <c r="N354" s="234"/>
      <c r="O354" s="235" t="s">
        <v>480</v>
      </c>
      <c r="P354" s="233"/>
      <c r="Q354" s="233"/>
      <c r="R354" s="236"/>
      <c r="S354" s="237"/>
    </row>
    <row r="355" spans="1:27" ht="13.15" customHeight="1">
      <c r="A355" s="266"/>
      <c r="B355" s="240" t="s">
        <v>9</v>
      </c>
      <c r="C355" s="240"/>
      <c r="D355" s="241" t="s">
        <v>34</v>
      </c>
      <c r="E355" s="242" t="s">
        <v>88</v>
      </c>
      <c r="F355" s="243"/>
      <c r="G355" s="244" t="s">
        <v>34</v>
      </c>
      <c r="H355" s="241" t="s">
        <v>170</v>
      </c>
      <c r="I355" s="349" t="s">
        <v>483</v>
      </c>
      <c r="J355" s="230"/>
      <c r="K355" s="245"/>
      <c r="L355" s="246" t="s">
        <v>484</v>
      </c>
      <c r="M355" s="247"/>
      <c r="N355" s="248" t="s">
        <v>485</v>
      </c>
      <c r="O355" s="248" t="s">
        <v>486</v>
      </c>
      <c r="P355" s="248" t="s">
        <v>486</v>
      </c>
      <c r="Q355" s="247" t="s">
        <v>487</v>
      </c>
      <c r="R355" s="249"/>
      <c r="S355" s="250" t="s">
        <v>485</v>
      </c>
      <c r="U355" s="214" t="str">
        <f>A352</f>
        <v>France</v>
      </c>
    </row>
    <row r="356" spans="1:27" ht="13.15" customHeight="1">
      <c r="A356" s="350" t="s">
        <v>488</v>
      </c>
      <c r="B356" s="252" t="s">
        <v>0</v>
      </c>
      <c r="C356" s="252" t="s">
        <v>489</v>
      </c>
      <c r="D356" s="252" t="s">
        <v>490</v>
      </c>
      <c r="E356" s="252" t="s">
        <v>491</v>
      </c>
      <c r="F356" s="252" t="s">
        <v>489</v>
      </c>
      <c r="G356" s="230" t="s">
        <v>490</v>
      </c>
      <c r="H356" s="248"/>
      <c r="I356" s="349" t="s">
        <v>492</v>
      </c>
      <c r="J356" s="230"/>
      <c r="K356" s="253" t="s">
        <v>488</v>
      </c>
      <c r="L356" s="254" t="s">
        <v>88</v>
      </c>
      <c r="M356" s="252" t="s">
        <v>34</v>
      </c>
      <c r="N356" s="252" t="s">
        <v>493</v>
      </c>
      <c r="O356" s="248" t="s">
        <v>494</v>
      </c>
      <c r="P356" s="248" t="s">
        <v>495</v>
      </c>
      <c r="Q356" s="230" t="s">
        <v>88</v>
      </c>
      <c r="R356" s="248" t="s">
        <v>34</v>
      </c>
      <c r="S356" s="255" t="s">
        <v>88</v>
      </c>
      <c r="U356" s="214" t="s">
        <v>547</v>
      </c>
      <c r="V356" s="214">
        <f>G384/1000</f>
        <v>182.55672000000001</v>
      </c>
    </row>
    <row r="357" spans="1:27" ht="13.15" customHeight="1">
      <c r="A357" s="266"/>
      <c r="B357" s="252" t="s">
        <v>496</v>
      </c>
      <c r="C357" s="252" t="s">
        <v>496</v>
      </c>
      <c r="D357" s="252" t="s">
        <v>496</v>
      </c>
      <c r="E357" s="256" t="s">
        <v>473</v>
      </c>
      <c r="F357" s="257" t="s">
        <v>473</v>
      </c>
      <c r="G357" s="230" t="s">
        <v>451</v>
      </c>
      <c r="H357" s="257" t="s">
        <v>497</v>
      </c>
      <c r="I357" s="351" t="s">
        <v>498</v>
      </c>
      <c r="J357" s="230"/>
      <c r="K357" s="245"/>
      <c r="L357" s="258" t="s">
        <v>496</v>
      </c>
      <c r="M357" s="256" t="s">
        <v>496</v>
      </c>
      <c r="N357" s="256"/>
      <c r="O357" s="257" t="s">
        <v>79</v>
      </c>
      <c r="P357" s="257" t="s">
        <v>79</v>
      </c>
      <c r="Q357" s="259"/>
      <c r="R357" s="257"/>
      <c r="S357" s="260"/>
      <c r="U357" s="214" t="s">
        <v>548</v>
      </c>
      <c r="V357" s="214">
        <f>G390/1000</f>
        <v>0.49002479999999998</v>
      </c>
    </row>
    <row r="358" spans="1:27" ht="13.15" customHeight="1">
      <c r="A358" s="352" t="s">
        <v>262</v>
      </c>
      <c r="B358" s="262"/>
      <c r="C358" s="263"/>
      <c r="D358" s="262"/>
      <c r="E358" s="262"/>
      <c r="F358" s="263"/>
      <c r="G358" s="262"/>
      <c r="H358" s="262"/>
      <c r="I358" s="264"/>
      <c r="J358" s="230"/>
      <c r="K358" s="265" t="s">
        <v>262</v>
      </c>
      <c r="L358" s="266" t="e">
        <f>C358/I358</f>
        <v>#DIV/0!</v>
      </c>
      <c r="M358" s="267" t="e">
        <f>D358/I358</f>
        <v>#DIV/0!</v>
      </c>
      <c r="N358" s="267" t="e">
        <f>D358/C358</f>
        <v>#DIV/0!</v>
      </c>
      <c r="O358" s="239" t="e">
        <f>(F358*3.6+G358)*100/H358</f>
        <v>#DIV/0!</v>
      </c>
      <c r="P358" s="239" t="e">
        <f>(F358*3.6+G358)*100/H358</f>
        <v>#DIV/0!</v>
      </c>
      <c r="Q358" s="267" t="e">
        <f>F358/(C358*8760)*1000</f>
        <v>#DIV/0!</v>
      </c>
      <c r="R358" s="267" t="e">
        <f>G358/(D358*8761)*1000/3.6</f>
        <v>#DIV/0!</v>
      </c>
      <c r="S358" s="268" t="e">
        <f>G358/(F358*3.6)</f>
        <v>#DIV/0!</v>
      </c>
      <c r="U358" s="214" t="s">
        <v>549</v>
      </c>
      <c r="V358" s="214">
        <f>G392/1000</f>
        <v>32.926841999999994</v>
      </c>
      <c r="Z358" s="214">
        <f t="shared" ref="Z358:Z363" si="159">C358-B358</f>
        <v>0</v>
      </c>
      <c r="AA358" s="214">
        <f t="shared" ref="AA358:AA363" si="160">F358-E358</f>
        <v>0</v>
      </c>
    </row>
    <row r="359" spans="1:27" ht="13.15" customHeight="1">
      <c r="A359" s="266" t="s">
        <v>263</v>
      </c>
      <c r="B359" s="262">
        <v>1727.8210000000004</v>
      </c>
      <c r="C359" s="263">
        <v>1727.8210000000004</v>
      </c>
      <c r="D359" s="262">
        <v>14142.296</v>
      </c>
      <c r="E359" s="262">
        <v>5717.4060000000045</v>
      </c>
      <c r="F359" s="263">
        <v>5717.4060000000045</v>
      </c>
      <c r="G359" s="262">
        <v>149551.68239999996</v>
      </c>
      <c r="H359" s="262">
        <v>199639.74599999996</v>
      </c>
      <c r="I359" s="270">
        <v>253</v>
      </c>
      <c r="J359" s="230"/>
      <c r="K359" s="245" t="s">
        <v>263</v>
      </c>
      <c r="L359" s="266">
        <f>C359/I359</f>
        <v>6.8293320158102784</v>
      </c>
      <c r="M359" s="267">
        <f>D359/I359</f>
        <v>55.898403162055338</v>
      </c>
      <c r="N359" s="267">
        <f>D359/C359</f>
        <v>8.1850469464140083</v>
      </c>
      <c r="O359" s="239">
        <f>(F359*3.6+G359)*100/H359</f>
        <v>85.220677449669779</v>
      </c>
      <c r="P359" s="239">
        <f>(F359*3.6+G359)*100/H359</f>
        <v>85.220677449669779</v>
      </c>
      <c r="Q359" s="267">
        <f>F359/(C359*8760)*1000</f>
        <v>0.3777427857447152</v>
      </c>
      <c r="R359" s="267">
        <f>G359/(D359*8761)*1000/3.6</f>
        <v>0.33528582971709731</v>
      </c>
      <c r="S359" s="268">
        <f>G359/(F359*3.6)</f>
        <v>7.2659059020821601</v>
      </c>
      <c r="U359" s="214" t="s">
        <v>550</v>
      </c>
      <c r="V359" s="214">
        <f>G397/1000</f>
        <v>53.336664000000006</v>
      </c>
      <c r="Z359" s="214">
        <f t="shared" si="159"/>
        <v>0</v>
      </c>
      <c r="AA359" s="214">
        <f t="shared" si="160"/>
        <v>0</v>
      </c>
    </row>
    <row r="360" spans="1:27" ht="13.15" customHeight="1">
      <c r="A360" s="266" t="s">
        <v>499</v>
      </c>
      <c r="B360" s="262">
        <v>120.675</v>
      </c>
      <c r="C360" s="263">
        <v>120.675</v>
      </c>
      <c r="D360" s="262">
        <v>614.87599999999998</v>
      </c>
      <c r="E360" s="262">
        <v>403.99</v>
      </c>
      <c r="F360" s="263">
        <v>403.99</v>
      </c>
      <c r="G360" s="262">
        <v>9226.8540000000012</v>
      </c>
      <c r="H360" s="262">
        <v>12312.543600000001</v>
      </c>
      <c r="I360" s="270">
        <v>8</v>
      </c>
      <c r="J360" s="230"/>
      <c r="K360" s="245" t="s">
        <v>499</v>
      </c>
      <c r="L360" s="266">
        <f>C360/I360</f>
        <v>15.084375</v>
      </c>
      <c r="M360" s="267">
        <f>D360/I360</f>
        <v>76.859499999999997</v>
      </c>
      <c r="N360" s="267">
        <f>D360/C360</f>
        <v>5.0953055728195569</v>
      </c>
      <c r="O360" s="239">
        <f>(F360*3.6+G360)*100/H360</f>
        <v>86.750701942692004</v>
      </c>
      <c r="P360" s="239">
        <f>(F360*3.6+G360)*100/H360</f>
        <v>86.750701942692004</v>
      </c>
      <c r="Q360" s="267">
        <f>F360/(C360*8760)*1000</f>
        <v>0.38216349623928569</v>
      </c>
      <c r="R360" s="267">
        <f>G360/(D360*8761)*1000/3.6</f>
        <v>0.47578410132849591</v>
      </c>
      <c r="S360" s="268">
        <f>G360/(F360*3.6)</f>
        <v>6.3442535706329375</v>
      </c>
      <c r="U360" s="214" t="s">
        <v>551</v>
      </c>
      <c r="V360" s="214">
        <f>G388/1000</f>
        <v>48.844566</v>
      </c>
      <c r="Z360" s="214">
        <f t="shared" si="159"/>
        <v>0</v>
      </c>
      <c r="AA360" s="214">
        <f t="shared" si="160"/>
        <v>0</v>
      </c>
    </row>
    <row r="361" spans="1:27" ht="13.15" customHeight="1">
      <c r="A361" s="266" t="s">
        <v>265</v>
      </c>
      <c r="B361" s="262">
        <v>2028.4119999999994</v>
      </c>
      <c r="C361" s="263">
        <v>2028.4119999999994</v>
      </c>
      <c r="D361" s="262">
        <v>3010.717000000001</v>
      </c>
      <c r="E361" s="262">
        <v>8337.996000000001</v>
      </c>
      <c r="F361" s="263">
        <v>8337.996000000001</v>
      </c>
      <c r="G361" s="262">
        <v>42605.297999999981</v>
      </c>
      <c r="H361" s="262">
        <v>88788.124799999991</v>
      </c>
      <c r="I361" s="271">
        <v>122</v>
      </c>
      <c r="J361" s="230"/>
      <c r="K361" s="245" t="s">
        <v>265</v>
      </c>
      <c r="L361" s="266">
        <f>C361/I361</f>
        <v>16.626327868852453</v>
      </c>
      <c r="M361" s="267">
        <f>D361/I361</f>
        <v>24.678008196721319</v>
      </c>
      <c r="N361" s="267">
        <f>D361/C361</f>
        <v>1.4842729189139099</v>
      </c>
      <c r="O361" s="239">
        <f>(F361*3.6+G361)*100/H361</f>
        <v>81.79256377312295</v>
      </c>
      <c r="P361" s="239">
        <f>(F361*3.6+G361)*100/H361</f>
        <v>81.79256377312295</v>
      </c>
      <c r="Q361" s="267">
        <f>F361/(C361*8760)*1000</f>
        <v>0.46924689234596362</v>
      </c>
      <c r="R361" s="267">
        <f>G361/(D361*8761)*1000/3.6</f>
        <v>0.44868080602032734</v>
      </c>
      <c r="S361" s="268">
        <f>G361/(F361*3.6)</f>
        <v>1.4193824271443634</v>
      </c>
      <c r="U361" s="214" t="s">
        <v>552</v>
      </c>
      <c r="V361" s="214">
        <f>(G385+G386+G387+G389+G391+G393+G394+G395+G396+G398+G399+G400+G401+G402)/1000</f>
        <v>46.958623200000005</v>
      </c>
      <c r="Z361" s="214">
        <f t="shared" si="159"/>
        <v>0</v>
      </c>
      <c r="AA361" s="214">
        <f t="shared" si="160"/>
        <v>0</v>
      </c>
    </row>
    <row r="362" spans="1:27" ht="13.15" customHeight="1">
      <c r="A362" s="266" t="s">
        <v>266</v>
      </c>
      <c r="B362" s="262">
        <v>655.71599999999989</v>
      </c>
      <c r="C362" s="263">
        <v>655.71599999999989</v>
      </c>
      <c r="D362" s="262">
        <v>759.84199999999942</v>
      </c>
      <c r="E362" s="262">
        <v>2025.1919999999996</v>
      </c>
      <c r="F362" s="263">
        <v>2025.1919999999996</v>
      </c>
      <c r="G362" s="262">
        <v>8289.6624000000029</v>
      </c>
      <c r="H362" s="262">
        <v>19192.14</v>
      </c>
      <c r="I362" s="271">
        <v>434</v>
      </c>
      <c r="J362" s="230"/>
      <c r="K362" s="245" t="s">
        <v>266</v>
      </c>
      <c r="L362" s="266">
        <f>C362/I362</f>
        <v>1.5108663594470044</v>
      </c>
      <c r="M362" s="267">
        <f>D362/I362</f>
        <v>1.7507880184331783</v>
      </c>
      <c r="N362" s="267">
        <f>D362/C362</f>
        <v>1.1587974061941444</v>
      </c>
      <c r="O362" s="239">
        <f>(F362*3.6+G362)*100/H362</f>
        <v>81.180908434390346</v>
      </c>
      <c r="P362" s="239">
        <f>(F362*3.6+G362)*100/H362</f>
        <v>81.180908434390346</v>
      </c>
      <c r="Q362" s="267">
        <f>F362/(C362*8760)*1000</f>
        <v>0.35257077968184852</v>
      </c>
      <c r="R362" s="267">
        <f>G362/(D362*8761)*1000/3.6</f>
        <v>0.3459054204680162</v>
      </c>
      <c r="S362" s="268">
        <f>G362/(F362*3.6)</f>
        <v>1.1370200948848312</v>
      </c>
      <c r="Z362" s="214">
        <f t="shared" si="159"/>
        <v>0</v>
      </c>
      <c r="AA362" s="214">
        <f t="shared" si="160"/>
        <v>0</v>
      </c>
    </row>
    <row r="363" spans="1:27" ht="13.15" customHeight="1">
      <c r="A363" s="353" t="s">
        <v>267</v>
      </c>
      <c r="B363" s="218"/>
      <c r="C363" s="210"/>
      <c r="D363" s="210"/>
      <c r="E363" s="204"/>
      <c r="F363" s="203"/>
      <c r="G363" s="400"/>
      <c r="H363" s="203"/>
      <c r="I363" s="401"/>
      <c r="J363" s="230"/>
      <c r="K363" s="245" t="s">
        <v>267</v>
      </c>
      <c r="L363" s="266"/>
      <c r="M363" s="267"/>
      <c r="N363" s="267"/>
      <c r="O363" s="239"/>
      <c r="P363" s="272"/>
      <c r="Q363" s="272"/>
      <c r="R363" s="274"/>
      <c r="S363" s="275"/>
      <c r="U363" s="214" t="s">
        <v>553</v>
      </c>
      <c r="V363" s="214">
        <f>H384/1000</f>
        <v>279.61753320000003</v>
      </c>
      <c r="Z363" s="214">
        <f t="shared" si="159"/>
        <v>0</v>
      </c>
      <c r="AA363" s="214">
        <f t="shared" si="160"/>
        <v>0</v>
      </c>
    </row>
    <row r="364" spans="1:27" ht="13.15" customHeight="1">
      <c r="A364" s="276" t="s">
        <v>500</v>
      </c>
      <c r="B364" s="277">
        <f t="shared" ref="B364:I364" si="161">SUM(B358:B363)</f>
        <v>4532.6239999999998</v>
      </c>
      <c r="C364" s="277">
        <f t="shared" si="161"/>
        <v>4532.6239999999998</v>
      </c>
      <c r="D364" s="277">
        <f t="shared" si="161"/>
        <v>18527.731000000003</v>
      </c>
      <c r="E364" s="277">
        <f t="shared" si="161"/>
        <v>16484.584000000006</v>
      </c>
      <c r="F364" s="277">
        <f t="shared" si="161"/>
        <v>16484.584000000006</v>
      </c>
      <c r="G364" s="277">
        <f t="shared" si="161"/>
        <v>209673.49679999994</v>
      </c>
      <c r="H364" s="277">
        <f t="shared" si="161"/>
        <v>319932.55439999996</v>
      </c>
      <c r="I364" s="278">
        <f t="shared" si="161"/>
        <v>817</v>
      </c>
      <c r="J364" s="244"/>
      <c r="K364" s="279" t="s">
        <v>169</v>
      </c>
      <c r="L364" s="280">
        <f>C364/I364</f>
        <v>5.547887392900857</v>
      </c>
      <c r="M364" s="281">
        <f>D364/I364</f>
        <v>22.677761321909429</v>
      </c>
      <c r="N364" s="281">
        <f>D364/C364</f>
        <v>4.0876390805855518</v>
      </c>
      <c r="O364" s="282">
        <f>(F364*3.6+G364)*100/H364</f>
        <v>84.085847313823706</v>
      </c>
      <c r="P364" s="282">
        <f>(F364*3.6+G364)*100/H364</f>
        <v>84.085847313823706</v>
      </c>
      <c r="Q364" s="283">
        <f>F364/(C364*8760)*1000</f>
        <v>0.4151683057063677</v>
      </c>
      <c r="R364" s="283">
        <f>G364/(D364*8761)*1000/3.6</f>
        <v>0.35881048091164564</v>
      </c>
      <c r="S364" s="284">
        <f>G364/(F364*3.6)</f>
        <v>3.5331578886067101</v>
      </c>
      <c r="U364" s="214" t="s">
        <v>554</v>
      </c>
      <c r="V364" s="214">
        <f>H390/1000</f>
        <v>0.65367719999999996</v>
      </c>
    </row>
    <row r="365" spans="1:27" ht="13.15" customHeight="1">
      <c r="A365" s="285" t="s">
        <v>501</v>
      </c>
      <c r="B365" s="228" t="s">
        <v>476</v>
      </c>
      <c r="C365" s="228"/>
      <c r="D365" s="286"/>
      <c r="E365" s="227" t="s">
        <v>477</v>
      </c>
      <c r="F365" s="228"/>
      <c r="G365" s="229"/>
      <c r="H365" s="200" t="s">
        <v>138</v>
      </c>
      <c r="I365" s="354" t="s">
        <v>478</v>
      </c>
      <c r="J365" s="244"/>
      <c r="K365" s="287" t="s">
        <v>501</v>
      </c>
      <c r="L365" s="288" t="s">
        <v>479</v>
      </c>
      <c r="M365" s="228"/>
      <c r="N365" s="286"/>
      <c r="O365" s="227" t="s">
        <v>480</v>
      </c>
      <c r="P365" s="228"/>
      <c r="Q365" s="228"/>
      <c r="R365" s="229"/>
      <c r="S365" s="289"/>
      <c r="U365" s="214" t="s">
        <v>555</v>
      </c>
      <c r="V365" s="214">
        <f>H392/1000</f>
        <v>49.450532400000014</v>
      </c>
    </row>
    <row r="366" spans="1:27" ht="13.15" customHeight="1">
      <c r="A366" s="266"/>
      <c r="B366" s="240" t="s">
        <v>481</v>
      </c>
      <c r="C366" s="240"/>
      <c r="D366" s="241" t="s">
        <v>34</v>
      </c>
      <c r="E366" s="242" t="s">
        <v>482</v>
      </c>
      <c r="F366" s="243"/>
      <c r="G366" s="244" t="s">
        <v>34</v>
      </c>
      <c r="H366" s="241" t="s">
        <v>170</v>
      </c>
      <c r="I366" s="349" t="s">
        <v>483</v>
      </c>
      <c r="J366" s="244"/>
      <c r="K366" s="245"/>
      <c r="L366" s="246" t="s">
        <v>484</v>
      </c>
      <c r="M366" s="247"/>
      <c r="N366" s="248" t="s">
        <v>485</v>
      </c>
      <c r="O366" s="248" t="s">
        <v>486</v>
      </c>
      <c r="P366" s="248" t="s">
        <v>486</v>
      </c>
      <c r="Q366" s="247" t="s">
        <v>487</v>
      </c>
      <c r="R366" s="249"/>
      <c r="S366" s="250" t="s">
        <v>485</v>
      </c>
      <c r="U366" s="214" t="s">
        <v>556</v>
      </c>
      <c r="V366" s="214">
        <f>H397/1000</f>
        <v>81.776995199999988</v>
      </c>
    </row>
    <row r="367" spans="1:27" ht="13.15" customHeight="1">
      <c r="A367" s="350" t="s">
        <v>488</v>
      </c>
      <c r="B367" s="252" t="s">
        <v>0</v>
      </c>
      <c r="C367" s="252" t="s">
        <v>489</v>
      </c>
      <c r="D367" s="252" t="s">
        <v>490</v>
      </c>
      <c r="E367" s="252" t="s">
        <v>491</v>
      </c>
      <c r="F367" s="252" t="s">
        <v>489</v>
      </c>
      <c r="G367" s="230" t="s">
        <v>490</v>
      </c>
      <c r="H367" s="248"/>
      <c r="I367" s="349" t="s">
        <v>492</v>
      </c>
      <c r="J367" s="244"/>
      <c r="K367" s="253" t="s">
        <v>488</v>
      </c>
      <c r="L367" s="254" t="s">
        <v>88</v>
      </c>
      <c r="M367" s="252" t="s">
        <v>34</v>
      </c>
      <c r="N367" s="252" t="s">
        <v>493</v>
      </c>
      <c r="O367" s="248" t="s">
        <v>494</v>
      </c>
      <c r="P367" s="248" t="s">
        <v>495</v>
      </c>
      <c r="Q367" s="230" t="s">
        <v>88</v>
      </c>
      <c r="R367" s="248" t="s">
        <v>34</v>
      </c>
      <c r="S367" s="255" t="s">
        <v>88</v>
      </c>
      <c r="U367" s="214" t="s">
        <v>557</v>
      </c>
      <c r="V367" s="214">
        <f>H388/1000</f>
        <v>68.585126400000021</v>
      </c>
    </row>
    <row r="368" spans="1:27" ht="13.15" customHeight="1">
      <c r="A368" s="266"/>
      <c r="B368" s="252" t="s">
        <v>496</v>
      </c>
      <c r="C368" s="252" t="s">
        <v>496</v>
      </c>
      <c r="D368" s="252" t="s">
        <v>496</v>
      </c>
      <c r="E368" s="256" t="s">
        <v>473</v>
      </c>
      <c r="F368" s="256" t="s">
        <v>473</v>
      </c>
      <c r="G368" s="230" t="s">
        <v>451</v>
      </c>
      <c r="H368" s="257" t="s">
        <v>497</v>
      </c>
      <c r="I368" s="351" t="s">
        <v>498</v>
      </c>
      <c r="J368" s="244"/>
      <c r="K368" s="245"/>
      <c r="L368" s="258" t="s">
        <v>496</v>
      </c>
      <c r="M368" s="256" t="s">
        <v>496</v>
      </c>
      <c r="N368" s="256"/>
      <c r="O368" s="257" t="s">
        <v>79</v>
      </c>
      <c r="P368" s="257" t="s">
        <v>79</v>
      </c>
      <c r="Q368" s="259"/>
      <c r="R368" s="257"/>
      <c r="S368" s="260"/>
      <c r="U368" s="214" t="s">
        <v>558</v>
      </c>
      <c r="V368" s="214">
        <f>(H385+H386+H387+H389+H391+H393+H394+H395+H396+H398+H399+H400+H401+H402)/1000</f>
        <v>79.151201999999984</v>
      </c>
    </row>
    <row r="369" spans="1:27" ht="13.15" customHeight="1">
      <c r="A369" s="352" t="s">
        <v>262</v>
      </c>
      <c r="B369" s="262"/>
      <c r="C369" s="262"/>
      <c r="D369" s="262"/>
      <c r="E369" s="262"/>
      <c r="F369" s="262"/>
      <c r="G369" s="262"/>
      <c r="H369" s="262"/>
      <c r="I369" s="264"/>
      <c r="J369" s="244"/>
      <c r="K369" s="265" t="s">
        <v>262</v>
      </c>
      <c r="L369" s="266" t="e">
        <f>B369/I369</f>
        <v>#DIV/0!</v>
      </c>
      <c r="M369" s="267" t="e">
        <f>D369/I369</f>
        <v>#DIV/0!</v>
      </c>
      <c r="N369" s="267" t="e">
        <f>D369/B369</f>
        <v>#DIV/0!</v>
      </c>
      <c r="O369" s="239" t="e">
        <f>(F369*3.6+G369)*100/H369</f>
        <v>#DIV/0!</v>
      </c>
      <c r="P369" s="267" t="e">
        <f>(E369*3.6+G369)*100/H369</f>
        <v>#DIV/0!</v>
      </c>
      <c r="Q369" s="267" t="e">
        <f>E369/(B369*8760)*1000</f>
        <v>#DIV/0!</v>
      </c>
      <c r="R369" s="267" t="e">
        <f>G369/(D369*8761)*1000/3.6</f>
        <v>#DIV/0!</v>
      </c>
      <c r="S369" s="268" t="e">
        <f>G369/(E369*3.6)</f>
        <v>#DIV/0!</v>
      </c>
      <c r="U369" s="220"/>
      <c r="Z369" s="214">
        <f t="shared" ref="Z369:Z376" si="162">C369-B369</f>
        <v>0</v>
      </c>
      <c r="AA369" s="214">
        <f t="shared" ref="AA369:AA376" si="163">F369-E369</f>
        <v>0</v>
      </c>
    </row>
    <row r="370" spans="1:27" ht="13.15" customHeight="1">
      <c r="A370" s="266" t="s">
        <v>263</v>
      </c>
      <c r="B370" s="334">
        <v>105.58499999999999</v>
      </c>
      <c r="C370" s="334">
        <v>105.58499999999999</v>
      </c>
      <c r="D370" s="334">
        <v>633.87299999999993</v>
      </c>
      <c r="E370" s="334">
        <v>291.59590000000003</v>
      </c>
      <c r="F370" s="334">
        <v>457.07399999999996</v>
      </c>
      <c r="G370" s="334">
        <v>12318.8436</v>
      </c>
      <c r="H370" s="334">
        <v>24268.777199999997</v>
      </c>
      <c r="I370" s="402">
        <v>21</v>
      </c>
      <c r="J370" s="244"/>
      <c r="K370" s="245" t="s">
        <v>263</v>
      </c>
      <c r="L370" s="266">
        <f>B370/I370</f>
        <v>5.0278571428571421</v>
      </c>
      <c r="M370" s="267">
        <f>D370/I370</f>
        <v>30.184428571428569</v>
      </c>
      <c r="N370" s="267">
        <f>D370/B370</f>
        <v>6.0034379883506181</v>
      </c>
      <c r="O370" s="239">
        <f>(F370*3.6+G370)*100/H370</f>
        <v>57.540229097327583</v>
      </c>
      <c r="P370" s="267">
        <f>(E370*3.6+G370)*100/H370</f>
        <v>55.085547697063213</v>
      </c>
      <c r="Q370" s="267">
        <f>E370/(B370*8760)*1000</f>
        <v>0.31526450912863607</v>
      </c>
      <c r="R370" s="267">
        <f>G370/(D370*8761)*1000/3.6</f>
        <v>0.61618554646213386</v>
      </c>
      <c r="S370" s="268">
        <f>G370/(E370*3.6)</f>
        <v>11.735079265517792</v>
      </c>
      <c r="U370" s="239" t="s">
        <v>152</v>
      </c>
      <c r="V370" s="492">
        <f>B385/1000</f>
        <v>0</v>
      </c>
      <c r="Z370" s="214">
        <f t="shared" si="162"/>
        <v>0</v>
      </c>
      <c r="AA370" s="214">
        <f t="shared" si="163"/>
        <v>165.47809999999993</v>
      </c>
    </row>
    <row r="371" spans="1:27" ht="13.15" customHeight="1">
      <c r="A371" s="266" t="s">
        <v>499</v>
      </c>
      <c r="B371" s="334">
        <v>228.99181999999999</v>
      </c>
      <c r="C371" s="334">
        <v>256.58999999999997</v>
      </c>
      <c r="D371" s="334">
        <v>1218.384</v>
      </c>
      <c r="E371" s="334">
        <v>801.7104599999999</v>
      </c>
      <c r="F371" s="334">
        <v>1025.6089999999999</v>
      </c>
      <c r="G371" s="334">
        <v>13152.69</v>
      </c>
      <c r="H371" s="334">
        <v>27009.691199999997</v>
      </c>
      <c r="I371" s="402">
        <v>30</v>
      </c>
      <c r="J371" s="244"/>
      <c r="K371" s="245" t="s">
        <v>499</v>
      </c>
      <c r="L371" s="266">
        <f>B371/I371</f>
        <v>7.6330606666666663</v>
      </c>
      <c r="M371" s="267">
        <f>D371/I371</f>
        <v>40.6128</v>
      </c>
      <c r="N371" s="267">
        <f>D371/B371</f>
        <v>5.3206442046707174</v>
      </c>
      <c r="O371" s="239">
        <f>(F371*3.6+G371)*100/H371</f>
        <v>62.366068072633141</v>
      </c>
      <c r="P371" s="267">
        <f>(E371*3.6+G371)*100/H371</f>
        <v>59.381825350154323</v>
      </c>
      <c r="Q371" s="267">
        <f>E371/(B371*8760)*1000</f>
        <v>0.39966256831405411</v>
      </c>
      <c r="R371" s="267">
        <f>G371/(D371*8761)*1000/3.6</f>
        <v>0.34227424091057251</v>
      </c>
      <c r="S371" s="268">
        <f>G371/(E371*3.6)</f>
        <v>4.5571626943722308</v>
      </c>
      <c r="U371" s="239" t="s">
        <v>504</v>
      </c>
      <c r="V371" s="492">
        <f t="shared" ref="V371:V387" si="164">B386/1000</f>
        <v>0</v>
      </c>
      <c r="Z371" s="214">
        <f t="shared" si="162"/>
        <v>27.598179999999985</v>
      </c>
      <c r="AA371" s="214">
        <f t="shared" si="163"/>
        <v>223.89854000000003</v>
      </c>
    </row>
    <row r="372" spans="1:27" ht="13.15" customHeight="1">
      <c r="A372" s="266" t="s">
        <v>265</v>
      </c>
      <c r="B372" s="334">
        <v>772.93389999999988</v>
      </c>
      <c r="C372" s="334">
        <v>1044.7470000000001</v>
      </c>
      <c r="D372" s="334">
        <v>1559.2579999999998</v>
      </c>
      <c r="E372" s="334">
        <v>2763.3036000000002</v>
      </c>
      <c r="F372" s="334">
        <v>4078.3420000000001</v>
      </c>
      <c r="G372" s="334">
        <v>19021.568400000004</v>
      </c>
      <c r="H372" s="334">
        <v>47913.076799999988</v>
      </c>
      <c r="I372" s="402">
        <v>94</v>
      </c>
      <c r="J372" s="244"/>
      <c r="K372" s="245" t="s">
        <v>265</v>
      </c>
      <c r="L372" s="266">
        <f>B372/I372</f>
        <v>8.2227010638297866</v>
      </c>
      <c r="M372" s="267">
        <f>D372/I372</f>
        <v>16.587851063829785</v>
      </c>
      <c r="N372" s="267">
        <f>D372/B372</f>
        <v>2.0173238617170242</v>
      </c>
      <c r="O372" s="239">
        <f>(F372*3.6+G372)*100/H372</f>
        <v>70.343217031722759</v>
      </c>
      <c r="P372" s="267">
        <f>(E372*3.6+G372)*100/H372</f>
        <v>60.462536106635532</v>
      </c>
      <c r="Q372" s="267">
        <f>E372/(B372*8760)*1000</f>
        <v>0.4081146090737594</v>
      </c>
      <c r="R372" s="267">
        <f>G372/(D372*8761)*1000/3.6</f>
        <v>0.3867872603558809</v>
      </c>
      <c r="S372" s="268">
        <f>G372/(E372*3.6)</f>
        <v>1.912120333067999</v>
      </c>
      <c r="U372" s="239" t="s">
        <v>505</v>
      </c>
      <c r="V372" s="492">
        <f t="shared" si="164"/>
        <v>0</v>
      </c>
      <c r="Z372" s="214">
        <f t="shared" si="162"/>
        <v>271.81310000000019</v>
      </c>
      <c r="AA372" s="214">
        <f t="shared" si="163"/>
        <v>1315.0383999999999</v>
      </c>
    </row>
    <row r="373" spans="1:27" ht="13.15" customHeight="1">
      <c r="A373" s="266" t="s">
        <v>266</v>
      </c>
      <c r="B373" s="334">
        <v>856.31340000000023</v>
      </c>
      <c r="C373" s="334">
        <v>906.54699999999991</v>
      </c>
      <c r="D373" s="334">
        <v>1026.385</v>
      </c>
      <c r="E373" s="334">
        <v>2237.1094000000012</v>
      </c>
      <c r="F373" s="334">
        <v>2512.3120000000008</v>
      </c>
      <c r="G373" s="334">
        <v>9259.7760000000053</v>
      </c>
      <c r="H373" s="334">
        <v>25879.755600000019</v>
      </c>
      <c r="I373" s="335">
        <v>608</v>
      </c>
      <c r="J373" s="244"/>
      <c r="K373" s="245" t="s">
        <v>266</v>
      </c>
      <c r="L373" s="266">
        <f>B373/I373</f>
        <v>1.4084101973684213</v>
      </c>
      <c r="M373" s="267">
        <f>D373/I373</f>
        <v>1.6881332236842106</v>
      </c>
      <c r="N373" s="267">
        <f>D373/B373</f>
        <v>1.1986090606546618</v>
      </c>
      <c r="O373" s="239">
        <f>(F373*3.6+G373)*100/H373</f>
        <v>70.727480904031395</v>
      </c>
      <c r="P373" s="267">
        <f>(E373*3.6+G373)*100/H373</f>
        <v>66.899278755167217</v>
      </c>
      <c r="Q373" s="267">
        <f>E373/(B373*8760)*1000</f>
        <v>0.29822934615775942</v>
      </c>
      <c r="R373" s="267">
        <f>G373/(D373*8761)*1000/3.6</f>
        <v>0.28604476458775618</v>
      </c>
      <c r="S373" s="268">
        <f>G373/(E373*3.6)</f>
        <v>1.1497694301405199</v>
      </c>
      <c r="U373" s="239" t="s">
        <v>506</v>
      </c>
      <c r="V373" s="492">
        <f t="shared" si="164"/>
        <v>0.46553680000000003</v>
      </c>
      <c r="Z373" s="214">
        <f t="shared" si="162"/>
        <v>50.233599999999683</v>
      </c>
      <c r="AA373" s="214">
        <f t="shared" si="163"/>
        <v>275.20259999999962</v>
      </c>
    </row>
    <row r="374" spans="1:27" ht="13.15" customHeight="1">
      <c r="A374" s="353" t="s">
        <v>267</v>
      </c>
      <c r="B374" s="262"/>
      <c r="C374" s="262"/>
      <c r="D374" s="262"/>
      <c r="E374" s="262"/>
      <c r="F374" s="262"/>
      <c r="G374" s="262"/>
      <c r="H374" s="262"/>
      <c r="I374" s="273"/>
      <c r="J374" s="244"/>
      <c r="K374" s="245" t="s">
        <v>267</v>
      </c>
      <c r="L374" s="266"/>
      <c r="M374" s="267"/>
      <c r="N374" s="267"/>
      <c r="O374" s="239"/>
      <c r="P374" s="267"/>
      <c r="Q374" s="272"/>
      <c r="R374" s="274"/>
      <c r="S374" s="275"/>
      <c r="U374" s="239" t="s">
        <v>507</v>
      </c>
      <c r="V374" s="492">
        <f t="shared" si="164"/>
        <v>0</v>
      </c>
      <c r="Z374" s="214">
        <f t="shared" si="162"/>
        <v>0</v>
      </c>
      <c r="AA374" s="214">
        <f t="shared" si="163"/>
        <v>0</v>
      </c>
    </row>
    <row r="375" spans="1:27" ht="13.15" customHeight="1">
      <c r="A375" s="276" t="s">
        <v>500</v>
      </c>
      <c r="B375" s="291">
        <f t="shared" ref="B375:I375" si="165">SUM(B369:B374)</f>
        <v>1963.82412</v>
      </c>
      <c r="C375" s="291">
        <f t="shared" si="165"/>
        <v>2313.4690000000001</v>
      </c>
      <c r="D375" s="291">
        <f t="shared" si="165"/>
        <v>4437.8999999999996</v>
      </c>
      <c r="E375" s="291">
        <f t="shared" si="165"/>
        <v>6093.719360000001</v>
      </c>
      <c r="F375" s="291">
        <f t="shared" si="165"/>
        <v>8073.3370000000004</v>
      </c>
      <c r="G375" s="292">
        <f t="shared" si="165"/>
        <v>53752.878000000012</v>
      </c>
      <c r="H375" s="291">
        <f t="shared" si="165"/>
        <v>125071.30080000001</v>
      </c>
      <c r="I375" s="293">
        <f t="shared" si="165"/>
        <v>753</v>
      </c>
      <c r="J375" s="244"/>
      <c r="K375" s="279" t="s">
        <v>169</v>
      </c>
      <c r="L375" s="280">
        <f>B375/I375</f>
        <v>2.6080001593625499</v>
      </c>
      <c r="M375" s="281">
        <f>D375/I375</f>
        <v>5.8936254980079674</v>
      </c>
      <c r="N375" s="281">
        <f>D375/B375</f>
        <v>2.2598255896765336</v>
      </c>
      <c r="O375" s="294">
        <f>(F375*3.6+G375)*100/H375</f>
        <v>66.215743076368483</v>
      </c>
      <c r="P375" s="295">
        <f>(E375*3.6+G375)*100/H375</f>
        <v>60.517694476557338</v>
      </c>
      <c r="Q375" s="283">
        <f>E375/(B375*8760)*1000</f>
        <v>0.35422218152964774</v>
      </c>
      <c r="R375" s="283">
        <f>G375/(D375*8761)*1000/3.6</f>
        <v>0.38403254362188727</v>
      </c>
      <c r="S375" s="284">
        <f>G375/(E375*3.6)</f>
        <v>2.4502859613147656</v>
      </c>
      <c r="U375" s="239" t="s">
        <v>156</v>
      </c>
      <c r="V375" s="492">
        <f t="shared" si="164"/>
        <v>2.1239999999999998E-2</v>
      </c>
      <c r="Z375" s="214">
        <f t="shared" si="162"/>
        <v>349.64488000000006</v>
      </c>
      <c r="AA375" s="214">
        <f t="shared" si="163"/>
        <v>1979.6176399999995</v>
      </c>
    </row>
    <row r="376" spans="1:27" ht="13.15" customHeight="1" thickBot="1">
      <c r="A376" s="296" t="s">
        <v>502</v>
      </c>
      <c r="B376" s="297">
        <f t="shared" ref="B376:I376" si="166">B364+B375</f>
        <v>6496.44812</v>
      </c>
      <c r="C376" s="297">
        <f t="shared" si="166"/>
        <v>6846.0929999999998</v>
      </c>
      <c r="D376" s="297">
        <f t="shared" si="166"/>
        <v>22965.631000000001</v>
      </c>
      <c r="E376" s="297">
        <f t="shared" si="166"/>
        <v>22578.303360000005</v>
      </c>
      <c r="F376" s="297">
        <f t="shared" si="166"/>
        <v>24557.921000000006</v>
      </c>
      <c r="G376" s="297">
        <f t="shared" si="166"/>
        <v>263426.37479999993</v>
      </c>
      <c r="H376" s="297">
        <f t="shared" si="166"/>
        <v>445003.85519999999</v>
      </c>
      <c r="I376" s="298">
        <f t="shared" si="166"/>
        <v>1570</v>
      </c>
      <c r="J376" s="244"/>
      <c r="K376" s="296" t="s">
        <v>502</v>
      </c>
      <c r="L376" s="299">
        <f>B376/I376</f>
        <v>4.137865044585987</v>
      </c>
      <c r="M376" s="300">
        <f>D376/I376</f>
        <v>14.627790445859873</v>
      </c>
      <c r="N376" s="300">
        <f>D376/B376</f>
        <v>3.5351057340545653</v>
      </c>
      <c r="O376" s="301">
        <f>(F376*3.6+G376)*100/H376</f>
        <v>79.0633353596169</v>
      </c>
      <c r="P376" s="301">
        <f>(E376*3.6+G376)*100/H376</f>
        <v>77.461860805919599</v>
      </c>
      <c r="Q376" s="301">
        <f>E376/(B376*8760)*1000</f>
        <v>0.39674478157934701</v>
      </c>
      <c r="R376" s="301">
        <f>G376/(D376*8761)*1000/3.6</f>
        <v>0.36368441588437866</v>
      </c>
      <c r="S376" s="302">
        <f>G376/(E376*3.6)</f>
        <v>3.240898655371772</v>
      </c>
      <c r="T376" s="309"/>
      <c r="U376" s="239" t="s">
        <v>508</v>
      </c>
      <c r="V376" s="492">
        <f t="shared" si="164"/>
        <v>1.0800000000000001E-2</v>
      </c>
      <c r="Z376" s="214">
        <f t="shared" si="162"/>
        <v>349.64487999999983</v>
      </c>
      <c r="AA376" s="214">
        <f t="shared" si="163"/>
        <v>1979.6176400000004</v>
      </c>
    </row>
    <row r="377" spans="1:27" ht="13.15" customHeight="1">
      <c r="U377" s="239" t="s">
        <v>509</v>
      </c>
      <c r="V377" s="492">
        <f t="shared" si="164"/>
        <v>0.61695969999999989</v>
      </c>
    </row>
    <row r="378" spans="1:27" ht="13.15" customHeight="1">
      <c r="A378" s="251" t="s">
        <v>139</v>
      </c>
      <c r="B378" s="227" t="s">
        <v>476</v>
      </c>
      <c r="C378" s="228"/>
      <c r="D378" s="286"/>
      <c r="E378" s="227" t="s">
        <v>477</v>
      </c>
      <c r="F378" s="228"/>
      <c r="G378" s="229"/>
      <c r="H378" s="200" t="s">
        <v>138</v>
      </c>
      <c r="I378" s="200" t="s">
        <v>478</v>
      </c>
      <c r="J378" s="230"/>
      <c r="K378" s="303" t="s">
        <v>503</v>
      </c>
      <c r="L378" s="227" t="s">
        <v>479</v>
      </c>
      <c r="M378" s="228"/>
      <c r="N378" s="286"/>
      <c r="O378" s="227" t="s">
        <v>480</v>
      </c>
      <c r="P378" s="228"/>
      <c r="Q378" s="228"/>
      <c r="R378" s="229"/>
      <c r="S378" s="286"/>
      <c r="U378" s="239" t="s">
        <v>510</v>
      </c>
      <c r="V378" s="492">
        <f t="shared" si="164"/>
        <v>4.9000000000000007E-3</v>
      </c>
    </row>
    <row r="379" spans="1:27" ht="13.15" customHeight="1">
      <c r="A379" s="239"/>
      <c r="B379" s="240" t="s">
        <v>9</v>
      </c>
      <c r="C379" s="240"/>
      <c r="D379" s="241" t="s">
        <v>34</v>
      </c>
      <c r="E379" s="242" t="s">
        <v>88</v>
      </c>
      <c r="F379" s="243"/>
      <c r="G379" s="244" t="s">
        <v>34</v>
      </c>
      <c r="H379" s="241" t="s">
        <v>170</v>
      </c>
      <c r="I379" s="241" t="s">
        <v>483</v>
      </c>
      <c r="J379" s="230"/>
      <c r="K379" s="305"/>
      <c r="L379" s="306" t="s">
        <v>484</v>
      </c>
      <c r="M379" s="247"/>
      <c r="N379" s="248" t="s">
        <v>485</v>
      </c>
      <c r="O379" s="248" t="s">
        <v>486</v>
      </c>
      <c r="P379" s="248" t="s">
        <v>486</v>
      </c>
      <c r="Q379" s="247" t="s">
        <v>487</v>
      </c>
      <c r="R379" s="249"/>
      <c r="S379" s="307" t="s">
        <v>485</v>
      </c>
      <c r="U379" s="239" t="s">
        <v>511</v>
      </c>
      <c r="V379" s="492">
        <f t="shared" si="164"/>
        <v>1.3799999999999999E-3</v>
      </c>
    </row>
    <row r="380" spans="1:27" ht="13.15" customHeight="1">
      <c r="A380" s="239"/>
      <c r="B380" s="252" t="s">
        <v>0</v>
      </c>
      <c r="C380" s="252" t="s">
        <v>489</v>
      </c>
      <c r="D380" s="252" t="s">
        <v>490</v>
      </c>
      <c r="E380" s="252" t="s">
        <v>491</v>
      </c>
      <c r="F380" s="252" t="s">
        <v>489</v>
      </c>
      <c r="G380" s="230" t="s">
        <v>490</v>
      </c>
      <c r="H380" s="248"/>
      <c r="I380" s="241" t="s">
        <v>492</v>
      </c>
      <c r="J380" s="230"/>
      <c r="K380" s="305"/>
      <c r="L380" s="248" t="s">
        <v>88</v>
      </c>
      <c r="M380" s="252" t="s">
        <v>34</v>
      </c>
      <c r="N380" s="252" t="s">
        <v>493</v>
      </c>
      <c r="O380" s="248" t="s">
        <v>494</v>
      </c>
      <c r="P380" s="248" t="s">
        <v>495</v>
      </c>
      <c r="Q380" s="230" t="s">
        <v>88</v>
      </c>
      <c r="R380" s="248" t="s">
        <v>34</v>
      </c>
      <c r="S380" s="252" t="s">
        <v>88</v>
      </c>
      <c r="U380" s="239" t="s">
        <v>512</v>
      </c>
      <c r="V380" s="492">
        <f t="shared" si="164"/>
        <v>0.77321029999999968</v>
      </c>
    </row>
    <row r="381" spans="1:27" ht="13.15" customHeight="1">
      <c r="A381" s="239"/>
      <c r="B381" s="257" t="s">
        <v>496</v>
      </c>
      <c r="C381" s="256" t="s">
        <v>496</v>
      </c>
      <c r="D381" s="256" t="s">
        <v>496</v>
      </c>
      <c r="E381" s="256" t="s">
        <v>473</v>
      </c>
      <c r="F381" s="257" t="s">
        <v>473</v>
      </c>
      <c r="G381" s="259" t="s">
        <v>451</v>
      </c>
      <c r="H381" s="257" t="s">
        <v>497</v>
      </c>
      <c r="I381" s="257" t="s">
        <v>498</v>
      </c>
      <c r="J381" s="230"/>
      <c r="K381" s="305"/>
      <c r="L381" s="257" t="s">
        <v>496</v>
      </c>
      <c r="M381" s="256" t="s">
        <v>496</v>
      </c>
      <c r="N381" s="256"/>
      <c r="O381" s="257" t="s">
        <v>79</v>
      </c>
      <c r="P381" s="257" t="s">
        <v>79</v>
      </c>
      <c r="Q381" s="259"/>
      <c r="R381" s="257"/>
      <c r="S381" s="256"/>
      <c r="U381" s="239" t="s">
        <v>513</v>
      </c>
      <c r="V381" s="492">
        <f t="shared" si="164"/>
        <v>3.9743499999999994E-2</v>
      </c>
    </row>
    <row r="382" spans="1:27" ht="13.15" customHeight="1">
      <c r="A382" s="251" t="s">
        <v>150</v>
      </c>
      <c r="B382" s="403">
        <v>3231.9172400000016</v>
      </c>
      <c r="C382" s="403">
        <v>3471.3290000000011</v>
      </c>
      <c r="D382" s="403">
        <v>6197.5620000000017</v>
      </c>
      <c r="E382" s="403">
        <v>11470.354839999998</v>
      </c>
      <c r="F382" s="403">
        <v>12817.757999999993</v>
      </c>
      <c r="G382" s="403">
        <v>80869.654799999989</v>
      </c>
      <c r="H382" s="403">
        <v>165386.32199999996</v>
      </c>
      <c r="I382" s="404">
        <v>768</v>
      </c>
      <c r="J382" s="244"/>
      <c r="K382" s="303" t="s">
        <v>150</v>
      </c>
      <c r="L382" s="312">
        <f>B382/I382</f>
        <v>4.2082255729166684</v>
      </c>
      <c r="M382" s="313">
        <f>D382/I382</f>
        <v>8.0697421875000028</v>
      </c>
      <c r="N382" s="313">
        <f>D382/B382</f>
        <v>1.9176116031981063</v>
      </c>
      <c r="O382" s="312">
        <f>(F382*3.6+G382)*100/H382</f>
        <v>76.798118528810377</v>
      </c>
      <c r="P382" s="313">
        <f>(E382*3.6+G382)*100/H382</f>
        <v>73.865196799043645</v>
      </c>
      <c r="Q382" s="313">
        <f>E382/(B382*8760)*1000</f>
        <v>0.40514689585396735</v>
      </c>
      <c r="R382" s="313">
        <f>G382/(D382*8761)*1000/3.6</f>
        <v>0.41372191674214631</v>
      </c>
      <c r="S382" s="313">
        <f>G382/(E382*3.6)</f>
        <v>1.9584218024069429</v>
      </c>
      <c r="U382" s="239" t="s">
        <v>514</v>
      </c>
      <c r="V382" s="492">
        <f t="shared" si="164"/>
        <v>0.57336069999999983</v>
      </c>
      <c r="Z382" s="214">
        <f>C382-B382</f>
        <v>239.4117599999995</v>
      </c>
      <c r="AA382" s="214">
        <f>F382-E382</f>
        <v>1347.4031599999944</v>
      </c>
    </row>
    <row r="383" spans="1:27" ht="13.15" customHeight="1">
      <c r="A383" s="239"/>
      <c r="B383" s="405"/>
      <c r="C383" s="405"/>
      <c r="D383" s="405"/>
      <c r="E383" s="405"/>
      <c r="F383" s="405"/>
      <c r="G383" s="405"/>
      <c r="H383" s="405"/>
      <c r="I383" s="406"/>
      <c r="J383" s="230"/>
      <c r="K383" s="239"/>
      <c r="L383" s="312"/>
      <c r="M383" s="267"/>
      <c r="N383" s="267"/>
      <c r="O383" s="239"/>
      <c r="P383" s="313"/>
      <c r="Q383" s="267"/>
      <c r="R383" s="267"/>
      <c r="S383" s="239"/>
      <c r="U383" s="239" t="s">
        <v>515</v>
      </c>
      <c r="V383" s="492">
        <f t="shared" si="164"/>
        <v>0.1118045</v>
      </c>
      <c r="Z383" s="214">
        <f t="shared" ref="Z383:Z403" si="167">C383-B383</f>
        <v>0</v>
      </c>
      <c r="AA383" s="214">
        <f t="shared" ref="AA383:AA403" si="168">F383-E383</f>
        <v>0</v>
      </c>
    </row>
    <row r="384" spans="1:27" ht="13.15" customHeight="1">
      <c r="A384" s="312" t="s">
        <v>7</v>
      </c>
      <c r="B384" s="407">
        <f>SUM(B385:B402)</f>
        <v>3264.5308800000003</v>
      </c>
      <c r="C384" s="407">
        <f t="shared" ref="C384:I384" si="169">SUM(C385:C402)</f>
        <v>3374.7639999999997</v>
      </c>
      <c r="D384" s="407">
        <f t="shared" si="169"/>
        <v>16768.069000000003</v>
      </c>
      <c r="E384" s="407">
        <f t="shared" si="169"/>
        <v>11107.948520000002</v>
      </c>
      <c r="F384" s="407">
        <f t="shared" si="169"/>
        <v>11740.163</v>
      </c>
      <c r="G384" s="407">
        <f t="shared" si="169"/>
        <v>182556.72</v>
      </c>
      <c r="H384" s="407">
        <f t="shared" si="169"/>
        <v>279617.53320000001</v>
      </c>
      <c r="I384" s="408">
        <f t="shared" si="169"/>
        <v>802</v>
      </c>
      <c r="J384" s="244"/>
      <c r="K384" s="318" t="s">
        <v>7</v>
      </c>
      <c r="L384" s="312">
        <f>B384/I384</f>
        <v>4.0704873815461351</v>
      </c>
      <c r="M384" s="313">
        <f>D384/I384</f>
        <v>20.907816708229429</v>
      </c>
      <c r="N384" s="313">
        <f>D384/B384</f>
        <v>5.1364406147078636</v>
      </c>
      <c r="O384" s="312">
        <f t="shared" ref="O384:O401" si="170">(F384*3.6+G384)*100/H384</f>
        <v>80.403150770661341</v>
      </c>
      <c r="P384" s="313">
        <f>(E384*3.6+G384)*100/H384</f>
        <v>79.589191752443384</v>
      </c>
      <c r="Q384" s="313">
        <f>E384/(B384*8760)*1000</f>
        <v>0.38842660693962761</v>
      </c>
      <c r="R384" s="313">
        <f>G384/(D384*8761)*1000/3.6</f>
        <v>0.34519030580580801</v>
      </c>
      <c r="S384" s="313">
        <f>G384/(E384*3.6)</f>
        <v>4.5652174124407976</v>
      </c>
      <c r="U384" s="239" t="s">
        <v>516</v>
      </c>
      <c r="V384" s="492">
        <f t="shared" si="164"/>
        <v>0.24641939999999998</v>
      </c>
      <c r="Z384" s="214">
        <f t="shared" si="167"/>
        <v>110.23311999999942</v>
      </c>
      <c r="AA384" s="214">
        <f t="shared" si="168"/>
        <v>632.21447999999873</v>
      </c>
    </row>
    <row r="385" spans="1:27" ht="13.15" customHeight="1">
      <c r="A385" s="239" t="s">
        <v>152</v>
      </c>
      <c r="B385" s="334"/>
      <c r="C385" s="334"/>
      <c r="D385" s="334"/>
      <c r="E385" s="334"/>
      <c r="F385" s="334"/>
      <c r="G385" s="334"/>
      <c r="H385" s="334"/>
      <c r="I385" s="335"/>
      <c r="J385" s="230"/>
      <c r="K385" s="305" t="s">
        <v>152</v>
      </c>
      <c r="L385" s="239" t="e">
        <f t="shared" ref="L385:L401" si="171">B385/I385</f>
        <v>#DIV/0!</v>
      </c>
      <c r="M385" s="267" t="e">
        <f t="shared" ref="M385:M401" si="172">D385/I385</f>
        <v>#DIV/0!</v>
      </c>
      <c r="N385" s="267" t="e">
        <f t="shared" ref="N385:N401" si="173">D385/B385</f>
        <v>#DIV/0!</v>
      </c>
      <c r="O385" s="239" t="e">
        <f t="shared" si="170"/>
        <v>#DIV/0!</v>
      </c>
      <c r="P385" s="267" t="e">
        <f t="shared" ref="P385:P401" si="174">(E385*3.6+G385)*100/H385</f>
        <v>#DIV/0!</v>
      </c>
      <c r="Q385" s="267" t="e">
        <f t="shared" ref="Q385:Q401" si="175">E385/(B385*8760)*1000</f>
        <v>#DIV/0!</v>
      </c>
      <c r="R385" s="267" t="e">
        <f t="shared" ref="R385:R401" si="176">G385/(D385*8761)*1000/3.6</f>
        <v>#DIV/0!</v>
      </c>
      <c r="S385" s="267" t="e">
        <f t="shared" ref="S385:S401" si="177">G385/(E385*3.6)</f>
        <v>#DIV/0!</v>
      </c>
      <c r="U385" s="239" t="s">
        <v>517</v>
      </c>
      <c r="V385" s="492">
        <f t="shared" si="164"/>
        <v>5.4791699999999999E-2</v>
      </c>
      <c r="Z385" s="214">
        <f t="shared" si="167"/>
        <v>0</v>
      </c>
      <c r="AA385" s="214">
        <f t="shared" si="168"/>
        <v>0</v>
      </c>
    </row>
    <row r="386" spans="1:27" ht="13.15" customHeight="1">
      <c r="A386" s="239" t="s">
        <v>504</v>
      </c>
      <c r="B386" s="334"/>
      <c r="C386" s="334"/>
      <c r="D386" s="334"/>
      <c r="E386" s="334"/>
      <c r="F386" s="334"/>
      <c r="G386" s="334"/>
      <c r="H386" s="334"/>
      <c r="I386" s="335"/>
      <c r="J386" s="230"/>
      <c r="K386" s="305" t="s">
        <v>504</v>
      </c>
      <c r="L386" s="239" t="e">
        <f t="shared" si="171"/>
        <v>#DIV/0!</v>
      </c>
      <c r="M386" s="267" t="e">
        <f t="shared" si="172"/>
        <v>#DIV/0!</v>
      </c>
      <c r="N386" s="267" t="e">
        <f t="shared" si="173"/>
        <v>#DIV/0!</v>
      </c>
      <c r="O386" s="239" t="e">
        <f t="shared" si="170"/>
        <v>#DIV/0!</v>
      </c>
      <c r="P386" s="267" t="e">
        <f t="shared" si="174"/>
        <v>#DIV/0!</v>
      </c>
      <c r="Q386" s="267" t="e">
        <f t="shared" si="175"/>
        <v>#DIV/0!</v>
      </c>
      <c r="R386" s="267" t="e">
        <f t="shared" si="176"/>
        <v>#DIV/0!</v>
      </c>
      <c r="S386" s="267" t="e">
        <f t="shared" si="177"/>
        <v>#DIV/0!</v>
      </c>
      <c r="U386" s="239" t="s">
        <v>518</v>
      </c>
      <c r="V386" s="492">
        <f t="shared" si="164"/>
        <v>0.34438427999999993</v>
      </c>
      <c r="Z386" s="214">
        <f t="shared" si="167"/>
        <v>0</v>
      </c>
      <c r="AA386" s="214">
        <f t="shared" si="168"/>
        <v>0</v>
      </c>
    </row>
    <row r="387" spans="1:27" ht="13.15" customHeight="1">
      <c r="A387" s="239" t="s">
        <v>505</v>
      </c>
      <c r="B387" s="334"/>
      <c r="C387" s="334"/>
      <c r="D387" s="334"/>
      <c r="E387" s="334"/>
      <c r="F387" s="334"/>
      <c r="G387" s="334"/>
      <c r="H387" s="334"/>
      <c r="I387" s="335"/>
      <c r="J387" s="230"/>
      <c r="K387" s="305" t="s">
        <v>505</v>
      </c>
      <c r="L387" s="239" t="e">
        <f t="shared" si="171"/>
        <v>#DIV/0!</v>
      </c>
      <c r="M387" s="267" t="e">
        <f t="shared" si="172"/>
        <v>#DIV/0!</v>
      </c>
      <c r="N387" s="267" t="e">
        <f t="shared" si="173"/>
        <v>#DIV/0!</v>
      </c>
      <c r="O387" s="239" t="e">
        <f t="shared" si="170"/>
        <v>#DIV/0!</v>
      </c>
      <c r="P387" s="267" t="e">
        <f t="shared" si="174"/>
        <v>#DIV/0!</v>
      </c>
      <c r="Q387" s="267" t="e">
        <f t="shared" si="175"/>
        <v>#DIV/0!</v>
      </c>
      <c r="R387" s="267" t="e">
        <f t="shared" si="176"/>
        <v>#DIV/0!</v>
      </c>
      <c r="S387" s="267" t="e">
        <f t="shared" si="177"/>
        <v>#DIV/0!</v>
      </c>
      <c r="U387" s="239" t="s">
        <v>519</v>
      </c>
      <c r="V387" s="492">
        <f t="shared" si="164"/>
        <v>0</v>
      </c>
      <c r="Z387" s="214">
        <f t="shared" si="167"/>
        <v>0</v>
      </c>
      <c r="AA387" s="214">
        <f t="shared" si="168"/>
        <v>0</v>
      </c>
    </row>
    <row r="388" spans="1:27" ht="13.15" customHeight="1">
      <c r="A388" s="239" t="s">
        <v>506</v>
      </c>
      <c r="B388" s="409">
        <v>465.53680000000003</v>
      </c>
      <c r="C388" s="409">
        <v>467.94</v>
      </c>
      <c r="D388" s="409">
        <v>3696.1309999999999</v>
      </c>
      <c r="E388" s="409">
        <v>2291.7044000000001</v>
      </c>
      <c r="F388" s="409">
        <v>2297.8200000000002</v>
      </c>
      <c r="G388" s="409">
        <v>48844.565999999999</v>
      </c>
      <c r="H388" s="409">
        <v>68585.126400000023</v>
      </c>
      <c r="I388" s="410">
        <v>36</v>
      </c>
      <c r="J388" s="230"/>
      <c r="K388" s="305" t="s">
        <v>506</v>
      </c>
      <c r="L388" s="239">
        <f t="shared" si="171"/>
        <v>12.931577777777779</v>
      </c>
      <c r="M388" s="267">
        <f t="shared" si="172"/>
        <v>102.67030555555556</v>
      </c>
      <c r="N388" s="267">
        <f t="shared" si="173"/>
        <v>7.9395033861984698</v>
      </c>
      <c r="O388" s="239">
        <f t="shared" si="170"/>
        <v>83.278578021254447</v>
      </c>
      <c r="P388" s="267">
        <f t="shared" si="174"/>
        <v>83.246477533647862</v>
      </c>
      <c r="Q388" s="267">
        <f t="shared" si="175"/>
        <v>0.56195362283755201</v>
      </c>
      <c r="R388" s="267">
        <f t="shared" si="176"/>
        <v>0.418998741684392</v>
      </c>
      <c r="S388" s="267">
        <f t="shared" si="177"/>
        <v>5.9204559715467662</v>
      </c>
      <c r="U388" s="220"/>
      <c r="Z388" s="214">
        <f t="shared" si="167"/>
        <v>2.4031999999999698</v>
      </c>
      <c r="AA388" s="214">
        <f t="shared" si="168"/>
        <v>6.1156000000000859</v>
      </c>
    </row>
    <row r="389" spans="1:27" ht="13.15" customHeight="1">
      <c r="A389" s="239" t="s">
        <v>507</v>
      </c>
      <c r="B389" s="334"/>
      <c r="C389" s="334"/>
      <c r="D389" s="334"/>
      <c r="E389" s="334"/>
      <c r="F389" s="334"/>
      <c r="G389" s="334"/>
      <c r="H389" s="334"/>
      <c r="I389" s="335"/>
      <c r="J389" s="230"/>
      <c r="K389" s="305" t="s">
        <v>507</v>
      </c>
      <c r="L389" s="239" t="e">
        <f t="shared" si="171"/>
        <v>#DIV/0!</v>
      </c>
      <c r="M389" s="267" t="e">
        <f t="shared" si="172"/>
        <v>#DIV/0!</v>
      </c>
      <c r="N389" s="267" t="e">
        <f t="shared" si="173"/>
        <v>#DIV/0!</v>
      </c>
      <c r="O389" s="239" t="e">
        <f t="shared" si="170"/>
        <v>#DIV/0!</v>
      </c>
      <c r="P389" s="267" t="e">
        <f t="shared" si="174"/>
        <v>#DIV/0!</v>
      </c>
      <c r="Q389" s="267" t="e">
        <f t="shared" si="175"/>
        <v>#DIV/0!</v>
      </c>
      <c r="R389" s="267" t="e">
        <f t="shared" si="176"/>
        <v>#DIV/0!</v>
      </c>
      <c r="S389" s="267" t="e">
        <f t="shared" si="177"/>
        <v>#DIV/0!</v>
      </c>
      <c r="U389" s="220"/>
      <c r="Z389" s="214">
        <f t="shared" si="167"/>
        <v>0</v>
      </c>
      <c r="AA389" s="214">
        <f t="shared" si="168"/>
        <v>0</v>
      </c>
    </row>
    <row r="390" spans="1:27" ht="13.15" customHeight="1">
      <c r="A390" s="239" t="s">
        <v>156</v>
      </c>
      <c r="B390" s="409">
        <v>21.24</v>
      </c>
      <c r="C390" s="409">
        <v>24.4</v>
      </c>
      <c r="D390" s="409">
        <v>107.889</v>
      </c>
      <c r="E390" s="409">
        <v>24.148</v>
      </c>
      <c r="F390" s="409">
        <v>24.936</v>
      </c>
      <c r="G390" s="409">
        <v>490.02479999999997</v>
      </c>
      <c r="H390" s="409">
        <v>653.67719999999997</v>
      </c>
      <c r="I390" s="410">
        <v>7</v>
      </c>
      <c r="J390" s="230"/>
      <c r="K390" s="305" t="s">
        <v>156</v>
      </c>
      <c r="L390" s="239">
        <f t="shared" si="171"/>
        <v>3.0342857142857143</v>
      </c>
      <c r="M390" s="267">
        <f t="shared" si="172"/>
        <v>15.412714285714285</v>
      </c>
      <c r="N390" s="267">
        <f t="shared" si="173"/>
        <v>5.0795197740112998</v>
      </c>
      <c r="O390" s="322">
        <f t="shared" si="170"/>
        <v>88.69735704411903</v>
      </c>
      <c r="P390" s="323">
        <f t="shared" si="174"/>
        <v>88.263381375394459</v>
      </c>
      <c r="Q390" s="267">
        <f t="shared" si="175"/>
        <v>0.12978441641083852</v>
      </c>
      <c r="R390" s="267">
        <f t="shared" si="176"/>
        <v>0.14400736744561041</v>
      </c>
      <c r="S390" s="267">
        <f t="shared" si="177"/>
        <v>5.6368229252940196</v>
      </c>
      <c r="U390" s="220"/>
      <c r="Z390" s="214">
        <f t="shared" si="167"/>
        <v>3.16</v>
      </c>
      <c r="AA390" s="214">
        <f t="shared" si="168"/>
        <v>0.78800000000000026</v>
      </c>
    </row>
    <row r="391" spans="1:27" ht="13.15" customHeight="1">
      <c r="A391" s="239" t="s">
        <v>508</v>
      </c>
      <c r="B391" s="409">
        <v>10.8</v>
      </c>
      <c r="C391" s="409">
        <v>10.8</v>
      </c>
      <c r="D391" s="409">
        <v>209.642</v>
      </c>
      <c r="E391" s="409">
        <v>33.305999999999997</v>
      </c>
      <c r="F391" s="409">
        <v>33.305999999999997</v>
      </c>
      <c r="G391" s="409">
        <v>1577.7</v>
      </c>
      <c r="H391" s="409">
        <v>1901.4155999999998</v>
      </c>
      <c r="I391" s="410">
        <v>2</v>
      </c>
      <c r="J391" s="230"/>
      <c r="K391" s="305" t="s">
        <v>508</v>
      </c>
      <c r="L391" s="239">
        <f t="shared" si="171"/>
        <v>5.4</v>
      </c>
      <c r="M391" s="267">
        <f t="shared" si="172"/>
        <v>104.821</v>
      </c>
      <c r="N391" s="267">
        <f t="shared" si="173"/>
        <v>19.411296296296296</v>
      </c>
      <c r="O391" s="239">
        <f t="shared" si="170"/>
        <v>89.280933637022869</v>
      </c>
      <c r="P391" s="267">
        <f t="shared" si="174"/>
        <v>89.280933637022869</v>
      </c>
      <c r="Q391" s="267">
        <f t="shared" si="175"/>
        <v>0.3520421106037544</v>
      </c>
      <c r="R391" s="267">
        <f t="shared" si="176"/>
        <v>0.23861071943714299</v>
      </c>
      <c r="S391" s="267">
        <f t="shared" si="177"/>
        <v>13.158289797634062</v>
      </c>
      <c r="U391" s="220"/>
      <c r="Z391" s="214">
        <f t="shared" si="167"/>
        <v>0</v>
      </c>
      <c r="AA391" s="214">
        <f t="shared" si="168"/>
        <v>0</v>
      </c>
    </row>
    <row r="392" spans="1:27" ht="13.15" customHeight="1">
      <c r="A392" s="239" t="s">
        <v>509</v>
      </c>
      <c r="B392" s="409">
        <v>616.95969999999988</v>
      </c>
      <c r="C392" s="409">
        <v>647.49199999999996</v>
      </c>
      <c r="D392" s="409">
        <v>3521.9760000000001</v>
      </c>
      <c r="E392" s="409">
        <v>2096.8490000000002</v>
      </c>
      <c r="F392" s="409">
        <v>2286.3069999999998</v>
      </c>
      <c r="G392" s="409">
        <v>32926.841999999997</v>
      </c>
      <c r="H392" s="409">
        <v>49450.532400000011</v>
      </c>
      <c r="I392" s="410">
        <v>96</v>
      </c>
      <c r="J392" s="230"/>
      <c r="K392" s="305" t="s">
        <v>509</v>
      </c>
      <c r="L392" s="239">
        <f t="shared" si="171"/>
        <v>6.4266635416666658</v>
      </c>
      <c r="M392" s="267">
        <f t="shared" si="172"/>
        <v>36.687249999999999</v>
      </c>
      <c r="N392" s="267">
        <f t="shared" si="173"/>
        <v>5.7085997675374918</v>
      </c>
      <c r="O392" s="239">
        <f t="shared" si="170"/>
        <v>83.229735257612703</v>
      </c>
      <c r="P392" s="267">
        <f t="shared" si="174"/>
        <v>81.850480542045673</v>
      </c>
      <c r="Q392" s="267">
        <f t="shared" si="175"/>
        <v>0.38797724422018698</v>
      </c>
      <c r="R392" s="267">
        <f t="shared" si="176"/>
        <v>0.29642000235982641</v>
      </c>
      <c r="S392" s="267">
        <f t="shared" si="177"/>
        <v>4.3619473791388881</v>
      </c>
      <c r="U392" s="220"/>
      <c r="Z392" s="214">
        <f t="shared" si="167"/>
        <v>30.532300000000077</v>
      </c>
      <c r="AA392" s="214">
        <f t="shared" si="168"/>
        <v>189.45799999999963</v>
      </c>
    </row>
    <row r="393" spans="1:27" ht="13.15" customHeight="1">
      <c r="A393" s="239" t="s">
        <v>510</v>
      </c>
      <c r="B393" s="409">
        <v>4.9000000000000004</v>
      </c>
      <c r="C393" s="409">
        <v>4.9000000000000004</v>
      </c>
      <c r="D393" s="409">
        <v>25.783000000000001</v>
      </c>
      <c r="E393" s="409">
        <v>1.2141</v>
      </c>
      <c r="F393" s="409">
        <v>1.25</v>
      </c>
      <c r="G393" s="409">
        <v>19.108799999999999</v>
      </c>
      <c r="H393" s="409">
        <v>30.204000000000001</v>
      </c>
      <c r="I393" s="410">
        <v>3</v>
      </c>
      <c r="J393" s="230"/>
      <c r="K393" s="305" t="s">
        <v>510</v>
      </c>
      <c r="L393" s="239">
        <f t="shared" si="171"/>
        <v>1.6333333333333335</v>
      </c>
      <c r="M393" s="267">
        <f t="shared" si="172"/>
        <v>8.5943333333333332</v>
      </c>
      <c r="N393" s="267">
        <f t="shared" si="173"/>
        <v>5.261836734693877</v>
      </c>
      <c r="O393" s="322">
        <f t="shared" si="170"/>
        <v>78.164481525625732</v>
      </c>
      <c r="P393" s="323">
        <f t="shared" si="174"/>
        <v>77.736591179976159</v>
      </c>
      <c r="Q393" s="267">
        <f t="shared" si="175"/>
        <v>2.8284875594073246E-2</v>
      </c>
      <c r="R393" s="267">
        <f t="shared" si="176"/>
        <v>2.3498697210180036E-2</v>
      </c>
      <c r="S393" s="267">
        <f t="shared" si="177"/>
        <v>4.3719627707767073</v>
      </c>
      <c r="U393" s="220"/>
      <c r="Z393" s="214">
        <f t="shared" si="167"/>
        <v>0</v>
      </c>
      <c r="AA393" s="214">
        <f t="shared" si="168"/>
        <v>3.5900000000000043E-2</v>
      </c>
    </row>
    <row r="394" spans="1:27" ht="13.15" customHeight="1">
      <c r="A394" s="239" t="s">
        <v>511</v>
      </c>
      <c r="B394" s="409">
        <v>1.38</v>
      </c>
      <c r="C394" s="409">
        <v>1.38</v>
      </c>
      <c r="D394" s="409">
        <v>2.4369999999999998</v>
      </c>
      <c r="E394" s="409">
        <v>0.30789999999999995</v>
      </c>
      <c r="F394" s="409">
        <v>0.318</v>
      </c>
      <c r="G394" s="409">
        <v>1.5840000000000001</v>
      </c>
      <c r="H394" s="409">
        <v>3.8772000000000002</v>
      </c>
      <c r="I394" s="410">
        <v>2</v>
      </c>
      <c r="J394" s="230"/>
      <c r="K394" s="305" t="s">
        <v>511</v>
      </c>
      <c r="L394" s="239">
        <f t="shared" si="171"/>
        <v>0.69</v>
      </c>
      <c r="M394" s="267">
        <f t="shared" si="172"/>
        <v>1.2184999999999999</v>
      </c>
      <c r="N394" s="267">
        <f t="shared" si="173"/>
        <v>1.7659420289855072</v>
      </c>
      <c r="O394" s="239">
        <f t="shared" si="170"/>
        <v>70.380687093779017</v>
      </c>
      <c r="P394" s="267">
        <f t="shared" si="174"/>
        <v>69.442896935933135</v>
      </c>
      <c r="Q394" s="267">
        <f t="shared" si="175"/>
        <v>2.546985639600291E-2</v>
      </c>
      <c r="R394" s="267">
        <f t="shared" si="176"/>
        <v>2.0608361646021697E-2</v>
      </c>
      <c r="S394" s="267">
        <f t="shared" si="177"/>
        <v>1.4290354011042548</v>
      </c>
      <c r="U394" s="220"/>
      <c r="Z394" s="214">
        <f t="shared" si="167"/>
        <v>0</v>
      </c>
      <c r="AA394" s="214">
        <f t="shared" si="168"/>
        <v>1.0100000000000053E-2</v>
      </c>
    </row>
    <row r="395" spans="1:27" ht="13.15" customHeight="1">
      <c r="A395" s="239" t="s">
        <v>512</v>
      </c>
      <c r="B395" s="409">
        <v>773.21029999999973</v>
      </c>
      <c r="C395" s="409">
        <v>781.23099999999988</v>
      </c>
      <c r="D395" s="409">
        <v>4104.7039999999997</v>
      </c>
      <c r="E395" s="409">
        <v>2153.1356999999998</v>
      </c>
      <c r="F395" s="409">
        <v>2178.6559999999999</v>
      </c>
      <c r="G395" s="409">
        <v>28235.012400000003</v>
      </c>
      <c r="H395" s="409">
        <v>43378.559999999998</v>
      </c>
      <c r="I395" s="410">
        <v>148</v>
      </c>
      <c r="J395" s="230"/>
      <c r="K395" s="305" t="s">
        <v>512</v>
      </c>
      <c r="L395" s="239">
        <f t="shared" si="171"/>
        <v>5.224393918918917</v>
      </c>
      <c r="M395" s="267">
        <f t="shared" si="172"/>
        <v>27.734486486486485</v>
      </c>
      <c r="N395" s="267">
        <f t="shared" si="173"/>
        <v>5.3086514755429421</v>
      </c>
      <c r="O395" s="239">
        <f t="shared" si="170"/>
        <v>83.170520183242616</v>
      </c>
      <c r="P395" s="267">
        <f t="shared" si="174"/>
        <v>82.95872643075289</v>
      </c>
      <c r="Q395" s="267">
        <f t="shared" si="175"/>
        <v>0.31788472887045416</v>
      </c>
      <c r="R395" s="267">
        <f t="shared" si="176"/>
        <v>0.21809713327013397</v>
      </c>
      <c r="S395" s="267">
        <f t="shared" si="177"/>
        <v>3.6426217818040922</v>
      </c>
      <c r="U395" s="220"/>
      <c r="Z395" s="214">
        <f t="shared" si="167"/>
        <v>8.0207000000001472</v>
      </c>
      <c r="AA395" s="214">
        <f t="shared" si="168"/>
        <v>25.520300000000134</v>
      </c>
    </row>
    <row r="396" spans="1:27" ht="13.15" customHeight="1">
      <c r="A396" s="239" t="s">
        <v>513</v>
      </c>
      <c r="B396" s="409">
        <v>39.743499999999997</v>
      </c>
      <c r="C396" s="409">
        <v>47.592000000000006</v>
      </c>
      <c r="D396" s="409">
        <v>199.07499999999999</v>
      </c>
      <c r="E396" s="409">
        <v>26.3645</v>
      </c>
      <c r="F396" s="409">
        <v>34.463999999999999</v>
      </c>
      <c r="G396" s="409">
        <v>213.09839999999997</v>
      </c>
      <c r="H396" s="409">
        <v>461.79719999999998</v>
      </c>
      <c r="I396" s="410">
        <v>25</v>
      </c>
      <c r="J396" s="230"/>
      <c r="K396" s="305" t="s">
        <v>513</v>
      </c>
      <c r="L396" s="239">
        <f t="shared" si="171"/>
        <v>1.5897399999999999</v>
      </c>
      <c r="M396" s="267">
        <f t="shared" si="172"/>
        <v>7.9629999999999992</v>
      </c>
      <c r="N396" s="267">
        <f t="shared" si="173"/>
        <v>5.0089951816020228</v>
      </c>
      <c r="O396" s="239">
        <f t="shared" si="170"/>
        <v>73.012309299406752</v>
      </c>
      <c r="P396" s="267">
        <f t="shared" si="174"/>
        <v>66.698238967234957</v>
      </c>
      <c r="Q396" s="267">
        <f t="shared" si="175"/>
        <v>7.5726750757267508E-2</v>
      </c>
      <c r="R396" s="267">
        <f t="shared" si="176"/>
        <v>3.3939644064619537E-2</v>
      </c>
      <c r="S396" s="267">
        <f t="shared" si="177"/>
        <v>2.2452161049896637</v>
      </c>
      <c r="U396" s="220"/>
      <c r="Z396" s="214">
        <f t="shared" si="167"/>
        <v>7.8485000000000085</v>
      </c>
      <c r="AA396" s="214">
        <f t="shared" si="168"/>
        <v>8.099499999999999</v>
      </c>
    </row>
    <row r="397" spans="1:27" ht="13.15" customHeight="1">
      <c r="A397" s="239" t="s">
        <v>514</v>
      </c>
      <c r="B397" s="409">
        <v>573.36069999999984</v>
      </c>
      <c r="C397" s="409">
        <v>597.34799999999984</v>
      </c>
      <c r="D397" s="409">
        <v>3060.549</v>
      </c>
      <c r="E397" s="409">
        <v>2411.5074000000009</v>
      </c>
      <c r="F397" s="409">
        <v>2591.1750000000002</v>
      </c>
      <c r="G397" s="409">
        <v>53336.664000000004</v>
      </c>
      <c r="H397" s="409">
        <v>81776.99519999999</v>
      </c>
      <c r="I397" s="410">
        <v>84</v>
      </c>
      <c r="J397" s="230"/>
      <c r="K397" s="305" t="s">
        <v>514</v>
      </c>
      <c r="L397" s="239">
        <f t="shared" si="171"/>
        <v>6.8257226190476175</v>
      </c>
      <c r="M397" s="267">
        <f t="shared" si="172"/>
        <v>36.435107142857142</v>
      </c>
      <c r="N397" s="267">
        <f t="shared" si="173"/>
        <v>5.3379120682669754</v>
      </c>
      <c r="O397" s="239">
        <f t="shared" si="170"/>
        <v>76.629000425782351</v>
      </c>
      <c r="P397" s="267">
        <f t="shared" si="174"/>
        <v>75.838064835133508</v>
      </c>
      <c r="Q397" s="267">
        <f t="shared" si="175"/>
        <v>0.48012748846705483</v>
      </c>
      <c r="R397" s="267">
        <f t="shared" si="176"/>
        <v>0.55254840632666025</v>
      </c>
      <c r="S397" s="267">
        <f t="shared" si="177"/>
        <v>6.1437671723503708</v>
      </c>
      <c r="U397" s="220"/>
      <c r="Z397" s="214">
        <f t="shared" si="167"/>
        <v>23.987300000000005</v>
      </c>
      <c r="AA397" s="214">
        <f t="shared" si="168"/>
        <v>179.66759999999931</v>
      </c>
    </row>
    <row r="398" spans="1:27" ht="13.15" customHeight="1">
      <c r="A398" s="239" t="s">
        <v>515</v>
      </c>
      <c r="B398" s="409">
        <v>111.8045</v>
      </c>
      <c r="C398" s="409">
        <v>114.199</v>
      </c>
      <c r="D398" s="409">
        <v>384.46399999999994</v>
      </c>
      <c r="E398" s="409">
        <v>84.204499999999996</v>
      </c>
      <c r="F398" s="409">
        <v>88.838999999999984</v>
      </c>
      <c r="G398" s="409">
        <v>665.46</v>
      </c>
      <c r="H398" s="409">
        <v>1288.8972000000001</v>
      </c>
      <c r="I398" s="410">
        <v>57</v>
      </c>
      <c r="J398" s="230"/>
      <c r="K398" s="305" t="s">
        <v>515</v>
      </c>
      <c r="L398" s="239">
        <f t="shared" si="171"/>
        <v>1.961482456140351</v>
      </c>
      <c r="M398" s="267">
        <f t="shared" si="172"/>
        <v>6.7449824561403497</v>
      </c>
      <c r="N398" s="267">
        <f t="shared" si="173"/>
        <v>3.4387166885053815</v>
      </c>
      <c r="O398" s="239">
        <f t="shared" si="170"/>
        <v>76.443676035606245</v>
      </c>
      <c r="P398" s="267">
        <f t="shared" si="174"/>
        <v>75.149220589508602</v>
      </c>
      <c r="Q398" s="267">
        <f t="shared" si="175"/>
        <v>8.5974945952522988E-2</v>
      </c>
      <c r="R398" s="267">
        <f t="shared" si="176"/>
        <v>5.4879493503239396E-2</v>
      </c>
      <c r="S398" s="267">
        <f t="shared" si="177"/>
        <v>2.1952508476387846</v>
      </c>
      <c r="U398" s="220"/>
      <c r="Z398" s="214">
        <f t="shared" si="167"/>
        <v>2.3944999999999936</v>
      </c>
      <c r="AA398" s="214">
        <f t="shared" si="168"/>
        <v>4.6344999999999885</v>
      </c>
    </row>
    <row r="399" spans="1:27" ht="13.15" customHeight="1">
      <c r="A399" s="239" t="s">
        <v>516</v>
      </c>
      <c r="B399" s="409">
        <v>246.4194</v>
      </c>
      <c r="C399" s="409">
        <v>254.59299999999999</v>
      </c>
      <c r="D399" s="409">
        <v>669.31599999999992</v>
      </c>
      <c r="E399" s="409">
        <v>674.0331000000001</v>
      </c>
      <c r="F399" s="409">
        <v>763.61</v>
      </c>
      <c r="G399" s="409">
        <v>7733.4228000000039</v>
      </c>
      <c r="H399" s="409">
        <v>12833.798400000001</v>
      </c>
      <c r="I399" s="410">
        <v>75</v>
      </c>
      <c r="J399" s="244"/>
      <c r="K399" s="239" t="s">
        <v>516</v>
      </c>
      <c r="L399" s="239">
        <f t="shared" si="171"/>
        <v>3.2855919999999998</v>
      </c>
      <c r="M399" s="267">
        <f t="shared" si="172"/>
        <v>8.9242133333333324</v>
      </c>
      <c r="N399" s="267">
        <f t="shared" si="173"/>
        <v>2.7161660161497023</v>
      </c>
      <c r="O399" s="239">
        <f t="shared" si="170"/>
        <v>81.678225520513109</v>
      </c>
      <c r="P399" s="267">
        <f t="shared" si="174"/>
        <v>79.165510033257206</v>
      </c>
      <c r="Q399" s="267">
        <f t="shared" si="175"/>
        <v>0.31224983831719083</v>
      </c>
      <c r="R399" s="267">
        <f t="shared" si="176"/>
        <v>0.36634002139235722</v>
      </c>
      <c r="S399" s="267">
        <f t="shared" si="177"/>
        <v>3.1870437816777852</v>
      </c>
      <c r="U399" s="220"/>
      <c r="Z399" s="214">
        <f t="shared" si="167"/>
        <v>8.1735999999999933</v>
      </c>
      <c r="AA399" s="214">
        <f t="shared" si="168"/>
        <v>89.57689999999991</v>
      </c>
    </row>
    <row r="400" spans="1:27" ht="13.15" customHeight="1">
      <c r="A400" s="239" t="s">
        <v>517</v>
      </c>
      <c r="B400" s="409">
        <v>54.791699999999999</v>
      </c>
      <c r="C400" s="409">
        <v>57.6</v>
      </c>
      <c r="D400" s="409">
        <v>63.671999999999997</v>
      </c>
      <c r="E400" s="409">
        <v>181.7235</v>
      </c>
      <c r="F400" s="409">
        <v>194.22900000000001</v>
      </c>
      <c r="G400" s="409">
        <v>793.20240000000001</v>
      </c>
      <c r="H400" s="409">
        <v>1933.5204000000001</v>
      </c>
      <c r="I400" s="410">
        <v>9</v>
      </c>
      <c r="K400" s="239" t="s">
        <v>517</v>
      </c>
      <c r="L400" s="239">
        <f t="shared" si="171"/>
        <v>6.0879666666666665</v>
      </c>
      <c r="M400" s="267">
        <f t="shared" si="172"/>
        <v>7.0746666666666664</v>
      </c>
      <c r="N400" s="267">
        <f t="shared" si="173"/>
        <v>1.1620738177497687</v>
      </c>
      <c r="O400" s="239">
        <f t="shared" si="170"/>
        <v>77.187021145471249</v>
      </c>
      <c r="P400" s="267">
        <f t="shared" si="174"/>
        <v>74.858636091969856</v>
      </c>
      <c r="Q400" s="267">
        <f t="shared" si="175"/>
        <v>0.37861011395561589</v>
      </c>
      <c r="R400" s="267">
        <f t="shared" si="176"/>
        <v>0.39498385738724684</v>
      </c>
      <c r="S400" s="267">
        <f t="shared" si="177"/>
        <v>1.2124683929156108</v>
      </c>
      <c r="U400" s="220"/>
      <c r="Z400" s="214">
        <f t="shared" si="167"/>
        <v>2.8083000000000027</v>
      </c>
      <c r="AA400" s="214">
        <f t="shared" si="168"/>
        <v>12.505500000000012</v>
      </c>
    </row>
    <row r="401" spans="1:27" ht="13.15" customHeight="1">
      <c r="A401" s="239" t="s">
        <v>518</v>
      </c>
      <c r="B401" s="409">
        <v>344.38427999999993</v>
      </c>
      <c r="C401" s="409">
        <v>365.28899999999993</v>
      </c>
      <c r="D401" s="409">
        <v>722.43099999999981</v>
      </c>
      <c r="E401" s="409">
        <v>1129.4504200000001</v>
      </c>
      <c r="F401" s="409">
        <v>1245.2529999999997</v>
      </c>
      <c r="G401" s="409">
        <v>7720.0344000000005</v>
      </c>
      <c r="H401" s="409">
        <v>17319.131999999991</v>
      </c>
      <c r="I401" s="410">
        <v>258</v>
      </c>
      <c r="K401" s="239" t="s">
        <v>518</v>
      </c>
      <c r="L401" s="239">
        <f t="shared" si="171"/>
        <v>1.3348227906976742</v>
      </c>
      <c r="M401" s="267">
        <f t="shared" si="172"/>
        <v>2.8001201550387589</v>
      </c>
      <c r="N401" s="267">
        <f t="shared" si="173"/>
        <v>2.0977467380334547</v>
      </c>
      <c r="O401" s="239">
        <f t="shared" si="170"/>
        <v>70.459334798071893</v>
      </c>
      <c r="P401" s="267">
        <f t="shared" si="174"/>
        <v>68.05223213264965</v>
      </c>
      <c r="Q401" s="267">
        <f t="shared" si="175"/>
        <v>0.37438612571698104</v>
      </c>
      <c r="R401" s="267">
        <f t="shared" si="176"/>
        <v>0.33881816095596079</v>
      </c>
      <c r="S401" s="267">
        <f t="shared" si="177"/>
        <v>1.8986703285302242</v>
      </c>
      <c r="U401" s="220"/>
      <c r="Z401" s="214">
        <f t="shared" si="167"/>
        <v>20.904719999999998</v>
      </c>
      <c r="AA401" s="214">
        <f t="shared" si="168"/>
        <v>115.80257999999958</v>
      </c>
    </row>
    <row r="402" spans="1:27" ht="13.15" customHeight="1">
      <c r="A402" s="239" t="s">
        <v>519</v>
      </c>
      <c r="B402" s="204"/>
      <c r="C402" s="204"/>
      <c r="D402" s="204"/>
      <c r="E402" s="387"/>
      <c r="F402" s="272"/>
      <c r="G402" s="206"/>
      <c r="H402" s="202"/>
      <c r="I402" s="202"/>
      <c r="K402" s="239" t="s">
        <v>519</v>
      </c>
      <c r="L402" s="239"/>
      <c r="M402" s="267"/>
      <c r="N402" s="267"/>
      <c r="O402" s="239"/>
      <c r="P402" s="267"/>
      <c r="Q402" s="267"/>
      <c r="R402" s="267"/>
      <c r="S402" s="267"/>
      <c r="U402" s="220"/>
      <c r="Z402" s="214">
        <f t="shared" si="167"/>
        <v>0</v>
      </c>
      <c r="AA402" s="214">
        <f t="shared" si="168"/>
        <v>0</v>
      </c>
    </row>
    <row r="403" spans="1:27" ht="13.15" customHeight="1">
      <c r="A403" s="282" t="s">
        <v>169</v>
      </c>
      <c r="B403" s="360">
        <f>(B382+B384)</f>
        <v>6496.4481200000018</v>
      </c>
      <c r="C403" s="361">
        <f t="shared" ref="C403:I403" si="178">(C382+C384)</f>
        <v>6846.0930000000008</v>
      </c>
      <c r="D403" s="361">
        <f t="shared" si="178"/>
        <v>22965.631000000005</v>
      </c>
      <c r="E403" s="360">
        <f t="shared" si="178"/>
        <v>22578.303359999998</v>
      </c>
      <c r="F403" s="361">
        <f t="shared" si="178"/>
        <v>24557.920999999995</v>
      </c>
      <c r="G403" s="361">
        <f t="shared" si="178"/>
        <v>263426.37479999999</v>
      </c>
      <c r="H403" s="361">
        <f t="shared" si="178"/>
        <v>445003.85519999999</v>
      </c>
      <c r="I403" s="361">
        <f t="shared" si="178"/>
        <v>1570</v>
      </c>
      <c r="K403" s="328" t="s">
        <v>169</v>
      </c>
      <c r="L403" s="282">
        <f>B403/I403</f>
        <v>4.1378650445859888</v>
      </c>
      <c r="M403" s="281">
        <f>D403/I403</f>
        <v>14.627790445859876</v>
      </c>
      <c r="N403" s="281">
        <f>D403/B403</f>
        <v>3.5351057340545649</v>
      </c>
      <c r="O403" s="282">
        <f>(F403*3.6+G403)*100/H403</f>
        <v>79.0633353596169</v>
      </c>
      <c r="P403" s="282">
        <f>(E403*3.6+G403)*100/H403</f>
        <v>77.461860805919599</v>
      </c>
      <c r="Q403" s="281">
        <f>E403/(B403*8760)*1000</f>
        <v>0.39674478157934678</v>
      </c>
      <c r="R403" s="281">
        <f>G403/(D403*8761)*1000/3.6</f>
        <v>0.36368441588437866</v>
      </c>
      <c r="S403" s="281">
        <f>G403/(E403*3.6)</f>
        <v>3.2408986553717738</v>
      </c>
      <c r="U403" s="220"/>
      <c r="Z403" s="214">
        <f t="shared" si="167"/>
        <v>349.64487999999892</v>
      </c>
      <c r="AA403" s="214">
        <f t="shared" si="168"/>
        <v>1979.6176399999968</v>
      </c>
    </row>
    <row r="404" spans="1:27" ht="13.15" customHeight="1">
      <c r="U404" s="220"/>
    </row>
    <row r="405" spans="1:27" ht="13.15" customHeight="1">
      <c r="A405" s="251" t="s">
        <v>520</v>
      </c>
      <c r="B405" s="227" t="s">
        <v>476</v>
      </c>
      <c r="C405" s="228"/>
      <c r="D405" s="286"/>
      <c r="E405" s="227" t="s">
        <v>521</v>
      </c>
      <c r="F405" s="228"/>
      <c r="G405" s="286"/>
      <c r="H405" s="200" t="s">
        <v>138</v>
      </c>
      <c r="I405" s="200" t="s">
        <v>478</v>
      </c>
      <c r="U405" s="220"/>
    </row>
    <row r="406" spans="1:27" ht="13.15" customHeight="1">
      <c r="A406" s="239"/>
      <c r="B406" s="243" t="s">
        <v>88</v>
      </c>
      <c r="C406" s="243"/>
      <c r="D406" s="241" t="s">
        <v>34</v>
      </c>
      <c r="E406" s="243" t="s">
        <v>88</v>
      </c>
      <c r="F406" s="243"/>
      <c r="G406" s="241" t="s">
        <v>34</v>
      </c>
      <c r="H406" s="241" t="s">
        <v>170</v>
      </c>
      <c r="I406" s="241" t="s">
        <v>483</v>
      </c>
      <c r="U406" s="220"/>
    </row>
    <row r="407" spans="1:27" ht="13.15" customHeight="1">
      <c r="A407" s="239"/>
      <c r="B407" s="252" t="s">
        <v>0</v>
      </c>
      <c r="C407" s="252" t="s">
        <v>489</v>
      </c>
      <c r="D407" s="252" t="s">
        <v>490</v>
      </c>
      <c r="E407" s="252" t="s">
        <v>491</v>
      </c>
      <c r="F407" s="252" t="s">
        <v>489</v>
      </c>
      <c r="G407" s="252" t="s">
        <v>490</v>
      </c>
      <c r="H407" s="248"/>
      <c r="I407" s="241" t="s">
        <v>492</v>
      </c>
      <c r="U407" s="220"/>
    </row>
    <row r="408" spans="1:27" ht="13.15" customHeight="1">
      <c r="A408" s="239"/>
      <c r="B408" s="257" t="s">
        <v>496</v>
      </c>
      <c r="C408" s="256" t="s">
        <v>496</v>
      </c>
      <c r="D408" s="252" t="s">
        <v>496</v>
      </c>
      <c r="E408" s="329" t="s">
        <v>473</v>
      </c>
      <c r="F408" s="329" t="s">
        <v>473</v>
      </c>
      <c r="G408" s="252" t="s">
        <v>496</v>
      </c>
      <c r="H408" s="257" t="s">
        <v>497</v>
      </c>
      <c r="I408" s="257" t="s">
        <v>498</v>
      </c>
      <c r="U408" s="220"/>
    </row>
    <row r="409" spans="1:27" ht="13.15" customHeight="1">
      <c r="A409" s="251" t="s">
        <v>522</v>
      </c>
      <c r="B409" s="330">
        <f t="shared" ref="B409:I409" si="179">SUM(B410:B413)</f>
        <v>5325.5450200000023</v>
      </c>
      <c r="C409" s="331">
        <f t="shared" si="179"/>
        <v>5669.8670000000038</v>
      </c>
      <c r="D409" s="331">
        <f t="shared" si="179"/>
        <v>13065.37099999999</v>
      </c>
      <c r="E409" s="330">
        <f t="shared" si="179"/>
        <v>18587.101759999994</v>
      </c>
      <c r="F409" s="331">
        <f t="shared" si="179"/>
        <v>20421.306000000011</v>
      </c>
      <c r="G409" s="331">
        <f t="shared" si="179"/>
        <v>156982.32719999994</v>
      </c>
      <c r="H409" s="332">
        <f t="shared" si="179"/>
        <v>294415.11719999957</v>
      </c>
      <c r="I409" s="333">
        <f t="shared" si="179"/>
        <v>1413</v>
      </c>
      <c r="U409" s="220"/>
    </row>
    <row r="410" spans="1:27" ht="13.15" customHeight="1">
      <c r="A410" s="239" t="s">
        <v>523</v>
      </c>
      <c r="B410" s="411">
        <v>330.48412000000002</v>
      </c>
      <c r="C410" s="411">
        <v>353.34500000000003</v>
      </c>
      <c r="D410" s="411">
        <v>1990.5229999999997</v>
      </c>
      <c r="E410" s="411">
        <v>1165.46226</v>
      </c>
      <c r="F410" s="411">
        <v>1392.6439999999998</v>
      </c>
      <c r="G410" s="411">
        <v>30190.071599999992</v>
      </c>
      <c r="H410" s="411">
        <v>48568.845599999993</v>
      </c>
      <c r="I410" s="412">
        <v>46</v>
      </c>
    </row>
    <row r="411" spans="1:27" ht="13.15" customHeight="1">
      <c r="A411" s="239" t="s">
        <v>524</v>
      </c>
      <c r="B411" s="411">
        <v>355.27119999999991</v>
      </c>
      <c r="C411" s="411">
        <v>373.15499999999997</v>
      </c>
      <c r="D411" s="411">
        <v>1887.5450000000001</v>
      </c>
      <c r="E411" s="411">
        <v>841.31829999999979</v>
      </c>
      <c r="F411" s="411">
        <v>855.89399999999955</v>
      </c>
      <c r="G411" s="411">
        <v>10746.730800000001</v>
      </c>
      <c r="H411" s="411">
        <v>16593.48</v>
      </c>
      <c r="I411" s="412">
        <v>148</v>
      </c>
    </row>
    <row r="412" spans="1:27" ht="13.15" customHeight="1">
      <c r="A412" s="239" t="s">
        <v>525</v>
      </c>
      <c r="B412" s="411">
        <v>4626.7837000000018</v>
      </c>
      <c r="C412" s="411">
        <v>4930.3610000000035</v>
      </c>
      <c r="D412" s="411">
        <v>9083.2219999999907</v>
      </c>
      <c r="E412" s="411">
        <v>16483.461199999994</v>
      </c>
      <c r="F412" s="411">
        <v>18075.90800000001</v>
      </c>
      <c r="G412" s="411">
        <v>112952.51639999996</v>
      </c>
      <c r="H412" s="411">
        <v>225420.87959999955</v>
      </c>
      <c r="I412" s="412">
        <v>1216</v>
      </c>
    </row>
    <row r="413" spans="1:27" ht="13.15" customHeight="1">
      <c r="A413" s="239" t="s">
        <v>267</v>
      </c>
      <c r="B413" s="413">
        <v>13.006</v>
      </c>
      <c r="C413" s="413">
        <v>13.006</v>
      </c>
      <c r="D413" s="413">
        <v>104.081</v>
      </c>
      <c r="E413" s="413">
        <v>96.86</v>
      </c>
      <c r="F413" s="413">
        <v>96.86</v>
      </c>
      <c r="G413" s="413">
        <v>3093.0083999999997</v>
      </c>
      <c r="H413" s="413">
        <v>3831.9119999999998</v>
      </c>
      <c r="I413" s="414">
        <v>3</v>
      </c>
    </row>
    <row r="414" spans="1:27" ht="13.15" customHeight="1">
      <c r="A414" s="312" t="s">
        <v>526</v>
      </c>
      <c r="B414" s="336">
        <f>SUM(B415:B418)</f>
        <v>1170.9737</v>
      </c>
      <c r="C414" s="337">
        <f t="shared" ref="C414:I414" si="180">SUM(C415:C418)</f>
        <v>1176.711</v>
      </c>
      <c r="D414" s="337">
        <f t="shared" si="180"/>
        <v>9899.9619999999995</v>
      </c>
      <c r="E414" s="336">
        <f t="shared" si="180"/>
        <v>3991.2336</v>
      </c>
      <c r="F414" s="337">
        <f t="shared" si="180"/>
        <v>4136.6469999999999</v>
      </c>
      <c r="G414" s="337">
        <f t="shared" si="180"/>
        <v>106444.04760000001</v>
      </c>
      <c r="H414" s="338">
        <f t="shared" si="180"/>
        <v>150589.22120000003</v>
      </c>
      <c r="I414" s="339">
        <f t="shared" si="180"/>
        <v>157</v>
      </c>
    </row>
    <row r="415" spans="1:27" ht="13.15" customHeight="1">
      <c r="A415" s="239" t="s">
        <v>527</v>
      </c>
      <c r="B415" s="411">
        <v>83.17</v>
      </c>
      <c r="C415" s="411">
        <v>83.17</v>
      </c>
      <c r="D415" s="411">
        <v>520.15200000000004</v>
      </c>
      <c r="E415" s="411">
        <v>180.42200000000003</v>
      </c>
      <c r="F415" s="411">
        <v>180.42200000000003</v>
      </c>
      <c r="G415" s="411">
        <v>4191.9336000000003</v>
      </c>
      <c r="H415" s="411">
        <v>5723.7696000000005</v>
      </c>
      <c r="I415" s="412">
        <v>12</v>
      </c>
    </row>
    <row r="416" spans="1:27" ht="13.15" customHeight="1">
      <c r="A416" s="239" t="s">
        <v>528</v>
      </c>
      <c r="B416" s="411">
        <v>392</v>
      </c>
      <c r="C416" s="411">
        <v>393</v>
      </c>
      <c r="D416" s="411">
        <v>3657</v>
      </c>
      <c r="E416" s="411">
        <v>1291.123</v>
      </c>
      <c r="F416" s="411">
        <v>1299.6410000000001</v>
      </c>
      <c r="G416" s="411">
        <v>30593.977200000001</v>
      </c>
      <c r="H416" s="411">
        <v>42065</v>
      </c>
      <c r="I416" s="412">
        <v>65</v>
      </c>
    </row>
    <row r="417" spans="1:27" ht="13.15" customHeight="1">
      <c r="A417" s="239" t="s">
        <v>529</v>
      </c>
      <c r="B417" s="411">
        <v>136.73500000000001</v>
      </c>
      <c r="C417" s="411">
        <v>136.73500000000001</v>
      </c>
      <c r="D417" s="411">
        <v>1129.4059999999999</v>
      </c>
      <c r="E417" s="411">
        <v>291.69</v>
      </c>
      <c r="F417" s="411">
        <v>291.69</v>
      </c>
      <c r="G417" s="411">
        <v>6324.0875999999998</v>
      </c>
      <c r="H417" s="411">
        <v>8416.2240000000002</v>
      </c>
      <c r="I417" s="412">
        <v>18</v>
      </c>
    </row>
    <row r="418" spans="1:27" ht="13.15" customHeight="1" thickBot="1">
      <c r="A418" s="239" t="s">
        <v>530</v>
      </c>
      <c r="B418" s="415">
        <v>559.06870000000004</v>
      </c>
      <c r="C418" s="415">
        <v>563.80600000000004</v>
      </c>
      <c r="D418" s="415">
        <v>4593.4039999999986</v>
      </c>
      <c r="E418" s="415">
        <v>2227.9985999999999</v>
      </c>
      <c r="F418" s="415">
        <v>2364.8939999999998</v>
      </c>
      <c r="G418" s="415">
        <v>65334.049200000009</v>
      </c>
      <c r="H418" s="415">
        <v>94384.227600000013</v>
      </c>
      <c r="I418" s="416">
        <v>62</v>
      </c>
    </row>
    <row r="419" spans="1:27" ht="13.15" customHeight="1" thickBot="1">
      <c r="A419" s="282" t="s">
        <v>169</v>
      </c>
      <c r="B419" s="342">
        <f>B414+B409</f>
        <v>6496.5187200000018</v>
      </c>
      <c r="C419" s="343">
        <f t="shared" ref="C419:I419" si="181">C414+C409</f>
        <v>6846.5780000000041</v>
      </c>
      <c r="D419" s="343">
        <f t="shared" si="181"/>
        <v>22965.332999999991</v>
      </c>
      <c r="E419" s="343">
        <f t="shared" si="181"/>
        <v>22578.335359999994</v>
      </c>
      <c r="F419" s="343">
        <f t="shared" si="181"/>
        <v>24557.953000000012</v>
      </c>
      <c r="G419" s="343">
        <f>G414+G409</f>
        <v>263426.37479999993</v>
      </c>
      <c r="H419" s="343">
        <f>H414+H409</f>
        <v>445004.3383999996</v>
      </c>
      <c r="I419" s="344">
        <f t="shared" si="181"/>
        <v>1570</v>
      </c>
    </row>
    <row r="420" spans="1:27" ht="13.15" customHeight="1"/>
    <row r="421" spans="1:27" ht="13.15" customHeight="1"/>
    <row r="422" spans="1:27" ht="13.15" customHeight="1">
      <c r="A422" s="221" t="s">
        <v>218</v>
      </c>
      <c r="D422" s="220"/>
      <c r="I422" s="221">
        <v>2002</v>
      </c>
      <c r="K422" s="221" t="str">
        <f>+A422</f>
        <v>Ireland</v>
      </c>
      <c r="M422" s="220"/>
      <c r="S422" s="221">
        <v>2002</v>
      </c>
    </row>
    <row r="423" spans="1:27" ht="13.15" customHeight="1" thickBot="1"/>
    <row r="424" spans="1:27" ht="13.15" customHeight="1">
      <c r="A424" s="346" t="s">
        <v>475</v>
      </c>
      <c r="B424" s="233" t="s">
        <v>476</v>
      </c>
      <c r="C424" s="233"/>
      <c r="D424" s="234"/>
      <c r="E424" s="235" t="s">
        <v>477</v>
      </c>
      <c r="F424" s="233"/>
      <c r="G424" s="236"/>
      <c r="H424" s="347" t="s">
        <v>138</v>
      </c>
      <c r="I424" s="348" t="s">
        <v>478</v>
      </c>
      <c r="J424" s="230"/>
      <c r="K424" s="231" t="s">
        <v>475</v>
      </c>
      <c r="L424" s="232" t="s">
        <v>479</v>
      </c>
      <c r="M424" s="233"/>
      <c r="N424" s="234"/>
      <c r="O424" s="235" t="s">
        <v>480</v>
      </c>
      <c r="P424" s="233"/>
      <c r="Q424" s="233"/>
      <c r="R424" s="236"/>
      <c r="S424" s="237"/>
    </row>
    <row r="425" spans="1:27" ht="13.15" customHeight="1">
      <c r="A425" s="266"/>
      <c r="B425" s="240" t="s">
        <v>9</v>
      </c>
      <c r="C425" s="240"/>
      <c r="D425" s="241" t="s">
        <v>34</v>
      </c>
      <c r="E425" s="242" t="s">
        <v>88</v>
      </c>
      <c r="F425" s="243"/>
      <c r="G425" s="244" t="s">
        <v>34</v>
      </c>
      <c r="H425" s="241" t="s">
        <v>170</v>
      </c>
      <c r="I425" s="349" t="s">
        <v>483</v>
      </c>
      <c r="J425" s="230"/>
      <c r="K425" s="245"/>
      <c r="L425" s="246" t="s">
        <v>484</v>
      </c>
      <c r="M425" s="247"/>
      <c r="N425" s="248" t="s">
        <v>485</v>
      </c>
      <c r="O425" s="248" t="s">
        <v>486</v>
      </c>
      <c r="P425" s="248" t="s">
        <v>486</v>
      </c>
      <c r="Q425" s="247" t="s">
        <v>487</v>
      </c>
      <c r="R425" s="249"/>
      <c r="S425" s="250" t="s">
        <v>485</v>
      </c>
      <c r="U425" s="214" t="str">
        <f>A422</f>
        <v>Ireland</v>
      </c>
    </row>
    <row r="426" spans="1:27" ht="13.15" customHeight="1">
      <c r="A426" s="350" t="s">
        <v>488</v>
      </c>
      <c r="B426" s="252" t="s">
        <v>0</v>
      </c>
      <c r="C426" s="252" t="s">
        <v>489</v>
      </c>
      <c r="D426" s="252" t="s">
        <v>490</v>
      </c>
      <c r="E426" s="252" t="s">
        <v>491</v>
      </c>
      <c r="F426" s="252" t="s">
        <v>489</v>
      </c>
      <c r="G426" s="230" t="s">
        <v>490</v>
      </c>
      <c r="H426" s="248"/>
      <c r="I426" s="349" t="s">
        <v>492</v>
      </c>
      <c r="J426" s="230"/>
      <c r="K426" s="253" t="s">
        <v>488</v>
      </c>
      <c r="L426" s="254" t="s">
        <v>88</v>
      </c>
      <c r="M426" s="252" t="s">
        <v>34</v>
      </c>
      <c r="N426" s="252" t="s">
        <v>493</v>
      </c>
      <c r="O426" s="248" t="s">
        <v>494</v>
      </c>
      <c r="P426" s="248" t="s">
        <v>495</v>
      </c>
      <c r="Q426" s="230" t="s">
        <v>88</v>
      </c>
      <c r="R426" s="248" t="s">
        <v>34</v>
      </c>
      <c r="S426" s="255" t="s">
        <v>88</v>
      </c>
      <c r="U426" s="214" t="s">
        <v>547</v>
      </c>
      <c r="V426" s="214">
        <f>G454/1000</f>
        <v>5.4026512220000003</v>
      </c>
    </row>
    <row r="427" spans="1:27" ht="13.15" customHeight="1">
      <c r="A427" s="266"/>
      <c r="B427" s="252" t="s">
        <v>496</v>
      </c>
      <c r="C427" s="252" t="s">
        <v>496</v>
      </c>
      <c r="D427" s="252" t="s">
        <v>496</v>
      </c>
      <c r="E427" s="256" t="s">
        <v>473</v>
      </c>
      <c r="F427" s="257" t="s">
        <v>473</v>
      </c>
      <c r="G427" s="230" t="s">
        <v>451</v>
      </c>
      <c r="H427" s="257" t="s">
        <v>497</v>
      </c>
      <c r="I427" s="351" t="s">
        <v>498</v>
      </c>
      <c r="J427" s="230"/>
      <c r="K427" s="245"/>
      <c r="L427" s="258" t="s">
        <v>496</v>
      </c>
      <c r="M427" s="256" t="s">
        <v>496</v>
      </c>
      <c r="N427" s="256"/>
      <c r="O427" s="257" t="s">
        <v>79</v>
      </c>
      <c r="P427" s="257" t="s">
        <v>79</v>
      </c>
      <c r="Q427" s="259"/>
      <c r="R427" s="257"/>
      <c r="S427" s="260"/>
      <c r="U427" s="214" t="s">
        <v>548</v>
      </c>
      <c r="V427" s="214">
        <f>G460/1000</f>
        <v>0</v>
      </c>
    </row>
    <row r="428" spans="1:27" ht="13.15" customHeight="1">
      <c r="A428" s="352" t="s">
        <v>262</v>
      </c>
      <c r="B428" s="262"/>
      <c r="C428" s="263"/>
      <c r="D428" s="262"/>
      <c r="E428" s="262"/>
      <c r="F428" s="263"/>
      <c r="G428" s="262"/>
      <c r="H428" s="262"/>
      <c r="I428" s="264"/>
      <c r="J428" s="230"/>
      <c r="K428" s="265" t="s">
        <v>262</v>
      </c>
      <c r="L428" s="266" t="e">
        <f>C428/I428</f>
        <v>#DIV/0!</v>
      </c>
      <c r="M428" s="267" t="e">
        <f>D428/I428</f>
        <v>#DIV/0!</v>
      </c>
      <c r="N428" s="267" t="e">
        <f>D428/C428</f>
        <v>#DIV/0!</v>
      </c>
      <c r="O428" s="239" t="e">
        <f>(F428*3.6+G428)*100/H428</f>
        <v>#DIV/0!</v>
      </c>
      <c r="P428" s="239" t="e">
        <f>(F428*3.6+G428)*100/H428</f>
        <v>#DIV/0!</v>
      </c>
      <c r="Q428" s="267" t="e">
        <f>F428/(C428*8760)*1000</f>
        <v>#DIV/0!</v>
      </c>
      <c r="R428" s="267" t="e">
        <f>G428/(D428*8761)*1000/3.6</f>
        <v>#DIV/0!</v>
      </c>
      <c r="S428" s="268" t="e">
        <f>G428/(F428*3.6)</f>
        <v>#DIV/0!</v>
      </c>
      <c r="U428" s="214" t="s">
        <v>549</v>
      </c>
      <c r="V428" s="214">
        <f>G462/1000</f>
        <v>0.49623581</v>
      </c>
      <c r="Z428" s="214">
        <f t="shared" ref="Z428:Z433" si="182">C428-B428</f>
        <v>0</v>
      </c>
      <c r="AA428" s="214">
        <f t="shared" ref="AA428:AA433" si="183">F428-E428</f>
        <v>0</v>
      </c>
    </row>
    <row r="429" spans="1:27" ht="13.15" customHeight="1">
      <c r="A429" s="266" t="s">
        <v>263</v>
      </c>
      <c r="B429" s="262">
        <v>33</v>
      </c>
      <c r="C429" s="263">
        <v>33</v>
      </c>
      <c r="D429" s="262">
        <v>334</v>
      </c>
      <c r="E429" s="262">
        <v>74.260000000000005</v>
      </c>
      <c r="F429" s="263">
        <v>74.260000000000005</v>
      </c>
      <c r="G429" s="262">
        <v>1740.28</v>
      </c>
      <c r="H429" s="262">
        <v>2616.92</v>
      </c>
      <c r="I429" s="270">
        <v>4</v>
      </c>
      <c r="J429" s="230"/>
      <c r="K429" s="245" t="s">
        <v>263</v>
      </c>
      <c r="L429" s="266">
        <f>C429/I429</f>
        <v>8.25</v>
      </c>
      <c r="M429" s="267">
        <f>D429/I429</f>
        <v>83.5</v>
      </c>
      <c r="N429" s="267">
        <f>D429/C429</f>
        <v>10.121212121212121</v>
      </c>
      <c r="O429" s="239">
        <f>(F429*3.6+G429)*100/H429</f>
        <v>76.716750989713091</v>
      </c>
      <c r="P429" s="239">
        <f>(F429*3.6+G429)*100/H429</f>
        <v>76.716750989713091</v>
      </c>
      <c r="Q429" s="267">
        <f>F429/(C429*8760)*1000</f>
        <v>0.25688390756883911</v>
      </c>
      <c r="R429" s="267">
        <f>G429/(D429*8761)*1000/3.6</f>
        <v>0.16520244903792841</v>
      </c>
      <c r="S429" s="268">
        <f>G429/(F429*3.6)</f>
        <v>6.5097106263279167</v>
      </c>
      <c r="U429" s="214" t="s">
        <v>550</v>
      </c>
      <c r="V429" s="214">
        <f>G467/1000</f>
        <v>0</v>
      </c>
      <c r="Z429" s="214">
        <f t="shared" si="182"/>
        <v>0</v>
      </c>
      <c r="AA429" s="214">
        <f t="shared" si="183"/>
        <v>0</v>
      </c>
    </row>
    <row r="430" spans="1:27" ht="13.15" customHeight="1">
      <c r="A430" s="266" t="s">
        <v>499</v>
      </c>
      <c r="B430" s="262"/>
      <c r="C430" s="263"/>
      <c r="D430" s="262"/>
      <c r="E430" s="262"/>
      <c r="F430" s="263"/>
      <c r="G430" s="262"/>
      <c r="H430" s="262"/>
      <c r="I430" s="270"/>
      <c r="J430" s="230"/>
      <c r="K430" s="245" t="s">
        <v>499</v>
      </c>
      <c r="L430" s="266" t="e">
        <f>C430/I430</f>
        <v>#DIV/0!</v>
      </c>
      <c r="M430" s="267" t="e">
        <f>D430/I430</f>
        <v>#DIV/0!</v>
      </c>
      <c r="N430" s="267" t="e">
        <f>D430/C430</f>
        <v>#DIV/0!</v>
      </c>
      <c r="O430" s="239" t="e">
        <f>(F430*3.6+G430)*100/H430</f>
        <v>#DIV/0!</v>
      </c>
      <c r="P430" s="239" t="e">
        <f>(F430*3.6+G430)*100/H430</f>
        <v>#DIV/0!</v>
      </c>
      <c r="Q430" s="267" t="e">
        <f>F430/(C430*8760)*1000</f>
        <v>#DIV/0!</v>
      </c>
      <c r="R430" s="267" t="e">
        <f>G430/(D430*8761)*1000/3.6</f>
        <v>#DIV/0!</v>
      </c>
      <c r="S430" s="268" t="e">
        <f>G430/(F430*3.6)</f>
        <v>#DIV/0!</v>
      </c>
      <c r="U430" s="214" t="s">
        <v>551</v>
      </c>
      <c r="V430" s="214">
        <f>G458/1000</f>
        <v>0.20246039999999998</v>
      </c>
      <c r="Z430" s="214">
        <f t="shared" si="182"/>
        <v>0</v>
      </c>
      <c r="AA430" s="214">
        <f t="shared" si="183"/>
        <v>0</v>
      </c>
    </row>
    <row r="431" spans="1:27" ht="13.15" customHeight="1">
      <c r="A431" s="266" t="s">
        <v>265</v>
      </c>
      <c r="B431" s="262">
        <v>60.22</v>
      </c>
      <c r="C431" s="263">
        <v>60.22</v>
      </c>
      <c r="D431" s="262">
        <v>182.46459999999999</v>
      </c>
      <c r="E431" s="262">
        <v>404.93490000000003</v>
      </c>
      <c r="F431" s="263">
        <v>404.93490000000003</v>
      </c>
      <c r="G431" s="262">
        <v>3038.3314</v>
      </c>
      <c r="H431" s="262">
        <v>5925.4203369999996</v>
      </c>
      <c r="I431" s="271">
        <v>11</v>
      </c>
      <c r="J431" s="230"/>
      <c r="K431" s="245" t="s">
        <v>265</v>
      </c>
      <c r="L431" s="266">
        <f>C431/I431</f>
        <v>5.4745454545454546</v>
      </c>
      <c r="M431" s="267">
        <f>D431/I431</f>
        <v>16.587690909090909</v>
      </c>
      <c r="N431" s="267">
        <f>D431/C431</f>
        <v>3.029966788442378</v>
      </c>
      <c r="O431" s="239">
        <f>(F431*3.6+G431)*100/H431</f>
        <v>75.878111328661348</v>
      </c>
      <c r="P431" s="239">
        <f>(F431*3.6+G431)*100/H431</f>
        <v>75.878111328661348</v>
      </c>
      <c r="Q431" s="267">
        <f>F431/(C431*8760)*1000</f>
        <v>0.76760951852340509</v>
      </c>
      <c r="R431" s="267">
        <f>G431/(D431*8761)*1000/3.6</f>
        <v>0.52795917485253463</v>
      </c>
      <c r="S431" s="268">
        <f>G431/(F431*3.6)</f>
        <v>2.0842385885841019</v>
      </c>
      <c r="U431" s="214" t="s">
        <v>552</v>
      </c>
      <c r="V431" s="214">
        <f>(G455+G456+G457+G459+G461+G463+G464+G465+G466+G468+G469+G470+G471+G472)/1000</f>
        <v>4.7039550120000007</v>
      </c>
      <c r="Z431" s="214">
        <f t="shared" si="182"/>
        <v>0</v>
      </c>
      <c r="AA431" s="214">
        <f t="shared" si="183"/>
        <v>0</v>
      </c>
    </row>
    <row r="432" spans="1:27" ht="13.15" customHeight="1">
      <c r="A432" s="266" t="s">
        <v>266</v>
      </c>
      <c r="B432" s="262">
        <v>29.367000000000001</v>
      </c>
      <c r="C432" s="263">
        <v>29.367000000000001</v>
      </c>
      <c r="D432" s="262">
        <v>33.375999999999998</v>
      </c>
      <c r="E432" s="262">
        <v>145.07470330000001</v>
      </c>
      <c r="F432" s="263">
        <v>145.07470330000001</v>
      </c>
      <c r="G432" s="262">
        <v>624.03979000000004</v>
      </c>
      <c r="H432" s="262">
        <v>1513.8517670000001</v>
      </c>
      <c r="I432" s="271">
        <v>55</v>
      </c>
      <c r="J432" s="230"/>
      <c r="K432" s="245" t="s">
        <v>266</v>
      </c>
      <c r="L432" s="266">
        <f>C432/I432</f>
        <v>0.53394545454545461</v>
      </c>
      <c r="M432" s="267">
        <f>D432/I432</f>
        <v>0.60683636363636362</v>
      </c>
      <c r="N432" s="267">
        <f>D432/C432</f>
        <v>1.136513773963973</v>
      </c>
      <c r="O432" s="239">
        <f>(F432*3.6+G432)*100/H432</f>
        <v>75.721331960502312</v>
      </c>
      <c r="P432" s="239">
        <f>(F432*3.6+G432)*100/H432</f>
        <v>75.721331960502312</v>
      </c>
      <c r="Q432" s="267">
        <f>F432/(C432*8760)*1000</f>
        <v>0.56393363944215336</v>
      </c>
      <c r="R432" s="267">
        <f>G432/(D432*8761)*1000/3.6</f>
        <v>0.59281859014244809</v>
      </c>
      <c r="S432" s="268">
        <f>G432/(F432*3.6)</f>
        <v>1.1948629372872279</v>
      </c>
      <c r="Z432" s="214">
        <f t="shared" si="182"/>
        <v>0</v>
      </c>
      <c r="AA432" s="214">
        <f t="shared" si="183"/>
        <v>0</v>
      </c>
    </row>
    <row r="433" spans="1:27" ht="13.15" customHeight="1">
      <c r="A433" s="353" t="s">
        <v>267</v>
      </c>
      <c r="B433" s="262"/>
      <c r="C433" s="263"/>
      <c r="D433" s="262"/>
      <c r="E433" s="262"/>
      <c r="F433" s="263"/>
      <c r="G433" s="262"/>
      <c r="H433" s="262"/>
      <c r="I433" s="273"/>
      <c r="J433" s="230"/>
      <c r="K433" s="245" t="s">
        <v>267</v>
      </c>
      <c r="L433" s="266"/>
      <c r="M433" s="267"/>
      <c r="N433" s="267"/>
      <c r="O433" s="239"/>
      <c r="P433" s="272"/>
      <c r="Q433" s="272"/>
      <c r="R433" s="274"/>
      <c r="S433" s="275"/>
      <c r="U433" s="214" t="s">
        <v>553</v>
      </c>
      <c r="V433" s="214">
        <f>H454/1000</f>
        <v>10.056192103999999</v>
      </c>
      <c r="Z433" s="214">
        <f t="shared" si="182"/>
        <v>0</v>
      </c>
      <c r="AA433" s="214">
        <f t="shared" si="183"/>
        <v>0</v>
      </c>
    </row>
    <row r="434" spans="1:27" ht="13.15" customHeight="1">
      <c r="A434" s="276" t="s">
        <v>500</v>
      </c>
      <c r="B434" s="277">
        <f>SUM(B428:B433)</f>
        <v>122.587</v>
      </c>
      <c r="C434" s="277">
        <f t="shared" ref="C434:I434" si="184">SUM(C428:C433)</f>
        <v>122.587</v>
      </c>
      <c r="D434" s="277">
        <f t="shared" si="184"/>
        <v>549.84059999999999</v>
      </c>
      <c r="E434" s="277">
        <f t="shared" si="184"/>
        <v>624.26960329999997</v>
      </c>
      <c r="F434" s="277">
        <f t="shared" si="184"/>
        <v>624.26960329999997</v>
      </c>
      <c r="G434" s="277">
        <f t="shared" si="184"/>
        <v>5402.6511899999996</v>
      </c>
      <c r="H434" s="277">
        <f t="shared" si="184"/>
        <v>10056.192104</v>
      </c>
      <c r="I434" s="277">
        <f t="shared" si="184"/>
        <v>70</v>
      </c>
      <c r="J434" s="244"/>
      <c r="K434" s="279" t="s">
        <v>169</v>
      </c>
      <c r="L434" s="280">
        <f>C434/I434</f>
        <v>1.7512428571428571</v>
      </c>
      <c r="M434" s="281">
        <f>D434/I434</f>
        <v>7.8548657142857143</v>
      </c>
      <c r="N434" s="281">
        <f>D434/C434</f>
        <v>4.485309208969956</v>
      </c>
      <c r="O434" s="282">
        <f>(F434*3.6+G434)*100/H434</f>
        <v>76.072748837376423</v>
      </c>
      <c r="P434" s="282">
        <f>(F434*3.6+G434)*100/H434</f>
        <v>76.072748837376423</v>
      </c>
      <c r="Q434" s="283">
        <f>F434/(C434*8760)*1000</f>
        <v>0.58133124511366496</v>
      </c>
      <c r="R434" s="283">
        <f>G434/(D434*8761)*1000/3.6</f>
        <v>0.31154009161757101</v>
      </c>
      <c r="S434" s="284">
        <f>G434/(F434*3.6)</f>
        <v>2.4039876901478259</v>
      </c>
      <c r="U434" s="214" t="s">
        <v>554</v>
      </c>
      <c r="V434" s="214">
        <f>H460/1000</f>
        <v>0</v>
      </c>
    </row>
    <row r="435" spans="1:27" ht="13.15" customHeight="1">
      <c r="A435" s="285" t="s">
        <v>501</v>
      </c>
      <c r="B435" s="228" t="s">
        <v>476</v>
      </c>
      <c r="C435" s="228"/>
      <c r="D435" s="286"/>
      <c r="E435" s="227" t="s">
        <v>477</v>
      </c>
      <c r="F435" s="228"/>
      <c r="G435" s="229"/>
      <c r="H435" s="200" t="s">
        <v>138</v>
      </c>
      <c r="I435" s="354" t="s">
        <v>478</v>
      </c>
      <c r="J435" s="244"/>
      <c r="K435" s="287" t="s">
        <v>501</v>
      </c>
      <c r="L435" s="288" t="s">
        <v>479</v>
      </c>
      <c r="M435" s="228"/>
      <c r="N435" s="286"/>
      <c r="O435" s="227" t="s">
        <v>480</v>
      </c>
      <c r="P435" s="228"/>
      <c r="Q435" s="228"/>
      <c r="R435" s="229"/>
      <c r="S435" s="289"/>
      <c r="U435" s="214" t="s">
        <v>555</v>
      </c>
      <c r="V435" s="214">
        <f>H462/1000</f>
        <v>1.008904169</v>
      </c>
    </row>
    <row r="436" spans="1:27" ht="13.15" customHeight="1">
      <c r="A436" s="266"/>
      <c r="B436" s="240" t="s">
        <v>481</v>
      </c>
      <c r="C436" s="240"/>
      <c r="D436" s="241" t="s">
        <v>34</v>
      </c>
      <c r="E436" s="242" t="s">
        <v>482</v>
      </c>
      <c r="F436" s="243"/>
      <c r="G436" s="244" t="s">
        <v>34</v>
      </c>
      <c r="H436" s="241" t="s">
        <v>170</v>
      </c>
      <c r="I436" s="349" t="s">
        <v>483</v>
      </c>
      <c r="J436" s="244"/>
      <c r="K436" s="245"/>
      <c r="L436" s="246" t="s">
        <v>484</v>
      </c>
      <c r="M436" s="247"/>
      <c r="N436" s="248" t="s">
        <v>485</v>
      </c>
      <c r="O436" s="248" t="s">
        <v>486</v>
      </c>
      <c r="P436" s="248" t="s">
        <v>486</v>
      </c>
      <c r="Q436" s="247" t="s">
        <v>487</v>
      </c>
      <c r="R436" s="249"/>
      <c r="S436" s="250" t="s">
        <v>485</v>
      </c>
      <c r="U436" s="214" t="s">
        <v>556</v>
      </c>
      <c r="V436" s="214">
        <f>H467/1000</f>
        <v>0</v>
      </c>
    </row>
    <row r="437" spans="1:27" ht="13.15" customHeight="1">
      <c r="A437" s="350" t="s">
        <v>488</v>
      </c>
      <c r="B437" s="252" t="s">
        <v>0</v>
      </c>
      <c r="C437" s="252" t="s">
        <v>489</v>
      </c>
      <c r="D437" s="252" t="s">
        <v>490</v>
      </c>
      <c r="E437" s="252" t="s">
        <v>491</v>
      </c>
      <c r="F437" s="252" t="s">
        <v>489</v>
      </c>
      <c r="G437" s="230" t="s">
        <v>490</v>
      </c>
      <c r="H437" s="248"/>
      <c r="I437" s="349" t="s">
        <v>492</v>
      </c>
      <c r="J437" s="244"/>
      <c r="K437" s="253" t="s">
        <v>488</v>
      </c>
      <c r="L437" s="254" t="s">
        <v>88</v>
      </c>
      <c r="M437" s="252" t="s">
        <v>34</v>
      </c>
      <c r="N437" s="252" t="s">
        <v>493</v>
      </c>
      <c r="O437" s="248" t="s">
        <v>494</v>
      </c>
      <c r="P437" s="248" t="s">
        <v>495</v>
      </c>
      <c r="Q437" s="230" t="s">
        <v>88</v>
      </c>
      <c r="R437" s="248" t="s">
        <v>34</v>
      </c>
      <c r="S437" s="255" t="s">
        <v>88</v>
      </c>
      <c r="U437" s="214" t="s">
        <v>557</v>
      </c>
      <c r="V437" s="214">
        <f>H458/1000</f>
        <v>0.54604999999999992</v>
      </c>
    </row>
    <row r="438" spans="1:27" ht="13.15" customHeight="1">
      <c r="A438" s="266"/>
      <c r="B438" s="252" t="s">
        <v>496</v>
      </c>
      <c r="C438" s="252" t="s">
        <v>496</v>
      </c>
      <c r="D438" s="252" t="s">
        <v>496</v>
      </c>
      <c r="E438" s="256" t="s">
        <v>473</v>
      </c>
      <c r="F438" s="256" t="s">
        <v>473</v>
      </c>
      <c r="G438" s="230" t="s">
        <v>451</v>
      </c>
      <c r="H438" s="257" t="s">
        <v>497</v>
      </c>
      <c r="I438" s="351" t="s">
        <v>498</v>
      </c>
      <c r="J438" s="244"/>
      <c r="K438" s="245"/>
      <c r="L438" s="258" t="s">
        <v>496</v>
      </c>
      <c r="M438" s="256" t="s">
        <v>496</v>
      </c>
      <c r="N438" s="256"/>
      <c r="O438" s="257" t="s">
        <v>79</v>
      </c>
      <c r="P438" s="257" t="s">
        <v>79</v>
      </c>
      <c r="Q438" s="259"/>
      <c r="R438" s="257"/>
      <c r="S438" s="260"/>
      <c r="U438" s="214" t="s">
        <v>558</v>
      </c>
      <c r="V438" s="214">
        <f>(H455+H456+H457+H459+H461+H463+H464+H465+H466+H468+H469+H470+H471+H472)/1000</f>
        <v>8.5012379349999989</v>
      </c>
    </row>
    <row r="439" spans="1:27" ht="13.15" customHeight="1">
      <c r="A439" s="352" t="s">
        <v>262</v>
      </c>
      <c r="B439" s="365"/>
      <c r="C439" s="365"/>
      <c r="D439" s="365"/>
      <c r="E439" s="320"/>
      <c r="F439" s="319"/>
      <c r="G439" s="368"/>
      <c r="H439" s="369"/>
      <c r="I439" s="370"/>
      <c r="J439" s="244"/>
      <c r="K439" s="265" t="s">
        <v>262</v>
      </c>
      <c r="L439" s="266" t="e">
        <f>B439/I439</f>
        <v>#DIV/0!</v>
      </c>
      <c r="M439" s="267" t="e">
        <f>D439/I439</f>
        <v>#DIV/0!</v>
      </c>
      <c r="N439" s="267" t="e">
        <f>D439/B439</f>
        <v>#DIV/0!</v>
      </c>
      <c r="O439" s="239" t="e">
        <f>(F439*3.6+G439)*100/H439</f>
        <v>#DIV/0!</v>
      </c>
      <c r="P439" s="267" t="e">
        <f>(E439*3.6+G439)*100/H439</f>
        <v>#DIV/0!</v>
      </c>
      <c r="Q439" s="267" t="e">
        <f>E439/(B439*8760)*1000</f>
        <v>#DIV/0!</v>
      </c>
      <c r="R439" s="267" t="e">
        <f>G439/(D439*8761)*1000/3.6</f>
        <v>#DIV/0!</v>
      </c>
      <c r="S439" s="268" t="e">
        <f>G439/(E439*3.6)</f>
        <v>#DIV/0!</v>
      </c>
      <c r="U439" s="220"/>
      <c r="Z439" s="214">
        <f t="shared" ref="Z439:Z446" si="185">C439-B439</f>
        <v>0</v>
      </c>
      <c r="AA439" s="214">
        <f t="shared" ref="AA439:AA446" si="186">F439-E439</f>
        <v>0</v>
      </c>
    </row>
    <row r="440" spans="1:27" ht="13.15" customHeight="1">
      <c r="A440" s="266" t="s">
        <v>263</v>
      </c>
      <c r="B440" s="320"/>
      <c r="C440" s="320"/>
      <c r="D440" s="320"/>
      <c r="E440" s="320"/>
      <c r="F440" s="319"/>
      <c r="G440" s="321"/>
      <c r="H440" s="319"/>
      <c r="I440" s="370"/>
      <c r="J440" s="244"/>
      <c r="K440" s="245" t="s">
        <v>263</v>
      </c>
      <c r="L440" s="266" t="e">
        <f>B440/I440</f>
        <v>#DIV/0!</v>
      </c>
      <c r="M440" s="267" t="e">
        <f>D440/I440</f>
        <v>#DIV/0!</v>
      </c>
      <c r="N440" s="267" t="e">
        <f>D440/B440</f>
        <v>#DIV/0!</v>
      </c>
      <c r="O440" s="239" t="e">
        <f>(F440*3.6+G440)*100/H440</f>
        <v>#DIV/0!</v>
      </c>
      <c r="P440" s="267" t="e">
        <f>(E440*3.6+G440)*100/H440</f>
        <v>#DIV/0!</v>
      </c>
      <c r="Q440" s="267" t="e">
        <f>E440/(B440*8760)*1000</f>
        <v>#DIV/0!</v>
      </c>
      <c r="R440" s="267" t="e">
        <f>G440/(D440*8761)*1000/3.6</f>
        <v>#DIV/0!</v>
      </c>
      <c r="S440" s="268" t="e">
        <f>G440/(E440*3.6)</f>
        <v>#DIV/0!</v>
      </c>
      <c r="U440" s="239" t="s">
        <v>152</v>
      </c>
      <c r="V440" s="492">
        <f>B455/1000</f>
        <v>5.1999999999999998E-3</v>
      </c>
      <c r="Z440" s="214">
        <f t="shared" si="185"/>
        <v>0</v>
      </c>
      <c r="AA440" s="214">
        <f t="shared" si="186"/>
        <v>0</v>
      </c>
    </row>
    <row r="441" spans="1:27" ht="13.15" customHeight="1">
      <c r="A441" s="266" t="s">
        <v>499</v>
      </c>
      <c r="B441" s="320"/>
      <c r="C441" s="320"/>
      <c r="D441" s="320"/>
      <c r="E441" s="320"/>
      <c r="F441" s="319"/>
      <c r="G441" s="321"/>
      <c r="H441" s="319"/>
      <c r="I441" s="370"/>
      <c r="J441" s="244"/>
      <c r="K441" s="245" t="s">
        <v>499</v>
      </c>
      <c r="L441" s="266" t="e">
        <f>B441/I441</f>
        <v>#DIV/0!</v>
      </c>
      <c r="M441" s="267" t="e">
        <f>D441/I441</f>
        <v>#DIV/0!</v>
      </c>
      <c r="N441" s="267" t="e">
        <f>D441/B441</f>
        <v>#DIV/0!</v>
      </c>
      <c r="O441" s="239" t="e">
        <f>(F441*3.6+G441)*100/H441</f>
        <v>#DIV/0!</v>
      </c>
      <c r="P441" s="267" t="e">
        <f>(E441*3.6+G441)*100/H441</f>
        <v>#DIV/0!</v>
      </c>
      <c r="Q441" s="267" t="e">
        <f>E441/(B441*8760)*1000</f>
        <v>#DIV/0!</v>
      </c>
      <c r="R441" s="267" t="e">
        <f>G441/(D441*8761)*1000/3.6</f>
        <v>#DIV/0!</v>
      </c>
      <c r="S441" s="268" t="e">
        <f>G441/(E441*3.6)</f>
        <v>#DIV/0!</v>
      </c>
      <c r="U441" s="239" t="s">
        <v>504</v>
      </c>
      <c r="V441" s="492">
        <f t="shared" ref="V441:V457" si="187">B456/1000</f>
        <v>0</v>
      </c>
      <c r="Z441" s="214">
        <f t="shared" si="185"/>
        <v>0</v>
      </c>
      <c r="AA441" s="214">
        <f t="shared" si="186"/>
        <v>0</v>
      </c>
    </row>
    <row r="442" spans="1:27" ht="13.15" customHeight="1">
      <c r="A442" s="266" t="s">
        <v>265</v>
      </c>
      <c r="B442" s="320"/>
      <c r="C442" s="320"/>
      <c r="D442" s="320"/>
      <c r="E442" s="320"/>
      <c r="F442" s="319"/>
      <c r="G442" s="321"/>
      <c r="H442" s="319"/>
      <c r="I442" s="370"/>
      <c r="J442" s="244"/>
      <c r="K442" s="245" t="s">
        <v>265</v>
      </c>
      <c r="L442" s="266" t="e">
        <f>B442/I442</f>
        <v>#DIV/0!</v>
      </c>
      <c r="M442" s="267" t="e">
        <f>D442/I442</f>
        <v>#DIV/0!</v>
      </c>
      <c r="N442" s="267" t="e">
        <f>D442/B442</f>
        <v>#DIV/0!</v>
      </c>
      <c r="O442" s="239" t="e">
        <f>(F442*3.6+G442)*100/H442</f>
        <v>#DIV/0!</v>
      </c>
      <c r="P442" s="267" t="e">
        <f>(E442*3.6+G442)*100/H442</f>
        <v>#DIV/0!</v>
      </c>
      <c r="Q442" s="267" t="e">
        <f>E442/(B442*8760)*1000</f>
        <v>#DIV/0!</v>
      </c>
      <c r="R442" s="267" t="e">
        <f>G442/(D442*8761)*1000/3.6</f>
        <v>#DIV/0!</v>
      </c>
      <c r="S442" s="268" t="e">
        <f>G442/(E442*3.6)</f>
        <v>#DIV/0!</v>
      </c>
      <c r="U442" s="239" t="s">
        <v>505</v>
      </c>
      <c r="V442" s="492">
        <f t="shared" si="187"/>
        <v>0</v>
      </c>
      <c r="Z442" s="214">
        <f t="shared" si="185"/>
        <v>0</v>
      </c>
      <c r="AA442" s="214">
        <f t="shared" si="186"/>
        <v>0</v>
      </c>
    </row>
    <row r="443" spans="1:27" ht="13.15" customHeight="1">
      <c r="A443" s="266" t="s">
        <v>266</v>
      </c>
      <c r="B443" s="320"/>
      <c r="C443" s="320"/>
      <c r="D443" s="320"/>
      <c r="E443" s="320"/>
      <c r="F443" s="319"/>
      <c r="G443" s="321"/>
      <c r="H443" s="319"/>
      <c r="I443" s="370"/>
      <c r="J443" s="244"/>
      <c r="K443" s="245" t="s">
        <v>266</v>
      </c>
      <c r="L443" s="266" t="e">
        <f>B443/I443</f>
        <v>#DIV/0!</v>
      </c>
      <c r="M443" s="267" t="e">
        <f>D443/I443</f>
        <v>#DIV/0!</v>
      </c>
      <c r="N443" s="267" t="e">
        <f>D443/B443</f>
        <v>#DIV/0!</v>
      </c>
      <c r="O443" s="239" t="e">
        <f>(F443*3.6+G443)*100/H443</f>
        <v>#DIV/0!</v>
      </c>
      <c r="P443" s="267" t="e">
        <f>(E443*3.6+G443)*100/H443</f>
        <v>#DIV/0!</v>
      </c>
      <c r="Q443" s="267" t="e">
        <f>E443/(B443*8760)*1000</f>
        <v>#DIV/0!</v>
      </c>
      <c r="R443" s="267" t="e">
        <f>G443/(D443*8761)*1000/3.6</f>
        <v>#DIV/0!</v>
      </c>
      <c r="S443" s="268" t="e">
        <f>G443/(E443*3.6)</f>
        <v>#DIV/0!</v>
      </c>
      <c r="U443" s="239" t="s">
        <v>506</v>
      </c>
      <c r="V443" s="492">
        <f t="shared" si="187"/>
        <v>6.2199999999999998E-3</v>
      </c>
      <c r="Z443" s="214">
        <f t="shared" si="185"/>
        <v>0</v>
      </c>
      <c r="AA443" s="214">
        <f t="shared" si="186"/>
        <v>0</v>
      </c>
    </row>
    <row r="444" spans="1:27" ht="13.15" customHeight="1">
      <c r="A444" s="353" t="s">
        <v>267</v>
      </c>
      <c r="B444" s="262"/>
      <c r="C444" s="262"/>
      <c r="D444" s="262"/>
      <c r="E444" s="262"/>
      <c r="F444" s="262"/>
      <c r="G444" s="262"/>
      <c r="H444" s="262"/>
      <c r="I444" s="355"/>
      <c r="J444" s="244"/>
      <c r="K444" s="245" t="s">
        <v>267</v>
      </c>
      <c r="L444" s="266"/>
      <c r="M444" s="267"/>
      <c r="N444" s="267"/>
      <c r="O444" s="239"/>
      <c r="P444" s="267"/>
      <c r="Q444" s="272"/>
      <c r="R444" s="274"/>
      <c r="S444" s="275"/>
      <c r="U444" s="239" t="s">
        <v>507</v>
      </c>
      <c r="V444" s="492">
        <f t="shared" si="187"/>
        <v>0</v>
      </c>
      <c r="Z444" s="214">
        <f t="shared" si="185"/>
        <v>0</v>
      </c>
      <c r="AA444" s="214">
        <f t="shared" si="186"/>
        <v>0</v>
      </c>
    </row>
    <row r="445" spans="1:27" ht="13.15" customHeight="1">
      <c r="A445" s="276" t="s">
        <v>500</v>
      </c>
      <c r="B445" s="291">
        <f t="shared" ref="B445:I445" si="188">SUM(B439:B444)</f>
        <v>0</v>
      </c>
      <c r="C445" s="291">
        <f t="shared" si="188"/>
        <v>0</v>
      </c>
      <c r="D445" s="291">
        <f t="shared" si="188"/>
        <v>0</v>
      </c>
      <c r="E445" s="291">
        <f t="shared" si="188"/>
        <v>0</v>
      </c>
      <c r="F445" s="291">
        <f t="shared" si="188"/>
        <v>0</v>
      </c>
      <c r="G445" s="292">
        <f t="shared" si="188"/>
        <v>0</v>
      </c>
      <c r="H445" s="291">
        <f t="shared" si="188"/>
        <v>0</v>
      </c>
      <c r="I445" s="293">
        <f t="shared" si="188"/>
        <v>0</v>
      </c>
      <c r="J445" s="244"/>
      <c r="K445" s="279" t="s">
        <v>169</v>
      </c>
      <c r="L445" s="280" t="e">
        <f>B445/I445</f>
        <v>#DIV/0!</v>
      </c>
      <c r="M445" s="281" t="e">
        <f>D445/I445</f>
        <v>#DIV/0!</v>
      </c>
      <c r="N445" s="281" t="e">
        <f>D445/B445</f>
        <v>#DIV/0!</v>
      </c>
      <c r="O445" s="294" t="e">
        <f>(F445*3.6+G445)*100/H445</f>
        <v>#DIV/0!</v>
      </c>
      <c r="P445" s="295" t="e">
        <f>(E445*3.6+G445)*100/H445</f>
        <v>#DIV/0!</v>
      </c>
      <c r="Q445" s="283" t="e">
        <f>E445/(B445*8760)*1000</f>
        <v>#DIV/0!</v>
      </c>
      <c r="R445" s="283" t="e">
        <f>G445/(D445*8761)*1000/3.6</f>
        <v>#DIV/0!</v>
      </c>
      <c r="S445" s="284" t="e">
        <f>G445/(E445*3.6)</f>
        <v>#DIV/0!</v>
      </c>
      <c r="U445" s="239" t="s">
        <v>156</v>
      </c>
      <c r="V445" s="492">
        <f t="shared" si="187"/>
        <v>0</v>
      </c>
      <c r="Z445" s="214">
        <f t="shared" si="185"/>
        <v>0</v>
      </c>
      <c r="AA445" s="214">
        <f t="shared" si="186"/>
        <v>0</v>
      </c>
    </row>
    <row r="446" spans="1:27" ht="13.15" customHeight="1" thickBot="1">
      <c r="A446" s="296" t="s">
        <v>502</v>
      </c>
      <c r="B446" s="297">
        <f t="shared" ref="B446:I446" si="189">B434+B445</f>
        <v>122.587</v>
      </c>
      <c r="C446" s="297">
        <f>B434+C445</f>
        <v>122.587</v>
      </c>
      <c r="D446" s="297">
        <f t="shared" si="189"/>
        <v>549.84059999999999</v>
      </c>
      <c r="E446" s="297">
        <f t="shared" si="189"/>
        <v>624.26960329999997</v>
      </c>
      <c r="F446" s="297">
        <f>E434+F445</f>
        <v>624.26960329999997</v>
      </c>
      <c r="G446" s="297">
        <f t="shared" si="189"/>
        <v>5402.6511899999996</v>
      </c>
      <c r="H446" s="297">
        <f t="shared" si="189"/>
        <v>10056.192104</v>
      </c>
      <c r="I446" s="298">
        <f t="shared" si="189"/>
        <v>70</v>
      </c>
      <c r="J446" s="244"/>
      <c r="K446" s="296" t="s">
        <v>502</v>
      </c>
      <c r="L446" s="299">
        <f>B446/I446</f>
        <v>1.7512428571428571</v>
      </c>
      <c r="M446" s="300">
        <f>D446/I446</f>
        <v>7.8548657142857143</v>
      </c>
      <c r="N446" s="300">
        <f>D446/B446</f>
        <v>4.485309208969956</v>
      </c>
      <c r="O446" s="301">
        <f>(F446*3.6+G446)*100/H446</f>
        <v>76.072748837376423</v>
      </c>
      <c r="P446" s="301">
        <f>(E446*3.6+G446)*100/H446</f>
        <v>76.072748837376423</v>
      </c>
      <c r="Q446" s="301">
        <f>E446/(B446*8760)*1000</f>
        <v>0.58133124511366496</v>
      </c>
      <c r="R446" s="301">
        <f>G446/(D446*8761)*1000/3.6</f>
        <v>0.31154009161757101</v>
      </c>
      <c r="S446" s="302">
        <f>G446/(E446*3.6)</f>
        <v>2.4039876901478259</v>
      </c>
      <c r="T446" s="309"/>
      <c r="U446" s="239" t="s">
        <v>508</v>
      </c>
      <c r="V446" s="492">
        <f t="shared" si="187"/>
        <v>0</v>
      </c>
      <c r="Z446" s="214">
        <f t="shared" si="185"/>
        <v>0</v>
      </c>
      <c r="AA446" s="214">
        <f t="shared" si="186"/>
        <v>0</v>
      </c>
    </row>
    <row r="447" spans="1:27" ht="13.15" customHeight="1">
      <c r="U447" s="239" t="s">
        <v>509</v>
      </c>
      <c r="V447" s="492">
        <f t="shared" si="187"/>
        <v>1.3894E-2</v>
      </c>
    </row>
    <row r="448" spans="1:27" ht="13.15" customHeight="1">
      <c r="A448" s="251" t="s">
        <v>139</v>
      </c>
      <c r="B448" s="227" t="s">
        <v>476</v>
      </c>
      <c r="C448" s="228"/>
      <c r="D448" s="286"/>
      <c r="E448" s="227" t="s">
        <v>477</v>
      </c>
      <c r="F448" s="228"/>
      <c r="G448" s="229"/>
      <c r="H448" s="200" t="s">
        <v>138</v>
      </c>
      <c r="I448" s="200" t="s">
        <v>478</v>
      </c>
      <c r="J448" s="230"/>
      <c r="K448" s="303" t="s">
        <v>503</v>
      </c>
      <c r="L448" s="227" t="s">
        <v>479</v>
      </c>
      <c r="M448" s="228"/>
      <c r="N448" s="286"/>
      <c r="O448" s="227" t="s">
        <v>480</v>
      </c>
      <c r="P448" s="228"/>
      <c r="Q448" s="228"/>
      <c r="R448" s="229"/>
      <c r="S448" s="286"/>
      <c r="U448" s="239" t="s">
        <v>510</v>
      </c>
      <c r="V448" s="492">
        <f t="shared" si="187"/>
        <v>2.0369999999999997E-3</v>
      </c>
    </row>
    <row r="449" spans="1:27" ht="13.15" customHeight="1">
      <c r="A449" s="239"/>
      <c r="B449" s="240" t="s">
        <v>9</v>
      </c>
      <c r="C449" s="240"/>
      <c r="D449" s="241" t="s">
        <v>34</v>
      </c>
      <c r="E449" s="242" t="s">
        <v>88</v>
      </c>
      <c r="F449" s="243"/>
      <c r="G449" s="244" t="s">
        <v>34</v>
      </c>
      <c r="H449" s="241" t="s">
        <v>170</v>
      </c>
      <c r="I449" s="241" t="s">
        <v>483</v>
      </c>
      <c r="J449" s="230"/>
      <c r="K449" s="305"/>
      <c r="L449" s="306" t="s">
        <v>484</v>
      </c>
      <c r="M449" s="247"/>
      <c r="N449" s="248" t="s">
        <v>485</v>
      </c>
      <c r="O449" s="248" t="s">
        <v>486</v>
      </c>
      <c r="P449" s="248" t="s">
        <v>486</v>
      </c>
      <c r="Q449" s="247" t="s">
        <v>487</v>
      </c>
      <c r="R449" s="249"/>
      <c r="S449" s="307" t="s">
        <v>485</v>
      </c>
      <c r="U449" s="239" t="s">
        <v>511</v>
      </c>
      <c r="V449" s="492">
        <f t="shared" si="187"/>
        <v>0</v>
      </c>
    </row>
    <row r="450" spans="1:27" ht="13.15" customHeight="1">
      <c r="A450" s="239"/>
      <c r="B450" s="252" t="s">
        <v>0</v>
      </c>
      <c r="C450" s="252" t="s">
        <v>489</v>
      </c>
      <c r="D450" s="252" t="s">
        <v>490</v>
      </c>
      <c r="E450" s="252" t="s">
        <v>491</v>
      </c>
      <c r="F450" s="252" t="s">
        <v>489</v>
      </c>
      <c r="G450" s="230" t="s">
        <v>490</v>
      </c>
      <c r="H450" s="248"/>
      <c r="I450" s="241" t="s">
        <v>492</v>
      </c>
      <c r="J450" s="230"/>
      <c r="K450" s="305"/>
      <c r="L450" s="248" t="s">
        <v>88</v>
      </c>
      <c r="M450" s="252" t="s">
        <v>34</v>
      </c>
      <c r="N450" s="252" t="s">
        <v>493</v>
      </c>
      <c r="O450" s="248" t="s">
        <v>494</v>
      </c>
      <c r="P450" s="248" t="s">
        <v>495</v>
      </c>
      <c r="Q450" s="230" t="s">
        <v>88</v>
      </c>
      <c r="R450" s="248" t="s">
        <v>34</v>
      </c>
      <c r="S450" s="252" t="s">
        <v>88</v>
      </c>
      <c r="U450" s="239" t="s">
        <v>512</v>
      </c>
      <c r="V450" s="492">
        <f t="shared" si="187"/>
        <v>7.8159999999999993E-2</v>
      </c>
    </row>
    <row r="451" spans="1:27" ht="13.15" customHeight="1">
      <c r="A451" s="239"/>
      <c r="B451" s="257" t="s">
        <v>496</v>
      </c>
      <c r="C451" s="256" t="s">
        <v>496</v>
      </c>
      <c r="D451" s="256" t="s">
        <v>496</v>
      </c>
      <c r="E451" s="256" t="s">
        <v>473</v>
      </c>
      <c r="F451" s="257" t="s">
        <v>473</v>
      </c>
      <c r="G451" s="259" t="s">
        <v>451</v>
      </c>
      <c r="H451" s="257" t="s">
        <v>497</v>
      </c>
      <c r="I451" s="257" t="s">
        <v>498</v>
      </c>
      <c r="J451" s="230"/>
      <c r="K451" s="305"/>
      <c r="L451" s="257" t="s">
        <v>496</v>
      </c>
      <c r="M451" s="256" t="s">
        <v>496</v>
      </c>
      <c r="N451" s="256"/>
      <c r="O451" s="257" t="s">
        <v>79</v>
      </c>
      <c r="P451" s="257" t="s">
        <v>79</v>
      </c>
      <c r="Q451" s="259"/>
      <c r="R451" s="257"/>
      <c r="S451" s="256"/>
      <c r="U451" s="239" t="s">
        <v>513</v>
      </c>
      <c r="V451" s="492">
        <f t="shared" si="187"/>
        <v>1.85E-4</v>
      </c>
    </row>
    <row r="452" spans="1:27" ht="13.15" customHeight="1">
      <c r="A452" s="251" t="s">
        <v>150</v>
      </c>
      <c r="B452" s="356">
        <v>0</v>
      </c>
      <c r="C452" s="357">
        <v>0</v>
      </c>
      <c r="D452" s="358">
        <v>0</v>
      </c>
      <c r="E452" s="356">
        <v>0</v>
      </c>
      <c r="F452" s="217">
        <v>0</v>
      </c>
      <c r="G452" s="219">
        <v>0</v>
      </c>
      <c r="H452" s="359">
        <v>0</v>
      </c>
      <c r="I452" s="205">
        <v>0</v>
      </c>
      <c r="J452" s="244"/>
      <c r="K452" s="303" t="s">
        <v>150</v>
      </c>
      <c r="L452" s="312" t="e">
        <f>B452/I452</f>
        <v>#DIV/0!</v>
      </c>
      <c r="M452" s="313" t="e">
        <f>D452/I452</f>
        <v>#DIV/0!</v>
      </c>
      <c r="N452" s="313" t="e">
        <f>D452/B452</f>
        <v>#DIV/0!</v>
      </c>
      <c r="O452" s="312" t="e">
        <f>(F452*3.6+G452)*100/H452</f>
        <v>#DIV/0!</v>
      </c>
      <c r="P452" s="313" t="e">
        <f>(E452*3.6+G452)*100/H452</f>
        <v>#DIV/0!</v>
      </c>
      <c r="Q452" s="313" t="e">
        <f>E452/(B452*8760)*1000</f>
        <v>#DIV/0!</v>
      </c>
      <c r="R452" s="313" t="e">
        <f>G452/(D452*8761)*1000/3.6</f>
        <v>#DIV/0!</v>
      </c>
      <c r="S452" s="313" t="e">
        <f>G452/(E452*3.6)</f>
        <v>#DIV/0!</v>
      </c>
      <c r="U452" s="239" t="s">
        <v>514</v>
      </c>
      <c r="V452" s="492">
        <f t="shared" si="187"/>
        <v>0</v>
      </c>
      <c r="Z452" s="214">
        <f>C452-B452</f>
        <v>0</v>
      </c>
      <c r="AA452" s="214">
        <f>F452-E452</f>
        <v>0</v>
      </c>
    </row>
    <row r="453" spans="1:27" ht="13.15" customHeight="1">
      <c r="A453" s="239"/>
      <c r="B453" s="252"/>
      <c r="C453" s="252"/>
      <c r="D453" s="252"/>
      <c r="E453" s="267"/>
      <c r="F453" s="267"/>
      <c r="G453" s="248"/>
      <c r="H453" s="252"/>
      <c r="I453" s="248"/>
      <c r="J453" s="230"/>
      <c r="K453" s="239"/>
      <c r="L453" s="312"/>
      <c r="M453" s="267"/>
      <c r="N453" s="267"/>
      <c r="O453" s="239"/>
      <c r="P453" s="313"/>
      <c r="Q453" s="267"/>
      <c r="R453" s="267"/>
      <c r="S453" s="239"/>
      <c r="U453" s="239" t="s">
        <v>515</v>
      </c>
      <c r="V453" s="492">
        <f t="shared" si="187"/>
        <v>0</v>
      </c>
      <c r="Z453" s="214">
        <f t="shared" ref="Z453:Z473" si="190">C453-B453</f>
        <v>0</v>
      </c>
      <c r="AA453" s="214">
        <f t="shared" ref="AA453:AA473" si="191">F453-E453</f>
        <v>0</v>
      </c>
    </row>
    <row r="454" spans="1:27" ht="13.15" customHeight="1">
      <c r="A454" s="312" t="s">
        <v>7</v>
      </c>
      <c r="B454" s="310">
        <v>122.587</v>
      </c>
      <c r="C454" s="310">
        <v>122.587</v>
      </c>
      <c r="D454" s="310">
        <v>549.84059999999999</v>
      </c>
      <c r="E454" s="310">
        <v>624.26960530000008</v>
      </c>
      <c r="F454" s="310">
        <v>624.26960530000008</v>
      </c>
      <c r="G454" s="310">
        <v>5402.6512220000004</v>
      </c>
      <c r="H454" s="310">
        <v>10056.192104</v>
      </c>
      <c r="I454" s="310">
        <v>70</v>
      </c>
      <c r="J454" s="244"/>
      <c r="K454" s="318" t="s">
        <v>7</v>
      </c>
      <c r="L454" s="312">
        <f>B454/I454</f>
        <v>1.7512428571428571</v>
      </c>
      <c r="M454" s="313">
        <f>D454/I454</f>
        <v>7.8548657142857143</v>
      </c>
      <c r="N454" s="313">
        <f>D454/B454</f>
        <v>4.485309208969956</v>
      </c>
      <c r="O454" s="312">
        <f t="shared" ref="O454:O471" si="192">(F454*3.6+G454)*100/H454</f>
        <v>76.072749227186009</v>
      </c>
      <c r="P454" s="313">
        <f>(E454*3.6+G454)*100/H454</f>
        <v>76.072749227186009</v>
      </c>
      <c r="Q454" s="313">
        <f>E454/(B454*8760)*1000</f>
        <v>0.58133124697610161</v>
      </c>
      <c r="R454" s="313">
        <f>G454/(D454*8761)*1000/3.6</f>
        <v>0.31154009346282863</v>
      </c>
      <c r="S454" s="313">
        <f>G454/(E454*3.6)</f>
        <v>2.403987696684927</v>
      </c>
      <c r="U454" s="239" t="s">
        <v>516</v>
      </c>
      <c r="V454" s="492">
        <f t="shared" si="187"/>
        <v>0</v>
      </c>
      <c r="Z454" s="214">
        <f t="shared" si="190"/>
        <v>0</v>
      </c>
      <c r="AA454" s="214">
        <f t="shared" si="191"/>
        <v>0</v>
      </c>
    </row>
    <row r="455" spans="1:27" ht="13.15" customHeight="1">
      <c r="A455" s="239" t="s">
        <v>152</v>
      </c>
      <c r="B455" s="204">
        <v>5.2</v>
      </c>
      <c r="C455" s="204">
        <v>5.2</v>
      </c>
      <c r="D455" s="204">
        <v>34</v>
      </c>
      <c r="E455" s="204">
        <v>34.56</v>
      </c>
      <c r="F455" s="204">
        <v>34.56</v>
      </c>
      <c r="G455" s="204">
        <v>881.28</v>
      </c>
      <c r="H455" s="204">
        <v>1101.5999999999999</v>
      </c>
      <c r="I455" s="204">
        <v>2</v>
      </c>
      <c r="J455" s="230"/>
      <c r="K455" s="305" t="s">
        <v>152</v>
      </c>
      <c r="L455" s="239">
        <f t="shared" ref="L455:L471" si="193">B455/I455</f>
        <v>2.6</v>
      </c>
      <c r="M455" s="267">
        <f t="shared" ref="M455:M471" si="194">D455/I455</f>
        <v>17</v>
      </c>
      <c r="N455" s="267">
        <f t="shared" ref="N455:N471" si="195">D455/B455</f>
        <v>6.5384615384615383</v>
      </c>
      <c r="O455" s="239">
        <f t="shared" si="192"/>
        <v>91.29411764705884</v>
      </c>
      <c r="P455" s="267">
        <f t="shared" ref="P455:P471" si="196">(E455*3.6+G455)*100/H455</f>
        <v>91.29411764705884</v>
      </c>
      <c r="Q455" s="267">
        <f t="shared" ref="Q455:Q471" si="197">E455/(B455*8760)*1000</f>
        <v>0.75869336143308752</v>
      </c>
      <c r="R455" s="267">
        <f t="shared" ref="R455:R471" si="198">G455/(D455*8761)*1000/3.6</f>
        <v>0.82182399269489781</v>
      </c>
      <c r="S455" s="267">
        <f t="shared" ref="S455:S471" si="199">G455/(E455*3.6)</f>
        <v>7.0833333333333321</v>
      </c>
      <c r="U455" s="239" t="s">
        <v>517</v>
      </c>
      <c r="V455" s="492">
        <f t="shared" si="187"/>
        <v>0</v>
      </c>
      <c r="Z455" s="214">
        <f t="shared" si="190"/>
        <v>0</v>
      </c>
      <c r="AA455" s="214">
        <f t="shared" si="191"/>
        <v>0</v>
      </c>
    </row>
    <row r="456" spans="1:27" ht="13.15" customHeight="1">
      <c r="A456" s="239" t="s">
        <v>504</v>
      </c>
      <c r="B456" s="204"/>
      <c r="C456" s="204"/>
      <c r="D456" s="204"/>
      <c r="E456" s="267"/>
      <c r="F456" s="267"/>
      <c r="G456" s="206"/>
      <c r="H456" s="202"/>
      <c r="I456" s="202"/>
      <c r="J456" s="230"/>
      <c r="K456" s="305" t="s">
        <v>504</v>
      </c>
      <c r="L456" s="239" t="e">
        <f t="shared" si="193"/>
        <v>#DIV/0!</v>
      </c>
      <c r="M456" s="267" t="e">
        <f t="shared" si="194"/>
        <v>#DIV/0!</v>
      </c>
      <c r="N456" s="267" t="e">
        <f t="shared" si="195"/>
        <v>#DIV/0!</v>
      </c>
      <c r="O456" s="239" t="e">
        <f t="shared" si="192"/>
        <v>#DIV/0!</v>
      </c>
      <c r="P456" s="267" t="e">
        <f t="shared" si="196"/>
        <v>#DIV/0!</v>
      </c>
      <c r="Q456" s="267" t="e">
        <f t="shared" si="197"/>
        <v>#DIV/0!</v>
      </c>
      <c r="R456" s="267" t="e">
        <f t="shared" si="198"/>
        <v>#DIV/0!</v>
      </c>
      <c r="S456" s="267" t="e">
        <f t="shared" si="199"/>
        <v>#DIV/0!</v>
      </c>
      <c r="U456" s="239" t="s">
        <v>518</v>
      </c>
      <c r="V456" s="492">
        <f t="shared" si="187"/>
        <v>1.6684999999999998E-2</v>
      </c>
      <c r="Z456" s="214">
        <f t="shared" si="190"/>
        <v>0</v>
      </c>
      <c r="AA456" s="214">
        <f t="shared" si="191"/>
        <v>0</v>
      </c>
    </row>
    <row r="457" spans="1:27" ht="13.15" customHeight="1">
      <c r="A457" s="239" t="s">
        <v>505</v>
      </c>
      <c r="B457" s="204"/>
      <c r="C457" s="204"/>
      <c r="D457" s="204"/>
      <c r="E457" s="267"/>
      <c r="F457" s="267"/>
      <c r="G457" s="206"/>
      <c r="H457" s="202"/>
      <c r="I457" s="202"/>
      <c r="J457" s="230"/>
      <c r="K457" s="305" t="s">
        <v>505</v>
      </c>
      <c r="L457" s="239" t="e">
        <f t="shared" si="193"/>
        <v>#DIV/0!</v>
      </c>
      <c r="M457" s="267" t="e">
        <f t="shared" si="194"/>
        <v>#DIV/0!</v>
      </c>
      <c r="N457" s="267" t="e">
        <f t="shared" si="195"/>
        <v>#DIV/0!</v>
      </c>
      <c r="O457" s="239" t="e">
        <f t="shared" si="192"/>
        <v>#DIV/0!</v>
      </c>
      <c r="P457" s="267" t="e">
        <f t="shared" si="196"/>
        <v>#DIV/0!</v>
      </c>
      <c r="Q457" s="267" t="e">
        <f t="shared" si="197"/>
        <v>#DIV/0!</v>
      </c>
      <c r="R457" s="267" t="e">
        <f t="shared" si="198"/>
        <v>#DIV/0!</v>
      </c>
      <c r="S457" s="267" t="e">
        <f t="shared" si="199"/>
        <v>#DIV/0!</v>
      </c>
      <c r="U457" s="239" t="s">
        <v>519</v>
      </c>
      <c r="V457" s="492">
        <f t="shared" si="187"/>
        <v>2.0599999999999999E-4</v>
      </c>
      <c r="Z457" s="214">
        <f t="shared" si="190"/>
        <v>0</v>
      </c>
      <c r="AA457" s="214">
        <f t="shared" si="191"/>
        <v>0</v>
      </c>
    </row>
    <row r="458" spans="1:27" ht="13.15" customHeight="1">
      <c r="A458" s="239" t="s">
        <v>506</v>
      </c>
      <c r="B458" s="204">
        <v>6.22</v>
      </c>
      <c r="C458" s="204">
        <v>6.22</v>
      </c>
      <c r="D458" s="204">
        <v>6.5856000000000003</v>
      </c>
      <c r="E458" s="267">
        <v>40.605699999999999</v>
      </c>
      <c r="F458" s="267">
        <v>40.605699999999999</v>
      </c>
      <c r="G458" s="206">
        <v>202.46039999999999</v>
      </c>
      <c r="H458" s="202">
        <v>546.04999999999995</v>
      </c>
      <c r="I458" s="202">
        <v>1</v>
      </c>
      <c r="J458" s="230"/>
      <c r="K458" s="305" t="s">
        <v>506</v>
      </c>
      <c r="L458" s="239">
        <f t="shared" si="193"/>
        <v>6.22</v>
      </c>
      <c r="M458" s="267">
        <f t="shared" si="194"/>
        <v>6.5856000000000003</v>
      </c>
      <c r="N458" s="267">
        <f t="shared" si="195"/>
        <v>1.0587781350482317</v>
      </c>
      <c r="O458" s="239">
        <f t="shared" si="192"/>
        <v>63.847801483380643</v>
      </c>
      <c r="P458" s="267">
        <f t="shared" si="196"/>
        <v>63.847801483380643</v>
      </c>
      <c r="Q458" s="267">
        <f t="shared" si="197"/>
        <v>0.74523374297082623</v>
      </c>
      <c r="R458" s="267">
        <f t="shared" si="198"/>
        <v>0.97473948896009532</v>
      </c>
      <c r="S458" s="267">
        <f t="shared" si="199"/>
        <v>1.3850025981574015</v>
      </c>
      <c r="U458" s="220"/>
      <c r="Z458" s="214">
        <f t="shared" si="190"/>
        <v>0</v>
      </c>
      <c r="AA458" s="214">
        <f t="shared" si="191"/>
        <v>0</v>
      </c>
    </row>
    <row r="459" spans="1:27" ht="13.15" customHeight="1">
      <c r="A459" s="239" t="s">
        <v>507</v>
      </c>
      <c r="B459" s="204"/>
      <c r="C459" s="204"/>
      <c r="D459" s="204"/>
      <c r="E459" s="267"/>
      <c r="F459" s="267"/>
      <c r="G459" s="206"/>
      <c r="H459" s="202"/>
      <c r="I459" s="202"/>
      <c r="J459" s="230"/>
      <c r="K459" s="305" t="s">
        <v>507</v>
      </c>
      <c r="L459" s="239" t="e">
        <f t="shared" si="193"/>
        <v>#DIV/0!</v>
      </c>
      <c r="M459" s="267" t="e">
        <f t="shared" si="194"/>
        <v>#DIV/0!</v>
      </c>
      <c r="N459" s="267" t="e">
        <f t="shared" si="195"/>
        <v>#DIV/0!</v>
      </c>
      <c r="O459" s="239" t="e">
        <f t="shared" si="192"/>
        <v>#DIV/0!</v>
      </c>
      <c r="P459" s="267" t="e">
        <f t="shared" si="196"/>
        <v>#DIV/0!</v>
      </c>
      <c r="Q459" s="267" t="e">
        <f t="shared" si="197"/>
        <v>#DIV/0!</v>
      </c>
      <c r="R459" s="267" t="e">
        <f t="shared" si="198"/>
        <v>#DIV/0!</v>
      </c>
      <c r="S459" s="267" t="e">
        <f t="shared" si="199"/>
        <v>#DIV/0!</v>
      </c>
      <c r="U459" s="220"/>
      <c r="Z459" s="214">
        <f t="shared" si="190"/>
        <v>0</v>
      </c>
      <c r="AA459" s="214">
        <f t="shared" si="191"/>
        <v>0</v>
      </c>
    </row>
    <row r="460" spans="1:27" ht="13.15" customHeight="1">
      <c r="A460" s="239" t="s">
        <v>156</v>
      </c>
      <c r="B460" s="204"/>
      <c r="C460" s="204"/>
      <c r="D460" s="204"/>
      <c r="E460" s="267"/>
      <c r="F460" s="267"/>
      <c r="G460" s="206"/>
      <c r="H460" s="202"/>
      <c r="I460" s="202"/>
      <c r="J460" s="230"/>
      <c r="K460" s="305" t="s">
        <v>156</v>
      </c>
      <c r="L460" s="239" t="e">
        <f t="shared" si="193"/>
        <v>#DIV/0!</v>
      </c>
      <c r="M460" s="267" t="e">
        <f t="shared" si="194"/>
        <v>#DIV/0!</v>
      </c>
      <c r="N460" s="267" t="e">
        <f t="shared" si="195"/>
        <v>#DIV/0!</v>
      </c>
      <c r="O460" s="322" t="e">
        <f t="shared" si="192"/>
        <v>#DIV/0!</v>
      </c>
      <c r="P460" s="323" t="e">
        <f t="shared" si="196"/>
        <v>#DIV/0!</v>
      </c>
      <c r="Q460" s="267" t="e">
        <f t="shared" si="197"/>
        <v>#DIV/0!</v>
      </c>
      <c r="R460" s="267" t="e">
        <f t="shared" si="198"/>
        <v>#DIV/0!</v>
      </c>
      <c r="S460" s="267" t="e">
        <f t="shared" si="199"/>
        <v>#DIV/0!</v>
      </c>
      <c r="U460" s="220"/>
      <c r="Z460" s="214">
        <f t="shared" si="190"/>
        <v>0</v>
      </c>
      <c r="AA460" s="214">
        <f t="shared" si="191"/>
        <v>0</v>
      </c>
    </row>
    <row r="461" spans="1:27" ht="13.15" customHeight="1">
      <c r="A461" s="239" t="s">
        <v>508</v>
      </c>
      <c r="B461" s="204"/>
      <c r="C461" s="204"/>
      <c r="D461" s="204"/>
      <c r="E461" s="267"/>
      <c r="F461" s="267"/>
      <c r="G461" s="206"/>
      <c r="H461" s="202"/>
      <c r="I461" s="202"/>
      <c r="J461" s="230"/>
      <c r="K461" s="305" t="s">
        <v>508</v>
      </c>
      <c r="L461" s="239" t="e">
        <f t="shared" si="193"/>
        <v>#DIV/0!</v>
      </c>
      <c r="M461" s="267" t="e">
        <f t="shared" si="194"/>
        <v>#DIV/0!</v>
      </c>
      <c r="N461" s="267" t="e">
        <f t="shared" si="195"/>
        <v>#DIV/0!</v>
      </c>
      <c r="O461" s="239" t="e">
        <f t="shared" si="192"/>
        <v>#DIV/0!</v>
      </c>
      <c r="P461" s="267" t="e">
        <f t="shared" si="196"/>
        <v>#DIV/0!</v>
      </c>
      <c r="Q461" s="267" t="e">
        <f t="shared" si="197"/>
        <v>#DIV/0!</v>
      </c>
      <c r="R461" s="267" t="e">
        <f t="shared" si="198"/>
        <v>#DIV/0!</v>
      </c>
      <c r="S461" s="267" t="e">
        <f t="shared" si="199"/>
        <v>#DIV/0!</v>
      </c>
      <c r="U461" s="220"/>
      <c r="Z461" s="214">
        <f t="shared" si="190"/>
        <v>0</v>
      </c>
      <c r="AA461" s="214">
        <f t="shared" si="191"/>
        <v>0</v>
      </c>
    </row>
    <row r="462" spans="1:27" ht="13.15" customHeight="1">
      <c r="A462" s="239" t="s">
        <v>509</v>
      </c>
      <c r="B462" s="204">
        <v>13.894</v>
      </c>
      <c r="C462" s="204">
        <v>13.894</v>
      </c>
      <c r="D462" s="204">
        <v>17.646000000000001</v>
      </c>
      <c r="E462" s="267">
        <v>88.061250000000001</v>
      </c>
      <c r="F462" s="267">
        <v>88.061250000000001</v>
      </c>
      <c r="G462" s="206">
        <v>496.23581000000001</v>
      </c>
      <c r="H462" s="202">
        <v>1008.904169</v>
      </c>
      <c r="I462" s="202">
        <v>5</v>
      </c>
      <c r="J462" s="230"/>
      <c r="K462" s="305" t="s">
        <v>509</v>
      </c>
      <c r="L462" s="239">
        <f t="shared" si="193"/>
        <v>2.7787999999999999</v>
      </c>
      <c r="M462" s="267">
        <f t="shared" si="194"/>
        <v>3.5292000000000003</v>
      </c>
      <c r="N462" s="267">
        <f t="shared" si="195"/>
        <v>1.2700446235785232</v>
      </c>
      <c r="O462" s="239">
        <f t="shared" si="192"/>
        <v>80.607884771264125</v>
      </c>
      <c r="P462" s="267">
        <f t="shared" si="196"/>
        <v>80.607884771264125</v>
      </c>
      <c r="Q462" s="267">
        <f t="shared" si="197"/>
        <v>0.72352483874975104</v>
      </c>
      <c r="R462" s="267">
        <f t="shared" si="198"/>
        <v>0.89163199711871788</v>
      </c>
      <c r="S462" s="267">
        <f t="shared" si="199"/>
        <v>1.5653114230783183</v>
      </c>
      <c r="U462" s="220"/>
      <c r="Z462" s="214">
        <f t="shared" si="190"/>
        <v>0</v>
      </c>
      <c r="AA462" s="214">
        <f t="shared" si="191"/>
        <v>0</v>
      </c>
    </row>
    <row r="463" spans="1:27" ht="13.15" customHeight="1">
      <c r="A463" s="239" t="s">
        <v>510</v>
      </c>
      <c r="B463" s="204">
        <v>2.0369999999999999</v>
      </c>
      <c r="C463" s="204">
        <v>2.0369999999999999</v>
      </c>
      <c r="D463" s="204">
        <v>2.3570000000000002</v>
      </c>
      <c r="E463" s="267">
        <v>17.46</v>
      </c>
      <c r="F463" s="267">
        <v>17.46</v>
      </c>
      <c r="G463" s="206">
        <v>71.629509999999996</v>
      </c>
      <c r="H463" s="202">
        <v>185.56200000000001</v>
      </c>
      <c r="I463" s="202">
        <v>1</v>
      </c>
      <c r="J463" s="230"/>
      <c r="K463" s="305" t="s">
        <v>510</v>
      </c>
      <c r="L463" s="239">
        <f t="shared" si="193"/>
        <v>2.0369999999999999</v>
      </c>
      <c r="M463" s="267">
        <f t="shared" si="194"/>
        <v>2.3570000000000002</v>
      </c>
      <c r="N463" s="267">
        <f t="shared" si="195"/>
        <v>1.1570937653411881</v>
      </c>
      <c r="O463" s="322">
        <f t="shared" si="192"/>
        <v>72.474703872560113</v>
      </c>
      <c r="P463" s="323">
        <f t="shared" si="196"/>
        <v>72.474703872560113</v>
      </c>
      <c r="Q463" s="267">
        <f t="shared" si="197"/>
        <v>0.97847358121330741</v>
      </c>
      <c r="R463" s="267">
        <f t="shared" si="198"/>
        <v>0.96355435056495586</v>
      </c>
      <c r="S463" s="267">
        <f t="shared" si="199"/>
        <v>1.1395811060201093</v>
      </c>
      <c r="U463" s="220"/>
      <c r="Z463" s="214">
        <f t="shared" si="190"/>
        <v>0</v>
      </c>
      <c r="AA463" s="214">
        <f t="shared" si="191"/>
        <v>0</v>
      </c>
    </row>
    <row r="464" spans="1:27" ht="13.15" customHeight="1">
      <c r="A464" s="239" t="s">
        <v>511</v>
      </c>
      <c r="B464" s="382"/>
      <c r="C464" s="382"/>
      <c r="D464" s="204"/>
      <c r="E464" s="267"/>
      <c r="F464" s="267"/>
      <c r="G464" s="206"/>
      <c r="H464" s="202"/>
      <c r="I464" s="202"/>
      <c r="J464" s="230"/>
      <c r="K464" s="305" t="s">
        <v>511</v>
      </c>
      <c r="L464" s="239" t="e">
        <f t="shared" si="193"/>
        <v>#DIV/0!</v>
      </c>
      <c r="M464" s="267" t="e">
        <f t="shared" si="194"/>
        <v>#DIV/0!</v>
      </c>
      <c r="N464" s="267" t="e">
        <f t="shared" si="195"/>
        <v>#DIV/0!</v>
      </c>
      <c r="O464" s="239" t="e">
        <f t="shared" si="192"/>
        <v>#DIV/0!</v>
      </c>
      <c r="P464" s="267" t="e">
        <f t="shared" si="196"/>
        <v>#DIV/0!</v>
      </c>
      <c r="Q464" s="267" t="e">
        <f t="shared" si="197"/>
        <v>#DIV/0!</v>
      </c>
      <c r="R464" s="267" t="e">
        <f t="shared" si="198"/>
        <v>#DIV/0!</v>
      </c>
      <c r="S464" s="267" t="e">
        <f t="shared" si="199"/>
        <v>#DIV/0!</v>
      </c>
      <c r="U464" s="220"/>
      <c r="Z464" s="214">
        <f t="shared" si="190"/>
        <v>0</v>
      </c>
      <c r="AA464" s="214">
        <f t="shared" si="191"/>
        <v>0</v>
      </c>
    </row>
    <row r="465" spans="1:27" ht="13.15" customHeight="1">
      <c r="A465" s="239" t="s">
        <v>512</v>
      </c>
      <c r="B465" s="384">
        <v>78.16</v>
      </c>
      <c r="C465" s="382">
        <v>78.16</v>
      </c>
      <c r="D465" s="204">
        <v>468.96100000000001</v>
      </c>
      <c r="E465" s="385">
        <v>374.23284200000001</v>
      </c>
      <c r="F465" s="267">
        <v>374.23284200000001</v>
      </c>
      <c r="G465" s="206">
        <v>3397.5142700000001</v>
      </c>
      <c r="H465" s="202">
        <v>6485.0198300000002</v>
      </c>
      <c r="I465" s="202">
        <v>12</v>
      </c>
      <c r="J465" s="230"/>
      <c r="K465" s="305" t="s">
        <v>512</v>
      </c>
      <c r="L465" s="239">
        <f t="shared" si="193"/>
        <v>6.5133333333333328</v>
      </c>
      <c r="M465" s="267">
        <f t="shared" si="194"/>
        <v>39.080083333333334</v>
      </c>
      <c r="N465" s="267">
        <f t="shared" si="195"/>
        <v>6.0000127942681685</v>
      </c>
      <c r="O465" s="239">
        <f t="shared" si="192"/>
        <v>73.164810988712119</v>
      </c>
      <c r="P465" s="267">
        <f t="shared" si="196"/>
        <v>73.164810988712119</v>
      </c>
      <c r="Q465" s="267">
        <f t="shared" si="197"/>
        <v>0.5465793764576119</v>
      </c>
      <c r="R465" s="267">
        <f t="shared" si="198"/>
        <v>0.22970390653333264</v>
      </c>
      <c r="S465" s="267">
        <f t="shared" si="199"/>
        <v>2.5218362954069353</v>
      </c>
      <c r="U465" s="220"/>
      <c r="Z465" s="214">
        <f t="shared" si="190"/>
        <v>0</v>
      </c>
      <c r="AA465" s="214">
        <f t="shared" si="191"/>
        <v>0</v>
      </c>
    </row>
    <row r="466" spans="1:27" ht="13.15" customHeight="1">
      <c r="A466" s="239" t="s">
        <v>513</v>
      </c>
      <c r="B466" s="384">
        <v>0.185</v>
      </c>
      <c r="C466" s="384">
        <v>0.185</v>
      </c>
      <c r="D466" s="216">
        <v>0.28000000000000003</v>
      </c>
      <c r="E466" s="385">
        <v>0.105</v>
      </c>
      <c r="F466" s="385">
        <v>0.105</v>
      </c>
      <c r="G466" s="386">
        <v>0.63504000000000005</v>
      </c>
      <c r="H466" s="215">
        <v>1.4436</v>
      </c>
      <c r="I466" s="202">
        <v>1</v>
      </c>
      <c r="J466" s="230"/>
      <c r="K466" s="305" t="s">
        <v>513</v>
      </c>
      <c r="L466" s="239">
        <f t="shared" si="193"/>
        <v>0.185</v>
      </c>
      <c r="M466" s="267">
        <f t="shared" si="194"/>
        <v>0.28000000000000003</v>
      </c>
      <c r="N466" s="267">
        <f t="shared" si="195"/>
        <v>1.5135135135135136</v>
      </c>
      <c r="O466" s="239">
        <f t="shared" si="192"/>
        <v>70.174563591022462</v>
      </c>
      <c r="P466" s="267">
        <f t="shared" si="196"/>
        <v>70.174563591022462</v>
      </c>
      <c r="Q466" s="267">
        <f t="shared" si="197"/>
        <v>6.4790818215475748E-2</v>
      </c>
      <c r="R466" s="267">
        <f t="shared" si="198"/>
        <v>7.1909599360803544E-2</v>
      </c>
      <c r="S466" s="267">
        <f t="shared" si="199"/>
        <v>1.6800000000000002</v>
      </c>
      <c r="U466" s="220"/>
      <c r="Z466" s="214">
        <f t="shared" si="190"/>
        <v>0</v>
      </c>
      <c r="AA466" s="214">
        <f t="shared" si="191"/>
        <v>0</v>
      </c>
    </row>
    <row r="467" spans="1:27" ht="13.15" customHeight="1">
      <c r="A467" s="239" t="s">
        <v>514</v>
      </c>
      <c r="B467" s="382"/>
      <c r="C467" s="382"/>
      <c r="D467" s="204"/>
      <c r="E467" s="267"/>
      <c r="F467" s="267"/>
      <c r="G467" s="206"/>
      <c r="H467" s="202"/>
      <c r="I467" s="202"/>
      <c r="J467" s="230"/>
      <c r="K467" s="305" t="s">
        <v>514</v>
      </c>
      <c r="L467" s="239" t="e">
        <f t="shared" si="193"/>
        <v>#DIV/0!</v>
      </c>
      <c r="M467" s="267" t="e">
        <f t="shared" si="194"/>
        <v>#DIV/0!</v>
      </c>
      <c r="N467" s="267" t="e">
        <f t="shared" si="195"/>
        <v>#DIV/0!</v>
      </c>
      <c r="O467" s="239" t="e">
        <f t="shared" si="192"/>
        <v>#DIV/0!</v>
      </c>
      <c r="P467" s="267" t="e">
        <f t="shared" si="196"/>
        <v>#DIV/0!</v>
      </c>
      <c r="Q467" s="267" t="e">
        <f t="shared" si="197"/>
        <v>#DIV/0!</v>
      </c>
      <c r="R467" s="267" t="e">
        <f t="shared" si="198"/>
        <v>#DIV/0!</v>
      </c>
      <c r="S467" s="267" t="e">
        <f t="shared" si="199"/>
        <v>#DIV/0!</v>
      </c>
      <c r="U467" s="220"/>
      <c r="Z467" s="214">
        <f t="shared" si="190"/>
        <v>0</v>
      </c>
      <c r="AA467" s="214">
        <f t="shared" si="191"/>
        <v>0</v>
      </c>
    </row>
    <row r="468" spans="1:27" ht="13.15" customHeight="1">
      <c r="A468" s="239" t="s">
        <v>515</v>
      </c>
      <c r="B468" s="382"/>
      <c r="C468" s="382"/>
      <c r="D468" s="204"/>
      <c r="E468" s="267"/>
      <c r="F468" s="267"/>
      <c r="G468" s="206"/>
      <c r="H468" s="202"/>
      <c r="I468" s="202"/>
      <c r="J468" s="230"/>
      <c r="K468" s="305" t="s">
        <v>515</v>
      </c>
      <c r="L468" s="239" t="e">
        <f t="shared" si="193"/>
        <v>#DIV/0!</v>
      </c>
      <c r="M468" s="267" t="e">
        <f t="shared" si="194"/>
        <v>#DIV/0!</v>
      </c>
      <c r="N468" s="267" t="e">
        <f t="shared" si="195"/>
        <v>#DIV/0!</v>
      </c>
      <c r="O468" s="239" t="e">
        <f t="shared" si="192"/>
        <v>#DIV/0!</v>
      </c>
      <c r="P468" s="267" t="e">
        <f t="shared" si="196"/>
        <v>#DIV/0!</v>
      </c>
      <c r="Q468" s="267" t="e">
        <f t="shared" si="197"/>
        <v>#DIV/0!</v>
      </c>
      <c r="R468" s="267" t="e">
        <f t="shared" si="198"/>
        <v>#DIV/0!</v>
      </c>
      <c r="S468" s="267" t="e">
        <f t="shared" si="199"/>
        <v>#DIV/0!</v>
      </c>
      <c r="U468" s="220"/>
      <c r="Z468" s="214">
        <f t="shared" si="190"/>
        <v>0</v>
      </c>
      <c r="AA468" s="214">
        <f t="shared" si="191"/>
        <v>0</v>
      </c>
    </row>
    <row r="469" spans="1:27" ht="13.15" customHeight="1">
      <c r="A469" s="239" t="s">
        <v>516</v>
      </c>
      <c r="B469" s="204"/>
      <c r="C469" s="204"/>
      <c r="D469" s="202"/>
      <c r="E469" s="267"/>
      <c r="F469" s="267"/>
      <c r="G469" s="206"/>
      <c r="H469" s="202"/>
      <c r="I469" s="202"/>
      <c r="J469" s="244"/>
      <c r="K469" s="239" t="s">
        <v>516</v>
      </c>
      <c r="L469" s="239" t="e">
        <f t="shared" si="193"/>
        <v>#DIV/0!</v>
      </c>
      <c r="M469" s="267" t="e">
        <f t="shared" si="194"/>
        <v>#DIV/0!</v>
      </c>
      <c r="N469" s="267" t="e">
        <f t="shared" si="195"/>
        <v>#DIV/0!</v>
      </c>
      <c r="O469" s="239" t="e">
        <f t="shared" si="192"/>
        <v>#DIV/0!</v>
      </c>
      <c r="P469" s="267" t="e">
        <f t="shared" si="196"/>
        <v>#DIV/0!</v>
      </c>
      <c r="Q469" s="267" t="e">
        <f t="shared" si="197"/>
        <v>#DIV/0!</v>
      </c>
      <c r="R469" s="267" t="e">
        <f t="shared" si="198"/>
        <v>#DIV/0!</v>
      </c>
      <c r="S469" s="267" t="e">
        <f t="shared" si="199"/>
        <v>#DIV/0!</v>
      </c>
      <c r="U469" s="220"/>
      <c r="Z469" s="214">
        <f t="shared" si="190"/>
        <v>0</v>
      </c>
      <c r="AA469" s="214">
        <f t="shared" si="191"/>
        <v>0</v>
      </c>
    </row>
    <row r="470" spans="1:27" ht="13.15" customHeight="1">
      <c r="A470" s="239" t="s">
        <v>517</v>
      </c>
      <c r="B470" s="204"/>
      <c r="C470" s="204"/>
      <c r="D470" s="204"/>
      <c r="E470" s="267"/>
      <c r="F470" s="267"/>
      <c r="G470" s="206"/>
      <c r="H470" s="202"/>
      <c r="I470" s="202"/>
      <c r="K470" s="239" t="s">
        <v>517</v>
      </c>
      <c r="L470" s="239" t="e">
        <f t="shared" si="193"/>
        <v>#DIV/0!</v>
      </c>
      <c r="M470" s="267" t="e">
        <f t="shared" si="194"/>
        <v>#DIV/0!</v>
      </c>
      <c r="N470" s="267" t="e">
        <f t="shared" si="195"/>
        <v>#DIV/0!</v>
      </c>
      <c r="O470" s="239" t="e">
        <f t="shared" si="192"/>
        <v>#DIV/0!</v>
      </c>
      <c r="P470" s="267" t="e">
        <f t="shared" si="196"/>
        <v>#DIV/0!</v>
      </c>
      <c r="Q470" s="267" t="e">
        <f t="shared" si="197"/>
        <v>#DIV/0!</v>
      </c>
      <c r="R470" s="267" t="e">
        <f t="shared" si="198"/>
        <v>#DIV/0!</v>
      </c>
      <c r="S470" s="267" t="e">
        <f t="shared" si="199"/>
        <v>#DIV/0!</v>
      </c>
      <c r="U470" s="220"/>
      <c r="Z470" s="214">
        <f t="shared" si="190"/>
        <v>0</v>
      </c>
      <c r="AA470" s="214">
        <f t="shared" si="191"/>
        <v>0</v>
      </c>
    </row>
    <row r="471" spans="1:27" ht="13.15" customHeight="1">
      <c r="A471" s="239" t="s">
        <v>518</v>
      </c>
      <c r="B471" s="216">
        <v>16.684999999999999</v>
      </c>
      <c r="C471" s="216">
        <v>16.684999999999999</v>
      </c>
      <c r="D471" s="216">
        <v>19.687000000000001</v>
      </c>
      <c r="E471" s="385">
        <v>69.153813299999996</v>
      </c>
      <c r="F471" s="385">
        <v>69.153813299999996</v>
      </c>
      <c r="G471" s="386">
        <v>352.38186000000002</v>
      </c>
      <c r="H471" s="215">
        <v>726.53610500000002</v>
      </c>
      <c r="I471" s="202">
        <v>47</v>
      </c>
      <c r="K471" s="239" t="s">
        <v>518</v>
      </c>
      <c r="L471" s="239">
        <f t="shared" si="193"/>
        <v>0.35499999999999998</v>
      </c>
      <c r="M471" s="267">
        <f t="shared" si="194"/>
        <v>0.41887234042553195</v>
      </c>
      <c r="N471" s="267">
        <f t="shared" si="195"/>
        <v>1.1799220857057238</v>
      </c>
      <c r="O471" s="239">
        <f t="shared" si="192"/>
        <v>82.767474835954644</v>
      </c>
      <c r="P471" s="267">
        <f t="shared" si="196"/>
        <v>82.767474835954644</v>
      </c>
      <c r="Q471" s="267">
        <f t="shared" si="197"/>
        <v>0.47313580609275008</v>
      </c>
      <c r="R471" s="267">
        <f t="shared" si="198"/>
        <v>0.56751562245918397</v>
      </c>
      <c r="S471" s="267">
        <f t="shared" si="199"/>
        <v>1.4154512286309453</v>
      </c>
      <c r="U471" s="220"/>
      <c r="Z471" s="214">
        <f t="shared" si="190"/>
        <v>0</v>
      </c>
      <c r="AA471" s="214">
        <f t="shared" si="191"/>
        <v>0</v>
      </c>
    </row>
    <row r="472" spans="1:27" ht="13.15" customHeight="1">
      <c r="A472" s="239" t="s">
        <v>519</v>
      </c>
      <c r="B472" s="204">
        <v>0.20599999999999999</v>
      </c>
      <c r="C472" s="204">
        <v>0.20599999999999999</v>
      </c>
      <c r="D472" s="204">
        <v>0.32400000000000001</v>
      </c>
      <c r="E472" s="385">
        <v>9.0999999999999998E-2</v>
      </c>
      <c r="F472" s="272">
        <v>9.0999999999999998E-2</v>
      </c>
      <c r="G472" s="206">
        <v>0.51433200000000001</v>
      </c>
      <c r="H472" s="202">
        <v>1.0764</v>
      </c>
      <c r="I472" s="202">
        <v>1</v>
      </c>
      <c r="K472" s="239" t="s">
        <v>519</v>
      </c>
      <c r="L472" s="239"/>
      <c r="M472" s="267"/>
      <c r="N472" s="267"/>
      <c r="O472" s="239"/>
      <c r="P472" s="267"/>
      <c r="Q472" s="267"/>
      <c r="R472" s="267"/>
      <c r="S472" s="267"/>
      <c r="U472" s="220"/>
      <c r="Z472" s="214">
        <f t="shared" si="190"/>
        <v>0</v>
      </c>
      <c r="AA472" s="214">
        <f t="shared" si="191"/>
        <v>0</v>
      </c>
    </row>
    <row r="473" spans="1:27" ht="13.15" customHeight="1">
      <c r="A473" s="282" t="s">
        <v>169</v>
      </c>
      <c r="B473" s="360">
        <f>(B452+B454)</f>
        <v>122.587</v>
      </c>
      <c r="C473" s="361">
        <f t="shared" ref="C473:I473" si="200">(C452+C454)</f>
        <v>122.587</v>
      </c>
      <c r="D473" s="361">
        <f t="shared" si="200"/>
        <v>549.84059999999999</v>
      </c>
      <c r="E473" s="360">
        <f t="shared" si="200"/>
        <v>624.26960530000008</v>
      </c>
      <c r="F473" s="361">
        <f t="shared" si="200"/>
        <v>624.26960530000008</v>
      </c>
      <c r="G473" s="361">
        <f t="shared" si="200"/>
        <v>5402.6512220000004</v>
      </c>
      <c r="H473" s="361">
        <f t="shared" si="200"/>
        <v>10056.192104</v>
      </c>
      <c r="I473" s="361">
        <f t="shared" si="200"/>
        <v>70</v>
      </c>
      <c r="K473" s="328" t="s">
        <v>169</v>
      </c>
      <c r="L473" s="282">
        <f>B473/I473</f>
        <v>1.7512428571428571</v>
      </c>
      <c r="M473" s="281">
        <f>D473/I473</f>
        <v>7.8548657142857143</v>
      </c>
      <c r="N473" s="281">
        <f>D473/B473</f>
        <v>4.485309208969956</v>
      </c>
      <c r="O473" s="282">
        <f>(F473*3.6+G473)*100/H473</f>
        <v>76.072749227186009</v>
      </c>
      <c r="P473" s="282">
        <f>(E473*3.6+G473)*100/H473</f>
        <v>76.072749227186009</v>
      </c>
      <c r="Q473" s="281">
        <f>E473/(B473*8760)*1000</f>
        <v>0.58133124697610161</v>
      </c>
      <c r="R473" s="281">
        <f>G473/(D473*8761)*1000/3.6</f>
        <v>0.31154009346282863</v>
      </c>
      <c r="S473" s="281">
        <f>G473/(E473*3.6)</f>
        <v>2.403987696684927</v>
      </c>
      <c r="U473" s="220"/>
      <c r="Z473" s="214">
        <f t="shared" si="190"/>
        <v>0</v>
      </c>
      <c r="AA473" s="214">
        <f t="shared" si="191"/>
        <v>0</v>
      </c>
    </row>
    <row r="474" spans="1:27" ht="13.15" customHeight="1">
      <c r="U474" s="220"/>
    </row>
    <row r="475" spans="1:27" ht="13.15" customHeight="1">
      <c r="A475" s="251" t="s">
        <v>520</v>
      </c>
      <c r="B475" s="227" t="s">
        <v>476</v>
      </c>
      <c r="C475" s="228"/>
      <c r="D475" s="286"/>
      <c r="E475" s="227" t="s">
        <v>521</v>
      </c>
      <c r="F475" s="228"/>
      <c r="G475" s="286"/>
      <c r="H475" s="200" t="s">
        <v>138</v>
      </c>
      <c r="I475" s="200" t="s">
        <v>478</v>
      </c>
      <c r="U475" s="220"/>
    </row>
    <row r="476" spans="1:27" ht="13.15" customHeight="1">
      <c r="A476" s="239"/>
      <c r="B476" s="243" t="s">
        <v>88</v>
      </c>
      <c r="C476" s="243"/>
      <c r="D476" s="241" t="s">
        <v>34</v>
      </c>
      <c r="E476" s="243" t="s">
        <v>88</v>
      </c>
      <c r="F476" s="243"/>
      <c r="G476" s="241" t="s">
        <v>34</v>
      </c>
      <c r="H476" s="241" t="s">
        <v>170</v>
      </c>
      <c r="I476" s="241" t="s">
        <v>483</v>
      </c>
      <c r="U476" s="220"/>
    </row>
    <row r="477" spans="1:27" ht="13.15" customHeight="1">
      <c r="A477" s="239"/>
      <c r="B477" s="252" t="s">
        <v>0</v>
      </c>
      <c r="C477" s="252" t="s">
        <v>489</v>
      </c>
      <c r="D477" s="252" t="s">
        <v>490</v>
      </c>
      <c r="E477" s="252" t="s">
        <v>491</v>
      </c>
      <c r="F477" s="252" t="s">
        <v>489</v>
      </c>
      <c r="G477" s="252" t="s">
        <v>490</v>
      </c>
      <c r="H477" s="248"/>
      <c r="I477" s="241" t="s">
        <v>492</v>
      </c>
      <c r="U477" s="220"/>
    </row>
    <row r="478" spans="1:27" ht="13.15" customHeight="1">
      <c r="A478" s="239"/>
      <c r="B478" s="257" t="s">
        <v>496</v>
      </c>
      <c r="C478" s="256" t="s">
        <v>496</v>
      </c>
      <c r="D478" s="252" t="s">
        <v>496</v>
      </c>
      <c r="E478" s="329" t="s">
        <v>473</v>
      </c>
      <c r="F478" s="329" t="s">
        <v>473</v>
      </c>
      <c r="G478" s="252" t="s">
        <v>496</v>
      </c>
      <c r="H478" s="257" t="s">
        <v>497</v>
      </c>
      <c r="I478" s="257" t="s">
        <v>498</v>
      </c>
      <c r="U478" s="220"/>
    </row>
    <row r="479" spans="1:27" ht="13.15" customHeight="1">
      <c r="A479" s="251" t="s">
        <v>522</v>
      </c>
      <c r="B479" s="389"/>
      <c r="C479" s="389"/>
      <c r="D479" s="200"/>
      <c r="E479" s="389"/>
      <c r="F479" s="389"/>
      <c r="G479" s="200"/>
      <c r="H479" s="200"/>
      <c r="I479" s="200"/>
      <c r="U479" s="220"/>
    </row>
    <row r="480" spans="1:27" ht="13.15" customHeight="1">
      <c r="A480" s="239" t="s">
        <v>523</v>
      </c>
      <c r="B480" s="334">
        <v>13</v>
      </c>
      <c r="C480" s="334">
        <v>13</v>
      </c>
      <c r="D480" s="334">
        <v>150</v>
      </c>
      <c r="E480" s="334">
        <v>20</v>
      </c>
      <c r="F480" s="334">
        <v>20</v>
      </c>
      <c r="G480" s="334">
        <v>362</v>
      </c>
      <c r="H480" s="334">
        <v>805.32</v>
      </c>
      <c r="I480" s="335">
        <v>1</v>
      </c>
    </row>
    <row r="481" spans="1:22" ht="13.15" customHeight="1">
      <c r="A481" s="239" t="s">
        <v>524</v>
      </c>
      <c r="B481" s="334">
        <v>6.41</v>
      </c>
      <c r="C481" s="334">
        <v>6.41</v>
      </c>
      <c r="D481" s="334">
        <v>6.9055999999999997</v>
      </c>
      <c r="E481" s="334">
        <v>41.58305</v>
      </c>
      <c r="F481" s="334">
        <v>41.58305</v>
      </c>
      <c r="G481" s="334">
        <v>209.18879999999999</v>
      </c>
      <c r="H481" s="334">
        <v>558.84439999999995</v>
      </c>
      <c r="I481" s="335">
        <v>2</v>
      </c>
    </row>
    <row r="482" spans="1:22" ht="13.15" customHeight="1">
      <c r="A482" s="239" t="s">
        <v>525</v>
      </c>
      <c r="B482" s="334">
        <v>97.811999999999998</v>
      </c>
      <c r="C482" s="334">
        <v>97.811999999999998</v>
      </c>
      <c r="D482" s="334">
        <v>358.66</v>
      </c>
      <c r="E482" s="334">
        <v>528.115633</v>
      </c>
      <c r="F482" s="334">
        <v>528.115633</v>
      </c>
      <c r="G482" s="334">
        <v>3950.1824099999999</v>
      </c>
      <c r="H482" s="334">
        <v>7590.3125179999997</v>
      </c>
      <c r="I482" s="335">
        <v>64</v>
      </c>
    </row>
    <row r="483" spans="1:22" ht="13.15" customHeight="1">
      <c r="A483" s="239" t="s">
        <v>267</v>
      </c>
      <c r="B483" s="340">
        <v>5.3650000000000002</v>
      </c>
      <c r="C483" s="340">
        <v>5.3650000000000002</v>
      </c>
      <c r="D483" s="340">
        <v>34.274999999999999</v>
      </c>
      <c r="E483" s="340">
        <v>34.57067</v>
      </c>
      <c r="F483" s="340">
        <v>34.57067</v>
      </c>
      <c r="G483" s="340">
        <v>881.28</v>
      </c>
      <c r="H483" s="340">
        <v>1101.7151859999999</v>
      </c>
      <c r="I483" s="341">
        <v>3</v>
      </c>
    </row>
    <row r="484" spans="1:22" ht="13.15" customHeight="1">
      <c r="A484" s="312" t="s">
        <v>526</v>
      </c>
      <c r="B484" s="391"/>
      <c r="C484" s="391"/>
      <c r="D484" s="205"/>
      <c r="E484" s="391"/>
      <c r="F484" s="391"/>
      <c r="G484" s="205"/>
      <c r="H484" s="205"/>
      <c r="I484" s="391"/>
    </row>
    <row r="485" spans="1:22" ht="13.15" customHeight="1">
      <c r="A485" s="239" t="s">
        <v>527</v>
      </c>
      <c r="B485" s="216"/>
      <c r="C485" s="204"/>
      <c r="D485" s="204"/>
      <c r="E485" s="216"/>
      <c r="F485" s="204"/>
      <c r="G485" s="204"/>
      <c r="H485" s="202"/>
      <c r="I485" s="216"/>
    </row>
    <row r="486" spans="1:22" ht="13.15" customHeight="1">
      <c r="A486" s="239" t="s">
        <v>528</v>
      </c>
      <c r="B486" s="204"/>
      <c r="C486" s="204"/>
      <c r="D486" s="204"/>
      <c r="E486" s="204"/>
      <c r="F486" s="204"/>
      <c r="G486" s="204"/>
      <c r="H486" s="202"/>
      <c r="I486" s="204"/>
    </row>
    <row r="487" spans="1:22" ht="13.15" customHeight="1">
      <c r="A487" s="239" t="s">
        <v>529</v>
      </c>
      <c r="B487" s="204"/>
      <c r="C487" s="204"/>
      <c r="D487" s="204"/>
      <c r="E487" s="204"/>
      <c r="F487" s="204"/>
      <c r="G487" s="204"/>
      <c r="H487" s="202"/>
      <c r="I487" s="204"/>
    </row>
    <row r="488" spans="1:22" ht="13.15" customHeight="1">
      <c r="A488" s="239" t="s">
        <v>530</v>
      </c>
      <c r="B488" s="204"/>
      <c r="C488" s="204"/>
      <c r="D488" s="204"/>
      <c r="E488" s="204"/>
      <c r="F488" s="204"/>
      <c r="G488" s="204"/>
      <c r="H488" s="202"/>
      <c r="I488" s="204"/>
    </row>
    <row r="489" spans="1:22" ht="13.15" customHeight="1">
      <c r="A489" s="282" t="s">
        <v>169</v>
      </c>
      <c r="B489" s="360">
        <f t="shared" ref="B489:I489" si="201">SUM(B480:B488)</f>
        <v>122.58699999999999</v>
      </c>
      <c r="C489" s="360">
        <f t="shared" si="201"/>
        <v>122.58699999999999</v>
      </c>
      <c r="D489" s="360">
        <f t="shared" si="201"/>
        <v>549.84059999999999</v>
      </c>
      <c r="E489" s="360">
        <f t="shared" si="201"/>
        <v>624.26935299999991</v>
      </c>
      <c r="F489" s="360">
        <f t="shared" si="201"/>
        <v>624.26935299999991</v>
      </c>
      <c r="G489" s="360">
        <f t="shared" si="201"/>
        <v>5402.65121</v>
      </c>
      <c r="H489" s="360">
        <f t="shared" si="201"/>
        <v>10056.192104</v>
      </c>
      <c r="I489" s="360">
        <f t="shared" si="201"/>
        <v>70</v>
      </c>
    </row>
    <row r="490" spans="1:22" ht="13.15" customHeight="1">
      <c r="D490" s="220"/>
    </row>
    <row r="491" spans="1:22" ht="13.15" customHeight="1">
      <c r="D491" s="220"/>
    </row>
    <row r="492" spans="1:22" ht="13.15" customHeight="1">
      <c r="A492" s="221" t="s">
        <v>186</v>
      </c>
      <c r="D492" s="220"/>
      <c r="I492" s="221">
        <v>2002</v>
      </c>
      <c r="K492" s="221" t="str">
        <f>+A492</f>
        <v>Italy</v>
      </c>
      <c r="M492" s="220"/>
      <c r="S492" s="221">
        <v>2002</v>
      </c>
    </row>
    <row r="493" spans="1:22" ht="13.15" customHeight="1" thickBot="1"/>
    <row r="494" spans="1:22" ht="13.15" customHeight="1">
      <c r="A494" s="346" t="s">
        <v>475</v>
      </c>
      <c r="B494" s="233" t="s">
        <v>476</v>
      </c>
      <c r="C494" s="233"/>
      <c r="D494" s="234"/>
      <c r="E494" s="235" t="s">
        <v>477</v>
      </c>
      <c r="F494" s="233"/>
      <c r="G494" s="236"/>
      <c r="H494" s="347" t="s">
        <v>138</v>
      </c>
      <c r="I494" s="348" t="s">
        <v>478</v>
      </c>
      <c r="J494" s="230"/>
      <c r="K494" s="231" t="s">
        <v>475</v>
      </c>
      <c r="L494" s="232" t="s">
        <v>479</v>
      </c>
      <c r="M494" s="233"/>
      <c r="N494" s="234"/>
      <c r="O494" s="235" t="s">
        <v>480</v>
      </c>
      <c r="P494" s="233"/>
      <c r="Q494" s="233"/>
      <c r="R494" s="236"/>
      <c r="S494" s="237"/>
    </row>
    <row r="495" spans="1:22" ht="13.15" customHeight="1">
      <c r="A495" s="266"/>
      <c r="B495" s="240" t="s">
        <v>9</v>
      </c>
      <c r="C495" s="240"/>
      <c r="D495" s="241" t="s">
        <v>34</v>
      </c>
      <c r="E495" s="242" t="s">
        <v>88</v>
      </c>
      <c r="F495" s="243"/>
      <c r="G495" s="244" t="s">
        <v>34</v>
      </c>
      <c r="H495" s="241" t="s">
        <v>170</v>
      </c>
      <c r="I495" s="349" t="s">
        <v>483</v>
      </c>
      <c r="J495" s="230"/>
      <c r="K495" s="245"/>
      <c r="L495" s="246" t="s">
        <v>484</v>
      </c>
      <c r="M495" s="247"/>
      <c r="N495" s="248" t="s">
        <v>485</v>
      </c>
      <c r="O495" s="248" t="s">
        <v>486</v>
      </c>
      <c r="P495" s="248" t="s">
        <v>486</v>
      </c>
      <c r="Q495" s="247" t="s">
        <v>487</v>
      </c>
      <c r="R495" s="249"/>
      <c r="S495" s="250" t="s">
        <v>485</v>
      </c>
      <c r="U495" s="214" t="str">
        <f>A492</f>
        <v>Italy</v>
      </c>
    </row>
    <row r="496" spans="1:22" ht="13.15" customHeight="1">
      <c r="A496" s="350" t="s">
        <v>488</v>
      </c>
      <c r="B496" s="252" t="s">
        <v>0</v>
      </c>
      <c r="C496" s="252" t="s">
        <v>489</v>
      </c>
      <c r="D496" s="252" t="s">
        <v>490</v>
      </c>
      <c r="E496" s="252" t="s">
        <v>491</v>
      </c>
      <c r="F496" s="252" t="s">
        <v>489</v>
      </c>
      <c r="G496" s="230" t="s">
        <v>490</v>
      </c>
      <c r="H496" s="248"/>
      <c r="I496" s="349" t="s">
        <v>492</v>
      </c>
      <c r="J496" s="230"/>
      <c r="K496" s="253" t="s">
        <v>488</v>
      </c>
      <c r="L496" s="254" t="s">
        <v>88</v>
      </c>
      <c r="M496" s="252" t="s">
        <v>34</v>
      </c>
      <c r="N496" s="252" t="s">
        <v>493</v>
      </c>
      <c r="O496" s="248" t="s">
        <v>494</v>
      </c>
      <c r="P496" s="248" t="s">
        <v>495</v>
      </c>
      <c r="Q496" s="230" t="s">
        <v>88</v>
      </c>
      <c r="R496" s="248" t="s">
        <v>34</v>
      </c>
      <c r="S496" s="255" t="s">
        <v>88</v>
      </c>
      <c r="U496" s="214" t="s">
        <v>547</v>
      </c>
      <c r="V496" s="214">
        <f>G524/1000</f>
        <v>133.898</v>
      </c>
    </row>
    <row r="497" spans="1:27" ht="13.15" customHeight="1">
      <c r="A497" s="266"/>
      <c r="B497" s="252" t="s">
        <v>496</v>
      </c>
      <c r="C497" s="252" t="s">
        <v>496</v>
      </c>
      <c r="D497" s="252" t="s">
        <v>496</v>
      </c>
      <c r="E497" s="256" t="s">
        <v>473</v>
      </c>
      <c r="F497" s="257" t="s">
        <v>473</v>
      </c>
      <c r="G497" s="230" t="s">
        <v>451</v>
      </c>
      <c r="H497" s="257" t="s">
        <v>497</v>
      </c>
      <c r="I497" s="351" t="s">
        <v>498</v>
      </c>
      <c r="J497" s="230"/>
      <c r="K497" s="245"/>
      <c r="L497" s="258" t="s">
        <v>496</v>
      </c>
      <c r="M497" s="256" t="s">
        <v>496</v>
      </c>
      <c r="N497" s="256"/>
      <c r="O497" s="257" t="s">
        <v>79</v>
      </c>
      <c r="P497" s="257" t="s">
        <v>79</v>
      </c>
      <c r="Q497" s="259"/>
      <c r="R497" s="257"/>
      <c r="S497" s="260"/>
      <c r="U497" s="214" t="s">
        <v>548</v>
      </c>
      <c r="V497" s="214">
        <f>G530/1000</f>
        <v>6.7000000000000004E-2</v>
      </c>
    </row>
    <row r="498" spans="1:27" ht="13.15" customHeight="1">
      <c r="A498" s="352" t="s">
        <v>535</v>
      </c>
      <c r="B498" s="201">
        <v>5</v>
      </c>
      <c r="C498" s="417">
        <v>5</v>
      </c>
      <c r="D498" s="201">
        <v>16</v>
      </c>
      <c r="E498" s="204">
        <v>32</v>
      </c>
      <c r="F498" s="418">
        <v>32</v>
      </c>
      <c r="G498" s="207">
        <v>291</v>
      </c>
      <c r="H498" s="213">
        <v>454</v>
      </c>
      <c r="I498" s="363">
        <v>1</v>
      </c>
      <c r="J498" s="230"/>
      <c r="K498" s="265" t="s">
        <v>262</v>
      </c>
      <c r="L498" s="266">
        <f>C498/I498</f>
        <v>5</v>
      </c>
      <c r="M498" s="267">
        <f>D498/I498</f>
        <v>16</v>
      </c>
      <c r="N498" s="267">
        <f>D498/C498</f>
        <v>3.2</v>
      </c>
      <c r="O498" s="239">
        <f>(F498*3.6+G498)*100/H498</f>
        <v>89.471365638766514</v>
      </c>
      <c r="P498" s="239">
        <f>(F498*3.6+G498)*100/H498</f>
        <v>89.471365638766514</v>
      </c>
      <c r="Q498" s="267">
        <f>F498/(C498*8760)*1000</f>
        <v>0.73059360730593614</v>
      </c>
      <c r="R498" s="267">
        <f>G498/(D498*8761)*1000/3.6</f>
        <v>0.57665601339268724</v>
      </c>
      <c r="S498" s="268">
        <f>G498/(F498*3.6)</f>
        <v>2.5260416666666665</v>
      </c>
      <c r="U498" s="214" t="s">
        <v>549</v>
      </c>
      <c r="V498" s="214">
        <f>G532/1000</f>
        <v>34.216999999999999</v>
      </c>
      <c r="Z498" s="214">
        <f t="shared" ref="Z498:Z503" si="202">C498-B498</f>
        <v>0</v>
      </c>
      <c r="AA498" s="214">
        <f t="shared" ref="AA498:AA503" si="203">F498-E498</f>
        <v>0</v>
      </c>
    </row>
    <row r="499" spans="1:27" ht="13.15" customHeight="1">
      <c r="A499" s="266" t="s">
        <v>263</v>
      </c>
      <c r="B499" s="204">
        <v>1481</v>
      </c>
      <c r="C499" s="418">
        <v>1481</v>
      </c>
      <c r="D499" s="204">
        <v>7110</v>
      </c>
      <c r="E499" s="204">
        <v>5201</v>
      </c>
      <c r="F499" s="418">
        <v>5201</v>
      </c>
      <c r="G499" s="206">
        <v>78082</v>
      </c>
      <c r="H499" s="202">
        <v>110711</v>
      </c>
      <c r="I499" s="363">
        <v>182</v>
      </c>
      <c r="J499" s="230"/>
      <c r="K499" s="245" t="s">
        <v>263</v>
      </c>
      <c r="L499" s="266">
        <f>C499/I499</f>
        <v>8.1373626373626369</v>
      </c>
      <c r="M499" s="267">
        <f>D499/I499</f>
        <v>39.065934065934066</v>
      </c>
      <c r="N499" s="267">
        <f>D499/C499</f>
        <v>4.8008102633355838</v>
      </c>
      <c r="O499" s="239">
        <f>(F499*3.6+G499)*100/H499</f>
        <v>87.43991111994292</v>
      </c>
      <c r="P499" s="239">
        <f>(F499*3.6+G499)*100/H499</f>
        <v>87.43991111994292</v>
      </c>
      <c r="Q499" s="267">
        <f>F499/(C499*8760)*1000</f>
        <v>0.40089227629116453</v>
      </c>
      <c r="R499" s="267">
        <f>G499/(D499*8761)*1000/3.6</f>
        <v>0.34819709784082481</v>
      </c>
      <c r="S499" s="268">
        <f>G499/(F499*3.6)</f>
        <v>4.1702450383473257</v>
      </c>
      <c r="U499" s="214" t="s">
        <v>550</v>
      </c>
      <c r="V499" s="214">
        <f>G537/1000</f>
        <v>34.173999999999999</v>
      </c>
      <c r="Z499" s="214">
        <f t="shared" si="202"/>
        <v>0</v>
      </c>
      <c r="AA499" s="214">
        <f t="shared" si="203"/>
        <v>0</v>
      </c>
    </row>
    <row r="500" spans="1:27" ht="13.15" customHeight="1">
      <c r="A500" s="266" t="s">
        <v>536</v>
      </c>
      <c r="B500" s="216">
        <v>4</v>
      </c>
      <c r="C500" s="419">
        <v>4</v>
      </c>
      <c r="D500" s="204">
        <v>69</v>
      </c>
      <c r="E500" s="216">
        <v>7</v>
      </c>
      <c r="F500" s="419">
        <v>7</v>
      </c>
      <c r="G500" s="206">
        <v>526</v>
      </c>
      <c r="H500" s="202">
        <v>646</v>
      </c>
      <c r="I500" s="363">
        <v>2</v>
      </c>
      <c r="J500" s="230"/>
      <c r="K500" s="245" t="s">
        <v>499</v>
      </c>
      <c r="L500" s="266">
        <f>C500/I500</f>
        <v>2</v>
      </c>
      <c r="M500" s="267">
        <f>D500/I500</f>
        <v>34.5</v>
      </c>
      <c r="N500" s="267">
        <f>D500/C500</f>
        <v>17.25</v>
      </c>
      <c r="O500" s="239">
        <f>(F500*3.6+G500)*100/H500</f>
        <v>85.325077399380817</v>
      </c>
      <c r="P500" s="239">
        <f>(F500*3.6+G500)*100/H500</f>
        <v>85.325077399380817</v>
      </c>
      <c r="Q500" s="267">
        <f>F500/(C500*8760)*1000</f>
        <v>0.1997716894977169</v>
      </c>
      <c r="R500" s="267">
        <f>G500/(D500*8761)*1000/3.6</f>
        <v>0.24170212703385904</v>
      </c>
      <c r="S500" s="268">
        <f>G500/(F500*3.6)</f>
        <v>20.873015873015873</v>
      </c>
      <c r="U500" s="214" t="s">
        <v>551</v>
      </c>
      <c r="V500" s="214">
        <f>G528/1000</f>
        <v>24.754999999999999</v>
      </c>
      <c r="Z500" s="214">
        <f t="shared" si="202"/>
        <v>0</v>
      </c>
      <c r="AA500" s="214">
        <f t="shared" si="203"/>
        <v>0</v>
      </c>
    </row>
    <row r="501" spans="1:27" ht="13.15" customHeight="1">
      <c r="A501" s="266" t="s">
        <v>265</v>
      </c>
      <c r="B501" s="216">
        <v>639</v>
      </c>
      <c r="C501" s="419">
        <v>639</v>
      </c>
      <c r="D501" s="204">
        <v>1345</v>
      </c>
      <c r="E501" s="216">
        <v>4031</v>
      </c>
      <c r="F501" s="419">
        <v>4031</v>
      </c>
      <c r="G501" s="206">
        <v>30195</v>
      </c>
      <c r="H501" s="202">
        <v>53837</v>
      </c>
      <c r="I501" s="363">
        <v>106</v>
      </c>
      <c r="J501" s="230"/>
      <c r="K501" s="245" t="s">
        <v>265</v>
      </c>
      <c r="L501" s="266">
        <f>C501/I501</f>
        <v>6.0283018867924527</v>
      </c>
      <c r="M501" s="267">
        <f>D501/I501</f>
        <v>12.688679245283019</v>
      </c>
      <c r="N501" s="267">
        <f>D501/C501</f>
        <v>2.1048513302034428</v>
      </c>
      <c r="O501" s="239">
        <f>(F501*3.6+G501)*100/H501</f>
        <v>83.040659769303645</v>
      </c>
      <c r="P501" s="239">
        <f>(F501*3.6+G501)*100/H501</f>
        <v>83.040659769303645</v>
      </c>
      <c r="Q501" s="267">
        <f>F501/(C501*8760)*1000</f>
        <v>0.72012490978340871</v>
      </c>
      <c r="R501" s="267">
        <f>G501/(D501*8761)*1000/3.6</f>
        <v>0.71179768057914672</v>
      </c>
      <c r="S501" s="268">
        <f>G501/(F501*3.6)</f>
        <v>2.0807491937484492</v>
      </c>
      <c r="U501" s="214" t="s">
        <v>552</v>
      </c>
      <c r="V501" s="214">
        <f>(G525+G526+G527+G529+G531+G533+G534+G535+G536+G538+G539+G540+G541+G542)/1000</f>
        <v>40.685000000000002</v>
      </c>
      <c r="Z501" s="214">
        <f t="shared" si="202"/>
        <v>0</v>
      </c>
      <c r="AA501" s="214">
        <f t="shared" si="203"/>
        <v>0</v>
      </c>
    </row>
    <row r="502" spans="1:27" ht="13.15" customHeight="1">
      <c r="A502" s="266" t="s">
        <v>266</v>
      </c>
      <c r="B502" s="216">
        <v>316</v>
      </c>
      <c r="C502" s="419">
        <v>316</v>
      </c>
      <c r="D502" s="204">
        <v>597</v>
      </c>
      <c r="E502" s="216">
        <v>1149</v>
      </c>
      <c r="F502" s="419">
        <v>1149</v>
      </c>
      <c r="G502" s="206">
        <v>5956</v>
      </c>
      <c r="H502" s="202">
        <v>12133</v>
      </c>
      <c r="I502" s="363">
        <v>244</v>
      </c>
      <c r="J502" s="230"/>
      <c r="K502" s="245" t="s">
        <v>266</v>
      </c>
      <c r="L502" s="266">
        <f>C502/I502</f>
        <v>1.2950819672131149</v>
      </c>
      <c r="M502" s="267">
        <f>D502/I502</f>
        <v>2.4467213114754101</v>
      </c>
      <c r="N502" s="267">
        <f>D502/C502</f>
        <v>1.889240506329114</v>
      </c>
      <c r="O502" s="239">
        <f>(F502*3.6+G502)*100/H502</f>
        <v>83.181406082584701</v>
      </c>
      <c r="P502" s="239">
        <f>(F502*3.6+G502)*100/H502</f>
        <v>83.181406082584701</v>
      </c>
      <c r="Q502" s="267">
        <f>F502/(C502*8760)*1000</f>
        <v>0.41507716316975896</v>
      </c>
      <c r="R502" s="267">
        <f>G502/(D502*8761)*1000/3.6</f>
        <v>0.31631819724204946</v>
      </c>
      <c r="S502" s="268">
        <f>G502/(F502*3.6)</f>
        <v>1.4398994294555649</v>
      </c>
      <c r="Z502" s="214">
        <f t="shared" si="202"/>
        <v>0</v>
      </c>
      <c r="AA502" s="214">
        <f t="shared" si="203"/>
        <v>0</v>
      </c>
    </row>
    <row r="503" spans="1:27" ht="13.15" customHeight="1">
      <c r="A503" s="353" t="s">
        <v>267</v>
      </c>
      <c r="B503" s="218"/>
      <c r="C503" s="420"/>
      <c r="D503" s="210"/>
      <c r="E503" s="204"/>
      <c r="F503" s="421"/>
      <c r="G503" s="400"/>
      <c r="H503" s="203"/>
      <c r="I503" s="401"/>
      <c r="J503" s="230"/>
      <c r="K503" s="245" t="s">
        <v>267</v>
      </c>
      <c r="L503" s="266"/>
      <c r="M503" s="267"/>
      <c r="N503" s="267"/>
      <c r="O503" s="239"/>
      <c r="P503" s="272"/>
      <c r="Q503" s="272"/>
      <c r="R503" s="274"/>
      <c r="S503" s="275"/>
      <c r="U503" s="214" t="s">
        <v>553</v>
      </c>
      <c r="V503" s="214">
        <f>H524/1000</f>
        <v>269.31099999999998</v>
      </c>
      <c r="Z503" s="214">
        <f t="shared" si="202"/>
        <v>0</v>
      </c>
      <c r="AA503" s="214">
        <f t="shared" si="203"/>
        <v>0</v>
      </c>
    </row>
    <row r="504" spans="1:27" ht="13.15" customHeight="1">
      <c r="A504" s="276" t="s">
        <v>500</v>
      </c>
      <c r="B504" s="277">
        <f t="shared" ref="B504:I504" si="204">SUM(B498:B503)</f>
        <v>2445</v>
      </c>
      <c r="C504" s="277">
        <f t="shared" si="204"/>
        <v>2445</v>
      </c>
      <c r="D504" s="277">
        <f t="shared" si="204"/>
        <v>9137</v>
      </c>
      <c r="E504" s="277">
        <f t="shared" si="204"/>
        <v>10420</v>
      </c>
      <c r="F504" s="277">
        <f t="shared" si="204"/>
        <v>10420</v>
      </c>
      <c r="G504" s="277">
        <f t="shared" si="204"/>
        <v>115050</v>
      </c>
      <c r="H504" s="277">
        <f t="shared" si="204"/>
        <v>177781</v>
      </c>
      <c r="I504" s="277">
        <f t="shared" si="204"/>
        <v>535</v>
      </c>
      <c r="J504" s="244"/>
      <c r="K504" s="279" t="s">
        <v>169</v>
      </c>
      <c r="L504" s="280">
        <f>C504/I504</f>
        <v>4.5700934579439254</v>
      </c>
      <c r="M504" s="281">
        <f>D504/I504</f>
        <v>17.078504672897196</v>
      </c>
      <c r="N504" s="281">
        <f>D504/C504</f>
        <v>3.7370143149284254</v>
      </c>
      <c r="O504" s="282">
        <f>(F504*3.6+G504)*100/H504</f>
        <v>85.814569610925801</v>
      </c>
      <c r="P504" s="282">
        <f>(F504*3.6+G504)*100/H504</f>
        <v>85.814569610925801</v>
      </c>
      <c r="Q504" s="283">
        <f>F504/(C504*8760)*1000</f>
        <v>0.48650213369937717</v>
      </c>
      <c r="R504" s="283">
        <f>G504/(D504*8761)*1000/3.6</f>
        <v>0.39923335370037638</v>
      </c>
      <c r="S504" s="284">
        <f>G504/(F504*3.6)</f>
        <v>3.0670185540626997</v>
      </c>
      <c r="U504" s="214" t="s">
        <v>554</v>
      </c>
      <c r="V504" s="214">
        <f>H530/1000</f>
        <v>0.81299999999999994</v>
      </c>
    </row>
    <row r="505" spans="1:27" ht="13.15" customHeight="1">
      <c r="A505" s="285" t="s">
        <v>501</v>
      </c>
      <c r="B505" s="228" t="s">
        <v>476</v>
      </c>
      <c r="C505" s="228"/>
      <c r="D505" s="286"/>
      <c r="E505" s="227" t="s">
        <v>477</v>
      </c>
      <c r="F505" s="228"/>
      <c r="G505" s="229"/>
      <c r="H505" s="200" t="s">
        <v>138</v>
      </c>
      <c r="I505" s="354" t="s">
        <v>478</v>
      </c>
      <c r="J505" s="244"/>
      <c r="K505" s="287" t="s">
        <v>501</v>
      </c>
      <c r="L505" s="288" t="s">
        <v>479</v>
      </c>
      <c r="M505" s="228"/>
      <c r="N505" s="286"/>
      <c r="O505" s="227" t="s">
        <v>480</v>
      </c>
      <c r="P505" s="228"/>
      <c r="Q505" s="228"/>
      <c r="R505" s="229"/>
      <c r="S505" s="289"/>
      <c r="U505" s="214" t="s">
        <v>555</v>
      </c>
      <c r="V505" s="214">
        <f>H532/1000</f>
        <v>65.450999999999993</v>
      </c>
    </row>
    <row r="506" spans="1:27" ht="13.15" customHeight="1">
      <c r="A506" s="266"/>
      <c r="B506" s="240" t="s">
        <v>481</v>
      </c>
      <c r="C506" s="240"/>
      <c r="D506" s="241" t="s">
        <v>34</v>
      </c>
      <c r="E506" s="242" t="s">
        <v>482</v>
      </c>
      <c r="F506" s="243"/>
      <c r="G506" s="244" t="s">
        <v>34</v>
      </c>
      <c r="H506" s="241" t="s">
        <v>170</v>
      </c>
      <c r="I506" s="349" t="s">
        <v>483</v>
      </c>
      <c r="J506" s="244"/>
      <c r="K506" s="245"/>
      <c r="L506" s="246" t="s">
        <v>484</v>
      </c>
      <c r="M506" s="247"/>
      <c r="N506" s="248" t="s">
        <v>485</v>
      </c>
      <c r="O506" s="248" t="s">
        <v>486</v>
      </c>
      <c r="P506" s="248" t="s">
        <v>486</v>
      </c>
      <c r="Q506" s="247" t="s">
        <v>487</v>
      </c>
      <c r="R506" s="249"/>
      <c r="S506" s="250" t="s">
        <v>485</v>
      </c>
      <c r="U506" s="214" t="s">
        <v>556</v>
      </c>
      <c r="V506" s="214">
        <f>H537/1000</f>
        <v>65.222999999999999</v>
      </c>
    </row>
    <row r="507" spans="1:27" ht="13.15" customHeight="1">
      <c r="A507" s="350" t="s">
        <v>488</v>
      </c>
      <c r="B507" s="252" t="s">
        <v>0</v>
      </c>
      <c r="C507" s="252" t="s">
        <v>489</v>
      </c>
      <c r="D507" s="252" t="s">
        <v>490</v>
      </c>
      <c r="E507" s="252" t="s">
        <v>491</v>
      </c>
      <c r="F507" s="252" t="s">
        <v>489</v>
      </c>
      <c r="G507" s="230" t="s">
        <v>490</v>
      </c>
      <c r="H507" s="248"/>
      <c r="I507" s="349" t="s">
        <v>492</v>
      </c>
      <c r="J507" s="244"/>
      <c r="K507" s="253" t="s">
        <v>488</v>
      </c>
      <c r="L507" s="254" t="s">
        <v>88</v>
      </c>
      <c r="M507" s="252" t="s">
        <v>34</v>
      </c>
      <c r="N507" s="252" t="s">
        <v>493</v>
      </c>
      <c r="O507" s="248" t="s">
        <v>494</v>
      </c>
      <c r="P507" s="248" t="s">
        <v>495</v>
      </c>
      <c r="Q507" s="230" t="s">
        <v>88</v>
      </c>
      <c r="R507" s="248" t="s">
        <v>34</v>
      </c>
      <c r="S507" s="255" t="s">
        <v>88</v>
      </c>
      <c r="U507" s="214" t="s">
        <v>557</v>
      </c>
      <c r="V507" s="214">
        <f>H528/1000</f>
        <v>57.405999999999999</v>
      </c>
    </row>
    <row r="508" spans="1:27" ht="13.15" customHeight="1">
      <c r="A508" s="266"/>
      <c r="B508" s="252" t="s">
        <v>496</v>
      </c>
      <c r="C508" s="252" t="s">
        <v>496</v>
      </c>
      <c r="D508" s="252" t="s">
        <v>496</v>
      </c>
      <c r="E508" s="256" t="s">
        <v>473</v>
      </c>
      <c r="F508" s="256" t="s">
        <v>473</v>
      </c>
      <c r="G508" s="230" t="s">
        <v>451</v>
      </c>
      <c r="H508" s="257" t="s">
        <v>497</v>
      </c>
      <c r="I508" s="351" t="s">
        <v>498</v>
      </c>
      <c r="J508" s="244"/>
      <c r="K508" s="245"/>
      <c r="L508" s="258" t="s">
        <v>496</v>
      </c>
      <c r="M508" s="256" t="s">
        <v>496</v>
      </c>
      <c r="N508" s="256"/>
      <c r="O508" s="257" t="s">
        <v>79</v>
      </c>
      <c r="P508" s="257" t="s">
        <v>79</v>
      </c>
      <c r="Q508" s="259"/>
      <c r="R508" s="257"/>
      <c r="S508" s="260"/>
      <c r="U508" s="214" t="s">
        <v>558</v>
      </c>
      <c r="V508" s="214">
        <f>(H525+H526+H527+H529+H531+H533+H534+H535+H536+H538+H539+H540+H541+H542)/1000</f>
        <v>80.418000000000006</v>
      </c>
    </row>
    <row r="509" spans="1:27" ht="13.15" customHeight="1">
      <c r="A509" s="352" t="s">
        <v>537</v>
      </c>
      <c r="B509" s="262">
        <v>995</v>
      </c>
      <c r="C509" s="365">
        <v>6826</v>
      </c>
      <c r="D509" s="365">
        <v>1415</v>
      </c>
      <c r="E509" s="262">
        <v>6858</v>
      </c>
      <c r="F509" s="319">
        <v>47940</v>
      </c>
      <c r="G509" s="368">
        <v>35087</v>
      </c>
      <c r="H509" s="369">
        <v>396334</v>
      </c>
      <c r="I509" s="370">
        <v>89</v>
      </c>
      <c r="J509" s="244"/>
      <c r="K509" s="265" t="s">
        <v>262</v>
      </c>
      <c r="L509" s="266">
        <f>B509/I509</f>
        <v>11.179775280898877</v>
      </c>
      <c r="M509" s="267">
        <f>D509/I509</f>
        <v>15.898876404494382</v>
      </c>
      <c r="N509" s="267">
        <f>D509/B509</f>
        <v>1.4221105527638191</v>
      </c>
      <c r="O509" s="239">
        <f>(F509*3.6+G509)*100/H509</f>
        <v>52.397977463452541</v>
      </c>
      <c r="P509" s="267">
        <f>(E509*3.6+G509)*100/H509</f>
        <v>15.082178162862636</v>
      </c>
      <c r="Q509" s="267">
        <f>E509/(B509*8760)*1000</f>
        <v>0.78681076615956491</v>
      </c>
      <c r="R509" s="267">
        <f>G509/(D509*8761)*1000/3.6</f>
        <v>0.78620104348486997</v>
      </c>
      <c r="S509" s="268">
        <f>G509/(E509*3.6)</f>
        <v>1.4211707332879686</v>
      </c>
      <c r="U509" s="220"/>
      <c r="Z509" s="214">
        <f t="shared" ref="Z509:Z516" si="205">C509-B509</f>
        <v>5831</v>
      </c>
      <c r="AA509" s="214">
        <f t="shared" ref="AA509:AA516" si="206">F509-E509</f>
        <v>41082</v>
      </c>
    </row>
    <row r="510" spans="1:27" ht="13.15" customHeight="1">
      <c r="A510" s="266" t="s">
        <v>263</v>
      </c>
      <c r="B510" s="262">
        <v>9</v>
      </c>
      <c r="C510" s="320">
        <v>533</v>
      </c>
      <c r="D510" s="320">
        <v>37</v>
      </c>
      <c r="E510" s="262">
        <v>23</v>
      </c>
      <c r="F510" s="319">
        <v>480</v>
      </c>
      <c r="G510" s="321">
        <v>410</v>
      </c>
      <c r="H510" s="319">
        <v>3688</v>
      </c>
      <c r="I510" s="370">
        <v>109</v>
      </c>
      <c r="J510" s="244"/>
      <c r="K510" s="245" t="s">
        <v>263</v>
      </c>
      <c r="L510" s="266">
        <f>B510/I510</f>
        <v>8.2568807339449546E-2</v>
      </c>
      <c r="M510" s="267">
        <f>D510/I510</f>
        <v>0.33944954128440369</v>
      </c>
      <c r="N510" s="267">
        <f>D510/B510</f>
        <v>4.1111111111111107</v>
      </c>
      <c r="O510" s="239">
        <f>(F510*3.6+G510)*100/H510</f>
        <v>57.971800433839476</v>
      </c>
      <c r="P510" s="267">
        <f>(E510*3.6+G510)*100/H510</f>
        <v>13.362255965292842</v>
      </c>
      <c r="Q510" s="267">
        <f>E510/(B510*8760)*1000</f>
        <v>0.29173008625063424</v>
      </c>
      <c r="R510" s="267">
        <f>G510/(D510*8761)*1000/3.6</f>
        <v>0.35133866888232829</v>
      </c>
      <c r="S510" s="268">
        <f>G510/(E510*3.6)</f>
        <v>4.9516908212560384</v>
      </c>
      <c r="U510" s="239" t="s">
        <v>152</v>
      </c>
      <c r="V510" s="492">
        <f>B525/1000</f>
        <v>0</v>
      </c>
      <c r="Z510" s="214">
        <f t="shared" si="205"/>
        <v>524</v>
      </c>
      <c r="AA510" s="214">
        <f t="shared" si="206"/>
        <v>457</v>
      </c>
    </row>
    <row r="511" spans="1:27" ht="13.15" customHeight="1">
      <c r="A511" s="266" t="s">
        <v>538</v>
      </c>
      <c r="B511" s="262">
        <v>846</v>
      </c>
      <c r="C511" s="320">
        <v>2327</v>
      </c>
      <c r="D511" s="320">
        <v>3001</v>
      </c>
      <c r="E511" s="262">
        <v>3420</v>
      </c>
      <c r="F511" s="319">
        <v>10060</v>
      </c>
      <c r="G511" s="321">
        <v>43811</v>
      </c>
      <c r="H511" s="319">
        <v>143408</v>
      </c>
      <c r="I511" s="370">
        <v>98</v>
      </c>
      <c r="J511" s="244"/>
      <c r="K511" s="245" t="s">
        <v>499</v>
      </c>
      <c r="L511" s="266">
        <f>B511/I511</f>
        <v>8.6326530612244898</v>
      </c>
      <c r="M511" s="267">
        <f>D511/I511</f>
        <v>30.622448979591837</v>
      </c>
      <c r="N511" s="267">
        <f>D511/B511</f>
        <v>3.5472813238770686</v>
      </c>
      <c r="O511" s="239">
        <f>(F511*3.6+G511)*100/H511</f>
        <v>55.80372085239317</v>
      </c>
      <c r="P511" s="267">
        <f>(E511*3.6+G511)*100/H511</f>
        <v>39.135194689278144</v>
      </c>
      <c r="Q511" s="267">
        <f>E511/(B511*8760)*1000</f>
        <v>0.46147867482755273</v>
      </c>
      <c r="R511" s="267">
        <f>G511/(D511*8761)*1000/3.6</f>
        <v>0.46287208461320722</v>
      </c>
      <c r="S511" s="268">
        <f>G511/(E511*3.6)</f>
        <v>3.5583983105912931</v>
      </c>
      <c r="U511" s="239" t="s">
        <v>504</v>
      </c>
      <c r="V511" s="492">
        <f t="shared" ref="V511:V527" si="207">B526/1000</f>
        <v>0.05</v>
      </c>
      <c r="Z511" s="214">
        <f t="shared" si="205"/>
        <v>1481</v>
      </c>
      <c r="AA511" s="214">
        <f t="shared" si="206"/>
        <v>6640</v>
      </c>
    </row>
    <row r="512" spans="1:27" ht="13.15" customHeight="1">
      <c r="A512" s="266" t="s">
        <v>265</v>
      </c>
      <c r="B512" s="262">
        <v>68</v>
      </c>
      <c r="C512" s="320">
        <v>233</v>
      </c>
      <c r="D512" s="320">
        <v>147</v>
      </c>
      <c r="E512" s="262">
        <v>222</v>
      </c>
      <c r="F512" s="319">
        <v>825</v>
      </c>
      <c r="G512" s="321">
        <v>1820</v>
      </c>
      <c r="H512" s="319">
        <v>9217</v>
      </c>
      <c r="I512" s="370">
        <v>39</v>
      </c>
      <c r="J512" s="244"/>
      <c r="K512" s="245" t="s">
        <v>265</v>
      </c>
      <c r="L512" s="266">
        <f>B512/I512</f>
        <v>1.7435897435897436</v>
      </c>
      <c r="M512" s="267">
        <f>D512/I512</f>
        <v>3.7692307692307692</v>
      </c>
      <c r="N512" s="267">
        <f>D512/B512</f>
        <v>2.1617647058823528</v>
      </c>
      <c r="O512" s="239">
        <f>(F512*3.6+G512)*100/H512</f>
        <v>51.969187371161986</v>
      </c>
      <c r="P512" s="267">
        <f>(E512*3.6+G512)*100/H512</f>
        <v>28.417055441032872</v>
      </c>
      <c r="Q512" s="267">
        <f>E512/(B512*8760)*1000</f>
        <v>0.37268331990330378</v>
      </c>
      <c r="R512" s="267">
        <f>G512/(D512*8761)*1000/3.6</f>
        <v>0.39255261261881508</v>
      </c>
      <c r="S512" s="268">
        <f>G512/(E512*3.6)</f>
        <v>2.2772772772772774</v>
      </c>
      <c r="U512" s="239" t="s">
        <v>505</v>
      </c>
      <c r="V512" s="492">
        <f t="shared" si="207"/>
        <v>1.2E-2</v>
      </c>
      <c r="Z512" s="214">
        <f t="shared" si="205"/>
        <v>165</v>
      </c>
      <c r="AA512" s="214">
        <f t="shared" si="206"/>
        <v>603</v>
      </c>
    </row>
    <row r="513" spans="1:27" ht="13.15" customHeight="1">
      <c r="A513" s="266" t="s">
        <v>266</v>
      </c>
      <c r="B513" s="262">
        <v>17</v>
      </c>
      <c r="C513" s="320">
        <v>160</v>
      </c>
      <c r="D513" s="320">
        <v>28</v>
      </c>
      <c r="E513" s="262">
        <v>56</v>
      </c>
      <c r="F513" s="319">
        <v>423</v>
      </c>
      <c r="G513" s="321">
        <v>327</v>
      </c>
      <c r="H513" s="319">
        <v>3996</v>
      </c>
      <c r="I513" s="370">
        <v>120</v>
      </c>
      <c r="J513" s="244"/>
      <c r="K513" s="245" t="s">
        <v>266</v>
      </c>
      <c r="L513" s="266">
        <f>B513/I513</f>
        <v>0.14166666666666666</v>
      </c>
      <c r="M513" s="267">
        <f>D513/I513</f>
        <v>0.23333333333333334</v>
      </c>
      <c r="N513" s="267">
        <f>D513/B513</f>
        <v>1.6470588235294117</v>
      </c>
      <c r="O513" s="239">
        <f>(F513*3.6+G513)*100/H513</f>
        <v>46.291291291291294</v>
      </c>
      <c r="P513" s="267">
        <f>(E513*3.6+G513)*100/H513</f>
        <v>13.228228228228229</v>
      </c>
      <c r="Q513" s="267">
        <f>E513/(B513*8760)*1000</f>
        <v>0.37604082728982002</v>
      </c>
      <c r="R513" s="267">
        <f>G513/(D513*8761)*1000/3.6</f>
        <v>0.37028280094140154</v>
      </c>
      <c r="S513" s="268">
        <f>G513/(E513*3.6)</f>
        <v>1.6220238095238095</v>
      </c>
      <c r="U513" s="239" t="s">
        <v>506</v>
      </c>
      <c r="V513" s="492">
        <f t="shared" si="207"/>
        <v>0.38100000000000001</v>
      </c>
      <c r="Z513" s="214">
        <f t="shared" si="205"/>
        <v>143</v>
      </c>
      <c r="AA513" s="214">
        <f t="shared" si="206"/>
        <v>367</v>
      </c>
    </row>
    <row r="514" spans="1:27" ht="13.15" customHeight="1">
      <c r="A514" s="353" t="s">
        <v>267</v>
      </c>
      <c r="B514" s="262"/>
      <c r="C514" s="262"/>
      <c r="D514" s="262"/>
      <c r="E514" s="262"/>
      <c r="F514" s="262"/>
      <c r="G514" s="262"/>
      <c r="H514" s="262"/>
      <c r="I514" s="355"/>
      <c r="J514" s="244"/>
      <c r="K514" s="245" t="s">
        <v>267</v>
      </c>
      <c r="L514" s="266"/>
      <c r="M514" s="267"/>
      <c r="N514" s="267"/>
      <c r="O514" s="239"/>
      <c r="P514" s="267"/>
      <c r="Q514" s="272"/>
      <c r="R514" s="274"/>
      <c r="S514" s="275"/>
      <c r="U514" s="239" t="s">
        <v>507</v>
      </c>
      <c r="V514" s="492">
        <f t="shared" si="207"/>
        <v>0</v>
      </c>
      <c r="Z514" s="214">
        <f t="shared" si="205"/>
        <v>0</v>
      </c>
      <c r="AA514" s="214">
        <f t="shared" si="206"/>
        <v>0</v>
      </c>
    </row>
    <row r="515" spans="1:27" ht="13.15" customHeight="1">
      <c r="A515" s="276" t="s">
        <v>500</v>
      </c>
      <c r="B515" s="291">
        <f>SUM(B509:B514)</f>
        <v>1935</v>
      </c>
      <c r="C515" s="291">
        <f t="shared" ref="C515:I515" si="208">SUM(C509:C514)</f>
        <v>10079</v>
      </c>
      <c r="D515" s="291">
        <f t="shared" si="208"/>
        <v>4628</v>
      </c>
      <c r="E515" s="291">
        <f t="shared" si="208"/>
        <v>10579</v>
      </c>
      <c r="F515" s="291">
        <f t="shared" si="208"/>
        <v>59728</v>
      </c>
      <c r="G515" s="291">
        <f t="shared" si="208"/>
        <v>81455</v>
      </c>
      <c r="H515" s="291">
        <f t="shared" si="208"/>
        <v>556643</v>
      </c>
      <c r="I515" s="291">
        <f t="shared" si="208"/>
        <v>455</v>
      </c>
      <c r="J515" s="244"/>
      <c r="K515" s="279" t="s">
        <v>169</v>
      </c>
      <c r="L515" s="280">
        <f>B515/I515</f>
        <v>4.2527472527472527</v>
      </c>
      <c r="M515" s="281">
        <f>D515/I515</f>
        <v>10.171428571428571</v>
      </c>
      <c r="N515" s="281">
        <f>D515/B515</f>
        <v>2.3917312661498706</v>
      </c>
      <c r="O515" s="294">
        <f>(F515*3.6+G515)*100/H515</f>
        <v>53.261390154910785</v>
      </c>
      <c r="P515" s="295">
        <f>(E515*3.6+G515)*100/H515</f>
        <v>21.475056723968503</v>
      </c>
      <c r="Q515" s="283">
        <f>E515/(B515*8760)*1000</f>
        <v>0.62410770120231729</v>
      </c>
      <c r="R515" s="283">
        <f>G515/(D515*8761)*1000/3.6</f>
        <v>0.55804370909362511</v>
      </c>
      <c r="S515" s="284">
        <f>G515/(E515*3.6)</f>
        <v>2.1388022392370627</v>
      </c>
      <c r="U515" s="239" t="s">
        <v>156</v>
      </c>
      <c r="V515" s="492">
        <f t="shared" si="207"/>
        <v>7.0000000000000001E-3</v>
      </c>
      <c r="Z515" s="214">
        <f t="shared" si="205"/>
        <v>8144</v>
      </c>
      <c r="AA515" s="214">
        <f t="shared" si="206"/>
        <v>49149</v>
      </c>
    </row>
    <row r="516" spans="1:27" ht="13.15" customHeight="1" thickBot="1">
      <c r="A516" s="296" t="s">
        <v>502</v>
      </c>
      <c r="B516" s="297">
        <f>B504+B515</f>
        <v>4380</v>
      </c>
      <c r="C516" s="297">
        <f>C504+C515</f>
        <v>12524</v>
      </c>
      <c r="D516" s="297">
        <f t="shared" ref="D516:I516" si="209">D504+D515</f>
        <v>13765</v>
      </c>
      <c r="E516" s="297">
        <f t="shared" si="209"/>
        <v>20999</v>
      </c>
      <c r="F516" s="297">
        <f t="shared" si="209"/>
        <v>70148</v>
      </c>
      <c r="G516" s="297">
        <f t="shared" si="209"/>
        <v>196505</v>
      </c>
      <c r="H516" s="297">
        <f t="shared" si="209"/>
        <v>734424</v>
      </c>
      <c r="I516" s="297">
        <f t="shared" si="209"/>
        <v>990</v>
      </c>
      <c r="J516" s="244"/>
      <c r="K516" s="296" t="s">
        <v>502</v>
      </c>
      <c r="L516" s="299">
        <f>B516/I516</f>
        <v>4.4242424242424239</v>
      </c>
      <c r="M516" s="300">
        <f>D516/I516</f>
        <v>13.904040404040405</v>
      </c>
      <c r="N516" s="300">
        <f>D516/B516</f>
        <v>3.1426940639269407</v>
      </c>
      <c r="O516" s="301">
        <f>(F516*3.6+G516)*100/H516</f>
        <v>61.141493197390076</v>
      </c>
      <c r="P516" s="301">
        <f>(E516*3.6+G516)*100/H516</f>
        <v>37.049633454244422</v>
      </c>
      <c r="Q516" s="301">
        <f>E516/(B516*8760)*1000</f>
        <v>0.54729363441129253</v>
      </c>
      <c r="R516" s="301">
        <f>G516/(D516*8761)*1000/3.6</f>
        <v>0.45262778339597792</v>
      </c>
      <c r="S516" s="302">
        <f>G516/(E516*3.6)</f>
        <v>2.5993962675471316</v>
      </c>
      <c r="T516" s="309"/>
      <c r="U516" s="239" t="s">
        <v>508</v>
      </c>
      <c r="V516" s="492">
        <f t="shared" si="207"/>
        <v>2E-3</v>
      </c>
      <c r="Z516" s="214">
        <f t="shared" si="205"/>
        <v>8144</v>
      </c>
      <c r="AA516" s="214">
        <f t="shared" si="206"/>
        <v>49149</v>
      </c>
    </row>
    <row r="517" spans="1:27" ht="13.15" customHeight="1">
      <c r="U517" s="239" t="s">
        <v>509</v>
      </c>
      <c r="V517" s="492">
        <f t="shared" si="207"/>
        <v>0.60799999999999998</v>
      </c>
    </row>
    <row r="518" spans="1:27" ht="13.15" customHeight="1">
      <c r="A518" s="251" t="s">
        <v>139</v>
      </c>
      <c r="B518" s="227" t="s">
        <v>476</v>
      </c>
      <c r="C518" s="228"/>
      <c r="D518" s="286"/>
      <c r="E518" s="227" t="s">
        <v>477</v>
      </c>
      <c r="F518" s="228"/>
      <c r="G518" s="229"/>
      <c r="H518" s="200" t="s">
        <v>138</v>
      </c>
      <c r="I518" s="200" t="s">
        <v>478</v>
      </c>
      <c r="J518" s="230"/>
      <c r="K518" s="303" t="s">
        <v>503</v>
      </c>
      <c r="L518" s="227" t="s">
        <v>479</v>
      </c>
      <c r="M518" s="228"/>
      <c r="N518" s="286"/>
      <c r="O518" s="227" t="s">
        <v>480</v>
      </c>
      <c r="P518" s="228"/>
      <c r="Q518" s="228"/>
      <c r="R518" s="229"/>
      <c r="S518" s="286"/>
      <c r="U518" s="239" t="s">
        <v>510</v>
      </c>
      <c r="V518" s="492">
        <f t="shared" si="207"/>
        <v>0.108</v>
      </c>
    </row>
    <row r="519" spans="1:27" ht="13.15" customHeight="1">
      <c r="A519" s="239"/>
      <c r="B519" s="240" t="s">
        <v>9</v>
      </c>
      <c r="C519" s="240"/>
      <c r="D519" s="241" t="s">
        <v>34</v>
      </c>
      <c r="E519" s="242" t="s">
        <v>88</v>
      </c>
      <c r="F519" s="243"/>
      <c r="G519" s="244" t="s">
        <v>34</v>
      </c>
      <c r="H519" s="241" t="s">
        <v>170</v>
      </c>
      <c r="I519" s="241" t="s">
        <v>483</v>
      </c>
      <c r="J519" s="230"/>
      <c r="K519" s="305"/>
      <c r="L519" s="306" t="s">
        <v>484</v>
      </c>
      <c r="M519" s="247"/>
      <c r="N519" s="248" t="s">
        <v>485</v>
      </c>
      <c r="O519" s="248" t="s">
        <v>486</v>
      </c>
      <c r="P519" s="248" t="s">
        <v>486</v>
      </c>
      <c r="Q519" s="247" t="s">
        <v>487</v>
      </c>
      <c r="R519" s="249"/>
      <c r="S519" s="307" t="s">
        <v>485</v>
      </c>
      <c r="U519" s="239" t="s">
        <v>511</v>
      </c>
      <c r="V519" s="492">
        <f t="shared" si="207"/>
        <v>0</v>
      </c>
    </row>
    <row r="520" spans="1:27" ht="13.15" customHeight="1">
      <c r="A520" s="239"/>
      <c r="B520" s="252" t="s">
        <v>0</v>
      </c>
      <c r="C520" s="252" t="s">
        <v>489</v>
      </c>
      <c r="D520" s="252" t="s">
        <v>490</v>
      </c>
      <c r="E520" s="252" t="s">
        <v>491</v>
      </c>
      <c r="F520" s="252" t="s">
        <v>489</v>
      </c>
      <c r="G520" s="230" t="s">
        <v>490</v>
      </c>
      <c r="H520" s="248"/>
      <c r="I520" s="241" t="s">
        <v>492</v>
      </c>
      <c r="J520" s="230"/>
      <c r="K520" s="305"/>
      <c r="L520" s="248" t="s">
        <v>88</v>
      </c>
      <c r="M520" s="252" t="s">
        <v>34</v>
      </c>
      <c r="N520" s="252" t="s">
        <v>493</v>
      </c>
      <c r="O520" s="248" t="s">
        <v>494</v>
      </c>
      <c r="P520" s="248" t="s">
        <v>495</v>
      </c>
      <c r="Q520" s="230" t="s">
        <v>88</v>
      </c>
      <c r="R520" s="248" t="s">
        <v>34</v>
      </c>
      <c r="S520" s="252" t="s">
        <v>88</v>
      </c>
      <c r="U520" s="239" t="s">
        <v>512</v>
      </c>
      <c r="V520" s="492">
        <f t="shared" si="207"/>
        <v>0.24399999999999999</v>
      </c>
    </row>
    <row r="521" spans="1:27" ht="13.15" customHeight="1">
      <c r="A521" s="239"/>
      <c r="B521" s="257" t="s">
        <v>496</v>
      </c>
      <c r="C521" s="256" t="s">
        <v>496</v>
      </c>
      <c r="D521" s="256" t="s">
        <v>496</v>
      </c>
      <c r="E521" s="256" t="s">
        <v>473</v>
      </c>
      <c r="F521" s="257" t="s">
        <v>473</v>
      </c>
      <c r="G521" s="259" t="s">
        <v>451</v>
      </c>
      <c r="H521" s="257" t="s">
        <v>497</v>
      </c>
      <c r="I521" s="257" t="s">
        <v>498</v>
      </c>
      <c r="J521" s="230"/>
      <c r="K521" s="305"/>
      <c r="L521" s="257" t="s">
        <v>496</v>
      </c>
      <c r="M521" s="256" t="s">
        <v>496</v>
      </c>
      <c r="N521" s="256"/>
      <c r="O521" s="257" t="s">
        <v>79</v>
      </c>
      <c r="P521" s="257" t="s">
        <v>79</v>
      </c>
      <c r="Q521" s="259"/>
      <c r="R521" s="257"/>
      <c r="S521" s="256"/>
      <c r="U521" s="239" t="s">
        <v>513</v>
      </c>
      <c r="V521" s="492">
        <f t="shared" si="207"/>
        <v>0.127</v>
      </c>
    </row>
    <row r="522" spans="1:27" ht="13.15" customHeight="1">
      <c r="A522" s="251" t="s">
        <v>150</v>
      </c>
      <c r="B522" s="422">
        <v>1701</v>
      </c>
      <c r="C522" s="422">
        <v>8314</v>
      </c>
      <c r="D522" s="422">
        <v>3695</v>
      </c>
      <c r="E522" s="422">
        <v>9304</v>
      </c>
      <c r="F522" s="422">
        <v>52821</v>
      </c>
      <c r="G522" s="422">
        <v>62607</v>
      </c>
      <c r="H522" s="422">
        <v>465113</v>
      </c>
      <c r="I522" s="423">
        <v>301</v>
      </c>
      <c r="J522" s="244"/>
      <c r="K522" s="303" t="s">
        <v>150</v>
      </c>
      <c r="L522" s="312">
        <f>B522/I522</f>
        <v>5.6511627906976747</v>
      </c>
      <c r="M522" s="313">
        <f>D522/I522</f>
        <v>12.275747508305647</v>
      </c>
      <c r="N522" s="313">
        <f>D522/B522</f>
        <v>2.172251616696061</v>
      </c>
      <c r="O522" s="312">
        <f>(F522*3.6+G522)*100/H522</f>
        <v>54.344342127612002</v>
      </c>
      <c r="P522" s="313">
        <f>(E522*3.6+G522)*100/H522</f>
        <v>20.661946666723999</v>
      </c>
      <c r="Q522" s="313">
        <f>E522/(B522*8760)*1000</f>
        <v>0.62439768172898558</v>
      </c>
      <c r="R522" s="313">
        <f>G522/(D522*8761)*1000/3.6</f>
        <v>0.53722012051915202</v>
      </c>
      <c r="S522" s="313">
        <f>G522/(E522*3.6)</f>
        <v>1.8691781312697047</v>
      </c>
      <c r="U522" s="239" t="s">
        <v>514</v>
      </c>
      <c r="V522" s="492">
        <f t="shared" si="207"/>
        <v>0.67400000000000004</v>
      </c>
      <c r="Z522" s="214">
        <f>C522-B522</f>
        <v>6613</v>
      </c>
      <c r="AA522" s="214">
        <f>F522-E522</f>
        <v>43517</v>
      </c>
    </row>
    <row r="523" spans="1:27" ht="13.15" customHeight="1">
      <c r="A523" s="239"/>
      <c r="B523" s="252"/>
      <c r="C523" s="252"/>
      <c r="D523" s="252"/>
      <c r="E523" s="267"/>
      <c r="F523" s="267"/>
      <c r="G523" s="248"/>
      <c r="H523" s="252"/>
      <c r="I523" s="248"/>
      <c r="J523" s="230"/>
      <c r="K523" s="239"/>
      <c r="L523" s="312"/>
      <c r="M523" s="267"/>
      <c r="N523" s="267"/>
      <c r="O523" s="239"/>
      <c r="P523" s="313"/>
      <c r="Q523" s="267"/>
      <c r="R523" s="267"/>
      <c r="S523" s="239"/>
      <c r="U523" s="239" t="s">
        <v>515</v>
      </c>
      <c r="V523" s="492">
        <f t="shared" si="207"/>
        <v>0.113</v>
      </c>
      <c r="Z523" s="214">
        <f t="shared" ref="Z523:Z543" si="210">C523-B523</f>
        <v>0</v>
      </c>
      <c r="AA523" s="214">
        <f t="shared" ref="AA523:AA543" si="211">F523-E523</f>
        <v>0</v>
      </c>
    </row>
    <row r="524" spans="1:27" ht="13.15" customHeight="1">
      <c r="A524" s="312" t="s">
        <v>7</v>
      </c>
      <c r="B524" s="310">
        <f>SUM(B525:B542)</f>
        <v>2679</v>
      </c>
      <c r="C524" s="310">
        <f t="shared" ref="C524:I524" si="212">SUM(C525:C542)</f>
        <v>4210</v>
      </c>
      <c r="D524" s="310">
        <f t="shared" si="212"/>
        <v>10070</v>
      </c>
      <c r="E524" s="310">
        <f t="shared" si="212"/>
        <v>11695</v>
      </c>
      <c r="F524" s="310">
        <f t="shared" si="212"/>
        <v>17327</v>
      </c>
      <c r="G524" s="310">
        <f t="shared" si="212"/>
        <v>133898</v>
      </c>
      <c r="H524" s="310">
        <f t="shared" si="212"/>
        <v>269311</v>
      </c>
      <c r="I524" s="310">
        <f t="shared" si="212"/>
        <v>689</v>
      </c>
      <c r="J524" s="244"/>
      <c r="K524" s="318" t="s">
        <v>7</v>
      </c>
      <c r="L524" s="312">
        <f>B524/I524</f>
        <v>3.8882438316400583</v>
      </c>
      <c r="M524" s="313">
        <f>D524/I524</f>
        <v>14.615384615384615</v>
      </c>
      <c r="N524" s="313">
        <f>D524/B524</f>
        <v>3.7588652482269502</v>
      </c>
      <c r="O524" s="312">
        <f t="shared" ref="O524:O541" si="213">(F524*3.6+G524)*100/H524</f>
        <v>72.880498754228384</v>
      </c>
      <c r="P524" s="313">
        <f>(E524*3.6+G524)*100/H524</f>
        <v>65.351953689229177</v>
      </c>
      <c r="Q524" s="313">
        <f>E524/(B524*8760)*1000</f>
        <v>0.49833731321405622</v>
      </c>
      <c r="R524" s="313">
        <f>G524/(D524*8761)*1000/3.6</f>
        <v>0.42158819196895431</v>
      </c>
      <c r="S524" s="313">
        <f>G524/(E524*3.6)</f>
        <v>3.1803239751080707</v>
      </c>
      <c r="U524" s="239" t="s">
        <v>516</v>
      </c>
      <c r="V524" s="492">
        <f t="shared" si="207"/>
        <v>9.8000000000000004E-2</v>
      </c>
      <c r="Z524" s="214">
        <f t="shared" si="210"/>
        <v>1531</v>
      </c>
      <c r="AA524" s="214">
        <f t="shared" si="211"/>
        <v>5632</v>
      </c>
    </row>
    <row r="525" spans="1:27" ht="13.15" customHeight="1">
      <c r="A525" s="239" t="s">
        <v>152</v>
      </c>
      <c r="B525" s="204">
        <v>0</v>
      </c>
      <c r="C525" s="204">
        <v>0</v>
      </c>
      <c r="D525" s="204">
        <v>0</v>
      </c>
      <c r="E525" s="204">
        <v>0</v>
      </c>
      <c r="F525" s="204">
        <v>0</v>
      </c>
      <c r="G525" s="204">
        <v>0</v>
      </c>
      <c r="H525" s="204">
        <v>0</v>
      </c>
      <c r="I525" s="204">
        <v>0</v>
      </c>
      <c r="J525" s="230"/>
      <c r="K525" s="305" t="s">
        <v>152</v>
      </c>
      <c r="L525" s="239" t="e">
        <f t="shared" ref="L525:L541" si="214">B525/I525</f>
        <v>#DIV/0!</v>
      </c>
      <c r="M525" s="267" t="e">
        <f t="shared" ref="M525:M541" si="215">D525/I525</f>
        <v>#DIV/0!</v>
      </c>
      <c r="N525" s="267" t="e">
        <f t="shared" ref="N525:N541" si="216">D525/B525</f>
        <v>#DIV/0!</v>
      </c>
      <c r="O525" s="239" t="e">
        <f t="shared" si="213"/>
        <v>#DIV/0!</v>
      </c>
      <c r="P525" s="267" t="e">
        <f t="shared" ref="P525:P541" si="217">(E525*3.6+G525)*100/H525</f>
        <v>#DIV/0!</v>
      </c>
      <c r="Q525" s="267" t="e">
        <f t="shared" ref="Q525:Q541" si="218">E525/(B525*8760)*1000</f>
        <v>#DIV/0!</v>
      </c>
      <c r="R525" s="267" t="e">
        <f t="shared" ref="R525:R541" si="219">G525/(D525*8761)*1000/3.6</f>
        <v>#DIV/0!</v>
      </c>
      <c r="S525" s="267" t="e">
        <f t="shared" ref="S525:S541" si="220">G525/(E525*3.6)</f>
        <v>#DIV/0!</v>
      </c>
      <c r="U525" s="239" t="s">
        <v>517</v>
      </c>
      <c r="V525" s="492">
        <f t="shared" si="207"/>
        <v>0</v>
      </c>
      <c r="Z525" s="214">
        <f t="shared" si="210"/>
        <v>0</v>
      </c>
      <c r="AA525" s="214">
        <f t="shared" si="211"/>
        <v>0</v>
      </c>
    </row>
    <row r="526" spans="1:27" ht="13.15" customHeight="1">
      <c r="A526" s="239" t="s">
        <v>504</v>
      </c>
      <c r="B526" s="204">
        <v>50</v>
      </c>
      <c r="C526" s="204">
        <v>102</v>
      </c>
      <c r="D526" s="204">
        <v>112</v>
      </c>
      <c r="E526" s="267">
        <v>355</v>
      </c>
      <c r="F526" s="267">
        <v>697</v>
      </c>
      <c r="G526" s="206">
        <v>2957</v>
      </c>
      <c r="H526" s="202">
        <v>8050</v>
      </c>
      <c r="I526" s="202">
        <v>3</v>
      </c>
      <c r="J526" s="230"/>
      <c r="K526" s="305" t="s">
        <v>504</v>
      </c>
      <c r="L526" s="239">
        <f t="shared" si="214"/>
        <v>16.666666666666668</v>
      </c>
      <c r="M526" s="267">
        <f t="shared" si="215"/>
        <v>37.333333333333336</v>
      </c>
      <c r="N526" s="267">
        <f t="shared" si="216"/>
        <v>2.2400000000000002</v>
      </c>
      <c r="O526" s="239">
        <f t="shared" si="213"/>
        <v>67.903105590062125</v>
      </c>
      <c r="P526" s="267">
        <f t="shared" si="217"/>
        <v>52.608695652173914</v>
      </c>
      <c r="Q526" s="267">
        <f t="shared" si="218"/>
        <v>0.81050228310502292</v>
      </c>
      <c r="R526" s="267">
        <f t="shared" si="219"/>
        <v>0.8370995736878627</v>
      </c>
      <c r="S526" s="267">
        <f t="shared" si="220"/>
        <v>2.3137715179968703</v>
      </c>
      <c r="U526" s="239" t="s">
        <v>518</v>
      </c>
      <c r="V526" s="492">
        <f t="shared" si="207"/>
        <v>0.19400000000000001</v>
      </c>
      <c r="Z526" s="214">
        <f t="shared" si="210"/>
        <v>52</v>
      </c>
      <c r="AA526" s="214">
        <f t="shared" si="211"/>
        <v>342</v>
      </c>
    </row>
    <row r="527" spans="1:27" ht="13.15" customHeight="1">
      <c r="A527" s="239" t="s">
        <v>505</v>
      </c>
      <c r="B527" s="204">
        <v>12</v>
      </c>
      <c r="C527" s="204">
        <v>12</v>
      </c>
      <c r="D527" s="204">
        <v>252</v>
      </c>
      <c r="E527" s="267">
        <v>58</v>
      </c>
      <c r="F527" s="267">
        <v>58</v>
      </c>
      <c r="G527" s="206">
        <v>4386</v>
      </c>
      <c r="H527" s="202">
        <v>5121</v>
      </c>
      <c r="I527" s="202">
        <v>1</v>
      </c>
      <c r="J527" s="230"/>
      <c r="K527" s="305" t="s">
        <v>505</v>
      </c>
      <c r="L527" s="239">
        <f t="shared" si="214"/>
        <v>12</v>
      </c>
      <c r="M527" s="267">
        <f t="shared" si="215"/>
        <v>252</v>
      </c>
      <c r="N527" s="267">
        <f t="shared" si="216"/>
        <v>21</v>
      </c>
      <c r="O527" s="239">
        <f t="shared" si="213"/>
        <v>89.72466315172818</v>
      </c>
      <c r="P527" s="267">
        <f t="shared" si="217"/>
        <v>89.72466315172818</v>
      </c>
      <c r="Q527" s="267">
        <f t="shared" si="218"/>
        <v>0.5517503805175038</v>
      </c>
      <c r="R527" s="267">
        <f t="shared" si="219"/>
        <v>0.55183838427760357</v>
      </c>
      <c r="S527" s="267">
        <f t="shared" si="220"/>
        <v>21.005747126436781</v>
      </c>
      <c r="U527" s="239" t="s">
        <v>519</v>
      </c>
      <c r="V527" s="492">
        <f t="shared" si="207"/>
        <v>6.0999999999999999E-2</v>
      </c>
      <c r="Z527" s="214">
        <f t="shared" si="210"/>
        <v>0</v>
      </c>
      <c r="AA527" s="214">
        <f t="shared" si="211"/>
        <v>0</v>
      </c>
    </row>
    <row r="528" spans="1:27" ht="13.15" customHeight="1">
      <c r="A528" s="239" t="s">
        <v>506</v>
      </c>
      <c r="B528" s="204">
        <v>381</v>
      </c>
      <c r="C528" s="204">
        <v>604</v>
      </c>
      <c r="D528" s="204">
        <v>1299</v>
      </c>
      <c r="E528" s="267">
        <v>2206</v>
      </c>
      <c r="F528" s="267">
        <v>3834</v>
      </c>
      <c r="G528" s="206">
        <v>24755</v>
      </c>
      <c r="H528" s="202">
        <v>57406</v>
      </c>
      <c r="I528" s="202">
        <v>29</v>
      </c>
      <c r="J528" s="230"/>
      <c r="K528" s="305" t="s">
        <v>506</v>
      </c>
      <c r="L528" s="239">
        <f t="shared" si="214"/>
        <v>13.137931034482758</v>
      </c>
      <c r="M528" s="267">
        <f t="shared" si="215"/>
        <v>44.793103448275865</v>
      </c>
      <c r="N528" s="267">
        <f t="shared" si="216"/>
        <v>3.409448818897638</v>
      </c>
      <c r="O528" s="239">
        <f t="shared" si="213"/>
        <v>67.166149879803498</v>
      </c>
      <c r="P528" s="267">
        <f t="shared" si="217"/>
        <v>56.956764101313453</v>
      </c>
      <c r="Q528" s="267">
        <f t="shared" si="218"/>
        <v>0.66096190031040636</v>
      </c>
      <c r="R528" s="267">
        <f t="shared" si="219"/>
        <v>0.60422348088160749</v>
      </c>
      <c r="S528" s="267">
        <f t="shared" si="220"/>
        <v>3.1171300493603304</v>
      </c>
      <c r="U528" s="220"/>
      <c r="Z528" s="214">
        <f t="shared" si="210"/>
        <v>223</v>
      </c>
      <c r="AA528" s="214">
        <f t="shared" si="211"/>
        <v>1628</v>
      </c>
    </row>
    <row r="529" spans="1:27" ht="13.15" customHeight="1">
      <c r="A529" s="239" t="s">
        <v>507</v>
      </c>
      <c r="B529" s="204">
        <v>0</v>
      </c>
      <c r="C529" s="204">
        <v>0</v>
      </c>
      <c r="D529" s="204">
        <v>0</v>
      </c>
      <c r="E529" s="267">
        <v>0</v>
      </c>
      <c r="F529" s="267">
        <v>0</v>
      </c>
      <c r="G529" s="206">
        <v>0</v>
      </c>
      <c r="H529" s="202">
        <v>0</v>
      </c>
      <c r="I529" s="202">
        <v>0</v>
      </c>
      <c r="J529" s="230"/>
      <c r="K529" s="305" t="s">
        <v>507</v>
      </c>
      <c r="L529" s="239" t="e">
        <f t="shared" si="214"/>
        <v>#DIV/0!</v>
      </c>
      <c r="M529" s="267" t="e">
        <f t="shared" si="215"/>
        <v>#DIV/0!</v>
      </c>
      <c r="N529" s="267" t="e">
        <f t="shared" si="216"/>
        <v>#DIV/0!</v>
      </c>
      <c r="O529" s="239" t="e">
        <f t="shared" si="213"/>
        <v>#DIV/0!</v>
      </c>
      <c r="P529" s="267" t="e">
        <f t="shared" si="217"/>
        <v>#DIV/0!</v>
      </c>
      <c r="Q529" s="267" t="e">
        <f t="shared" si="218"/>
        <v>#DIV/0!</v>
      </c>
      <c r="R529" s="267" t="e">
        <f t="shared" si="219"/>
        <v>#DIV/0!</v>
      </c>
      <c r="S529" s="267" t="e">
        <f t="shared" si="220"/>
        <v>#DIV/0!</v>
      </c>
      <c r="U529" s="220"/>
      <c r="Z529" s="214">
        <f t="shared" si="210"/>
        <v>0</v>
      </c>
      <c r="AA529" s="214">
        <f t="shared" si="211"/>
        <v>0</v>
      </c>
    </row>
    <row r="530" spans="1:27" ht="13.15" customHeight="1">
      <c r="A530" s="239" t="s">
        <v>156</v>
      </c>
      <c r="B530" s="204">
        <v>7</v>
      </c>
      <c r="C530" s="204">
        <v>66</v>
      </c>
      <c r="D530" s="204">
        <v>10</v>
      </c>
      <c r="E530" s="267">
        <v>14</v>
      </c>
      <c r="F530" s="267">
        <v>95</v>
      </c>
      <c r="G530" s="206">
        <v>67</v>
      </c>
      <c r="H530" s="202">
        <v>813</v>
      </c>
      <c r="I530" s="202">
        <v>11</v>
      </c>
      <c r="J530" s="230"/>
      <c r="K530" s="305" t="s">
        <v>156</v>
      </c>
      <c r="L530" s="239">
        <f t="shared" si="214"/>
        <v>0.63636363636363635</v>
      </c>
      <c r="M530" s="267">
        <f t="shared" si="215"/>
        <v>0.90909090909090906</v>
      </c>
      <c r="N530" s="267">
        <f t="shared" si="216"/>
        <v>1.4285714285714286</v>
      </c>
      <c r="O530" s="322">
        <f t="shared" si="213"/>
        <v>50.307503075030752</v>
      </c>
      <c r="P530" s="323">
        <f t="shared" si="217"/>
        <v>14.440344403444035</v>
      </c>
      <c r="Q530" s="267">
        <f t="shared" si="218"/>
        <v>0.22831050228310501</v>
      </c>
      <c r="R530" s="267">
        <f t="shared" si="219"/>
        <v>0.21243135613641262</v>
      </c>
      <c r="S530" s="267">
        <f t="shared" si="220"/>
        <v>1.3293650793650793</v>
      </c>
      <c r="U530" s="220"/>
      <c r="Z530" s="214">
        <f t="shared" si="210"/>
        <v>59</v>
      </c>
      <c r="AA530" s="214">
        <f t="shared" si="211"/>
        <v>81</v>
      </c>
    </row>
    <row r="531" spans="1:27" ht="13.15" customHeight="1">
      <c r="A531" s="239" t="s">
        <v>508</v>
      </c>
      <c r="B531" s="204">
        <v>2</v>
      </c>
      <c r="C531" s="204">
        <v>3</v>
      </c>
      <c r="D531" s="204">
        <v>2</v>
      </c>
      <c r="E531" s="267">
        <v>4</v>
      </c>
      <c r="F531" s="267">
        <v>9</v>
      </c>
      <c r="G531" s="206">
        <v>19</v>
      </c>
      <c r="H531" s="202">
        <v>82</v>
      </c>
      <c r="I531" s="202">
        <v>2</v>
      </c>
      <c r="J531" s="230"/>
      <c r="K531" s="305" t="s">
        <v>508</v>
      </c>
      <c r="L531" s="239">
        <f t="shared" si="214"/>
        <v>1</v>
      </c>
      <c r="M531" s="267">
        <f t="shared" si="215"/>
        <v>1</v>
      </c>
      <c r="N531" s="267">
        <f t="shared" si="216"/>
        <v>1</v>
      </c>
      <c r="O531" s="239">
        <f t="shared" si="213"/>
        <v>62.68292682926829</v>
      </c>
      <c r="P531" s="267">
        <f t="shared" si="217"/>
        <v>40.731707317073173</v>
      </c>
      <c r="Q531" s="267">
        <f t="shared" si="218"/>
        <v>0.22831050228310501</v>
      </c>
      <c r="R531" s="267">
        <f t="shared" si="219"/>
        <v>0.30120863929789854</v>
      </c>
      <c r="S531" s="267">
        <f t="shared" si="220"/>
        <v>1.3194444444444444</v>
      </c>
      <c r="U531" s="220"/>
      <c r="Z531" s="214">
        <f t="shared" si="210"/>
        <v>1</v>
      </c>
      <c r="AA531" s="214">
        <f t="shared" si="211"/>
        <v>5</v>
      </c>
    </row>
    <row r="532" spans="1:27" ht="13.15" customHeight="1">
      <c r="A532" s="239" t="s">
        <v>509</v>
      </c>
      <c r="B532" s="204">
        <v>608</v>
      </c>
      <c r="C532" s="204">
        <v>1007</v>
      </c>
      <c r="D532" s="204">
        <v>2559</v>
      </c>
      <c r="E532" s="267">
        <v>2831</v>
      </c>
      <c r="F532" s="267">
        <v>3754</v>
      </c>
      <c r="G532" s="206">
        <v>34217</v>
      </c>
      <c r="H532" s="202">
        <v>65451</v>
      </c>
      <c r="I532" s="202">
        <v>75</v>
      </c>
      <c r="J532" s="230"/>
      <c r="K532" s="305" t="s">
        <v>509</v>
      </c>
      <c r="L532" s="239">
        <f t="shared" si="214"/>
        <v>8.1066666666666674</v>
      </c>
      <c r="M532" s="267">
        <f t="shared" si="215"/>
        <v>34.119999999999997</v>
      </c>
      <c r="N532" s="267">
        <f t="shared" si="216"/>
        <v>4.2088815789473681</v>
      </c>
      <c r="O532" s="239">
        <f t="shared" si="213"/>
        <v>72.926922430520548</v>
      </c>
      <c r="P532" s="267">
        <f t="shared" si="217"/>
        <v>67.850147438541811</v>
      </c>
      <c r="Q532" s="267">
        <f t="shared" si="218"/>
        <v>0.53153538812785384</v>
      </c>
      <c r="R532" s="267">
        <f t="shared" si="219"/>
        <v>0.4239508035974659</v>
      </c>
      <c r="S532" s="267">
        <f t="shared" si="220"/>
        <v>3.3573727383335297</v>
      </c>
      <c r="U532" s="220"/>
      <c r="Z532" s="214">
        <f t="shared" si="210"/>
        <v>399</v>
      </c>
      <c r="AA532" s="214">
        <f t="shared" si="211"/>
        <v>923</v>
      </c>
    </row>
    <row r="533" spans="1:27" ht="13.15" customHeight="1">
      <c r="A533" s="239" t="s">
        <v>510</v>
      </c>
      <c r="B533" s="204">
        <v>108</v>
      </c>
      <c r="C533" s="204">
        <v>134</v>
      </c>
      <c r="D533" s="204">
        <v>344</v>
      </c>
      <c r="E533" s="267">
        <v>572</v>
      </c>
      <c r="F533" s="267">
        <v>673</v>
      </c>
      <c r="G533" s="206">
        <v>5017</v>
      </c>
      <c r="H533" s="202">
        <v>9143</v>
      </c>
      <c r="I533" s="202">
        <v>46</v>
      </c>
      <c r="J533" s="230"/>
      <c r="K533" s="305" t="s">
        <v>510</v>
      </c>
      <c r="L533" s="239">
        <f t="shared" si="214"/>
        <v>2.347826086956522</v>
      </c>
      <c r="M533" s="267">
        <f t="shared" si="215"/>
        <v>7.4782608695652177</v>
      </c>
      <c r="N533" s="267">
        <f t="shared" si="216"/>
        <v>3.1851851851851851</v>
      </c>
      <c r="O533" s="322">
        <f t="shared" si="213"/>
        <v>81.371541069670783</v>
      </c>
      <c r="P533" s="323">
        <f t="shared" si="217"/>
        <v>77.39472820737177</v>
      </c>
      <c r="Q533" s="267">
        <f t="shared" si="218"/>
        <v>0.60460003382377814</v>
      </c>
      <c r="R533" s="267">
        <f t="shared" si="219"/>
        <v>0.46241240616816304</v>
      </c>
      <c r="S533" s="267">
        <f t="shared" si="220"/>
        <v>2.436383061383061</v>
      </c>
      <c r="U533" s="220"/>
      <c r="Z533" s="214">
        <f t="shared" si="210"/>
        <v>26</v>
      </c>
      <c r="AA533" s="214">
        <f t="shared" si="211"/>
        <v>101</v>
      </c>
    </row>
    <row r="534" spans="1:27" ht="13.15" customHeight="1">
      <c r="A534" s="239" t="s">
        <v>511</v>
      </c>
      <c r="B534" s="382">
        <v>0</v>
      </c>
      <c r="C534" s="382">
        <v>0</v>
      </c>
      <c r="D534" s="204">
        <v>0</v>
      </c>
      <c r="E534" s="267">
        <v>0</v>
      </c>
      <c r="F534" s="267">
        <v>0</v>
      </c>
      <c r="G534" s="206">
        <v>0</v>
      </c>
      <c r="H534" s="202">
        <v>0</v>
      </c>
      <c r="I534" s="202">
        <v>0</v>
      </c>
      <c r="J534" s="230"/>
      <c r="K534" s="305" t="s">
        <v>511</v>
      </c>
      <c r="L534" s="239" t="e">
        <f t="shared" si="214"/>
        <v>#DIV/0!</v>
      </c>
      <c r="M534" s="267" t="e">
        <f t="shared" si="215"/>
        <v>#DIV/0!</v>
      </c>
      <c r="N534" s="267" t="e">
        <f t="shared" si="216"/>
        <v>#DIV/0!</v>
      </c>
      <c r="O534" s="239" t="e">
        <f t="shared" si="213"/>
        <v>#DIV/0!</v>
      </c>
      <c r="P534" s="267" t="e">
        <f t="shared" si="217"/>
        <v>#DIV/0!</v>
      </c>
      <c r="Q534" s="267" t="e">
        <f t="shared" si="218"/>
        <v>#DIV/0!</v>
      </c>
      <c r="R534" s="267" t="e">
        <f t="shared" si="219"/>
        <v>#DIV/0!</v>
      </c>
      <c r="S534" s="267" t="e">
        <f t="shared" si="220"/>
        <v>#DIV/0!</v>
      </c>
      <c r="U534" s="220"/>
      <c r="Z534" s="214">
        <f t="shared" si="210"/>
        <v>0</v>
      </c>
      <c r="AA534" s="214">
        <f t="shared" si="211"/>
        <v>0</v>
      </c>
    </row>
    <row r="535" spans="1:27" ht="13.15" customHeight="1">
      <c r="A535" s="239" t="s">
        <v>512</v>
      </c>
      <c r="B535" s="384">
        <v>244</v>
      </c>
      <c r="C535" s="382">
        <v>395</v>
      </c>
      <c r="D535" s="204">
        <v>1297</v>
      </c>
      <c r="E535" s="385">
        <v>700</v>
      </c>
      <c r="F535" s="267">
        <v>890</v>
      </c>
      <c r="G535" s="206">
        <v>10545</v>
      </c>
      <c r="H535" s="202">
        <v>16392</v>
      </c>
      <c r="I535" s="202">
        <v>105</v>
      </c>
      <c r="J535" s="230"/>
      <c r="K535" s="305" t="s">
        <v>512</v>
      </c>
      <c r="L535" s="239">
        <f t="shared" si="214"/>
        <v>2.323809523809524</v>
      </c>
      <c r="M535" s="267">
        <f t="shared" si="215"/>
        <v>12.352380952380953</v>
      </c>
      <c r="N535" s="267">
        <f t="shared" si="216"/>
        <v>5.3155737704918034</v>
      </c>
      <c r="O535" s="239">
        <f t="shared" si="213"/>
        <v>83.876281112737928</v>
      </c>
      <c r="P535" s="267">
        <f t="shared" si="217"/>
        <v>79.703513909224014</v>
      </c>
      <c r="Q535" s="267">
        <f t="shared" si="218"/>
        <v>0.3274945729470769</v>
      </c>
      <c r="R535" s="267">
        <f t="shared" si="219"/>
        <v>0.25778071674685227</v>
      </c>
      <c r="S535" s="267">
        <f t="shared" si="220"/>
        <v>4.1845238095238093</v>
      </c>
      <c r="U535" s="220"/>
      <c r="Z535" s="214">
        <f t="shared" si="210"/>
        <v>151</v>
      </c>
      <c r="AA535" s="214">
        <f t="shared" si="211"/>
        <v>190</v>
      </c>
    </row>
    <row r="536" spans="1:27" ht="13.15" customHeight="1">
      <c r="A536" s="239" t="s">
        <v>513</v>
      </c>
      <c r="B536" s="384">
        <v>127</v>
      </c>
      <c r="C536" s="384">
        <v>160</v>
      </c>
      <c r="D536" s="216">
        <v>601</v>
      </c>
      <c r="E536" s="385">
        <v>370</v>
      </c>
      <c r="F536" s="385">
        <v>420</v>
      </c>
      <c r="G536" s="386">
        <v>5127</v>
      </c>
      <c r="H536" s="215">
        <v>8298</v>
      </c>
      <c r="I536" s="202">
        <v>79</v>
      </c>
      <c r="J536" s="230"/>
      <c r="K536" s="305" t="s">
        <v>513</v>
      </c>
      <c r="L536" s="239">
        <f t="shared" si="214"/>
        <v>1.6075949367088607</v>
      </c>
      <c r="M536" s="267">
        <f t="shared" si="215"/>
        <v>7.6075949367088604</v>
      </c>
      <c r="N536" s="267">
        <f t="shared" si="216"/>
        <v>4.7322834645669287</v>
      </c>
      <c r="O536" s="239">
        <f t="shared" si="213"/>
        <v>80.007230657989879</v>
      </c>
      <c r="P536" s="267">
        <f t="shared" si="217"/>
        <v>77.838033261026752</v>
      </c>
      <c r="Q536" s="267">
        <f t="shared" si="218"/>
        <v>0.33257829072735773</v>
      </c>
      <c r="R536" s="267">
        <f t="shared" si="219"/>
        <v>0.27047844709349778</v>
      </c>
      <c r="S536" s="267">
        <f t="shared" si="220"/>
        <v>3.849099099099099</v>
      </c>
      <c r="U536" s="220"/>
      <c r="Z536" s="214">
        <f t="shared" si="210"/>
        <v>33</v>
      </c>
      <c r="AA536" s="214">
        <f t="shared" si="211"/>
        <v>50</v>
      </c>
    </row>
    <row r="537" spans="1:27" ht="13.15" customHeight="1">
      <c r="A537" s="239" t="s">
        <v>514</v>
      </c>
      <c r="B537" s="382">
        <v>674</v>
      </c>
      <c r="C537" s="382">
        <v>908</v>
      </c>
      <c r="D537" s="204">
        <v>2204</v>
      </c>
      <c r="E537" s="267">
        <v>3378</v>
      </c>
      <c r="F537" s="267">
        <v>4285</v>
      </c>
      <c r="G537" s="206">
        <v>34174</v>
      </c>
      <c r="H537" s="202">
        <v>65223</v>
      </c>
      <c r="I537" s="202">
        <v>153</v>
      </c>
      <c r="J537" s="230"/>
      <c r="K537" s="305" t="s">
        <v>514</v>
      </c>
      <c r="L537" s="239">
        <f t="shared" si="214"/>
        <v>4.405228758169935</v>
      </c>
      <c r="M537" s="267">
        <f t="shared" si="215"/>
        <v>14.405228758169935</v>
      </c>
      <c r="N537" s="267">
        <f t="shared" si="216"/>
        <v>3.2700296735905043</v>
      </c>
      <c r="O537" s="239">
        <f t="shared" si="213"/>
        <v>76.04679330910875</v>
      </c>
      <c r="P537" s="267">
        <f t="shared" si="217"/>
        <v>71.040583843122832</v>
      </c>
      <c r="Q537" s="267">
        <f t="shared" si="218"/>
        <v>0.5721312141782855</v>
      </c>
      <c r="R537" s="267">
        <f t="shared" si="219"/>
        <v>0.49161830353263847</v>
      </c>
      <c r="S537" s="267">
        <f t="shared" si="220"/>
        <v>2.8101769620419708</v>
      </c>
      <c r="U537" s="220"/>
      <c r="Z537" s="214">
        <f t="shared" si="210"/>
        <v>234</v>
      </c>
      <c r="AA537" s="214">
        <f t="shared" si="211"/>
        <v>907</v>
      </c>
    </row>
    <row r="538" spans="1:27" ht="13.15" customHeight="1">
      <c r="A538" s="239" t="s">
        <v>515</v>
      </c>
      <c r="B538" s="382">
        <v>113</v>
      </c>
      <c r="C538" s="382">
        <v>139</v>
      </c>
      <c r="D538" s="204">
        <v>410</v>
      </c>
      <c r="E538" s="267">
        <v>330</v>
      </c>
      <c r="F538" s="267">
        <v>404</v>
      </c>
      <c r="G538" s="206">
        <v>4105</v>
      </c>
      <c r="H538" s="202">
        <v>6803</v>
      </c>
      <c r="I538" s="202">
        <v>44</v>
      </c>
      <c r="J538" s="230"/>
      <c r="K538" s="305" t="s">
        <v>515</v>
      </c>
      <c r="L538" s="239">
        <f t="shared" si="214"/>
        <v>2.5681818181818183</v>
      </c>
      <c r="M538" s="267">
        <f t="shared" si="215"/>
        <v>9.3181818181818183</v>
      </c>
      <c r="N538" s="267">
        <f t="shared" si="216"/>
        <v>3.6283185840707963</v>
      </c>
      <c r="O538" s="239">
        <f t="shared" si="213"/>
        <v>81.719829486991031</v>
      </c>
      <c r="P538" s="267">
        <f t="shared" si="217"/>
        <v>77.803910039688375</v>
      </c>
      <c r="Q538" s="267">
        <f t="shared" si="218"/>
        <v>0.33337374227179051</v>
      </c>
      <c r="R538" s="267">
        <f t="shared" si="219"/>
        <v>0.31744838621768251</v>
      </c>
      <c r="S538" s="267">
        <f t="shared" si="220"/>
        <v>3.4553872053872055</v>
      </c>
      <c r="U538" s="220"/>
      <c r="Z538" s="214">
        <f t="shared" si="210"/>
        <v>26</v>
      </c>
      <c r="AA538" s="214">
        <f t="shared" si="211"/>
        <v>74</v>
      </c>
    </row>
    <row r="539" spans="1:27" ht="13.15" customHeight="1">
      <c r="A539" s="239" t="s">
        <v>516</v>
      </c>
      <c r="B539" s="204">
        <v>98</v>
      </c>
      <c r="C539" s="204">
        <v>227</v>
      </c>
      <c r="D539" s="202">
        <v>261</v>
      </c>
      <c r="E539" s="267">
        <v>386</v>
      </c>
      <c r="F539" s="267">
        <v>1051</v>
      </c>
      <c r="G539" s="206">
        <v>3242</v>
      </c>
      <c r="H539" s="202">
        <v>12029</v>
      </c>
      <c r="I539" s="202">
        <v>55</v>
      </c>
      <c r="J539" s="244"/>
      <c r="K539" s="239" t="s">
        <v>516</v>
      </c>
      <c r="L539" s="239">
        <f t="shared" si="214"/>
        <v>1.7818181818181817</v>
      </c>
      <c r="M539" s="267">
        <f t="shared" si="215"/>
        <v>4.7454545454545451</v>
      </c>
      <c r="N539" s="267">
        <f t="shared" si="216"/>
        <v>2.6632653061224492</v>
      </c>
      <c r="O539" s="239">
        <f t="shared" si="213"/>
        <v>58.405519993349408</v>
      </c>
      <c r="P539" s="267">
        <f t="shared" si="217"/>
        <v>38.503616260703303</v>
      </c>
      <c r="Q539" s="267">
        <f t="shared" si="218"/>
        <v>0.44963190755754356</v>
      </c>
      <c r="R539" s="267">
        <f t="shared" si="219"/>
        <v>0.39383682540987575</v>
      </c>
      <c r="S539" s="267">
        <f t="shared" si="220"/>
        <v>2.3330454807138743</v>
      </c>
      <c r="U539" s="220"/>
      <c r="Z539" s="214">
        <f t="shared" si="210"/>
        <v>129</v>
      </c>
      <c r="AA539" s="214">
        <f t="shared" si="211"/>
        <v>665</v>
      </c>
    </row>
    <row r="540" spans="1:27" ht="13.15" customHeight="1">
      <c r="A540" s="239" t="s">
        <v>517</v>
      </c>
      <c r="B540" s="204">
        <v>0</v>
      </c>
      <c r="C540" s="204">
        <v>1</v>
      </c>
      <c r="D540" s="204">
        <v>0</v>
      </c>
      <c r="E540" s="267">
        <v>1</v>
      </c>
      <c r="F540" s="267">
        <v>5</v>
      </c>
      <c r="G540" s="206">
        <v>6</v>
      </c>
      <c r="H540" s="202">
        <v>63</v>
      </c>
      <c r="I540" s="202">
        <v>1</v>
      </c>
      <c r="K540" s="239" t="s">
        <v>517</v>
      </c>
      <c r="L540" s="239">
        <f t="shared" si="214"/>
        <v>0</v>
      </c>
      <c r="M540" s="267">
        <f t="shared" si="215"/>
        <v>0</v>
      </c>
      <c r="N540" s="267" t="e">
        <f t="shared" si="216"/>
        <v>#DIV/0!</v>
      </c>
      <c r="O540" s="239">
        <f t="shared" si="213"/>
        <v>38.095238095238095</v>
      </c>
      <c r="P540" s="267">
        <f t="shared" si="217"/>
        <v>15.238095238095237</v>
      </c>
      <c r="Q540" s="267" t="e">
        <f t="shared" si="218"/>
        <v>#DIV/0!</v>
      </c>
      <c r="R540" s="267" t="e">
        <f t="shared" si="219"/>
        <v>#DIV/0!</v>
      </c>
      <c r="S540" s="267">
        <f t="shared" si="220"/>
        <v>1.6666666666666665</v>
      </c>
      <c r="U540" s="220"/>
      <c r="Z540" s="214">
        <f t="shared" si="210"/>
        <v>1</v>
      </c>
      <c r="AA540" s="214">
        <f t="shared" si="211"/>
        <v>4</v>
      </c>
    </row>
    <row r="541" spans="1:27" ht="13.15" customHeight="1">
      <c r="A541" s="239" t="s">
        <v>518</v>
      </c>
      <c r="B541" s="216">
        <v>194</v>
      </c>
      <c r="C541" s="216">
        <v>321</v>
      </c>
      <c r="D541" s="216">
        <v>654</v>
      </c>
      <c r="E541" s="385">
        <v>450</v>
      </c>
      <c r="F541" s="385">
        <v>1060</v>
      </c>
      <c r="G541" s="386">
        <v>4797</v>
      </c>
      <c r="H541" s="215">
        <v>13097</v>
      </c>
      <c r="I541" s="202">
        <v>47</v>
      </c>
      <c r="K541" s="239" t="s">
        <v>518</v>
      </c>
      <c r="L541" s="239">
        <f t="shared" si="214"/>
        <v>4.1276595744680851</v>
      </c>
      <c r="M541" s="267">
        <f t="shared" si="215"/>
        <v>13.914893617021276</v>
      </c>
      <c r="N541" s="267">
        <f t="shared" si="216"/>
        <v>3.3711340206185567</v>
      </c>
      <c r="O541" s="239">
        <f t="shared" si="213"/>
        <v>65.763151866839735</v>
      </c>
      <c r="P541" s="267">
        <f t="shared" si="217"/>
        <v>48.99595327174162</v>
      </c>
      <c r="Q541" s="267">
        <f t="shared" si="218"/>
        <v>0.26479310831803415</v>
      </c>
      <c r="R541" s="267">
        <f t="shared" si="219"/>
        <v>0.23256041247577969</v>
      </c>
      <c r="S541" s="267">
        <f t="shared" si="220"/>
        <v>2.9611111111111112</v>
      </c>
      <c r="U541" s="220"/>
      <c r="Z541" s="214">
        <f t="shared" si="210"/>
        <v>127</v>
      </c>
      <c r="AA541" s="214">
        <f t="shared" si="211"/>
        <v>610</v>
      </c>
    </row>
    <row r="542" spans="1:27" ht="13.15" customHeight="1">
      <c r="A542" s="239" t="s">
        <v>519</v>
      </c>
      <c r="B542" s="204">
        <v>61</v>
      </c>
      <c r="C542" s="204">
        <v>131</v>
      </c>
      <c r="D542" s="204">
        <v>65</v>
      </c>
      <c r="E542" s="385">
        <v>40</v>
      </c>
      <c r="F542" s="272">
        <v>92</v>
      </c>
      <c r="G542" s="206">
        <v>484</v>
      </c>
      <c r="H542" s="202">
        <v>1340</v>
      </c>
      <c r="I542" s="202">
        <v>38</v>
      </c>
      <c r="K542" s="239" t="s">
        <v>519</v>
      </c>
      <c r="L542" s="239"/>
      <c r="M542" s="267"/>
      <c r="N542" s="267"/>
      <c r="O542" s="239"/>
      <c r="P542" s="267"/>
      <c r="Q542" s="267"/>
      <c r="R542" s="267"/>
      <c r="S542" s="267"/>
      <c r="U542" s="220"/>
      <c r="Z542" s="214">
        <f t="shared" si="210"/>
        <v>70</v>
      </c>
      <c r="AA542" s="214">
        <f t="shared" si="211"/>
        <v>52</v>
      </c>
    </row>
    <row r="543" spans="1:27" ht="13.15" customHeight="1">
      <c r="A543" s="282" t="s">
        <v>169</v>
      </c>
      <c r="B543" s="360">
        <f>B522+B524</f>
        <v>4380</v>
      </c>
      <c r="C543" s="360">
        <f t="shared" ref="C543:I543" si="221">C522+C524</f>
        <v>12524</v>
      </c>
      <c r="D543" s="360">
        <f t="shared" si="221"/>
        <v>13765</v>
      </c>
      <c r="E543" s="360">
        <f t="shared" si="221"/>
        <v>20999</v>
      </c>
      <c r="F543" s="360">
        <f t="shared" si="221"/>
        <v>70148</v>
      </c>
      <c r="G543" s="360">
        <f t="shared" si="221"/>
        <v>196505</v>
      </c>
      <c r="H543" s="360">
        <f t="shared" si="221"/>
        <v>734424</v>
      </c>
      <c r="I543" s="360">
        <f t="shared" si="221"/>
        <v>990</v>
      </c>
      <c r="K543" s="328" t="s">
        <v>169</v>
      </c>
      <c r="L543" s="282">
        <f>B543/I543</f>
        <v>4.4242424242424239</v>
      </c>
      <c r="M543" s="281">
        <f>D543/I543</f>
        <v>13.904040404040405</v>
      </c>
      <c r="N543" s="281">
        <f>D543/B543</f>
        <v>3.1426940639269407</v>
      </c>
      <c r="O543" s="282">
        <f>(F543*3.6+G543)*100/H543</f>
        <v>61.141493197390076</v>
      </c>
      <c r="P543" s="282">
        <f>(E543*3.6+G543)*100/H543</f>
        <v>37.049633454244422</v>
      </c>
      <c r="Q543" s="281">
        <f>E543/(B543*8760)*1000</f>
        <v>0.54729363441129253</v>
      </c>
      <c r="R543" s="281">
        <f>G543/(D543*8761)*1000/3.6</f>
        <v>0.45262778339597792</v>
      </c>
      <c r="S543" s="281">
        <f>G543/(E543*3.6)</f>
        <v>2.5993962675471316</v>
      </c>
      <c r="U543" s="220"/>
      <c r="Z543" s="214">
        <f t="shared" si="210"/>
        <v>8144</v>
      </c>
      <c r="AA543" s="214">
        <f t="shared" si="211"/>
        <v>49149</v>
      </c>
    </row>
    <row r="544" spans="1:27" ht="13.15" customHeight="1">
      <c r="U544" s="220"/>
    </row>
    <row r="545" spans="1:21" ht="13.15" customHeight="1">
      <c r="A545" s="251" t="s">
        <v>520</v>
      </c>
      <c r="B545" s="227" t="s">
        <v>476</v>
      </c>
      <c r="C545" s="228"/>
      <c r="D545" s="286"/>
      <c r="E545" s="227" t="s">
        <v>521</v>
      </c>
      <c r="F545" s="228"/>
      <c r="G545" s="286"/>
      <c r="H545" s="200" t="s">
        <v>138</v>
      </c>
      <c r="I545" s="200" t="s">
        <v>478</v>
      </c>
      <c r="U545" s="220"/>
    </row>
    <row r="546" spans="1:21" ht="13.15" customHeight="1">
      <c r="A546" s="239"/>
      <c r="B546" s="243" t="s">
        <v>88</v>
      </c>
      <c r="C546" s="243"/>
      <c r="D546" s="241" t="s">
        <v>34</v>
      </c>
      <c r="E546" s="243" t="s">
        <v>88</v>
      </c>
      <c r="F546" s="243"/>
      <c r="G546" s="241" t="s">
        <v>34</v>
      </c>
      <c r="H546" s="241" t="s">
        <v>170</v>
      </c>
      <c r="I546" s="241" t="s">
        <v>483</v>
      </c>
      <c r="U546" s="220"/>
    </row>
    <row r="547" spans="1:21" ht="13.15" customHeight="1">
      <c r="A547" s="239"/>
      <c r="B547" s="252" t="s">
        <v>0</v>
      </c>
      <c r="C547" s="252" t="s">
        <v>489</v>
      </c>
      <c r="D547" s="252" t="s">
        <v>490</v>
      </c>
      <c r="E547" s="252" t="s">
        <v>491</v>
      </c>
      <c r="F547" s="252" t="s">
        <v>489</v>
      </c>
      <c r="G547" s="252" t="s">
        <v>490</v>
      </c>
      <c r="H547" s="248"/>
      <c r="I547" s="241" t="s">
        <v>492</v>
      </c>
      <c r="U547" s="220"/>
    </row>
    <row r="548" spans="1:21" ht="13.15" customHeight="1">
      <c r="A548" s="239"/>
      <c r="B548" s="257" t="s">
        <v>496</v>
      </c>
      <c r="C548" s="256" t="s">
        <v>496</v>
      </c>
      <c r="D548" s="252" t="s">
        <v>496</v>
      </c>
      <c r="E548" s="329" t="s">
        <v>473</v>
      </c>
      <c r="F548" s="329" t="s">
        <v>473</v>
      </c>
      <c r="G548" s="252" t="s">
        <v>496</v>
      </c>
      <c r="H548" s="257" t="s">
        <v>497</v>
      </c>
      <c r="I548" s="257" t="s">
        <v>498</v>
      </c>
      <c r="U548" s="220"/>
    </row>
    <row r="549" spans="1:21" ht="13.15" customHeight="1">
      <c r="A549" s="251" t="s">
        <v>522</v>
      </c>
      <c r="B549" s="389"/>
      <c r="C549" s="389"/>
      <c r="D549" s="200"/>
      <c r="E549" s="389"/>
      <c r="F549" s="389"/>
      <c r="G549" s="200"/>
      <c r="H549" s="200"/>
      <c r="I549" s="200"/>
      <c r="U549" s="220"/>
    </row>
    <row r="550" spans="1:21" ht="13.15" customHeight="1">
      <c r="A550" s="239" t="s">
        <v>523</v>
      </c>
      <c r="B550" s="216">
        <v>219</v>
      </c>
      <c r="C550" s="204">
        <v>297</v>
      </c>
      <c r="D550" s="204">
        <v>679</v>
      </c>
      <c r="E550" s="216">
        <v>927</v>
      </c>
      <c r="F550" s="204">
        <v>1268</v>
      </c>
      <c r="G550" s="204">
        <v>9865</v>
      </c>
      <c r="H550" s="202">
        <v>22291</v>
      </c>
      <c r="I550" s="216">
        <v>32</v>
      </c>
    </row>
    <row r="551" spans="1:21" ht="13.15" customHeight="1">
      <c r="A551" s="239" t="s">
        <v>524</v>
      </c>
      <c r="B551" s="216">
        <v>972</v>
      </c>
      <c r="C551" s="204">
        <v>3150</v>
      </c>
      <c r="D551" s="204">
        <v>3220</v>
      </c>
      <c r="E551" s="216">
        <v>4914</v>
      </c>
      <c r="F551" s="204">
        <v>18362</v>
      </c>
      <c r="G551" s="204">
        <v>49885</v>
      </c>
      <c r="H551" s="202">
        <v>186926</v>
      </c>
      <c r="I551" s="216">
        <v>121</v>
      </c>
    </row>
    <row r="552" spans="1:21" ht="13.15" customHeight="1">
      <c r="A552" s="239" t="s">
        <v>525</v>
      </c>
      <c r="B552" s="216">
        <v>2242</v>
      </c>
      <c r="C552" s="204">
        <v>7262</v>
      </c>
      <c r="D552" s="204">
        <v>6518</v>
      </c>
      <c r="E552" s="216">
        <v>10955</v>
      </c>
      <c r="F552" s="204">
        <v>43834</v>
      </c>
      <c r="G552" s="204">
        <v>89650</v>
      </c>
      <c r="H552" s="202">
        <v>427855</v>
      </c>
      <c r="I552" s="216">
        <v>693</v>
      </c>
    </row>
    <row r="553" spans="1:21" ht="13.15" customHeight="1">
      <c r="A553" s="239" t="s">
        <v>267</v>
      </c>
      <c r="B553" s="216">
        <v>0</v>
      </c>
      <c r="C553" s="204">
        <v>14</v>
      </c>
      <c r="D553" s="204">
        <v>0</v>
      </c>
      <c r="E553" s="216">
        <v>0</v>
      </c>
      <c r="F553" s="204">
        <v>57</v>
      </c>
      <c r="G553" s="204">
        <v>0</v>
      </c>
      <c r="H553" s="202">
        <v>789</v>
      </c>
      <c r="I553" s="216">
        <v>3</v>
      </c>
    </row>
    <row r="554" spans="1:21" ht="13.15" customHeight="1">
      <c r="A554" s="312" t="s">
        <v>526</v>
      </c>
      <c r="B554" s="391"/>
      <c r="C554" s="391"/>
      <c r="D554" s="205"/>
      <c r="E554" s="391"/>
      <c r="F554" s="391"/>
      <c r="G554" s="205"/>
      <c r="H554" s="205"/>
      <c r="I554" s="391"/>
    </row>
    <row r="555" spans="1:21" ht="13.15" customHeight="1">
      <c r="A555" s="239" t="s">
        <v>527</v>
      </c>
      <c r="B555" s="216">
        <v>23</v>
      </c>
      <c r="C555" s="204">
        <v>23</v>
      </c>
      <c r="D555" s="204">
        <v>104</v>
      </c>
      <c r="E555" s="216">
        <v>75</v>
      </c>
      <c r="F555" s="204">
        <v>75</v>
      </c>
      <c r="G555" s="204">
        <v>1244</v>
      </c>
      <c r="H555" s="202">
        <v>2021</v>
      </c>
      <c r="I555" s="216">
        <v>1</v>
      </c>
    </row>
    <row r="556" spans="1:21" ht="13.15" customHeight="1">
      <c r="A556" s="239" t="s">
        <v>528</v>
      </c>
      <c r="B556" s="204">
        <v>825</v>
      </c>
      <c r="C556" s="204">
        <v>1642</v>
      </c>
      <c r="D556" s="204">
        <v>2932</v>
      </c>
      <c r="E556" s="204">
        <v>3855</v>
      </c>
      <c r="F556" s="204">
        <v>5888</v>
      </c>
      <c r="G556" s="204">
        <v>40902</v>
      </c>
      <c r="H556" s="202">
        <v>85666</v>
      </c>
      <c r="I556" s="204">
        <v>132</v>
      </c>
    </row>
    <row r="557" spans="1:21" ht="13.15" customHeight="1">
      <c r="A557" s="239" t="s">
        <v>529</v>
      </c>
      <c r="B557" s="204">
        <v>6</v>
      </c>
      <c r="C557" s="204">
        <v>26</v>
      </c>
      <c r="D557" s="204">
        <v>37</v>
      </c>
      <c r="E557" s="204">
        <v>28</v>
      </c>
      <c r="F557" s="204">
        <v>28</v>
      </c>
      <c r="G557" s="204">
        <v>623</v>
      </c>
      <c r="H557" s="202">
        <v>949</v>
      </c>
      <c r="I557" s="204">
        <v>2</v>
      </c>
    </row>
    <row r="558" spans="1:21" ht="13.15" customHeight="1">
      <c r="A558" s="239" t="s">
        <v>530</v>
      </c>
      <c r="B558" s="204">
        <v>93</v>
      </c>
      <c r="C558" s="204">
        <v>110</v>
      </c>
      <c r="D558" s="204">
        <v>275</v>
      </c>
      <c r="E558" s="204">
        <v>245</v>
      </c>
      <c r="F558" s="204">
        <v>636</v>
      </c>
      <c r="G558" s="204">
        <v>4336</v>
      </c>
      <c r="H558" s="202">
        <v>7927</v>
      </c>
      <c r="I558" s="204">
        <v>6</v>
      </c>
    </row>
    <row r="559" spans="1:21" ht="13.15" customHeight="1">
      <c r="A559" s="282" t="s">
        <v>169</v>
      </c>
      <c r="B559" s="360">
        <f>SUM(B549:B558)</f>
        <v>4380</v>
      </c>
      <c r="C559" s="360">
        <f t="shared" ref="C559:I559" si="222">SUM(C549:C558)</f>
        <v>12524</v>
      </c>
      <c r="D559" s="360">
        <f t="shared" si="222"/>
        <v>13765</v>
      </c>
      <c r="E559" s="360">
        <f t="shared" si="222"/>
        <v>20999</v>
      </c>
      <c r="F559" s="360">
        <f t="shared" si="222"/>
        <v>70148</v>
      </c>
      <c r="G559" s="360">
        <f t="shared" si="222"/>
        <v>196505</v>
      </c>
      <c r="H559" s="360">
        <f t="shared" si="222"/>
        <v>734424</v>
      </c>
      <c r="I559" s="360">
        <f t="shared" si="222"/>
        <v>990</v>
      </c>
    </row>
    <row r="560" spans="1:21" ht="13.15" customHeight="1"/>
    <row r="561" spans="1:27" ht="13.15" customHeight="1">
      <c r="D561" s="220"/>
    </row>
    <row r="562" spans="1:27" ht="13.15" customHeight="1">
      <c r="A562" s="221" t="s">
        <v>474</v>
      </c>
      <c r="D562" s="220"/>
      <c r="I562" s="221">
        <v>2002</v>
      </c>
      <c r="K562" s="221" t="str">
        <f>+A562</f>
        <v>Luxembourg</v>
      </c>
      <c r="M562" s="220"/>
      <c r="S562" s="221">
        <v>2002</v>
      </c>
    </row>
    <row r="563" spans="1:27" ht="13.15" customHeight="1" thickBot="1"/>
    <row r="564" spans="1:27" ht="13.15" customHeight="1">
      <c r="A564" s="346" t="s">
        <v>475</v>
      </c>
      <c r="B564" s="233" t="s">
        <v>476</v>
      </c>
      <c r="C564" s="233"/>
      <c r="D564" s="234"/>
      <c r="E564" s="235" t="s">
        <v>477</v>
      </c>
      <c r="F564" s="233"/>
      <c r="G564" s="236"/>
      <c r="H564" s="347" t="s">
        <v>138</v>
      </c>
      <c r="I564" s="348" t="s">
        <v>478</v>
      </c>
      <c r="J564" s="230"/>
      <c r="K564" s="231" t="s">
        <v>475</v>
      </c>
      <c r="L564" s="232" t="s">
        <v>479</v>
      </c>
      <c r="M564" s="233"/>
      <c r="N564" s="234"/>
      <c r="O564" s="235" t="s">
        <v>480</v>
      </c>
      <c r="P564" s="233"/>
      <c r="Q564" s="233"/>
      <c r="R564" s="236"/>
      <c r="S564" s="237"/>
    </row>
    <row r="565" spans="1:27" ht="13.15" customHeight="1">
      <c r="A565" s="266"/>
      <c r="B565" s="240" t="s">
        <v>9</v>
      </c>
      <c r="C565" s="240"/>
      <c r="D565" s="241" t="s">
        <v>34</v>
      </c>
      <c r="E565" s="242" t="s">
        <v>88</v>
      </c>
      <c r="F565" s="243"/>
      <c r="G565" s="244" t="s">
        <v>34</v>
      </c>
      <c r="H565" s="241" t="s">
        <v>170</v>
      </c>
      <c r="I565" s="349" t="s">
        <v>483</v>
      </c>
      <c r="J565" s="230"/>
      <c r="K565" s="245"/>
      <c r="L565" s="246" t="s">
        <v>484</v>
      </c>
      <c r="M565" s="247"/>
      <c r="N565" s="248" t="s">
        <v>485</v>
      </c>
      <c r="O565" s="248" t="s">
        <v>486</v>
      </c>
      <c r="P565" s="248" t="s">
        <v>486</v>
      </c>
      <c r="Q565" s="247" t="s">
        <v>487</v>
      </c>
      <c r="R565" s="249"/>
      <c r="S565" s="250" t="s">
        <v>485</v>
      </c>
      <c r="U565" s="214" t="str">
        <f>A562</f>
        <v>Luxembourg</v>
      </c>
    </row>
    <row r="566" spans="1:27" ht="13.15" customHeight="1">
      <c r="A566" s="350" t="s">
        <v>488</v>
      </c>
      <c r="B566" s="252" t="s">
        <v>0</v>
      </c>
      <c r="C566" s="252" t="s">
        <v>489</v>
      </c>
      <c r="D566" s="252" t="s">
        <v>490</v>
      </c>
      <c r="E566" s="252" t="s">
        <v>491</v>
      </c>
      <c r="F566" s="252" t="s">
        <v>489</v>
      </c>
      <c r="G566" s="230" t="s">
        <v>490</v>
      </c>
      <c r="H566" s="248"/>
      <c r="I566" s="349" t="s">
        <v>492</v>
      </c>
      <c r="J566" s="230"/>
      <c r="K566" s="253" t="s">
        <v>488</v>
      </c>
      <c r="L566" s="254" t="s">
        <v>88</v>
      </c>
      <c r="M566" s="252" t="s">
        <v>34</v>
      </c>
      <c r="N566" s="252" t="s">
        <v>493</v>
      </c>
      <c r="O566" s="248" t="s">
        <v>494</v>
      </c>
      <c r="P566" s="248" t="s">
        <v>495</v>
      </c>
      <c r="Q566" s="230" t="s">
        <v>88</v>
      </c>
      <c r="R566" s="248" t="s">
        <v>34</v>
      </c>
      <c r="S566" s="255" t="s">
        <v>88</v>
      </c>
      <c r="U566" s="214" t="s">
        <v>547</v>
      </c>
      <c r="V566" s="214">
        <f>G594/1000</f>
        <v>2.097</v>
      </c>
    </row>
    <row r="567" spans="1:27" ht="13.15" customHeight="1">
      <c r="A567" s="266"/>
      <c r="B567" s="252" t="s">
        <v>496</v>
      </c>
      <c r="C567" s="252" t="s">
        <v>496</v>
      </c>
      <c r="D567" s="252" t="s">
        <v>496</v>
      </c>
      <c r="E567" s="256" t="s">
        <v>473</v>
      </c>
      <c r="F567" s="257" t="s">
        <v>473</v>
      </c>
      <c r="G567" s="230" t="s">
        <v>451</v>
      </c>
      <c r="H567" s="257" t="s">
        <v>497</v>
      </c>
      <c r="I567" s="351" t="s">
        <v>498</v>
      </c>
      <c r="J567" s="230"/>
      <c r="K567" s="245"/>
      <c r="L567" s="258" t="s">
        <v>496</v>
      </c>
      <c r="M567" s="256" t="s">
        <v>496</v>
      </c>
      <c r="N567" s="256"/>
      <c r="O567" s="257" t="s">
        <v>79</v>
      </c>
      <c r="P567" s="257" t="s">
        <v>79</v>
      </c>
      <c r="Q567" s="259"/>
      <c r="R567" s="257"/>
      <c r="S567" s="260"/>
      <c r="U567" s="214" t="s">
        <v>548</v>
      </c>
      <c r="V567" s="214">
        <f>G600/1000</f>
        <v>0</v>
      </c>
    </row>
    <row r="568" spans="1:27" ht="13.15" customHeight="1">
      <c r="A568" s="352" t="s">
        <v>262</v>
      </c>
      <c r="B568" s="262">
        <v>21.3</v>
      </c>
      <c r="C568" s="263">
        <v>21</v>
      </c>
      <c r="D568" s="262">
        <v>111.3</v>
      </c>
      <c r="E568" s="262">
        <v>167.4</v>
      </c>
      <c r="F568" s="263">
        <v>167</v>
      </c>
      <c r="G568" s="262">
        <v>1278</v>
      </c>
      <c r="H568" s="262">
        <v>2041</v>
      </c>
      <c r="I568" s="264">
        <v>2</v>
      </c>
      <c r="J568" s="230"/>
      <c r="K568" s="265" t="s">
        <v>262</v>
      </c>
      <c r="L568" s="266">
        <f>C568/I568</f>
        <v>10.5</v>
      </c>
      <c r="M568" s="267">
        <f>D568/I568</f>
        <v>55.65</v>
      </c>
      <c r="N568" s="267">
        <f>D568/C568</f>
        <v>5.3</v>
      </c>
      <c r="O568" s="239">
        <f>(F568*3.6+G568)*100/H568</f>
        <v>92.072513473787353</v>
      </c>
      <c r="P568" s="239">
        <f>(F568*3.6+G568)*100/H568</f>
        <v>92.072513473787353</v>
      </c>
      <c r="Q568" s="267">
        <f>F568/(C568*8760)*1000</f>
        <v>0.90780604479234617</v>
      </c>
      <c r="R568" s="267">
        <f>G568/(D568*8761)*1000/3.6</f>
        <v>0.36406548543312461</v>
      </c>
      <c r="S568" s="268">
        <f>G568/(F568*3.6)</f>
        <v>2.125748502994012</v>
      </c>
      <c r="U568" s="214" t="s">
        <v>549</v>
      </c>
      <c r="V568" s="214">
        <f>G602/1000</f>
        <v>1.278</v>
      </c>
      <c r="Z568" s="214">
        <f t="shared" ref="Z568:Z573" si="223">C568-B568</f>
        <v>-0.30000000000000071</v>
      </c>
      <c r="AA568" s="214">
        <f t="shared" ref="AA568:AA573" si="224">F568-E568</f>
        <v>-0.40000000000000568</v>
      </c>
    </row>
    <row r="569" spans="1:27" ht="13.15" customHeight="1">
      <c r="A569" s="266" t="s">
        <v>263</v>
      </c>
      <c r="B569" s="262"/>
      <c r="C569" s="263"/>
      <c r="D569" s="262"/>
      <c r="E569" s="262"/>
      <c r="F569" s="263"/>
      <c r="G569" s="262"/>
      <c r="H569" s="262"/>
      <c r="I569" s="270"/>
      <c r="J569" s="230"/>
      <c r="K569" s="245" t="s">
        <v>263</v>
      </c>
      <c r="L569" s="266" t="e">
        <f>C569/I569</f>
        <v>#DIV/0!</v>
      </c>
      <c r="M569" s="267" t="e">
        <f>D569/I569</f>
        <v>#DIV/0!</v>
      </c>
      <c r="N569" s="267" t="e">
        <f>D569/C569</f>
        <v>#DIV/0!</v>
      </c>
      <c r="O569" s="239" t="e">
        <f>(F569*3.6+G569)*100/H569</f>
        <v>#DIV/0!</v>
      </c>
      <c r="P569" s="239" t="e">
        <f>(F569*3.6+G569)*100/H569</f>
        <v>#DIV/0!</v>
      </c>
      <c r="Q569" s="267" t="e">
        <f>F569/(C569*8760)*1000</f>
        <v>#DIV/0!</v>
      </c>
      <c r="R569" s="267" t="e">
        <f>G569/(D569*8761)*1000/3.6</f>
        <v>#DIV/0!</v>
      </c>
      <c r="S569" s="268" t="e">
        <f>G569/(F569*3.6)</f>
        <v>#DIV/0!</v>
      </c>
      <c r="U569" s="214" t="s">
        <v>550</v>
      </c>
      <c r="V569" s="214">
        <f>G607/1000</f>
        <v>1.6E-2</v>
      </c>
      <c r="Z569" s="214">
        <f t="shared" si="223"/>
        <v>0</v>
      </c>
      <c r="AA569" s="214">
        <f t="shared" si="224"/>
        <v>0</v>
      </c>
    </row>
    <row r="570" spans="1:27" ht="13.15" customHeight="1">
      <c r="A570" s="266" t="s">
        <v>499</v>
      </c>
      <c r="B570" s="262"/>
      <c r="C570" s="263"/>
      <c r="D570" s="262"/>
      <c r="E570" s="262"/>
      <c r="F570" s="263"/>
      <c r="G570" s="262"/>
      <c r="H570" s="262"/>
      <c r="I570" s="270"/>
      <c r="J570" s="230"/>
      <c r="K570" s="245" t="s">
        <v>499</v>
      </c>
      <c r="L570" s="266" t="e">
        <f>C570/I570</f>
        <v>#DIV/0!</v>
      </c>
      <c r="M570" s="267" t="e">
        <f>D570/I570</f>
        <v>#DIV/0!</v>
      </c>
      <c r="N570" s="267" t="e">
        <f>D570/C570</f>
        <v>#DIV/0!</v>
      </c>
      <c r="O570" s="239" t="e">
        <f>(F570*3.6+G570)*100/H570</f>
        <v>#DIV/0!</v>
      </c>
      <c r="P570" s="239" t="e">
        <f>(F570*3.6+G570)*100/H570</f>
        <v>#DIV/0!</v>
      </c>
      <c r="Q570" s="267" t="e">
        <f>F570/(C570*8760)*1000</f>
        <v>#DIV/0!</v>
      </c>
      <c r="R570" s="267" t="e">
        <f>G570/(D570*8761)*1000/3.6</f>
        <v>#DIV/0!</v>
      </c>
      <c r="S570" s="268" t="e">
        <f>G570/(F570*3.6)</f>
        <v>#DIV/0!</v>
      </c>
      <c r="U570" s="214" t="s">
        <v>551</v>
      </c>
      <c r="V570" s="214">
        <f>G598/1000</f>
        <v>0</v>
      </c>
      <c r="Z570" s="214">
        <f t="shared" si="223"/>
        <v>0</v>
      </c>
      <c r="AA570" s="214">
        <f t="shared" si="224"/>
        <v>0</v>
      </c>
    </row>
    <row r="571" spans="1:27" ht="13.15" customHeight="1">
      <c r="A571" s="266" t="s">
        <v>265</v>
      </c>
      <c r="B571" s="262"/>
      <c r="C571" s="263"/>
      <c r="D571" s="262"/>
      <c r="E571" s="262"/>
      <c r="F571" s="263"/>
      <c r="G571" s="262"/>
      <c r="H571" s="262"/>
      <c r="I571" s="271"/>
      <c r="J571" s="230"/>
      <c r="K571" s="245" t="s">
        <v>265</v>
      </c>
      <c r="L571" s="266" t="e">
        <f>C571/I571</f>
        <v>#DIV/0!</v>
      </c>
      <c r="M571" s="267" t="e">
        <f>D571/I571</f>
        <v>#DIV/0!</v>
      </c>
      <c r="N571" s="267" t="e">
        <f>D571/C571</f>
        <v>#DIV/0!</v>
      </c>
      <c r="O571" s="239" t="e">
        <f>(F571*3.6+G571)*100/H571</f>
        <v>#DIV/0!</v>
      </c>
      <c r="P571" s="239" t="e">
        <f>(F571*3.6+G571)*100/H571</f>
        <v>#DIV/0!</v>
      </c>
      <c r="Q571" s="267" t="e">
        <f>F571/(C571*8760)*1000</f>
        <v>#DIV/0!</v>
      </c>
      <c r="R571" s="267" t="e">
        <f>G571/(D571*8761)*1000/3.6</f>
        <v>#DIV/0!</v>
      </c>
      <c r="S571" s="268" t="e">
        <f>G571/(F571*3.6)</f>
        <v>#DIV/0!</v>
      </c>
      <c r="U571" s="214" t="s">
        <v>552</v>
      </c>
      <c r="V571" s="214">
        <f>(G595+G596+G597+G599+G601+G603+G604+G605+G606+G608+G609+G610+G611+G612)/1000</f>
        <v>0.80300000000000005</v>
      </c>
      <c r="Z571" s="214">
        <f t="shared" si="223"/>
        <v>0</v>
      </c>
      <c r="AA571" s="214">
        <f t="shared" si="224"/>
        <v>0</v>
      </c>
    </row>
    <row r="572" spans="1:27" ht="13.15" customHeight="1">
      <c r="A572" s="266" t="s">
        <v>266</v>
      </c>
      <c r="B572" s="262">
        <v>66.7</v>
      </c>
      <c r="C572" s="263">
        <v>67</v>
      </c>
      <c r="D572" s="262">
        <v>247.6</v>
      </c>
      <c r="E572" s="262">
        <v>123.4</v>
      </c>
      <c r="F572" s="263">
        <v>123</v>
      </c>
      <c r="G572" s="262">
        <v>819</v>
      </c>
      <c r="H572" s="262">
        <v>1476</v>
      </c>
      <c r="I572" s="271">
        <v>54</v>
      </c>
      <c r="J572" s="230"/>
      <c r="K572" s="245" t="s">
        <v>266</v>
      </c>
      <c r="L572" s="266">
        <f>C572/I572</f>
        <v>1.2407407407407407</v>
      </c>
      <c r="M572" s="267">
        <f>D572/I572</f>
        <v>4.5851851851851855</v>
      </c>
      <c r="N572" s="267">
        <f>D572/C572</f>
        <v>3.6955223880597012</v>
      </c>
      <c r="O572" s="239">
        <f>(F572*3.6+G572)*100/H572</f>
        <v>85.487804878048777</v>
      </c>
      <c r="P572" s="239">
        <f>(F572*3.6+G572)*100/H572</f>
        <v>85.487804878048777</v>
      </c>
      <c r="Q572" s="267">
        <f>F572/(C572*8760)*1000</f>
        <v>0.20956859537926803</v>
      </c>
      <c r="R572" s="267">
        <f>G572/(D572*8761)*1000/3.6</f>
        <v>0.10487623313705419</v>
      </c>
      <c r="S572" s="268">
        <f>G572/(F572*3.6)</f>
        <v>1.8495934959349594</v>
      </c>
      <c r="Z572" s="214">
        <f t="shared" si="223"/>
        <v>0.29999999999999716</v>
      </c>
      <c r="AA572" s="214">
        <f t="shared" si="224"/>
        <v>-0.40000000000000568</v>
      </c>
    </row>
    <row r="573" spans="1:27" ht="13.15" customHeight="1">
      <c r="A573" s="353" t="s">
        <v>267</v>
      </c>
      <c r="B573" s="218"/>
      <c r="C573" s="210"/>
      <c r="D573" s="210"/>
      <c r="E573" s="204"/>
      <c r="F573" s="203"/>
      <c r="G573" s="400"/>
      <c r="H573" s="203"/>
      <c r="I573" s="401"/>
      <c r="J573" s="230"/>
      <c r="K573" s="245" t="s">
        <v>267</v>
      </c>
      <c r="L573" s="266"/>
      <c r="M573" s="267"/>
      <c r="N573" s="267"/>
      <c r="O573" s="239"/>
      <c r="P573" s="272"/>
      <c r="Q573" s="272"/>
      <c r="R573" s="274"/>
      <c r="S573" s="275"/>
      <c r="U573" s="214" t="s">
        <v>553</v>
      </c>
      <c r="V573" s="214">
        <f>H594/1000</f>
        <v>3.5169999999999999</v>
      </c>
      <c r="Z573" s="214">
        <f t="shared" si="223"/>
        <v>0</v>
      </c>
      <c r="AA573" s="214">
        <f t="shared" si="224"/>
        <v>0</v>
      </c>
    </row>
    <row r="574" spans="1:27" ht="13.15" customHeight="1">
      <c r="A574" s="276" t="s">
        <v>500</v>
      </c>
      <c r="B574" s="277">
        <f t="shared" ref="B574:I574" si="225">SUM(B568:B573)</f>
        <v>88</v>
      </c>
      <c r="C574" s="277">
        <f t="shared" si="225"/>
        <v>88</v>
      </c>
      <c r="D574" s="277">
        <f t="shared" si="225"/>
        <v>358.9</v>
      </c>
      <c r="E574" s="277">
        <f t="shared" si="225"/>
        <v>290.8</v>
      </c>
      <c r="F574" s="277">
        <f t="shared" si="225"/>
        <v>290</v>
      </c>
      <c r="G574" s="277">
        <f t="shared" si="225"/>
        <v>2097</v>
      </c>
      <c r="H574" s="277">
        <f t="shared" si="225"/>
        <v>3517</v>
      </c>
      <c r="I574" s="277">
        <f t="shared" si="225"/>
        <v>56</v>
      </c>
      <c r="J574" s="244"/>
      <c r="K574" s="279" t="s">
        <v>169</v>
      </c>
      <c r="L574" s="280">
        <f>C574/I574</f>
        <v>1.5714285714285714</v>
      </c>
      <c r="M574" s="281">
        <f>D574/I574</f>
        <v>6.4089285714285706</v>
      </c>
      <c r="N574" s="281">
        <f>D574/C574</f>
        <v>4.0784090909090907</v>
      </c>
      <c r="O574" s="282">
        <f>(F574*3.6+G574)*100/H574</f>
        <v>89.309070230309928</v>
      </c>
      <c r="P574" s="282">
        <f>(F574*3.6+G574)*100/H574</f>
        <v>89.309070230309928</v>
      </c>
      <c r="Q574" s="283">
        <f>F574/(C574*8760)*1000</f>
        <v>0.37619344126193444</v>
      </c>
      <c r="R574" s="283">
        <f>G574/(D574*8761)*1000/3.6</f>
        <v>0.1852545105974962</v>
      </c>
      <c r="S574" s="284">
        <f>G574/(F574*3.6)</f>
        <v>2.0086206896551726</v>
      </c>
      <c r="U574" s="214" t="s">
        <v>554</v>
      </c>
      <c r="V574" s="214">
        <f>H600/1000</f>
        <v>0</v>
      </c>
    </row>
    <row r="575" spans="1:27" ht="13.15" customHeight="1">
      <c r="A575" s="285" t="s">
        <v>501</v>
      </c>
      <c r="B575" s="228" t="s">
        <v>476</v>
      </c>
      <c r="C575" s="228"/>
      <c r="D575" s="286"/>
      <c r="E575" s="227" t="s">
        <v>477</v>
      </c>
      <c r="F575" s="228"/>
      <c r="G575" s="229"/>
      <c r="H575" s="200" t="s">
        <v>138</v>
      </c>
      <c r="I575" s="354" t="s">
        <v>478</v>
      </c>
      <c r="J575" s="244"/>
      <c r="K575" s="287" t="s">
        <v>501</v>
      </c>
      <c r="L575" s="288" t="s">
        <v>479</v>
      </c>
      <c r="M575" s="228"/>
      <c r="N575" s="286"/>
      <c r="O575" s="227" t="s">
        <v>480</v>
      </c>
      <c r="P575" s="228"/>
      <c r="Q575" s="228"/>
      <c r="R575" s="229"/>
      <c r="S575" s="289"/>
      <c r="U575" s="214" t="s">
        <v>555</v>
      </c>
      <c r="V575" s="214">
        <f>H602/1000</f>
        <v>2.0409999999999999</v>
      </c>
    </row>
    <row r="576" spans="1:27" ht="13.15" customHeight="1">
      <c r="A576" s="266"/>
      <c r="B576" s="240" t="s">
        <v>481</v>
      </c>
      <c r="C576" s="240"/>
      <c r="D576" s="241" t="s">
        <v>34</v>
      </c>
      <c r="E576" s="242" t="s">
        <v>482</v>
      </c>
      <c r="F576" s="243"/>
      <c r="G576" s="244" t="s">
        <v>34</v>
      </c>
      <c r="H576" s="241" t="s">
        <v>170</v>
      </c>
      <c r="I576" s="349" t="s">
        <v>483</v>
      </c>
      <c r="J576" s="244"/>
      <c r="K576" s="245"/>
      <c r="L576" s="246" t="s">
        <v>484</v>
      </c>
      <c r="M576" s="247"/>
      <c r="N576" s="248" t="s">
        <v>485</v>
      </c>
      <c r="O576" s="248" t="s">
        <v>486</v>
      </c>
      <c r="P576" s="248" t="s">
        <v>486</v>
      </c>
      <c r="Q576" s="247" t="s">
        <v>487</v>
      </c>
      <c r="R576" s="249"/>
      <c r="S576" s="250" t="s">
        <v>485</v>
      </c>
      <c r="U576" s="214" t="s">
        <v>556</v>
      </c>
      <c r="V576" s="214">
        <f>H607/1000</f>
        <v>0.03</v>
      </c>
    </row>
    <row r="577" spans="1:27" ht="13.15" customHeight="1">
      <c r="A577" s="350" t="s">
        <v>488</v>
      </c>
      <c r="B577" s="252" t="s">
        <v>0</v>
      </c>
      <c r="C577" s="252" t="s">
        <v>489</v>
      </c>
      <c r="D577" s="252" t="s">
        <v>490</v>
      </c>
      <c r="E577" s="252" t="s">
        <v>491</v>
      </c>
      <c r="F577" s="252" t="s">
        <v>489</v>
      </c>
      <c r="G577" s="230" t="s">
        <v>490</v>
      </c>
      <c r="H577" s="248"/>
      <c r="I577" s="349" t="s">
        <v>492</v>
      </c>
      <c r="J577" s="244"/>
      <c r="K577" s="253" t="s">
        <v>488</v>
      </c>
      <c r="L577" s="254" t="s">
        <v>88</v>
      </c>
      <c r="M577" s="252" t="s">
        <v>34</v>
      </c>
      <c r="N577" s="252" t="s">
        <v>493</v>
      </c>
      <c r="O577" s="248" t="s">
        <v>494</v>
      </c>
      <c r="P577" s="248" t="s">
        <v>495</v>
      </c>
      <c r="Q577" s="230" t="s">
        <v>88</v>
      </c>
      <c r="R577" s="248" t="s">
        <v>34</v>
      </c>
      <c r="S577" s="255" t="s">
        <v>88</v>
      </c>
      <c r="U577" s="214" t="s">
        <v>557</v>
      </c>
      <c r="V577" s="214">
        <f>H598/1000</f>
        <v>0</v>
      </c>
    </row>
    <row r="578" spans="1:27" ht="13.15" customHeight="1">
      <c r="A578" s="266"/>
      <c r="B578" s="252" t="s">
        <v>496</v>
      </c>
      <c r="C578" s="252" t="s">
        <v>496</v>
      </c>
      <c r="D578" s="252" t="s">
        <v>496</v>
      </c>
      <c r="E578" s="256" t="s">
        <v>473</v>
      </c>
      <c r="F578" s="256" t="s">
        <v>473</v>
      </c>
      <c r="G578" s="230" t="s">
        <v>451</v>
      </c>
      <c r="H578" s="257" t="s">
        <v>497</v>
      </c>
      <c r="I578" s="351" t="s">
        <v>498</v>
      </c>
      <c r="J578" s="244"/>
      <c r="K578" s="245"/>
      <c r="L578" s="258" t="s">
        <v>496</v>
      </c>
      <c r="M578" s="256" t="s">
        <v>496</v>
      </c>
      <c r="N578" s="256"/>
      <c r="O578" s="257" t="s">
        <v>79</v>
      </c>
      <c r="P578" s="257" t="s">
        <v>79</v>
      </c>
      <c r="Q578" s="259"/>
      <c r="R578" s="257"/>
      <c r="S578" s="260"/>
      <c r="U578" s="214" t="s">
        <v>558</v>
      </c>
      <c r="V578" s="214">
        <f>(H595+H596+H597+H599+H601+H603+H604+H605+H606+H608+H609+H610+H611+H612)/1000</f>
        <v>1.446</v>
      </c>
    </row>
    <row r="579" spans="1:27" ht="13.15" customHeight="1">
      <c r="A579" s="352" t="s">
        <v>262</v>
      </c>
      <c r="B579" s="365"/>
      <c r="C579" s="365"/>
      <c r="D579" s="365"/>
      <c r="E579" s="320"/>
      <c r="F579" s="319"/>
      <c r="G579" s="368"/>
      <c r="H579" s="369"/>
      <c r="I579" s="370"/>
      <c r="J579" s="244"/>
      <c r="K579" s="265" t="s">
        <v>262</v>
      </c>
      <c r="L579" s="266" t="e">
        <f>B579/I579</f>
        <v>#DIV/0!</v>
      </c>
      <c r="M579" s="267" t="e">
        <f>D579/I579</f>
        <v>#DIV/0!</v>
      </c>
      <c r="N579" s="267" t="e">
        <f>D579/B579</f>
        <v>#DIV/0!</v>
      </c>
      <c r="O579" s="239" t="e">
        <f>(F579*3.6+G579)*100/H579</f>
        <v>#DIV/0!</v>
      </c>
      <c r="P579" s="267" t="e">
        <f>(E579*3.6+G579)*100/H579</f>
        <v>#DIV/0!</v>
      </c>
      <c r="Q579" s="267" t="e">
        <f>E579/(B579*8760)*1000</f>
        <v>#DIV/0!</v>
      </c>
      <c r="R579" s="267" t="e">
        <f>G579/(D579*8761)*1000/3.6</f>
        <v>#DIV/0!</v>
      </c>
      <c r="S579" s="268" t="e">
        <f>G579/(E579*3.6)</f>
        <v>#DIV/0!</v>
      </c>
      <c r="U579" s="220"/>
      <c r="Z579" s="214">
        <f t="shared" ref="Z579:Z586" si="226">C579-B579</f>
        <v>0</v>
      </c>
      <c r="AA579" s="214">
        <f t="shared" ref="AA579:AA586" si="227">F579-E579</f>
        <v>0</v>
      </c>
    </row>
    <row r="580" spans="1:27" ht="13.15" customHeight="1">
      <c r="A580" s="266" t="s">
        <v>263</v>
      </c>
      <c r="B580" s="320"/>
      <c r="C580" s="320"/>
      <c r="D580" s="320"/>
      <c r="E580" s="320"/>
      <c r="F580" s="319"/>
      <c r="G580" s="321"/>
      <c r="H580" s="319"/>
      <c r="I580" s="370"/>
      <c r="J580" s="244"/>
      <c r="K580" s="245" t="s">
        <v>263</v>
      </c>
      <c r="L580" s="266" t="e">
        <f>B580/I580</f>
        <v>#DIV/0!</v>
      </c>
      <c r="M580" s="267" t="e">
        <f>D580/I580</f>
        <v>#DIV/0!</v>
      </c>
      <c r="N580" s="267" t="e">
        <f>D580/B580</f>
        <v>#DIV/0!</v>
      </c>
      <c r="O580" s="239" t="e">
        <f>(F580*3.6+G580)*100/H580</f>
        <v>#DIV/0!</v>
      </c>
      <c r="P580" s="267" t="e">
        <f>(E580*3.6+G580)*100/H580</f>
        <v>#DIV/0!</v>
      </c>
      <c r="Q580" s="267" t="e">
        <f>E580/(B580*8760)*1000</f>
        <v>#DIV/0!</v>
      </c>
      <c r="R580" s="267" t="e">
        <f>G580/(D580*8761)*1000/3.6</f>
        <v>#DIV/0!</v>
      </c>
      <c r="S580" s="268" t="e">
        <f>G580/(E580*3.6)</f>
        <v>#DIV/0!</v>
      </c>
      <c r="U580" s="239" t="s">
        <v>152</v>
      </c>
      <c r="V580" s="492">
        <f>B595/1000</f>
        <v>0</v>
      </c>
      <c r="Z580" s="214">
        <f t="shared" si="226"/>
        <v>0</v>
      </c>
      <c r="AA580" s="214">
        <f t="shared" si="227"/>
        <v>0</v>
      </c>
    </row>
    <row r="581" spans="1:27" ht="13.15" customHeight="1">
      <c r="A581" s="266" t="s">
        <v>499</v>
      </c>
      <c r="B581" s="320"/>
      <c r="C581" s="320"/>
      <c r="D581" s="320"/>
      <c r="E581" s="320"/>
      <c r="F581" s="319"/>
      <c r="G581" s="321"/>
      <c r="H581" s="319"/>
      <c r="I581" s="370"/>
      <c r="J581" s="244"/>
      <c r="K581" s="245" t="s">
        <v>499</v>
      </c>
      <c r="L581" s="266" t="e">
        <f>B581/I581</f>
        <v>#DIV/0!</v>
      </c>
      <c r="M581" s="267" t="e">
        <f>D581/I581</f>
        <v>#DIV/0!</v>
      </c>
      <c r="N581" s="267" t="e">
        <f>D581/B581</f>
        <v>#DIV/0!</v>
      </c>
      <c r="O581" s="239" t="e">
        <f>(F581*3.6+G581)*100/H581</f>
        <v>#DIV/0!</v>
      </c>
      <c r="P581" s="267" t="e">
        <f>(E581*3.6+G581)*100/H581</f>
        <v>#DIV/0!</v>
      </c>
      <c r="Q581" s="267" t="e">
        <f>E581/(B581*8760)*1000</f>
        <v>#DIV/0!</v>
      </c>
      <c r="R581" s="267" t="e">
        <f>G581/(D581*8761)*1000/3.6</f>
        <v>#DIV/0!</v>
      </c>
      <c r="S581" s="268" t="e">
        <f>G581/(E581*3.6)</f>
        <v>#DIV/0!</v>
      </c>
      <c r="U581" s="239" t="s">
        <v>504</v>
      </c>
      <c r="V581" s="492">
        <f t="shared" ref="V581:V597" si="228">B596/1000</f>
        <v>0</v>
      </c>
      <c r="Z581" s="214">
        <f t="shared" si="226"/>
        <v>0</v>
      </c>
      <c r="AA581" s="214">
        <f t="shared" si="227"/>
        <v>0</v>
      </c>
    </row>
    <row r="582" spans="1:27" ht="13.15" customHeight="1">
      <c r="A582" s="266" t="s">
        <v>265</v>
      </c>
      <c r="B582" s="320"/>
      <c r="C582" s="320"/>
      <c r="D582" s="320"/>
      <c r="E582" s="320"/>
      <c r="F582" s="319"/>
      <c r="G582" s="321"/>
      <c r="H582" s="319"/>
      <c r="I582" s="370"/>
      <c r="J582" s="244"/>
      <c r="K582" s="245" t="s">
        <v>265</v>
      </c>
      <c r="L582" s="266" t="e">
        <f>B582/I582</f>
        <v>#DIV/0!</v>
      </c>
      <c r="M582" s="267" t="e">
        <f>D582/I582</f>
        <v>#DIV/0!</v>
      </c>
      <c r="N582" s="267" t="e">
        <f>D582/B582</f>
        <v>#DIV/0!</v>
      </c>
      <c r="O582" s="239" t="e">
        <f>(F582*3.6+G582)*100/H582</f>
        <v>#DIV/0!</v>
      </c>
      <c r="P582" s="267" t="e">
        <f>(E582*3.6+G582)*100/H582</f>
        <v>#DIV/0!</v>
      </c>
      <c r="Q582" s="267" t="e">
        <f>E582/(B582*8760)*1000</f>
        <v>#DIV/0!</v>
      </c>
      <c r="R582" s="267" t="e">
        <f>G582/(D582*8761)*1000/3.6</f>
        <v>#DIV/0!</v>
      </c>
      <c r="S582" s="268" t="e">
        <f>G582/(E582*3.6)</f>
        <v>#DIV/0!</v>
      </c>
      <c r="U582" s="239" t="s">
        <v>505</v>
      </c>
      <c r="V582" s="492">
        <f t="shared" si="228"/>
        <v>0</v>
      </c>
      <c r="Z582" s="214">
        <f t="shared" si="226"/>
        <v>0</v>
      </c>
      <c r="AA582" s="214">
        <f t="shared" si="227"/>
        <v>0</v>
      </c>
    </row>
    <row r="583" spans="1:27" ht="13.15" customHeight="1">
      <c r="A583" s="266" t="s">
        <v>266</v>
      </c>
      <c r="B583" s="320"/>
      <c r="C583" s="320"/>
      <c r="D583" s="320"/>
      <c r="E583" s="320"/>
      <c r="F583" s="319"/>
      <c r="G583" s="321"/>
      <c r="H583" s="319"/>
      <c r="I583" s="370"/>
      <c r="J583" s="244"/>
      <c r="K583" s="245" t="s">
        <v>266</v>
      </c>
      <c r="L583" s="266" t="e">
        <f>B583/I583</f>
        <v>#DIV/0!</v>
      </c>
      <c r="M583" s="267" t="e">
        <f>D583/I583</f>
        <v>#DIV/0!</v>
      </c>
      <c r="N583" s="267" t="e">
        <f>D583/B583</f>
        <v>#DIV/0!</v>
      </c>
      <c r="O583" s="239" t="e">
        <f>(F583*3.6+G583)*100/H583</f>
        <v>#DIV/0!</v>
      </c>
      <c r="P583" s="267" t="e">
        <f>(E583*3.6+G583)*100/H583</f>
        <v>#DIV/0!</v>
      </c>
      <c r="Q583" s="267" t="e">
        <f>E583/(B583*8760)*1000</f>
        <v>#DIV/0!</v>
      </c>
      <c r="R583" s="267" t="e">
        <f>G583/(D583*8761)*1000/3.6</f>
        <v>#DIV/0!</v>
      </c>
      <c r="S583" s="268" t="e">
        <f>G583/(E583*3.6)</f>
        <v>#DIV/0!</v>
      </c>
      <c r="U583" s="239" t="s">
        <v>506</v>
      </c>
      <c r="V583" s="492">
        <f t="shared" si="228"/>
        <v>0</v>
      </c>
      <c r="Z583" s="214">
        <f t="shared" si="226"/>
        <v>0</v>
      </c>
      <c r="AA583" s="214">
        <f t="shared" si="227"/>
        <v>0</v>
      </c>
    </row>
    <row r="584" spans="1:27" ht="13.15" customHeight="1">
      <c r="A584" s="353" t="s">
        <v>267</v>
      </c>
      <c r="B584" s="262"/>
      <c r="C584" s="262"/>
      <c r="D584" s="262"/>
      <c r="E584" s="262"/>
      <c r="F584" s="262"/>
      <c r="G584" s="262"/>
      <c r="H584" s="262"/>
      <c r="I584" s="355"/>
      <c r="J584" s="244"/>
      <c r="K584" s="245" t="s">
        <v>267</v>
      </c>
      <c r="L584" s="266"/>
      <c r="M584" s="267"/>
      <c r="N584" s="267"/>
      <c r="O584" s="239"/>
      <c r="P584" s="267"/>
      <c r="Q584" s="272"/>
      <c r="R584" s="274"/>
      <c r="S584" s="275"/>
      <c r="U584" s="239" t="s">
        <v>507</v>
      </c>
      <c r="V584" s="492">
        <f t="shared" si="228"/>
        <v>0</v>
      </c>
      <c r="Z584" s="214">
        <f t="shared" si="226"/>
        <v>0</v>
      </c>
      <c r="AA584" s="214">
        <f t="shared" si="227"/>
        <v>0</v>
      </c>
    </row>
    <row r="585" spans="1:27" ht="13.15" customHeight="1">
      <c r="A585" s="276" t="s">
        <v>500</v>
      </c>
      <c r="B585" s="291">
        <f t="shared" ref="B585:I585" si="229">SUM(B579:B584)</f>
        <v>0</v>
      </c>
      <c r="C585" s="291">
        <f t="shared" si="229"/>
        <v>0</v>
      </c>
      <c r="D585" s="291">
        <f t="shared" si="229"/>
        <v>0</v>
      </c>
      <c r="E585" s="291">
        <f t="shared" si="229"/>
        <v>0</v>
      </c>
      <c r="F585" s="291">
        <f t="shared" si="229"/>
        <v>0</v>
      </c>
      <c r="G585" s="291">
        <f t="shared" si="229"/>
        <v>0</v>
      </c>
      <c r="H585" s="291">
        <f t="shared" si="229"/>
        <v>0</v>
      </c>
      <c r="I585" s="291">
        <f t="shared" si="229"/>
        <v>0</v>
      </c>
      <c r="J585" s="244"/>
      <c r="K585" s="279" t="s">
        <v>169</v>
      </c>
      <c r="L585" s="280" t="e">
        <f>B585/I585</f>
        <v>#DIV/0!</v>
      </c>
      <c r="M585" s="281" t="e">
        <f>D585/I585</f>
        <v>#DIV/0!</v>
      </c>
      <c r="N585" s="281" t="e">
        <f>D585/B585</f>
        <v>#DIV/0!</v>
      </c>
      <c r="O585" s="294" t="e">
        <f>(F585*3.6+G585)*100/H585</f>
        <v>#DIV/0!</v>
      </c>
      <c r="P585" s="295" t="e">
        <f>(E585*3.6+G585)*100/H585</f>
        <v>#DIV/0!</v>
      </c>
      <c r="Q585" s="283" t="e">
        <f>E585/(B585*8760)*1000</f>
        <v>#DIV/0!</v>
      </c>
      <c r="R585" s="283" t="e">
        <f>G585/(D585*8761)*1000/3.6</f>
        <v>#DIV/0!</v>
      </c>
      <c r="S585" s="284" t="e">
        <f>G585/(E585*3.6)</f>
        <v>#DIV/0!</v>
      </c>
      <c r="U585" s="239" t="s">
        <v>156</v>
      </c>
      <c r="V585" s="492">
        <f t="shared" si="228"/>
        <v>0</v>
      </c>
      <c r="Z585" s="214">
        <f t="shared" si="226"/>
        <v>0</v>
      </c>
      <c r="AA585" s="214">
        <f t="shared" si="227"/>
        <v>0</v>
      </c>
    </row>
    <row r="586" spans="1:27" ht="13.15" customHeight="1" thickBot="1">
      <c r="A586" s="296" t="s">
        <v>502</v>
      </c>
      <c r="B586" s="297">
        <f t="shared" ref="B586:I586" si="230">B574+B585</f>
        <v>88</v>
      </c>
      <c r="C586" s="297">
        <f>B574+C585</f>
        <v>88</v>
      </c>
      <c r="D586" s="297">
        <f t="shared" si="230"/>
        <v>358.9</v>
      </c>
      <c r="E586" s="297">
        <f t="shared" si="230"/>
        <v>290.8</v>
      </c>
      <c r="F586" s="297">
        <f>E574+F585</f>
        <v>290.8</v>
      </c>
      <c r="G586" s="297">
        <f t="shared" si="230"/>
        <v>2097</v>
      </c>
      <c r="H586" s="297">
        <f t="shared" si="230"/>
        <v>3517</v>
      </c>
      <c r="I586" s="297">
        <f t="shared" si="230"/>
        <v>56</v>
      </c>
      <c r="J586" s="244"/>
      <c r="K586" s="296" t="s">
        <v>502</v>
      </c>
      <c r="L586" s="299">
        <f>B586/I586</f>
        <v>1.5714285714285714</v>
      </c>
      <c r="M586" s="300">
        <f>D586/I586</f>
        <v>6.4089285714285706</v>
      </c>
      <c r="N586" s="300">
        <f>D586/B586</f>
        <v>4.0784090909090907</v>
      </c>
      <c r="O586" s="301">
        <f>(F586*3.6+G586)*100/H586</f>
        <v>89.390958203013938</v>
      </c>
      <c r="P586" s="301">
        <f>(E586*3.6+G586)*100/H586</f>
        <v>89.390958203013938</v>
      </c>
      <c r="Q586" s="301">
        <f>E586/(B586*8760)*1000</f>
        <v>0.37723121627231221</v>
      </c>
      <c r="R586" s="301">
        <f>G586/(D586*8761)*1000/3.6</f>
        <v>0.1852545105974962</v>
      </c>
      <c r="S586" s="302">
        <f>G586/(E586*3.6)</f>
        <v>2.0030949105914715</v>
      </c>
      <c r="T586" s="309"/>
      <c r="U586" s="239" t="s">
        <v>508</v>
      </c>
      <c r="V586" s="492">
        <f t="shared" si="228"/>
        <v>0</v>
      </c>
      <c r="Z586" s="214">
        <f t="shared" si="226"/>
        <v>0</v>
      </c>
      <c r="AA586" s="214">
        <f t="shared" si="227"/>
        <v>0</v>
      </c>
    </row>
    <row r="587" spans="1:27" ht="13.15" customHeight="1">
      <c r="U587" s="239" t="s">
        <v>509</v>
      </c>
      <c r="V587" s="492">
        <f t="shared" si="228"/>
        <v>2.1299999999999999E-2</v>
      </c>
    </row>
    <row r="588" spans="1:27" ht="13.15" customHeight="1">
      <c r="A588" s="251" t="s">
        <v>139</v>
      </c>
      <c r="B588" s="227" t="s">
        <v>476</v>
      </c>
      <c r="C588" s="228"/>
      <c r="D588" s="286"/>
      <c r="E588" s="227" t="s">
        <v>477</v>
      </c>
      <c r="F588" s="228"/>
      <c r="G588" s="229"/>
      <c r="H588" s="200" t="s">
        <v>138</v>
      </c>
      <c r="I588" s="200" t="s">
        <v>478</v>
      </c>
      <c r="J588" s="230"/>
      <c r="K588" s="303" t="s">
        <v>503</v>
      </c>
      <c r="L588" s="227" t="s">
        <v>479</v>
      </c>
      <c r="M588" s="228"/>
      <c r="N588" s="286"/>
      <c r="O588" s="227" t="s">
        <v>480</v>
      </c>
      <c r="P588" s="228"/>
      <c r="Q588" s="228"/>
      <c r="R588" s="229"/>
      <c r="S588" s="286"/>
      <c r="U588" s="239" t="s">
        <v>510</v>
      </c>
      <c r="V588" s="492">
        <f t="shared" si="228"/>
        <v>0</v>
      </c>
    </row>
    <row r="589" spans="1:27" ht="13.15" customHeight="1">
      <c r="A589" s="239"/>
      <c r="B589" s="240" t="s">
        <v>9</v>
      </c>
      <c r="C589" s="240"/>
      <c r="D589" s="241" t="s">
        <v>34</v>
      </c>
      <c r="E589" s="242" t="s">
        <v>88</v>
      </c>
      <c r="F589" s="243"/>
      <c r="G589" s="244" t="s">
        <v>34</v>
      </c>
      <c r="H589" s="241" t="s">
        <v>170</v>
      </c>
      <c r="I589" s="241" t="s">
        <v>483</v>
      </c>
      <c r="J589" s="230"/>
      <c r="K589" s="305"/>
      <c r="L589" s="306" t="s">
        <v>484</v>
      </c>
      <c r="M589" s="247"/>
      <c r="N589" s="248" t="s">
        <v>485</v>
      </c>
      <c r="O589" s="248" t="s">
        <v>486</v>
      </c>
      <c r="P589" s="248" t="s">
        <v>486</v>
      </c>
      <c r="Q589" s="247" t="s">
        <v>487</v>
      </c>
      <c r="R589" s="249"/>
      <c r="S589" s="307" t="s">
        <v>485</v>
      </c>
      <c r="U589" s="239" t="s">
        <v>511</v>
      </c>
      <c r="V589" s="492">
        <f t="shared" si="228"/>
        <v>0</v>
      </c>
    </row>
    <row r="590" spans="1:27" ht="13.15" customHeight="1">
      <c r="A590" s="239"/>
      <c r="B590" s="252" t="s">
        <v>0</v>
      </c>
      <c r="C590" s="252" t="s">
        <v>489</v>
      </c>
      <c r="D590" s="252" t="s">
        <v>490</v>
      </c>
      <c r="E590" s="252" t="s">
        <v>491</v>
      </c>
      <c r="F590" s="252" t="s">
        <v>489</v>
      </c>
      <c r="G590" s="230" t="s">
        <v>490</v>
      </c>
      <c r="H590" s="248"/>
      <c r="I590" s="241" t="s">
        <v>492</v>
      </c>
      <c r="J590" s="230"/>
      <c r="K590" s="305"/>
      <c r="L590" s="248" t="s">
        <v>88</v>
      </c>
      <c r="M590" s="252" t="s">
        <v>34</v>
      </c>
      <c r="N590" s="252" t="s">
        <v>493</v>
      </c>
      <c r="O590" s="248" t="s">
        <v>494</v>
      </c>
      <c r="P590" s="248" t="s">
        <v>495</v>
      </c>
      <c r="Q590" s="230" t="s">
        <v>88</v>
      </c>
      <c r="R590" s="248" t="s">
        <v>34</v>
      </c>
      <c r="S590" s="252" t="s">
        <v>88</v>
      </c>
      <c r="U590" s="239" t="s">
        <v>512</v>
      </c>
      <c r="V590" s="492">
        <f t="shared" si="228"/>
        <v>0</v>
      </c>
    </row>
    <row r="591" spans="1:27" ht="13.15" customHeight="1">
      <c r="A591" s="239"/>
      <c r="B591" s="257" t="s">
        <v>496</v>
      </c>
      <c r="C591" s="256" t="s">
        <v>496</v>
      </c>
      <c r="D591" s="256" t="s">
        <v>496</v>
      </c>
      <c r="E591" s="256" t="s">
        <v>473</v>
      </c>
      <c r="F591" s="257" t="s">
        <v>473</v>
      </c>
      <c r="G591" s="259" t="s">
        <v>451</v>
      </c>
      <c r="H591" s="257" t="s">
        <v>497</v>
      </c>
      <c r="I591" s="257" t="s">
        <v>498</v>
      </c>
      <c r="J591" s="230"/>
      <c r="K591" s="305"/>
      <c r="L591" s="257" t="s">
        <v>496</v>
      </c>
      <c r="M591" s="256" t="s">
        <v>496</v>
      </c>
      <c r="N591" s="256"/>
      <c r="O591" s="257" t="s">
        <v>79</v>
      </c>
      <c r="P591" s="257" t="s">
        <v>79</v>
      </c>
      <c r="Q591" s="259"/>
      <c r="R591" s="257"/>
      <c r="S591" s="256"/>
      <c r="U591" s="239" t="s">
        <v>513</v>
      </c>
      <c r="V591" s="492">
        <f t="shared" si="228"/>
        <v>0</v>
      </c>
    </row>
    <row r="592" spans="1:27" ht="13.15" customHeight="1">
      <c r="A592" s="251" t="s">
        <v>150</v>
      </c>
      <c r="B592" s="356"/>
      <c r="C592" s="357"/>
      <c r="D592" s="358"/>
      <c r="E592" s="356"/>
      <c r="F592" s="217"/>
      <c r="G592" s="219"/>
      <c r="H592" s="359"/>
      <c r="I592" s="205"/>
      <c r="J592" s="244"/>
      <c r="K592" s="303" t="s">
        <v>150</v>
      </c>
      <c r="L592" s="312" t="e">
        <f>B592/I592</f>
        <v>#DIV/0!</v>
      </c>
      <c r="M592" s="313" t="e">
        <f>D592/I592</f>
        <v>#DIV/0!</v>
      </c>
      <c r="N592" s="313" t="e">
        <f>D592/B592</f>
        <v>#DIV/0!</v>
      </c>
      <c r="O592" s="312" t="e">
        <f>(F592*3.6+G592)*100/H592</f>
        <v>#DIV/0!</v>
      </c>
      <c r="P592" s="313" t="e">
        <f>(E592*3.6+G592)*100/H592</f>
        <v>#DIV/0!</v>
      </c>
      <c r="Q592" s="313" t="e">
        <f>E592/(B592*8760)*1000</f>
        <v>#DIV/0!</v>
      </c>
      <c r="R592" s="313" t="e">
        <f>G592/(D592*8761)*1000/3.6</f>
        <v>#DIV/0!</v>
      </c>
      <c r="S592" s="313" t="e">
        <f>G592/(E592*3.6)</f>
        <v>#DIV/0!</v>
      </c>
      <c r="U592" s="239" t="s">
        <v>514</v>
      </c>
      <c r="V592" s="492">
        <f t="shared" si="228"/>
        <v>1E-3</v>
      </c>
      <c r="Z592" s="214">
        <f>C592-B592</f>
        <v>0</v>
      </c>
      <c r="AA592" s="214">
        <f>F592-E592</f>
        <v>0</v>
      </c>
    </row>
    <row r="593" spans="1:27" ht="13.15" customHeight="1">
      <c r="A593" s="239"/>
      <c r="B593" s="252"/>
      <c r="C593" s="252"/>
      <c r="D593" s="252"/>
      <c r="E593" s="267"/>
      <c r="F593" s="267"/>
      <c r="G593" s="248"/>
      <c r="H593" s="252"/>
      <c r="I593" s="248"/>
      <c r="J593" s="230"/>
      <c r="K593" s="239"/>
      <c r="L593" s="312"/>
      <c r="M593" s="267"/>
      <c r="N593" s="267"/>
      <c r="O593" s="239"/>
      <c r="P593" s="313"/>
      <c r="Q593" s="267"/>
      <c r="R593" s="267"/>
      <c r="S593" s="239"/>
      <c r="U593" s="239" t="s">
        <v>515</v>
      </c>
      <c r="V593" s="492">
        <f t="shared" si="228"/>
        <v>0</v>
      </c>
      <c r="Z593" s="214">
        <f t="shared" ref="Z593:Z613" si="231">C593-B593</f>
        <v>0</v>
      </c>
      <c r="AA593" s="214">
        <f t="shared" ref="AA593:AA613" si="232">F593-E593</f>
        <v>0</v>
      </c>
    </row>
    <row r="594" spans="1:27" ht="13.15" customHeight="1">
      <c r="A594" s="312" t="s">
        <v>7</v>
      </c>
      <c r="B594" s="205">
        <f>SUM(B595:B612)</f>
        <v>88</v>
      </c>
      <c r="C594" s="205">
        <f t="shared" ref="C594:I594" si="233">SUM(C595:C612)</f>
        <v>88</v>
      </c>
      <c r="D594" s="205">
        <f t="shared" si="233"/>
        <v>359</v>
      </c>
      <c r="E594" s="205">
        <f t="shared" si="233"/>
        <v>290.8</v>
      </c>
      <c r="F594" s="205">
        <f t="shared" si="233"/>
        <v>290.8</v>
      </c>
      <c r="G594" s="205">
        <f t="shared" si="233"/>
        <v>2097</v>
      </c>
      <c r="H594" s="205">
        <f t="shared" si="233"/>
        <v>3517</v>
      </c>
      <c r="I594" s="205">
        <f t="shared" si="233"/>
        <v>56</v>
      </c>
      <c r="J594" s="244"/>
      <c r="K594" s="318" t="s">
        <v>7</v>
      </c>
      <c r="L594" s="312">
        <f>B594/I594</f>
        <v>1.5714285714285714</v>
      </c>
      <c r="M594" s="313">
        <f>D594/I594</f>
        <v>6.4107142857142856</v>
      </c>
      <c r="N594" s="313">
        <f>D594/B594</f>
        <v>4.0795454545454541</v>
      </c>
      <c r="O594" s="312">
        <f t="shared" ref="O594:O611" si="234">(F594*3.6+G594)*100/H594</f>
        <v>89.390958203013938</v>
      </c>
      <c r="P594" s="313">
        <f>(E594*3.6+G594)*100/H594</f>
        <v>89.390958203013938</v>
      </c>
      <c r="Q594" s="313">
        <f>E594/(B594*8760)*1000</f>
        <v>0.37723121627231221</v>
      </c>
      <c r="R594" s="313">
        <f>G594/(D594*8761)*1000/3.6</f>
        <v>0.18520290766975317</v>
      </c>
      <c r="S594" s="313">
        <f>G594/(E594*3.6)</f>
        <v>2.0030949105914715</v>
      </c>
      <c r="U594" s="239" t="s">
        <v>516</v>
      </c>
      <c r="V594" s="492">
        <f t="shared" si="228"/>
        <v>0</v>
      </c>
      <c r="Z594" s="214">
        <f t="shared" si="231"/>
        <v>0</v>
      </c>
      <c r="AA594" s="214">
        <f t="shared" si="232"/>
        <v>0</v>
      </c>
    </row>
    <row r="595" spans="1:27" ht="13.15" customHeight="1">
      <c r="A595" s="239" t="s">
        <v>152</v>
      </c>
      <c r="B595" s="209"/>
      <c r="C595" s="209"/>
      <c r="D595" s="209"/>
      <c r="E595" s="209"/>
      <c r="F595" s="209"/>
      <c r="G595" s="209"/>
      <c r="H595" s="209"/>
      <c r="I595" s="424"/>
      <c r="J595" s="230"/>
      <c r="K595" s="305" t="s">
        <v>152</v>
      </c>
      <c r="L595" s="239" t="e">
        <f t="shared" ref="L595:L611" si="235">B595/I595</f>
        <v>#DIV/0!</v>
      </c>
      <c r="M595" s="267" t="e">
        <f t="shared" ref="M595:M611" si="236">D595/I595</f>
        <v>#DIV/0!</v>
      </c>
      <c r="N595" s="267" t="e">
        <f t="shared" ref="N595:N611" si="237">D595/B595</f>
        <v>#DIV/0!</v>
      </c>
      <c r="O595" s="239" t="e">
        <f t="shared" si="234"/>
        <v>#DIV/0!</v>
      </c>
      <c r="P595" s="267" t="e">
        <f t="shared" ref="P595:P611" si="238">(E595*3.6+G595)*100/H595</f>
        <v>#DIV/0!</v>
      </c>
      <c r="Q595" s="267" t="e">
        <f t="shared" ref="Q595:Q611" si="239">E595/(B595*8760)*1000</f>
        <v>#DIV/0!</v>
      </c>
      <c r="R595" s="267" t="e">
        <f t="shared" ref="R595:R611" si="240">G595/(D595*8761)*1000/3.6</f>
        <v>#DIV/0!</v>
      </c>
      <c r="S595" s="267" t="e">
        <f t="shared" ref="S595:S611" si="241">G595/(E595*3.6)</f>
        <v>#DIV/0!</v>
      </c>
      <c r="U595" s="239" t="s">
        <v>517</v>
      </c>
      <c r="V595" s="492">
        <f t="shared" si="228"/>
        <v>0</v>
      </c>
      <c r="Z595" s="214">
        <f t="shared" si="231"/>
        <v>0</v>
      </c>
      <c r="AA595" s="214">
        <f t="shared" si="232"/>
        <v>0</v>
      </c>
    </row>
    <row r="596" spans="1:27" ht="13.15" customHeight="1">
      <c r="A596" s="239" t="s">
        <v>504</v>
      </c>
      <c r="B596" s="209"/>
      <c r="C596" s="209"/>
      <c r="D596" s="209"/>
      <c r="E596" s="209"/>
      <c r="F596" s="209"/>
      <c r="G596" s="209"/>
      <c r="H596" s="209"/>
      <c r="I596" s="424"/>
      <c r="J596" s="230"/>
      <c r="K596" s="305" t="s">
        <v>504</v>
      </c>
      <c r="L596" s="239" t="e">
        <f t="shared" si="235"/>
        <v>#DIV/0!</v>
      </c>
      <c r="M596" s="267" t="e">
        <f t="shared" si="236"/>
        <v>#DIV/0!</v>
      </c>
      <c r="N596" s="267" t="e">
        <f t="shared" si="237"/>
        <v>#DIV/0!</v>
      </c>
      <c r="O596" s="239" t="e">
        <f t="shared" si="234"/>
        <v>#DIV/0!</v>
      </c>
      <c r="P596" s="267" t="e">
        <f t="shared" si="238"/>
        <v>#DIV/0!</v>
      </c>
      <c r="Q596" s="267" t="e">
        <f t="shared" si="239"/>
        <v>#DIV/0!</v>
      </c>
      <c r="R596" s="267" t="e">
        <f t="shared" si="240"/>
        <v>#DIV/0!</v>
      </c>
      <c r="S596" s="267" t="e">
        <f t="shared" si="241"/>
        <v>#DIV/0!</v>
      </c>
      <c r="U596" s="239" t="s">
        <v>518</v>
      </c>
      <c r="V596" s="492">
        <f t="shared" si="228"/>
        <v>0</v>
      </c>
      <c r="Z596" s="214">
        <f t="shared" si="231"/>
        <v>0</v>
      </c>
      <c r="AA596" s="214">
        <f t="shared" si="232"/>
        <v>0</v>
      </c>
    </row>
    <row r="597" spans="1:27" ht="13.15" customHeight="1">
      <c r="A597" s="239" t="s">
        <v>505</v>
      </c>
      <c r="B597" s="209"/>
      <c r="C597" s="209"/>
      <c r="D597" s="209"/>
      <c r="E597" s="209"/>
      <c r="F597" s="209"/>
      <c r="G597" s="209"/>
      <c r="H597" s="209"/>
      <c r="I597" s="424"/>
      <c r="J597" s="230"/>
      <c r="K597" s="305" t="s">
        <v>505</v>
      </c>
      <c r="L597" s="239" t="e">
        <f t="shared" si="235"/>
        <v>#DIV/0!</v>
      </c>
      <c r="M597" s="267" t="e">
        <f t="shared" si="236"/>
        <v>#DIV/0!</v>
      </c>
      <c r="N597" s="267" t="e">
        <f t="shared" si="237"/>
        <v>#DIV/0!</v>
      </c>
      <c r="O597" s="239" t="e">
        <f t="shared" si="234"/>
        <v>#DIV/0!</v>
      </c>
      <c r="P597" s="267" t="e">
        <f t="shared" si="238"/>
        <v>#DIV/0!</v>
      </c>
      <c r="Q597" s="267" t="e">
        <f t="shared" si="239"/>
        <v>#DIV/0!</v>
      </c>
      <c r="R597" s="267" t="e">
        <f t="shared" si="240"/>
        <v>#DIV/0!</v>
      </c>
      <c r="S597" s="267" t="e">
        <f t="shared" si="241"/>
        <v>#DIV/0!</v>
      </c>
      <c r="U597" s="239" t="s">
        <v>519</v>
      </c>
      <c r="V597" s="492">
        <f t="shared" si="228"/>
        <v>6.5700000000000008E-2</v>
      </c>
      <c r="Z597" s="214">
        <f t="shared" si="231"/>
        <v>0</v>
      </c>
      <c r="AA597" s="214">
        <f t="shared" si="232"/>
        <v>0</v>
      </c>
    </row>
    <row r="598" spans="1:27" ht="13.15" customHeight="1">
      <c r="A598" s="239" t="s">
        <v>506</v>
      </c>
      <c r="B598" s="209"/>
      <c r="C598" s="209"/>
      <c r="D598" s="209"/>
      <c r="E598" s="209"/>
      <c r="F598" s="209"/>
      <c r="G598" s="209"/>
      <c r="H598" s="209"/>
      <c r="I598" s="424"/>
      <c r="J598" s="230"/>
      <c r="K598" s="305" t="s">
        <v>506</v>
      </c>
      <c r="L598" s="239" t="e">
        <f t="shared" si="235"/>
        <v>#DIV/0!</v>
      </c>
      <c r="M598" s="267" t="e">
        <f t="shared" si="236"/>
        <v>#DIV/0!</v>
      </c>
      <c r="N598" s="267" t="e">
        <f t="shared" si="237"/>
        <v>#DIV/0!</v>
      </c>
      <c r="O598" s="239" t="e">
        <f t="shared" si="234"/>
        <v>#DIV/0!</v>
      </c>
      <c r="P598" s="267" t="e">
        <f t="shared" si="238"/>
        <v>#DIV/0!</v>
      </c>
      <c r="Q598" s="267" t="e">
        <f t="shared" si="239"/>
        <v>#DIV/0!</v>
      </c>
      <c r="R598" s="267" t="e">
        <f t="shared" si="240"/>
        <v>#DIV/0!</v>
      </c>
      <c r="S598" s="267" t="e">
        <f t="shared" si="241"/>
        <v>#DIV/0!</v>
      </c>
      <c r="U598" s="220"/>
      <c r="Z598" s="214">
        <f t="shared" si="231"/>
        <v>0</v>
      </c>
      <c r="AA598" s="214">
        <f t="shared" si="232"/>
        <v>0</v>
      </c>
    </row>
    <row r="599" spans="1:27" ht="13.15" customHeight="1">
      <c r="A599" s="239" t="s">
        <v>507</v>
      </c>
      <c r="B599" s="209"/>
      <c r="C599" s="209"/>
      <c r="D599" s="209"/>
      <c r="E599" s="209"/>
      <c r="F599" s="209"/>
      <c r="G599" s="209"/>
      <c r="H599" s="209"/>
      <c r="I599" s="424"/>
      <c r="J599" s="230"/>
      <c r="K599" s="305" t="s">
        <v>507</v>
      </c>
      <c r="L599" s="239" t="e">
        <f t="shared" si="235"/>
        <v>#DIV/0!</v>
      </c>
      <c r="M599" s="267" t="e">
        <f t="shared" si="236"/>
        <v>#DIV/0!</v>
      </c>
      <c r="N599" s="267" t="e">
        <f t="shared" si="237"/>
        <v>#DIV/0!</v>
      </c>
      <c r="O599" s="239" t="e">
        <f t="shared" si="234"/>
        <v>#DIV/0!</v>
      </c>
      <c r="P599" s="267" t="e">
        <f t="shared" si="238"/>
        <v>#DIV/0!</v>
      </c>
      <c r="Q599" s="267" t="e">
        <f t="shared" si="239"/>
        <v>#DIV/0!</v>
      </c>
      <c r="R599" s="267" t="e">
        <f t="shared" si="240"/>
        <v>#DIV/0!</v>
      </c>
      <c r="S599" s="267" t="e">
        <f t="shared" si="241"/>
        <v>#DIV/0!</v>
      </c>
      <c r="U599" s="220"/>
      <c r="Z599" s="214">
        <f t="shared" si="231"/>
        <v>0</v>
      </c>
      <c r="AA599" s="214">
        <f t="shared" si="232"/>
        <v>0</v>
      </c>
    </row>
    <row r="600" spans="1:27" ht="13.15" customHeight="1">
      <c r="A600" s="239" t="s">
        <v>156</v>
      </c>
      <c r="B600" s="209"/>
      <c r="C600" s="209"/>
      <c r="D600" s="425"/>
      <c r="E600" s="425"/>
      <c r="F600" s="425"/>
      <c r="G600" s="425"/>
      <c r="H600" s="209"/>
      <c r="I600" s="424"/>
      <c r="J600" s="230"/>
      <c r="K600" s="305" t="s">
        <v>156</v>
      </c>
      <c r="L600" s="239" t="e">
        <f t="shared" si="235"/>
        <v>#DIV/0!</v>
      </c>
      <c r="M600" s="267" t="e">
        <f t="shared" si="236"/>
        <v>#DIV/0!</v>
      </c>
      <c r="N600" s="267" t="e">
        <f t="shared" si="237"/>
        <v>#DIV/0!</v>
      </c>
      <c r="O600" s="322" t="e">
        <f t="shared" si="234"/>
        <v>#DIV/0!</v>
      </c>
      <c r="P600" s="323" t="e">
        <f t="shared" si="238"/>
        <v>#DIV/0!</v>
      </c>
      <c r="Q600" s="267" t="e">
        <f t="shared" si="239"/>
        <v>#DIV/0!</v>
      </c>
      <c r="R600" s="267" t="e">
        <f t="shared" si="240"/>
        <v>#DIV/0!</v>
      </c>
      <c r="S600" s="267" t="e">
        <f t="shared" si="241"/>
        <v>#DIV/0!</v>
      </c>
      <c r="U600" s="220"/>
      <c r="Z600" s="214">
        <f t="shared" si="231"/>
        <v>0</v>
      </c>
      <c r="AA600" s="214">
        <f t="shared" si="232"/>
        <v>0</v>
      </c>
    </row>
    <row r="601" spans="1:27" ht="13.15" customHeight="1">
      <c r="A601" s="239" t="s">
        <v>508</v>
      </c>
      <c r="B601" s="209"/>
      <c r="C601" s="209"/>
      <c r="D601" s="425"/>
      <c r="E601" s="425"/>
      <c r="F601" s="425"/>
      <c r="G601" s="425"/>
      <c r="H601" s="209"/>
      <c r="I601" s="424"/>
      <c r="J601" s="230"/>
      <c r="K601" s="305" t="s">
        <v>508</v>
      </c>
      <c r="L601" s="239" t="e">
        <f t="shared" si="235"/>
        <v>#DIV/0!</v>
      </c>
      <c r="M601" s="267" t="e">
        <f t="shared" si="236"/>
        <v>#DIV/0!</v>
      </c>
      <c r="N601" s="267" t="e">
        <f t="shared" si="237"/>
        <v>#DIV/0!</v>
      </c>
      <c r="O601" s="239" t="e">
        <f t="shared" si="234"/>
        <v>#DIV/0!</v>
      </c>
      <c r="P601" s="267" t="e">
        <f t="shared" si="238"/>
        <v>#DIV/0!</v>
      </c>
      <c r="Q601" s="267" t="e">
        <f t="shared" si="239"/>
        <v>#DIV/0!</v>
      </c>
      <c r="R601" s="267" t="e">
        <f t="shared" si="240"/>
        <v>#DIV/0!</v>
      </c>
      <c r="S601" s="267" t="e">
        <f t="shared" si="241"/>
        <v>#DIV/0!</v>
      </c>
      <c r="U601" s="220"/>
      <c r="Z601" s="214">
        <f t="shared" si="231"/>
        <v>0</v>
      </c>
      <c r="AA601" s="214">
        <f t="shared" si="232"/>
        <v>0</v>
      </c>
    </row>
    <row r="602" spans="1:27" ht="13.15" customHeight="1">
      <c r="A602" s="239" t="s">
        <v>509</v>
      </c>
      <c r="B602" s="209">
        <v>21.3</v>
      </c>
      <c r="C602" s="209">
        <v>21.3</v>
      </c>
      <c r="D602" s="209">
        <v>111.3</v>
      </c>
      <c r="E602" s="209">
        <v>167.4</v>
      </c>
      <c r="F602" s="209">
        <v>167.4</v>
      </c>
      <c r="G602" s="209">
        <v>1278</v>
      </c>
      <c r="H602" s="209">
        <v>2041</v>
      </c>
      <c r="I602" s="424">
        <v>2</v>
      </c>
      <c r="J602" s="230"/>
      <c r="K602" s="305" t="s">
        <v>509</v>
      </c>
      <c r="L602" s="239">
        <f t="shared" si="235"/>
        <v>10.65</v>
      </c>
      <c r="M602" s="267">
        <f t="shared" si="236"/>
        <v>55.65</v>
      </c>
      <c r="N602" s="267">
        <f t="shared" si="237"/>
        <v>5.225352112676056</v>
      </c>
      <c r="O602" s="239">
        <f t="shared" si="234"/>
        <v>92.143067123958843</v>
      </c>
      <c r="P602" s="267">
        <f t="shared" si="238"/>
        <v>92.143067123958843</v>
      </c>
      <c r="Q602" s="267">
        <f t="shared" si="239"/>
        <v>0.89716380474628599</v>
      </c>
      <c r="R602" s="267">
        <f t="shared" si="240"/>
        <v>0.36406548543312461</v>
      </c>
      <c r="S602" s="267">
        <f t="shared" si="241"/>
        <v>2.1206690561529271</v>
      </c>
      <c r="U602" s="220"/>
      <c r="Z602" s="214">
        <f t="shared" si="231"/>
        <v>0</v>
      </c>
      <c r="AA602" s="214">
        <f t="shared" si="232"/>
        <v>0</v>
      </c>
    </row>
    <row r="603" spans="1:27" ht="13.15" customHeight="1">
      <c r="A603" s="239" t="s">
        <v>510</v>
      </c>
      <c r="B603" s="209"/>
      <c r="C603" s="209"/>
      <c r="D603" s="209"/>
      <c r="E603" s="209"/>
      <c r="F603" s="209"/>
      <c r="G603" s="209"/>
      <c r="H603" s="209"/>
      <c r="I603" s="424"/>
      <c r="J603" s="230"/>
      <c r="K603" s="305" t="s">
        <v>510</v>
      </c>
      <c r="L603" s="239" t="e">
        <f t="shared" si="235"/>
        <v>#DIV/0!</v>
      </c>
      <c r="M603" s="267" t="e">
        <f t="shared" si="236"/>
        <v>#DIV/0!</v>
      </c>
      <c r="N603" s="267" t="e">
        <f t="shared" si="237"/>
        <v>#DIV/0!</v>
      </c>
      <c r="O603" s="322" t="e">
        <f t="shared" si="234"/>
        <v>#DIV/0!</v>
      </c>
      <c r="P603" s="323" t="e">
        <f t="shared" si="238"/>
        <v>#DIV/0!</v>
      </c>
      <c r="Q603" s="267" t="e">
        <f t="shared" si="239"/>
        <v>#DIV/0!</v>
      </c>
      <c r="R603" s="267" t="e">
        <f t="shared" si="240"/>
        <v>#DIV/0!</v>
      </c>
      <c r="S603" s="267" t="e">
        <f t="shared" si="241"/>
        <v>#DIV/0!</v>
      </c>
      <c r="U603" s="220"/>
      <c r="Z603" s="214">
        <f t="shared" si="231"/>
        <v>0</v>
      </c>
      <c r="AA603" s="214">
        <f t="shared" si="232"/>
        <v>0</v>
      </c>
    </row>
    <row r="604" spans="1:27" ht="13.15" customHeight="1">
      <c r="A604" s="239" t="s">
        <v>511</v>
      </c>
      <c r="B604" s="209"/>
      <c r="C604" s="209"/>
      <c r="D604" s="209"/>
      <c r="E604" s="209"/>
      <c r="F604" s="209"/>
      <c r="G604" s="209"/>
      <c r="H604" s="209"/>
      <c r="I604" s="424"/>
      <c r="J604" s="230"/>
      <c r="K604" s="305" t="s">
        <v>511</v>
      </c>
      <c r="L604" s="239" t="e">
        <f t="shared" si="235"/>
        <v>#DIV/0!</v>
      </c>
      <c r="M604" s="267" t="e">
        <f t="shared" si="236"/>
        <v>#DIV/0!</v>
      </c>
      <c r="N604" s="267" t="e">
        <f t="shared" si="237"/>
        <v>#DIV/0!</v>
      </c>
      <c r="O604" s="239" t="e">
        <f t="shared" si="234"/>
        <v>#DIV/0!</v>
      </c>
      <c r="P604" s="267" t="e">
        <f t="shared" si="238"/>
        <v>#DIV/0!</v>
      </c>
      <c r="Q604" s="267" t="e">
        <f t="shared" si="239"/>
        <v>#DIV/0!</v>
      </c>
      <c r="R604" s="267" t="e">
        <f t="shared" si="240"/>
        <v>#DIV/0!</v>
      </c>
      <c r="S604" s="267" t="e">
        <f t="shared" si="241"/>
        <v>#DIV/0!</v>
      </c>
      <c r="U604" s="220"/>
      <c r="Z604" s="214">
        <f t="shared" si="231"/>
        <v>0</v>
      </c>
      <c r="AA604" s="214">
        <f t="shared" si="232"/>
        <v>0</v>
      </c>
    </row>
    <row r="605" spans="1:27" ht="13.15" customHeight="1">
      <c r="A605" s="239" t="s">
        <v>512</v>
      </c>
      <c r="B605" s="209"/>
      <c r="C605" s="209"/>
      <c r="D605" s="209"/>
      <c r="E605" s="209"/>
      <c r="F605" s="209"/>
      <c r="G605" s="209"/>
      <c r="H605" s="209"/>
      <c r="I605" s="424"/>
      <c r="J605" s="230"/>
      <c r="K605" s="305" t="s">
        <v>512</v>
      </c>
      <c r="L605" s="239" t="e">
        <f t="shared" si="235"/>
        <v>#DIV/0!</v>
      </c>
      <c r="M605" s="267" t="e">
        <f t="shared" si="236"/>
        <v>#DIV/0!</v>
      </c>
      <c r="N605" s="267" t="e">
        <f t="shared" si="237"/>
        <v>#DIV/0!</v>
      </c>
      <c r="O605" s="239" t="e">
        <f t="shared" si="234"/>
        <v>#DIV/0!</v>
      </c>
      <c r="P605" s="267" t="e">
        <f t="shared" si="238"/>
        <v>#DIV/0!</v>
      </c>
      <c r="Q605" s="267" t="e">
        <f t="shared" si="239"/>
        <v>#DIV/0!</v>
      </c>
      <c r="R605" s="267" t="e">
        <f t="shared" si="240"/>
        <v>#DIV/0!</v>
      </c>
      <c r="S605" s="267" t="e">
        <f t="shared" si="241"/>
        <v>#DIV/0!</v>
      </c>
      <c r="U605" s="220"/>
      <c r="Z605" s="214">
        <f t="shared" si="231"/>
        <v>0</v>
      </c>
      <c r="AA605" s="214">
        <f t="shared" si="232"/>
        <v>0</v>
      </c>
    </row>
    <row r="606" spans="1:27" ht="13.15" customHeight="1">
      <c r="A606" s="239" t="s">
        <v>513</v>
      </c>
      <c r="B606" s="209"/>
      <c r="C606" s="209"/>
      <c r="D606" s="209"/>
      <c r="E606" s="209"/>
      <c r="F606" s="209"/>
      <c r="G606" s="209"/>
      <c r="H606" s="209"/>
      <c r="I606" s="424"/>
      <c r="J606" s="230"/>
      <c r="K606" s="305" t="s">
        <v>513</v>
      </c>
      <c r="L606" s="239" t="e">
        <f t="shared" si="235"/>
        <v>#DIV/0!</v>
      </c>
      <c r="M606" s="267" t="e">
        <f t="shared" si="236"/>
        <v>#DIV/0!</v>
      </c>
      <c r="N606" s="267" t="e">
        <f t="shared" si="237"/>
        <v>#DIV/0!</v>
      </c>
      <c r="O606" s="239" t="e">
        <f t="shared" si="234"/>
        <v>#DIV/0!</v>
      </c>
      <c r="P606" s="267" t="e">
        <f t="shared" si="238"/>
        <v>#DIV/0!</v>
      </c>
      <c r="Q606" s="267" t="e">
        <f t="shared" si="239"/>
        <v>#DIV/0!</v>
      </c>
      <c r="R606" s="267" t="e">
        <f t="shared" si="240"/>
        <v>#DIV/0!</v>
      </c>
      <c r="S606" s="267" t="e">
        <f t="shared" si="241"/>
        <v>#DIV/0!</v>
      </c>
      <c r="U606" s="220"/>
      <c r="Z606" s="214">
        <f t="shared" si="231"/>
        <v>0</v>
      </c>
      <c r="AA606" s="214">
        <f t="shared" si="232"/>
        <v>0</v>
      </c>
    </row>
    <row r="607" spans="1:27" ht="13.15" customHeight="1">
      <c r="A607" s="239" t="s">
        <v>514</v>
      </c>
      <c r="B607" s="209">
        <v>1</v>
      </c>
      <c r="C607" s="209">
        <v>1</v>
      </c>
      <c r="D607" s="209">
        <v>1</v>
      </c>
      <c r="E607" s="209">
        <v>3</v>
      </c>
      <c r="F607" s="209">
        <v>3</v>
      </c>
      <c r="G607" s="209">
        <v>16</v>
      </c>
      <c r="H607" s="209">
        <v>30</v>
      </c>
      <c r="I607" s="424">
        <v>1</v>
      </c>
      <c r="J607" s="230"/>
      <c r="K607" s="305" t="s">
        <v>514</v>
      </c>
      <c r="L607" s="239">
        <f t="shared" si="235"/>
        <v>1</v>
      </c>
      <c r="M607" s="267">
        <f t="shared" si="236"/>
        <v>1</v>
      </c>
      <c r="N607" s="267">
        <f t="shared" si="237"/>
        <v>1</v>
      </c>
      <c r="O607" s="239">
        <f t="shared" si="234"/>
        <v>89.333333333333329</v>
      </c>
      <c r="P607" s="267">
        <f t="shared" si="238"/>
        <v>89.333333333333329</v>
      </c>
      <c r="Q607" s="267">
        <f t="shared" si="239"/>
        <v>0.34246575342465752</v>
      </c>
      <c r="R607" s="267">
        <f t="shared" si="240"/>
        <v>0.50729876092277648</v>
      </c>
      <c r="S607" s="267">
        <f t="shared" si="241"/>
        <v>1.4814814814814814</v>
      </c>
      <c r="U607" s="220"/>
      <c r="Z607" s="214">
        <f t="shared" si="231"/>
        <v>0</v>
      </c>
      <c r="AA607" s="214">
        <f t="shared" si="232"/>
        <v>0</v>
      </c>
    </row>
    <row r="608" spans="1:27" ht="13.15" customHeight="1">
      <c r="A608" s="239" t="s">
        <v>515</v>
      </c>
      <c r="B608" s="382"/>
      <c r="C608" s="382"/>
      <c r="D608" s="204"/>
      <c r="E608" s="267"/>
      <c r="F608" s="267"/>
      <c r="G608" s="206"/>
      <c r="H608" s="202"/>
      <c r="I608" s="202"/>
      <c r="J608" s="230"/>
      <c r="K608" s="305" t="s">
        <v>515</v>
      </c>
      <c r="L608" s="239" t="e">
        <f t="shared" si="235"/>
        <v>#DIV/0!</v>
      </c>
      <c r="M608" s="267" t="e">
        <f t="shared" si="236"/>
        <v>#DIV/0!</v>
      </c>
      <c r="N608" s="267" t="e">
        <f t="shared" si="237"/>
        <v>#DIV/0!</v>
      </c>
      <c r="O608" s="239" t="e">
        <f t="shared" si="234"/>
        <v>#DIV/0!</v>
      </c>
      <c r="P608" s="267" t="e">
        <f t="shared" si="238"/>
        <v>#DIV/0!</v>
      </c>
      <c r="Q608" s="267" t="e">
        <f t="shared" si="239"/>
        <v>#DIV/0!</v>
      </c>
      <c r="R608" s="267" t="e">
        <f t="shared" si="240"/>
        <v>#DIV/0!</v>
      </c>
      <c r="S608" s="267" t="e">
        <f t="shared" si="241"/>
        <v>#DIV/0!</v>
      </c>
      <c r="U608" s="220"/>
      <c r="Z608" s="214">
        <f t="shared" si="231"/>
        <v>0</v>
      </c>
      <c r="AA608" s="214">
        <f t="shared" si="232"/>
        <v>0</v>
      </c>
    </row>
    <row r="609" spans="1:27" ht="13.15" customHeight="1">
      <c r="A609" s="239" t="s">
        <v>516</v>
      </c>
      <c r="B609" s="204"/>
      <c r="C609" s="204"/>
      <c r="D609" s="202"/>
      <c r="E609" s="267"/>
      <c r="F609" s="267"/>
      <c r="G609" s="206"/>
      <c r="H609" s="202"/>
      <c r="I609" s="202"/>
      <c r="J609" s="244"/>
      <c r="K609" s="239" t="s">
        <v>516</v>
      </c>
      <c r="L609" s="239" t="e">
        <f t="shared" si="235"/>
        <v>#DIV/0!</v>
      </c>
      <c r="M609" s="267" t="e">
        <f t="shared" si="236"/>
        <v>#DIV/0!</v>
      </c>
      <c r="N609" s="267" t="e">
        <f t="shared" si="237"/>
        <v>#DIV/0!</v>
      </c>
      <c r="O609" s="239" t="e">
        <f t="shared" si="234"/>
        <v>#DIV/0!</v>
      </c>
      <c r="P609" s="267" t="e">
        <f t="shared" si="238"/>
        <v>#DIV/0!</v>
      </c>
      <c r="Q609" s="267" t="e">
        <f t="shared" si="239"/>
        <v>#DIV/0!</v>
      </c>
      <c r="R609" s="267" t="e">
        <f t="shared" si="240"/>
        <v>#DIV/0!</v>
      </c>
      <c r="S609" s="267" t="e">
        <f t="shared" si="241"/>
        <v>#DIV/0!</v>
      </c>
      <c r="U609" s="220"/>
      <c r="Z609" s="214">
        <f t="shared" si="231"/>
        <v>0</v>
      </c>
      <c r="AA609" s="214">
        <f t="shared" si="232"/>
        <v>0</v>
      </c>
    </row>
    <row r="610" spans="1:27" ht="13.15" customHeight="1">
      <c r="A610" s="239" t="s">
        <v>517</v>
      </c>
      <c r="B610" s="204"/>
      <c r="C610" s="204"/>
      <c r="D610" s="204"/>
      <c r="E610" s="267"/>
      <c r="F610" s="267"/>
      <c r="G610" s="206"/>
      <c r="H610" s="202"/>
      <c r="I610" s="202"/>
      <c r="K610" s="239" t="s">
        <v>517</v>
      </c>
      <c r="L610" s="239" t="e">
        <f t="shared" si="235"/>
        <v>#DIV/0!</v>
      </c>
      <c r="M610" s="267" t="e">
        <f t="shared" si="236"/>
        <v>#DIV/0!</v>
      </c>
      <c r="N610" s="267" t="e">
        <f t="shared" si="237"/>
        <v>#DIV/0!</v>
      </c>
      <c r="O610" s="239" t="e">
        <f t="shared" si="234"/>
        <v>#DIV/0!</v>
      </c>
      <c r="P610" s="267" t="e">
        <f t="shared" si="238"/>
        <v>#DIV/0!</v>
      </c>
      <c r="Q610" s="267" t="e">
        <f t="shared" si="239"/>
        <v>#DIV/0!</v>
      </c>
      <c r="R610" s="267" t="e">
        <f t="shared" si="240"/>
        <v>#DIV/0!</v>
      </c>
      <c r="S610" s="267" t="e">
        <f t="shared" si="241"/>
        <v>#DIV/0!</v>
      </c>
      <c r="U610" s="220"/>
      <c r="Z610" s="214">
        <f t="shared" si="231"/>
        <v>0</v>
      </c>
      <c r="AA610" s="214">
        <f t="shared" si="232"/>
        <v>0</v>
      </c>
    </row>
    <row r="611" spans="1:27" ht="13.15" customHeight="1">
      <c r="A611" s="239" t="s">
        <v>518</v>
      </c>
      <c r="B611" s="216"/>
      <c r="C611" s="216"/>
      <c r="D611" s="216"/>
      <c r="E611" s="385"/>
      <c r="F611" s="385"/>
      <c r="G611" s="386"/>
      <c r="H611" s="215"/>
      <c r="I611" s="202"/>
      <c r="K611" s="239" t="s">
        <v>518</v>
      </c>
      <c r="L611" s="239" t="e">
        <f t="shared" si="235"/>
        <v>#DIV/0!</v>
      </c>
      <c r="M611" s="267" t="e">
        <f t="shared" si="236"/>
        <v>#DIV/0!</v>
      </c>
      <c r="N611" s="267" t="e">
        <f t="shared" si="237"/>
        <v>#DIV/0!</v>
      </c>
      <c r="O611" s="239" t="e">
        <f t="shared" si="234"/>
        <v>#DIV/0!</v>
      </c>
      <c r="P611" s="267" t="e">
        <f t="shared" si="238"/>
        <v>#DIV/0!</v>
      </c>
      <c r="Q611" s="267" t="e">
        <f t="shared" si="239"/>
        <v>#DIV/0!</v>
      </c>
      <c r="R611" s="267" t="e">
        <f t="shared" si="240"/>
        <v>#DIV/0!</v>
      </c>
      <c r="S611" s="267" t="e">
        <f t="shared" si="241"/>
        <v>#DIV/0!</v>
      </c>
      <c r="U611" s="220"/>
      <c r="Z611" s="214">
        <f t="shared" si="231"/>
        <v>0</v>
      </c>
      <c r="AA611" s="214">
        <f t="shared" si="232"/>
        <v>0</v>
      </c>
    </row>
    <row r="612" spans="1:27" ht="13.15" customHeight="1" thickBot="1">
      <c r="A612" s="239" t="s">
        <v>519</v>
      </c>
      <c r="B612" s="212">
        <v>65.7</v>
      </c>
      <c r="C612" s="212">
        <v>65.7</v>
      </c>
      <c r="D612" s="212">
        <v>246.7</v>
      </c>
      <c r="E612" s="212">
        <v>120.4</v>
      </c>
      <c r="F612" s="212">
        <v>120.4</v>
      </c>
      <c r="G612" s="212">
        <v>803</v>
      </c>
      <c r="H612" s="212">
        <v>1446</v>
      </c>
      <c r="I612" s="426">
        <v>53</v>
      </c>
      <c r="K612" s="239" t="s">
        <v>519</v>
      </c>
      <c r="L612" s="239"/>
      <c r="M612" s="267"/>
      <c r="N612" s="267"/>
      <c r="O612" s="239"/>
      <c r="P612" s="267"/>
      <c r="Q612" s="267"/>
      <c r="R612" s="267"/>
      <c r="S612" s="267"/>
      <c r="U612" s="220"/>
      <c r="Z612" s="214">
        <f t="shared" si="231"/>
        <v>0</v>
      </c>
      <c r="AA612" s="214">
        <f t="shared" si="232"/>
        <v>0</v>
      </c>
    </row>
    <row r="613" spans="1:27" ht="13.15" customHeight="1">
      <c r="A613" s="282" t="s">
        <v>169</v>
      </c>
      <c r="B613" s="360">
        <f>B592+B594</f>
        <v>88</v>
      </c>
      <c r="C613" s="360">
        <f t="shared" ref="C613:I613" si="242">C592+C594</f>
        <v>88</v>
      </c>
      <c r="D613" s="360">
        <f t="shared" si="242"/>
        <v>359</v>
      </c>
      <c r="E613" s="360">
        <f t="shared" si="242"/>
        <v>290.8</v>
      </c>
      <c r="F613" s="360">
        <f t="shared" si="242"/>
        <v>290.8</v>
      </c>
      <c r="G613" s="360">
        <f t="shared" si="242"/>
        <v>2097</v>
      </c>
      <c r="H613" s="360">
        <f t="shared" si="242"/>
        <v>3517</v>
      </c>
      <c r="I613" s="360">
        <f t="shared" si="242"/>
        <v>56</v>
      </c>
      <c r="K613" s="328" t="s">
        <v>169</v>
      </c>
      <c r="L613" s="282">
        <f>B613/I613</f>
        <v>1.5714285714285714</v>
      </c>
      <c r="M613" s="281">
        <f>D613/I613</f>
        <v>6.4107142857142856</v>
      </c>
      <c r="N613" s="281">
        <f>D613/B613</f>
        <v>4.0795454545454541</v>
      </c>
      <c r="O613" s="282">
        <f>(F613*3.6+G613)*100/H613</f>
        <v>89.390958203013938</v>
      </c>
      <c r="P613" s="282">
        <f>(E613*3.6+G613)*100/H613</f>
        <v>89.390958203013938</v>
      </c>
      <c r="Q613" s="281">
        <f>E613/(B613*8760)*1000</f>
        <v>0.37723121627231221</v>
      </c>
      <c r="R613" s="281">
        <f>G613/(D613*8761)*1000/3.6</f>
        <v>0.18520290766975317</v>
      </c>
      <c r="S613" s="281">
        <f>G613/(E613*3.6)</f>
        <v>2.0030949105914715</v>
      </c>
      <c r="U613" s="220"/>
      <c r="Z613" s="214">
        <f t="shared" si="231"/>
        <v>0</v>
      </c>
      <c r="AA613" s="214">
        <f t="shared" si="232"/>
        <v>0</v>
      </c>
    </row>
    <row r="614" spans="1:27" ht="13.15" customHeight="1">
      <c r="U614" s="220"/>
    </row>
    <row r="615" spans="1:27" ht="13.15" customHeight="1">
      <c r="A615" s="251" t="s">
        <v>520</v>
      </c>
      <c r="B615" s="227" t="s">
        <v>476</v>
      </c>
      <c r="C615" s="228"/>
      <c r="D615" s="286"/>
      <c r="E615" s="227" t="s">
        <v>521</v>
      </c>
      <c r="F615" s="228"/>
      <c r="G615" s="286"/>
      <c r="H615" s="200" t="s">
        <v>138</v>
      </c>
      <c r="I615" s="200" t="s">
        <v>478</v>
      </c>
      <c r="U615" s="220"/>
    </row>
    <row r="616" spans="1:27" ht="13.15" customHeight="1">
      <c r="A616" s="239"/>
      <c r="B616" s="243" t="s">
        <v>88</v>
      </c>
      <c r="C616" s="243"/>
      <c r="D616" s="241" t="s">
        <v>34</v>
      </c>
      <c r="E616" s="243" t="s">
        <v>88</v>
      </c>
      <c r="F616" s="243"/>
      <c r="G616" s="241" t="s">
        <v>34</v>
      </c>
      <c r="H616" s="241" t="s">
        <v>170</v>
      </c>
      <c r="I616" s="241" t="s">
        <v>483</v>
      </c>
      <c r="U616" s="220"/>
    </row>
    <row r="617" spans="1:27" ht="13.15" customHeight="1">
      <c r="A617" s="239"/>
      <c r="B617" s="252" t="s">
        <v>0</v>
      </c>
      <c r="C617" s="252" t="s">
        <v>489</v>
      </c>
      <c r="D617" s="252" t="s">
        <v>490</v>
      </c>
      <c r="E617" s="252" t="s">
        <v>491</v>
      </c>
      <c r="F617" s="252" t="s">
        <v>489</v>
      </c>
      <c r="G617" s="252" t="s">
        <v>490</v>
      </c>
      <c r="H617" s="248"/>
      <c r="I617" s="241" t="s">
        <v>492</v>
      </c>
      <c r="U617" s="220"/>
    </row>
    <row r="618" spans="1:27" ht="13.15" customHeight="1">
      <c r="A618" s="239"/>
      <c r="B618" s="257" t="s">
        <v>496</v>
      </c>
      <c r="C618" s="256" t="s">
        <v>496</v>
      </c>
      <c r="D618" s="252" t="s">
        <v>496</v>
      </c>
      <c r="E618" s="329" t="s">
        <v>473</v>
      </c>
      <c r="F618" s="329" t="s">
        <v>473</v>
      </c>
      <c r="G618" s="252" t="s">
        <v>496</v>
      </c>
      <c r="H618" s="257" t="s">
        <v>497</v>
      </c>
      <c r="I618" s="257" t="s">
        <v>498</v>
      </c>
      <c r="U618" s="220"/>
    </row>
    <row r="619" spans="1:27" ht="13.15" customHeight="1">
      <c r="A619" s="251" t="s">
        <v>522</v>
      </c>
      <c r="B619" s="389"/>
      <c r="C619" s="389"/>
      <c r="D619" s="200"/>
      <c r="E619" s="389"/>
      <c r="F619" s="389"/>
      <c r="G619" s="200"/>
      <c r="H619" s="200"/>
      <c r="I619" s="200"/>
      <c r="U619" s="220"/>
    </row>
    <row r="620" spans="1:27" ht="13.15" customHeight="1">
      <c r="A620" s="239" t="s">
        <v>523</v>
      </c>
      <c r="B620" s="216"/>
      <c r="C620" s="204"/>
      <c r="D620" s="204"/>
      <c r="E620" s="216"/>
      <c r="F620" s="204"/>
      <c r="G620" s="204"/>
      <c r="H620" s="202"/>
      <c r="I620" s="216"/>
    </row>
    <row r="621" spans="1:27" ht="13.15" customHeight="1">
      <c r="A621" s="239" t="s">
        <v>524</v>
      </c>
      <c r="B621" s="216"/>
      <c r="C621" s="204"/>
      <c r="D621" s="204"/>
      <c r="E621" s="216"/>
      <c r="F621" s="204"/>
      <c r="G621" s="204"/>
      <c r="H621" s="202"/>
      <c r="I621" s="216"/>
    </row>
    <row r="622" spans="1:27" ht="13.15" customHeight="1">
      <c r="A622" s="239" t="s">
        <v>525</v>
      </c>
      <c r="B622" s="334">
        <v>67</v>
      </c>
      <c r="C622" s="334">
        <v>67</v>
      </c>
      <c r="D622" s="334">
        <v>214.8</v>
      </c>
      <c r="E622" s="334">
        <v>219</v>
      </c>
      <c r="F622" s="334">
        <v>219</v>
      </c>
      <c r="G622" s="334">
        <v>1558.3</v>
      </c>
      <c r="H622" s="334">
        <v>2638.5</v>
      </c>
      <c r="I622" s="335">
        <v>43</v>
      </c>
    </row>
    <row r="623" spans="1:27" ht="13.15" customHeight="1">
      <c r="A623" s="239" t="s">
        <v>267</v>
      </c>
      <c r="B623" s="216"/>
      <c r="C623" s="204"/>
      <c r="D623" s="204"/>
      <c r="E623" s="216"/>
      <c r="F623" s="204"/>
      <c r="G623" s="204"/>
      <c r="H623" s="202"/>
      <c r="I623" s="216"/>
    </row>
    <row r="624" spans="1:27" ht="13.15" customHeight="1">
      <c r="A624" s="312" t="s">
        <v>526</v>
      </c>
      <c r="B624" s="391"/>
      <c r="C624" s="391"/>
      <c r="D624" s="205"/>
      <c r="E624" s="391"/>
      <c r="F624" s="391"/>
      <c r="G624" s="205"/>
      <c r="H624" s="205"/>
      <c r="I624" s="391"/>
    </row>
    <row r="625" spans="1:27" ht="13.15" customHeight="1">
      <c r="A625" s="239" t="s">
        <v>527</v>
      </c>
      <c r="B625" s="216"/>
      <c r="C625" s="204"/>
      <c r="D625" s="204"/>
      <c r="E625" s="216"/>
      <c r="F625" s="204"/>
      <c r="G625" s="204"/>
      <c r="H625" s="202"/>
      <c r="I625" s="216"/>
    </row>
    <row r="626" spans="1:27" ht="13.15" customHeight="1">
      <c r="A626" s="239" t="s">
        <v>528</v>
      </c>
      <c r="B626" s="334">
        <v>21</v>
      </c>
      <c r="C626" s="334">
        <v>21</v>
      </c>
      <c r="D626" s="334">
        <v>144.1</v>
      </c>
      <c r="E626" s="334">
        <v>71.8</v>
      </c>
      <c r="F626" s="334">
        <v>71.8</v>
      </c>
      <c r="G626" s="334">
        <v>538.70000000000005</v>
      </c>
      <c r="H626" s="334">
        <v>878.5</v>
      </c>
      <c r="I626" s="335">
        <v>13</v>
      </c>
    </row>
    <row r="627" spans="1:27" ht="13.15" customHeight="1">
      <c r="A627" s="239" t="s">
        <v>529</v>
      </c>
      <c r="B627" s="204"/>
      <c r="C627" s="204"/>
      <c r="D627" s="204"/>
      <c r="E627" s="204"/>
      <c r="F627" s="204"/>
      <c r="G627" s="204"/>
      <c r="H627" s="202"/>
      <c r="I627" s="204"/>
    </row>
    <row r="628" spans="1:27" ht="13.15" customHeight="1">
      <c r="A628" s="239" t="s">
        <v>530</v>
      </c>
      <c r="B628" s="204"/>
      <c r="C628" s="204"/>
      <c r="D628" s="204"/>
      <c r="E628" s="204"/>
      <c r="F628" s="204"/>
      <c r="G628" s="204"/>
      <c r="H628" s="202"/>
      <c r="I628" s="204"/>
    </row>
    <row r="629" spans="1:27" ht="13.15" customHeight="1">
      <c r="A629" s="282" t="s">
        <v>169</v>
      </c>
      <c r="B629" s="360">
        <f t="shared" ref="B629:I629" si="243">SUM(B619:B628)</f>
        <v>88</v>
      </c>
      <c r="C629" s="360">
        <f t="shared" si="243"/>
        <v>88</v>
      </c>
      <c r="D629" s="360">
        <f t="shared" si="243"/>
        <v>358.9</v>
      </c>
      <c r="E629" s="360">
        <f t="shared" si="243"/>
        <v>290.8</v>
      </c>
      <c r="F629" s="360">
        <f t="shared" si="243"/>
        <v>290.8</v>
      </c>
      <c r="G629" s="360">
        <f t="shared" si="243"/>
        <v>2097</v>
      </c>
      <c r="H629" s="360">
        <f t="shared" si="243"/>
        <v>3517</v>
      </c>
      <c r="I629" s="360">
        <f t="shared" si="243"/>
        <v>56</v>
      </c>
    </row>
    <row r="630" spans="1:27" ht="13.15" customHeight="1"/>
    <row r="631" spans="1:27" ht="13.15" customHeight="1"/>
    <row r="632" spans="1:27" ht="13.15" customHeight="1">
      <c r="A632" s="221" t="s">
        <v>191</v>
      </c>
      <c r="D632" s="220"/>
      <c r="I632" s="221">
        <v>2002</v>
      </c>
      <c r="K632" s="221" t="str">
        <f>+A632</f>
        <v>Netherlands</v>
      </c>
      <c r="M632" s="220"/>
      <c r="S632" s="221">
        <v>2002</v>
      </c>
    </row>
    <row r="633" spans="1:27" ht="13.15" customHeight="1" thickBot="1"/>
    <row r="634" spans="1:27" ht="13.15" customHeight="1">
      <c r="A634" s="346" t="s">
        <v>475</v>
      </c>
      <c r="B634" s="233" t="s">
        <v>476</v>
      </c>
      <c r="C634" s="233"/>
      <c r="D634" s="234"/>
      <c r="E634" s="235" t="s">
        <v>477</v>
      </c>
      <c r="F634" s="233"/>
      <c r="G634" s="236"/>
      <c r="H634" s="347" t="s">
        <v>138</v>
      </c>
      <c r="I634" s="348" t="s">
        <v>478</v>
      </c>
      <c r="J634" s="230"/>
      <c r="K634" s="231" t="s">
        <v>475</v>
      </c>
      <c r="L634" s="232" t="s">
        <v>479</v>
      </c>
      <c r="M634" s="233"/>
      <c r="N634" s="234"/>
      <c r="O634" s="235" t="s">
        <v>480</v>
      </c>
      <c r="P634" s="233"/>
      <c r="Q634" s="233"/>
      <c r="R634" s="236"/>
      <c r="S634" s="237"/>
    </row>
    <row r="635" spans="1:27" ht="13.15" customHeight="1">
      <c r="A635" s="266"/>
      <c r="B635" s="240" t="s">
        <v>9</v>
      </c>
      <c r="C635" s="240"/>
      <c r="D635" s="241" t="s">
        <v>34</v>
      </c>
      <c r="E635" s="242" t="s">
        <v>88</v>
      </c>
      <c r="F635" s="243"/>
      <c r="G635" s="244" t="s">
        <v>34</v>
      </c>
      <c r="H635" s="241" t="s">
        <v>170</v>
      </c>
      <c r="I635" s="349" t="s">
        <v>483</v>
      </c>
      <c r="J635" s="230"/>
      <c r="K635" s="245"/>
      <c r="L635" s="246" t="s">
        <v>484</v>
      </c>
      <c r="M635" s="247"/>
      <c r="N635" s="248" t="s">
        <v>485</v>
      </c>
      <c r="O635" s="248" t="s">
        <v>486</v>
      </c>
      <c r="P635" s="248" t="s">
        <v>486</v>
      </c>
      <c r="Q635" s="247" t="s">
        <v>487</v>
      </c>
      <c r="R635" s="249"/>
      <c r="S635" s="250" t="s">
        <v>485</v>
      </c>
      <c r="U635" s="214" t="str">
        <f>A632</f>
        <v>Netherlands</v>
      </c>
    </row>
    <row r="636" spans="1:27" ht="13.15" customHeight="1">
      <c r="A636" s="350" t="s">
        <v>488</v>
      </c>
      <c r="B636" s="252" t="s">
        <v>0</v>
      </c>
      <c r="C636" s="252" t="s">
        <v>489</v>
      </c>
      <c r="D636" s="252" t="s">
        <v>490</v>
      </c>
      <c r="E636" s="252" t="s">
        <v>491</v>
      </c>
      <c r="F636" s="252" t="s">
        <v>489</v>
      </c>
      <c r="G636" s="230" t="s">
        <v>490</v>
      </c>
      <c r="H636" s="248"/>
      <c r="I636" s="349" t="s">
        <v>492</v>
      </c>
      <c r="J636" s="230"/>
      <c r="K636" s="253" t="s">
        <v>488</v>
      </c>
      <c r="L636" s="254" t="s">
        <v>88</v>
      </c>
      <c r="M636" s="252" t="s">
        <v>34</v>
      </c>
      <c r="N636" s="252" t="s">
        <v>493</v>
      </c>
      <c r="O636" s="248" t="s">
        <v>494</v>
      </c>
      <c r="P636" s="248" t="s">
        <v>495</v>
      </c>
      <c r="Q636" s="230" t="s">
        <v>88</v>
      </c>
      <c r="R636" s="248" t="s">
        <v>34</v>
      </c>
      <c r="S636" s="255" t="s">
        <v>88</v>
      </c>
      <c r="U636" s="214" t="s">
        <v>547</v>
      </c>
      <c r="V636" s="214">
        <f>G664/1000</f>
        <v>108.102279</v>
      </c>
    </row>
    <row r="637" spans="1:27" ht="13.15" customHeight="1">
      <c r="A637" s="266"/>
      <c r="B637" s="257" t="s">
        <v>496</v>
      </c>
      <c r="C637" s="256" t="s">
        <v>496</v>
      </c>
      <c r="D637" s="257" t="s">
        <v>496</v>
      </c>
      <c r="E637" s="256" t="s">
        <v>473</v>
      </c>
      <c r="F637" s="257" t="s">
        <v>473</v>
      </c>
      <c r="G637" s="257" t="s">
        <v>451</v>
      </c>
      <c r="H637" s="257" t="s">
        <v>497</v>
      </c>
      <c r="I637" s="351" t="s">
        <v>498</v>
      </c>
      <c r="J637" s="230"/>
      <c r="K637" s="245"/>
      <c r="L637" s="258" t="s">
        <v>496</v>
      </c>
      <c r="M637" s="256" t="s">
        <v>496</v>
      </c>
      <c r="N637" s="256"/>
      <c r="O637" s="257" t="s">
        <v>79</v>
      </c>
      <c r="P637" s="257" t="s">
        <v>79</v>
      </c>
      <c r="Q637" s="259"/>
      <c r="R637" s="257"/>
      <c r="S637" s="260"/>
      <c r="U637" s="214" t="s">
        <v>548</v>
      </c>
      <c r="V637" s="214">
        <f>G670/1000</f>
        <v>2.9480049999999998</v>
      </c>
    </row>
    <row r="638" spans="1:27" ht="13.15" customHeight="1">
      <c r="A638" s="352" t="s">
        <v>262</v>
      </c>
      <c r="B638" s="262">
        <v>707.33</v>
      </c>
      <c r="C638" s="263">
        <v>707.33</v>
      </c>
      <c r="D638" s="262">
        <v>1730.64</v>
      </c>
      <c r="E638" s="262">
        <v>4479.7850000000008</v>
      </c>
      <c r="F638" s="263">
        <v>4479.7850000000008</v>
      </c>
      <c r="G638" s="262">
        <v>30673.616999999998</v>
      </c>
      <c r="H638" s="262">
        <v>51253.222399999999</v>
      </c>
      <c r="I638" s="264">
        <v>15</v>
      </c>
      <c r="J638" s="230"/>
      <c r="K638" s="265" t="s">
        <v>262</v>
      </c>
      <c r="L638" s="266">
        <f>C638/I638</f>
        <v>47.155333333333338</v>
      </c>
      <c r="M638" s="267">
        <f>D638/I638</f>
        <v>115.376</v>
      </c>
      <c r="N638" s="267">
        <f>D638/C638</f>
        <v>2.4467221805946306</v>
      </c>
      <c r="O638" s="239">
        <f>(F638*3.6+G638)*100/H638</f>
        <v>91.312976645152361</v>
      </c>
      <c r="P638" s="239">
        <f>(F638*3.6+G638)*100/H638</f>
        <v>91.312976645152361</v>
      </c>
      <c r="Q638" s="267">
        <f>F638/(C638*8760)*1000</f>
        <v>0.72298782991695509</v>
      </c>
      <c r="R638" s="267">
        <f>G638/(D638*8761)*1000/3.6</f>
        <v>0.56195568897632564</v>
      </c>
      <c r="S638" s="268">
        <f>G638/(F638*3.6)</f>
        <v>1.901977252628567</v>
      </c>
      <c r="U638" s="214" t="s">
        <v>549</v>
      </c>
      <c r="V638" s="214">
        <f>G672/1000</f>
        <v>35.917614</v>
      </c>
      <c r="Z638" s="214">
        <f t="shared" ref="Z638:Z643" si="244">C638-B638</f>
        <v>0</v>
      </c>
      <c r="AA638" s="214">
        <f t="shared" ref="AA638:AA643" si="245">F638-E638</f>
        <v>0</v>
      </c>
    </row>
    <row r="639" spans="1:27" ht="13.15" customHeight="1">
      <c r="A639" s="266" t="s">
        <v>263</v>
      </c>
      <c r="B639" s="262">
        <v>253.72499999999999</v>
      </c>
      <c r="C639" s="263">
        <v>253.72499999999999</v>
      </c>
      <c r="D639" s="262">
        <v>2187.2222222222226</v>
      </c>
      <c r="E639" s="262">
        <v>1205.5910000000001</v>
      </c>
      <c r="F639" s="263">
        <v>1205.5910000000001</v>
      </c>
      <c r="G639" s="262">
        <v>37077.436000000002</v>
      </c>
      <c r="H639" s="262">
        <v>47062.744449999991</v>
      </c>
      <c r="I639" s="270">
        <v>24</v>
      </c>
      <c r="J639" s="230"/>
      <c r="K639" s="245" t="s">
        <v>263</v>
      </c>
      <c r="L639" s="266">
        <f>C639/I639</f>
        <v>10.571875</v>
      </c>
      <c r="M639" s="267">
        <f>D639/I639</f>
        <v>91.134259259259281</v>
      </c>
      <c r="N639" s="267">
        <f>D639/C639</f>
        <v>8.6204442692766676</v>
      </c>
      <c r="O639" s="239">
        <f>(F639*3.6+G639)*100/H639</f>
        <v>88.00499011272602</v>
      </c>
      <c r="P639" s="239">
        <f>(F639*3.6+G639)*100/H639</f>
        <v>88.00499011272602</v>
      </c>
      <c r="Q639" s="267">
        <f>F639/(C639*8760)*1000</f>
        <v>0.54241617254506036</v>
      </c>
      <c r="R639" s="267">
        <f>G639/(D639*8761)*1000/3.6</f>
        <v>0.53747788947466946</v>
      </c>
      <c r="S639" s="268">
        <f>G639/(F639*3.6)</f>
        <v>8.5429368482161667</v>
      </c>
      <c r="U639" s="214" t="s">
        <v>550</v>
      </c>
      <c r="V639" s="214">
        <f>G677/1000</f>
        <v>10.090133999999999</v>
      </c>
      <c r="Z639" s="214">
        <f t="shared" si="244"/>
        <v>0</v>
      </c>
      <c r="AA639" s="214">
        <f t="shared" si="245"/>
        <v>0</v>
      </c>
    </row>
    <row r="640" spans="1:27" ht="13.15" customHeight="1">
      <c r="A640" s="266" t="s">
        <v>499</v>
      </c>
      <c r="B640" s="262">
        <v>10</v>
      </c>
      <c r="C640" s="263">
        <v>10</v>
      </c>
      <c r="D640" s="262">
        <v>283.33333333333331</v>
      </c>
      <c r="E640" s="262">
        <v>63.462000000000003</v>
      </c>
      <c r="F640" s="263">
        <v>63.462000000000003</v>
      </c>
      <c r="G640" s="262">
        <v>2980.181</v>
      </c>
      <c r="H640" s="262">
        <v>3547.0397499999999</v>
      </c>
      <c r="I640" s="270">
        <v>1</v>
      </c>
      <c r="J640" s="230"/>
      <c r="K640" s="245" t="s">
        <v>499</v>
      </c>
      <c r="L640" s="266">
        <f>C640/I640</f>
        <v>10</v>
      </c>
      <c r="M640" s="267">
        <f>D640/I640</f>
        <v>283.33333333333331</v>
      </c>
      <c r="N640" s="267">
        <f>D640/C640</f>
        <v>28.333333333333332</v>
      </c>
      <c r="O640" s="239">
        <f>(F640*3.6+G640)*100/H640</f>
        <v>90.459775648130261</v>
      </c>
      <c r="P640" s="239">
        <f>(F640*3.6+G640)*100/H640</f>
        <v>90.459775648130261</v>
      </c>
      <c r="Q640" s="267">
        <f>F640/(C640*8760)*1000</f>
        <v>0.72445205479452057</v>
      </c>
      <c r="R640" s="267">
        <f>G640/(D640*8761)*1000/3.6</f>
        <v>0.33349458719682379</v>
      </c>
      <c r="S640" s="268">
        <f>G640/(F640*3.6)</f>
        <v>13.044468430801983</v>
      </c>
      <c r="U640" s="214" t="s">
        <v>551</v>
      </c>
      <c r="V640" s="214">
        <f>G668/1000</f>
        <v>31.234078000000004</v>
      </c>
      <c r="Z640" s="214">
        <f t="shared" si="244"/>
        <v>0</v>
      </c>
      <c r="AA640" s="214">
        <f t="shared" si="245"/>
        <v>0</v>
      </c>
    </row>
    <row r="641" spans="1:27" ht="13.15" customHeight="1">
      <c r="A641" s="266" t="s">
        <v>265</v>
      </c>
      <c r="B641" s="262">
        <v>725.61699999999985</v>
      </c>
      <c r="C641" s="263">
        <v>725.61699999999985</v>
      </c>
      <c r="D641" s="262">
        <v>2812.1666666666661</v>
      </c>
      <c r="E641" s="262">
        <v>4609.7890000000016</v>
      </c>
      <c r="F641" s="263">
        <v>4609.7890000000016</v>
      </c>
      <c r="G641" s="262">
        <v>50669.412000000004</v>
      </c>
      <c r="H641" s="262">
        <v>79038.77744999998</v>
      </c>
      <c r="I641" s="271">
        <v>65</v>
      </c>
      <c r="J641" s="230"/>
      <c r="K641" s="245" t="s">
        <v>265</v>
      </c>
      <c r="L641" s="266">
        <f>C641/I641</f>
        <v>11.163338461538459</v>
      </c>
      <c r="M641" s="267">
        <f>D641/I641</f>
        <v>43.264102564102558</v>
      </c>
      <c r="N641" s="267">
        <f>D641/C641</f>
        <v>3.8755523460264389</v>
      </c>
      <c r="O641" s="239">
        <f>(F641*3.6+G641)*100/H641</f>
        <v>85.103356314628854</v>
      </c>
      <c r="P641" s="239">
        <f>(F641*3.6+G641)*100/H641</f>
        <v>85.103356314628854</v>
      </c>
      <c r="Q641" s="267">
        <f>F641/(C641*8760)*1000</f>
        <v>0.72521953179785814</v>
      </c>
      <c r="R641" s="267">
        <f>G641/(D641*8761)*1000/3.6</f>
        <v>0.57127948329325706</v>
      </c>
      <c r="S641" s="268">
        <f>G641/(F641*3.6)</f>
        <v>3.0532496534367759</v>
      </c>
      <c r="U641" s="214" t="s">
        <v>552</v>
      </c>
      <c r="V641" s="214">
        <f>(G665+G666+G667+G669+G671+G673+G674+G675+G676+G678+G679+G680+G681+G682)/1000</f>
        <v>27.912447999999998</v>
      </c>
      <c r="Z641" s="214">
        <f t="shared" si="244"/>
        <v>0</v>
      </c>
      <c r="AA641" s="214">
        <f t="shared" si="245"/>
        <v>0</v>
      </c>
    </row>
    <row r="642" spans="1:27" ht="13.15" customHeight="1">
      <c r="A642" s="266" t="s">
        <v>266</v>
      </c>
      <c r="B642" s="262">
        <v>1454.8719999999832</v>
      </c>
      <c r="C642" s="263">
        <v>1454.8719999999832</v>
      </c>
      <c r="D642" s="262">
        <v>2171.8552777777904</v>
      </c>
      <c r="E642" s="262">
        <v>4913.565999999988</v>
      </c>
      <c r="F642" s="263">
        <v>4913.565999999988</v>
      </c>
      <c r="G642" s="262">
        <v>25665.342000000128</v>
      </c>
      <c r="H642" s="262">
        <v>52560.614800000032</v>
      </c>
      <c r="I642" s="271">
        <v>3410</v>
      </c>
      <c r="J642" s="230"/>
      <c r="K642" s="245" t="s">
        <v>266</v>
      </c>
      <c r="L642" s="266">
        <f>C642/I642</f>
        <v>0.42664868035190123</v>
      </c>
      <c r="M642" s="267">
        <f>D642/I642</f>
        <v>0.63690770609319369</v>
      </c>
      <c r="N642" s="267">
        <f>D642/C642</f>
        <v>1.4928153664224864</v>
      </c>
      <c r="O642" s="239">
        <f>(F642*3.6+G642)*100/H642</f>
        <v>82.484156178477704</v>
      </c>
      <c r="P642" s="239">
        <f>(F642*3.6+G642)*100/H642</f>
        <v>82.484156178477704</v>
      </c>
      <c r="Q642" s="267">
        <f>F642/(C642*8760)*1000</f>
        <v>0.38553863207938477</v>
      </c>
      <c r="R642" s="267">
        <f>G642/(D642*8761)*1000/3.6</f>
        <v>0.37467955186973889</v>
      </c>
      <c r="S642" s="268">
        <f>G642/(F642*3.6)</f>
        <v>1.4509343451714536</v>
      </c>
      <c r="Z642" s="214">
        <f t="shared" si="244"/>
        <v>0</v>
      </c>
      <c r="AA642" s="214">
        <f t="shared" si="245"/>
        <v>0</v>
      </c>
    </row>
    <row r="643" spans="1:27" ht="13.15" customHeight="1">
      <c r="A643" s="353" t="s">
        <v>267</v>
      </c>
      <c r="B643" s="218"/>
      <c r="C643" s="210"/>
      <c r="D643" s="210"/>
      <c r="E643" s="427"/>
      <c r="F643" s="427"/>
      <c r="G643" s="427"/>
      <c r="H643" s="428"/>
      <c r="I643" s="429"/>
      <c r="J643" s="230"/>
      <c r="K643" s="245" t="s">
        <v>267</v>
      </c>
      <c r="L643" s="266"/>
      <c r="M643" s="267"/>
      <c r="N643" s="267"/>
      <c r="O643" s="239"/>
      <c r="P643" s="272"/>
      <c r="Q643" s="272"/>
      <c r="R643" s="274"/>
      <c r="S643" s="275"/>
      <c r="U643" s="214" t="s">
        <v>553</v>
      </c>
      <c r="V643" s="214">
        <f>H664/1000</f>
        <v>170.50778830000002</v>
      </c>
      <c r="Z643" s="214">
        <f t="shared" si="244"/>
        <v>0</v>
      </c>
      <c r="AA643" s="214">
        <f t="shared" si="245"/>
        <v>0</v>
      </c>
    </row>
    <row r="644" spans="1:27" ht="13.15" customHeight="1">
      <c r="A644" s="276" t="s">
        <v>500</v>
      </c>
      <c r="B644" s="277">
        <f t="shared" ref="B644:I644" si="246">SUM(B638:B643)</f>
        <v>3151.5439999999835</v>
      </c>
      <c r="C644" s="277">
        <f t="shared" si="246"/>
        <v>3151.5439999999835</v>
      </c>
      <c r="D644" s="277">
        <f t="shared" si="246"/>
        <v>9185.2175000000134</v>
      </c>
      <c r="E644" s="277">
        <f t="shared" si="246"/>
        <v>15272.192999999992</v>
      </c>
      <c r="F644" s="277">
        <f t="shared" si="246"/>
        <v>15272.192999999992</v>
      </c>
      <c r="G644" s="277">
        <f t="shared" si="246"/>
        <v>147065.98800000013</v>
      </c>
      <c r="H644" s="277">
        <f t="shared" si="246"/>
        <v>233462.39885</v>
      </c>
      <c r="I644" s="278">
        <f t="shared" si="246"/>
        <v>3515</v>
      </c>
      <c r="J644" s="244"/>
      <c r="K644" s="279" t="s">
        <v>169</v>
      </c>
      <c r="L644" s="280">
        <f>C644/I644</f>
        <v>0.89659857752488858</v>
      </c>
      <c r="M644" s="281">
        <f>D644/I644</f>
        <v>2.6131486486486524</v>
      </c>
      <c r="N644" s="281">
        <f>D644/C644</f>
        <v>2.9145134892611564</v>
      </c>
      <c r="O644" s="282">
        <f>(F644*3.6+G644)*100/H644</f>
        <v>86.543222289862172</v>
      </c>
      <c r="P644" s="282">
        <f>(F644*3.6+G644)*100/H644</f>
        <v>86.543222289862172</v>
      </c>
      <c r="Q644" s="283">
        <f>F644/(C644*8760)*1000</f>
        <v>0.55318949295877462</v>
      </c>
      <c r="R644" s="283">
        <f>G644/(D644*8761)*1000/3.6</f>
        <v>0.50765260516615329</v>
      </c>
      <c r="S644" s="284">
        <f>G644/(F644*3.6)</f>
        <v>2.6749048635866104</v>
      </c>
      <c r="U644" s="214" t="s">
        <v>554</v>
      </c>
      <c r="V644" s="214">
        <f>H670/1000</f>
        <v>3.9741352999999999</v>
      </c>
    </row>
    <row r="645" spans="1:27" ht="13.15" customHeight="1">
      <c r="A645" s="285" t="s">
        <v>501</v>
      </c>
      <c r="B645" s="228" t="s">
        <v>476</v>
      </c>
      <c r="C645" s="228"/>
      <c r="D645" s="286"/>
      <c r="E645" s="227" t="s">
        <v>477</v>
      </c>
      <c r="F645" s="228"/>
      <c r="G645" s="229"/>
      <c r="H645" s="200" t="s">
        <v>138</v>
      </c>
      <c r="I645" s="354" t="s">
        <v>478</v>
      </c>
      <c r="J645" s="244"/>
      <c r="K645" s="287" t="s">
        <v>501</v>
      </c>
      <c r="L645" s="288" t="s">
        <v>479</v>
      </c>
      <c r="M645" s="228"/>
      <c r="N645" s="286"/>
      <c r="O645" s="227" t="s">
        <v>480</v>
      </c>
      <c r="P645" s="228"/>
      <c r="Q645" s="228"/>
      <c r="R645" s="229"/>
      <c r="S645" s="289"/>
      <c r="U645" s="214" t="s">
        <v>555</v>
      </c>
      <c r="V645" s="214">
        <f>H672/1000</f>
        <v>52.571372099999998</v>
      </c>
    </row>
    <row r="646" spans="1:27" ht="13.15" customHeight="1">
      <c r="A646" s="266"/>
      <c r="B646" s="240" t="s">
        <v>481</v>
      </c>
      <c r="C646" s="240"/>
      <c r="D646" s="241" t="s">
        <v>34</v>
      </c>
      <c r="E646" s="242" t="s">
        <v>482</v>
      </c>
      <c r="F646" s="243"/>
      <c r="G646" s="244" t="s">
        <v>34</v>
      </c>
      <c r="H646" s="241" t="s">
        <v>170</v>
      </c>
      <c r="I646" s="349" t="s">
        <v>483</v>
      </c>
      <c r="J646" s="244"/>
      <c r="K646" s="245"/>
      <c r="L646" s="246" t="s">
        <v>484</v>
      </c>
      <c r="M646" s="247"/>
      <c r="N646" s="248" t="s">
        <v>485</v>
      </c>
      <c r="O646" s="248" t="s">
        <v>486</v>
      </c>
      <c r="P646" s="248" t="s">
        <v>486</v>
      </c>
      <c r="Q646" s="247" t="s">
        <v>487</v>
      </c>
      <c r="R646" s="249"/>
      <c r="S646" s="250" t="s">
        <v>485</v>
      </c>
      <c r="U646" s="214" t="s">
        <v>556</v>
      </c>
      <c r="V646" s="214">
        <f>H677/1000</f>
        <v>16.430967750000001</v>
      </c>
    </row>
    <row r="647" spans="1:27" ht="13.15" customHeight="1">
      <c r="A647" s="350" t="s">
        <v>488</v>
      </c>
      <c r="B647" s="252" t="s">
        <v>0</v>
      </c>
      <c r="C647" s="252" t="s">
        <v>489</v>
      </c>
      <c r="D647" s="252" t="s">
        <v>490</v>
      </c>
      <c r="E647" s="252" t="s">
        <v>491</v>
      </c>
      <c r="F647" s="252" t="s">
        <v>489</v>
      </c>
      <c r="G647" s="230" t="s">
        <v>490</v>
      </c>
      <c r="H647" s="248"/>
      <c r="I647" s="349" t="s">
        <v>492</v>
      </c>
      <c r="J647" s="244"/>
      <c r="K647" s="253" t="s">
        <v>488</v>
      </c>
      <c r="L647" s="254" t="s">
        <v>88</v>
      </c>
      <c r="M647" s="252" t="s">
        <v>34</v>
      </c>
      <c r="N647" s="252" t="s">
        <v>493</v>
      </c>
      <c r="O647" s="248" t="s">
        <v>494</v>
      </c>
      <c r="P647" s="248" t="s">
        <v>495</v>
      </c>
      <c r="Q647" s="230" t="s">
        <v>88</v>
      </c>
      <c r="R647" s="248" t="s">
        <v>34</v>
      </c>
      <c r="S647" s="255" t="s">
        <v>88</v>
      </c>
      <c r="U647" s="214" t="s">
        <v>557</v>
      </c>
      <c r="V647" s="214">
        <f>H668/1000</f>
        <v>47.92601775</v>
      </c>
    </row>
    <row r="648" spans="1:27" ht="13.15" customHeight="1">
      <c r="A648" s="266"/>
      <c r="B648" s="257" t="s">
        <v>496</v>
      </c>
      <c r="C648" s="256" t="s">
        <v>496</v>
      </c>
      <c r="D648" s="256" t="s">
        <v>496</v>
      </c>
      <c r="E648" s="256" t="s">
        <v>473</v>
      </c>
      <c r="F648" s="256" t="s">
        <v>473</v>
      </c>
      <c r="G648" s="259" t="s">
        <v>451</v>
      </c>
      <c r="H648" s="257" t="s">
        <v>497</v>
      </c>
      <c r="I648" s="351" t="s">
        <v>498</v>
      </c>
      <c r="J648" s="244"/>
      <c r="K648" s="245"/>
      <c r="L648" s="258" t="s">
        <v>496</v>
      </c>
      <c r="M648" s="256" t="s">
        <v>496</v>
      </c>
      <c r="N648" s="256"/>
      <c r="O648" s="257" t="s">
        <v>79</v>
      </c>
      <c r="P648" s="257" t="s">
        <v>79</v>
      </c>
      <c r="Q648" s="259"/>
      <c r="R648" s="257"/>
      <c r="S648" s="260"/>
      <c r="U648" s="214" t="s">
        <v>558</v>
      </c>
      <c r="V648" s="214">
        <f>(H665+H666+H667+H669+H671+H673+H674+H675+H676+H678+H679+H680+H681+H682)/1000</f>
        <v>49.605295400000003</v>
      </c>
    </row>
    <row r="649" spans="1:27" ht="13.15" customHeight="1">
      <c r="A649" s="352" t="s">
        <v>262</v>
      </c>
      <c r="B649" s="262">
        <v>3078.0416666666702</v>
      </c>
      <c r="C649" s="262">
        <v>3962.1950000000002</v>
      </c>
      <c r="D649" s="262">
        <v>5209.9591666666665</v>
      </c>
      <c r="E649" s="262">
        <v>11818.632708333367</v>
      </c>
      <c r="F649" s="262">
        <v>21586.59</v>
      </c>
      <c r="G649" s="262">
        <v>57481.633999999998</v>
      </c>
      <c r="H649" s="262">
        <v>196167.60745000001</v>
      </c>
      <c r="I649" s="264">
        <v>37</v>
      </c>
      <c r="J649" s="244"/>
      <c r="K649" s="265" t="s">
        <v>262</v>
      </c>
      <c r="L649" s="266">
        <f>B649/I649</f>
        <v>83.190315315315416</v>
      </c>
      <c r="M649" s="267">
        <f>D649/I649</f>
        <v>140.8097072072072</v>
      </c>
      <c r="N649" s="267">
        <f>D649/B649</f>
        <v>1.6926213907652303</v>
      </c>
      <c r="O649" s="239">
        <f>(F649*3.6+G649)*100/H649</f>
        <v>68.917269144172352</v>
      </c>
      <c r="P649" s="267">
        <f>(E649*3.6+G649)*100/H649</f>
        <v>50.991452182285414</v>
      </c>
      <c r="Q649" s="267">
        <f>E649/(B649*8760)*1000</f>
        <v>0.43831732350479152</v>
      </c>
      <c r="R649" s="267">
        <f>G649/(D649*8761)*1000/3.6</f>
        <v>0.34981514215342385</v>
      </c>
      <c r="S649" s="268">
        <f>G649/(E649*3.6)</f>
        <v>1.3510125028504416</v>
      </c>
      <c r="U649" s="220"/>
      <c r="Z649" s="214">
        <f t="shared" ref="Z649:Z656" si="247">C649-B649</f>
        <v>884.15333333333001</v>
      </c>
      <c r="AA649" s="214">
        <f t="shared" ref="AA649:AA656" si="248">F649-E649</f>
        <v>9767.957291666633</v>
      </c>
    </row>
    <row r="650" spans="1:27" ht="13.15" customHeight="1">
      <c r="A650" s="266" t="s">
        <v>263</v>
      </c>
      <c r="B650" s="262">
        <v>44.563000000000002</v>
      </c>
      <c r="C650" s="262">
        <v>44.563000000000002</v>
      </c>
      <c r="D650" s="262">
        <v>293.88888888888891</v>
      </c>
      <c r="E650" s="262">
        <v>40.573999999999998</v>
      </c>
      <c r="F650" s="262">
        <v>40.573999999999998</v>
      </c>
      <c r="G650" s="262">
        <v>963.87</v>
      </c>
      <c r="H650" s="262">
        <v>1529.9104</v>
      </c>
      <c r="I650" s="270">
        <v>4</v>
      </c>
      <c r="J650" s="244"/>
      <c r="K650" s="245" t="s">
        <v>263</v>
      </c>
      <c r="L650" s="266">
        <f>B650/I650</f>
        <v>11.140750000000001</v>
      </c>
      <c r="M650" s="267">
        <f>D650/I650</f>
        <v>73.472222222222229</v>
      </c>
      <c r="N650" s="267">
        <f>D650/B650</f>
        <v>6.5949080826894262</v>
      </c>
      <c r="O650" s="239">
        <f>(F650*3.6+G650)*100/H650</f>
        <v>72.54911137279673</v>
      </c>
      <c r="P650" s="267">
        <f>(E650*3.6+G650)*100/H650</f>
        <v>72.54911137279673</v>
      </c>
      <c r="Q650" s="267">
        <f>E650/(B650*8760)*1000</f>
        <v>0.10393678970934074</v>
      </c>
      <c r="R650" s="267">
        <f>G650/(D650*8761)*1000/3.6</f>
        <v>0.10398701583685557</v>
      </c>
      <c r="S650" s="268">
        <f>G650/(E650*3.6)</f>
        <v>6.5988481950674496</v>
      </c>
      <c r="U650" s="239" t="s">
        <v>152</v>
      </c>
      <c r="V650" s="492">
        <f>B665/1000</f>
        <v>0</v>
      </c>
      <c r="Z650" s="214">
        <f t="shared" si="247"/>
        <v>0</v>
      </c>
      <c r="AA650" s="214">
        <f t="shared" si="248"/>
        <v>0</v>
      </c>
    </row>
    <row r="651" spans="1:27" ht="13.15" customHeight="1">
      <c r="A651" s="266" t="s">
        <v>499</v>
      </c>
      <c r="B651" s="262">
        <v>220.56583333333333</v>
      </c>
      <c r="C651" s="262">
        <v>2134.1999999999998</v>
      </c>
      <c r="D651" s="262">
        <v>735.21944444444455</v>
      </c>
      <c r="E651" s="262">
        <v>764.92966666666666</v>
      </c>
      <c r="F651" s="262">
        <v>12651.209000000001</v>
      </c>
      <c r="G651" s="262">
        <v>9179.155999999999</v>
      </c>
      <c r="H651" s="262">
        <v>119485.7595</v>
      </c>
      <c r="I651" s="270">
        <v>7</v>
      </c>
      <c r="J651" s="244"/>
      <c r="K651" s="245" t="s">
        <v>499</v>
      </c>
      <c r="L651" s="266">
        <f>B651/I651</f>
        <v>31.509404761904761</v>
      </c>
      <c r="M651" s="267">
        <f>D651/I651</f>
        <v>105.03134920634922</v>
      </c>
      <c r="N651" s="267">
        <f>D651/B651</f>
        <v>3.3333333333333339</v>
      </c>
      <c r="O651" s="239">
        <f>(F651*3.6+G651)*100/H651</f>
        <v>45.799188647246289</v>
      </c>
      <c r="P651" s="267">
        <f>(E651*3.6+G651)*100/H651</f>
        <v>9.9868828301668877</v>
      </c>
      <c r="Q651" s="267">
        <f>E651/(B651*8760)*1000</f>
        <v>0.3958942184485692</v>
      </c>
      <c r="R651" s="267">
        <f>G651/(D651*8761)*1000/3.6</f>
        <v>0.39584903020311218</v>
      </c>
      <c r="S651" s="268">
        <f>G651/(E651*3.6)</f>
        <v>3.333333333333333</v>
      </c>
      <c r="U651" s="239" t="s">
        <v>504</v>
      </c>
      <c r="V651" s="492">
        <f t="shared" ref="V651:V667" si="249">B666/1000</f>
        <v>1.375E-2</v>
      </c>
      <c r="Z651" s="214">
        <f t="shared" si="247"/>
        <v>1913.6341666666665</v>
      </c>
      <c r="AA651" s="214">
        <f t="shared" si="248"/>
        <v>11886.279333333334</v>
      </c>
    </row>
    <row r="652" spans="1:27" ht="13.15" customHeight="1">
      <c r="A652" s="266" t="s">
        <v>265</v>
      </c>
      <c r="B652" s="262">
        <v>176.19911111111099</v>
      </c>
      <c r="C652" s="262">
        <v>251.72699999999998</v>
      </c>
      <c r="D652" s="262">
        <v>466.26277777777773</v>
      </c>
      <c r="E652" s="262">
        <v>620.47966666666593</v>
      </c>
      <c r="F652" s="262">
        <v>1258.3990000000001</v>
      </c>
      <c r="G652" s="262">
        <v>5476.77</v>
      </c>
      <c r="H652" s="262">
        <v>14563.511099999996</v>
      </c>
      <c r="I652" s="270">
        <v>13</v>
      </c>
      <c r="J652" s="244"/>
      <c r="K652" s="245" t="s">
        <v>265</v>
      </c>
      <c r="L652" s="266">
        <f>B652/I652</f>
        <v>13.553777777777769</v>
      </c>
      <c r="M652" s="267">
        <f>D652/I652</f>
        <v>35.866367521367515</v>
      </c>
      <c r="N652" s="267">
        <f>D652/B652</f>
        <v>2.6462266173621778</v>
      </c>
      <c r="O652" s="239">
        <f>(F652*3.6+G652)*100/H652</f>
        <v>68.712869659569975</v>
      </c>
      <c r="P652" s="267">
        <f>(E652*3.6+G652)*100/H652</f>
        <v>52.94394151970674</v>
      </c>
      <c r="Q652" s="267">
        <f>E652/(B652*8760)*1000</f>
        <v>0.40199415155899437</v>
      </c>
      <c r="R652" s="267">
        <f>G652/(D652*8761)*1000/3.6</f>
        <v>0.37242392692442322</v>
      </c>
      <c r="S652" s="268">
        <f>G652/(E652*3.6)</f>
        <v>2.4518531093417542</v>
      </c>
      <c r="U652" s="239" t="s">
        <v>505</v>
      </c>
      <c r="V652" s="492">
        <f t="shared" si="249"/>
        <v>0</v>
      </c>
      <c r="Z652" s="214">
        <f t="shared" si="247"/>
        <v>75.527888888888981</v>
      </c>
      <c r="AA652" s="214">
        <f t="shared" si="248"/>
        <v>637.91933333333418</v>
      </c>
    </row>
    <row r="653" spans="1:27" ht="13.15" customHeight="1">
      <c r="A653" s="266" t="s">
        <v>266</v>
      </c>
      <c r="B653" s="262">
        <v>67.249833333333399</v>
      </c>
      <c r="C653" s="262">
        <v>85.17300000000003</v>
      </c>
      <c r="D653" s="262">
        <v>109.02833333333341</v>
      </c>
      <c r="E653" s="262">
        <v>156.32049999999899</v>
      </c>
      <c r="F653" s="262">
        <v>256.69600000000008</v>
      </c>
      <c r="G653" s="262">
        <v>950.58900000000028</v>
      </c>
      <c r="H653" s="262">
        <v>3530.0663999999997</v>
      </c>
      <c r="I653" s="271">
        <v>153</v>
      </c>
      <c r="J653" s="244"/>
      <c r="K653" s="245" t="s">
        <v>266</v>
      </c>
      <c r="L653" s="266">
        <f>B653/I653</f>
        <v>0.43954139433551243</v>
      </c>
      <c r="M653" s="267">
        <f>D653/I653</f>
        <v>0.71260348583878041</v>
      </c>
      <c r="N653" s="267">
        <f>D653/B653</f>
        <v>1.6212431753238541</v>
      </c>
      <c r="O653" s="239">
        <f>(F653*3.6+G653)*100/H653</f>
        <v>53.106496806972267</v>
      </c>
      <c r="P653" s="267">
        <f>(E653*3.6+G653)*100/H653</f>
        <v>42.870094454880423</v>
      </c>
      <c r="Q653" s="267">
        <f>E653/(B653*8760)*1000</f>
        <v>0.26535093176547542</v>
      </c>
      <c r="R653" s="267">
        <f>G653/(D653*8761)*1000/3.6</f>
        <v>0.27643767398773689</v>
      </c>
      <c r="S653" s="268">
        <f>G653/(E653*3.6)</f>
        <v>1.6891738447612552</v>
      </c>
      <c r="U653" s="239" t="s">
        <v>506</v>
      </c>
      <c r="V653" s="492">
        <f t="shared" si="249"/>
        <v>0.37633999999999995</v>
      </c>
      <c r="Z653" s="214">
        <f t="shared" si="247"/>
        <v>17.923166666666631</v>
      </c>
      <c r="AA653" s="214">
        <f t="shared" si="248"/>
        <v>100.3755000000011</v>
      </c>
    </row>
    <row r="654" spans="1:27" ht="13.15" customHeight="1">
      <c r="A654" s="353" t="s">
        <v>267</v>
      </c>
      <c r="B654" s="428"/>
      <c r="C654" s="428"/>
      <c r="D654" s="428"/>
      <c r="E654" s="428"/>
      <c r="F654" s="428"/>
      <c r="G654" s="428"/>
      <c r="H654" s="428"/>
      <c r="I654" s="430"/>
      <c r="J654" s="244"/>
      <c r="K654" s="245" t="s">
        <v>267</v>
      </c>
      <c r="L654" s="266"/>
      <c r="M654" s="267"/>
      <c r="N654" s="267"/>
      <c r="O654" s="239"/>
      <c r="P654" s="267"/>
      <c r="Q654" s="272"/>
      <c r="R654" s="274"/>
      <c r="S654" s="275"/>
      <c r="U654" s="239" t="s">
        <v>507</v>
      </c>
      <c r="V654" s="492">
        <f t="shared" si="249"/>
        <v>0</v>
      </c>
      <c r="Z654" s="214">
        <f t="shared" si="247"/>
        <v>0</v>
      </c>
      <c r="AA654" s="214">
        <f t="shared" si="248"/>
        <v>0</v>
      </c>
    </row>
    <row r="655" spans="1:27" ht="13.15" customHeight="1">
      <c r="A655" s="276" t="s">
        <v>500</v>
      </c>
      <c r="B655" s="291">
        <f>SUM(B649:B654)</f>
        <v>3586.6194444444482</v>
      </c>
      <c r="C655" s="291">
        <f t="shared" ref="C655:I655" si="250">SUM(C649:C654)</f>
        <v>6477.8580000000002</v>
      </c>
      <c r="D655" s="291">
        <f t="shared" si="250"/>
        <v>6814.3586111111117</v>
      </c>
      <c r="E655" s="291">
        <f t="shared" si="250"/>
        <v>13400.936541666701</v>
      </c>
      <c r="F655" s="291">
        <f t="shared" si="250"/>
        <v>35793.468000000001</v>
      </c>
      <c r="G655" s="291">
        <f t="shared" si="250"/>
        <v>74052.019000000015</v>
      </c>
      <c r="H655" s="291">
        <f t="shared" si="250"/>
        <v>335276.85485</v>
      </c>
      <c r="I655" s="431">
        <f t="shared" si="250"/>
        <v>214</v>
      </c>
      <c r="J655" s="244"/>
      <c r="K655" s="279" t="s">
        <v>169</v>
      </c>
      <c r="L655" s="280">
        <f>B655/I655</f>
        <v>16.759903946002094</v>
      </c>
      <c r="M655" s="281">
        <f>D655/I655</f>
        <v>31.842797248182766</v>
      </c>
      <c r="N655" s="281">
        <f>D655/B655</f>
        <v>1.8999391255925748</v>
      </c>
      <c r="O655" s="294">
        <f>(F655*3.6+G655)*100/H655</f>
        <v>60.519687197250619</v>
      </c>
      <c r="P655" s="295">
        <f>(E655*3.6+G655)*100/H655</f>
        <v>36.475941831628681</v>
      </c>
      <c r="Q655" s="283">
        <f>E655/(B655*8760)*1000</f>
        <v>0.42652623177392263</v>
      </c>
      <c r="R655" s="283">
        <f>G655/(D655*8761)*1000/3.6</f>
        <v>0.34455276375237348</v>
      </c>
      <c r="S655" s="284">
        <f>G655/(E655*3.6)</f>
        <v>1.5349677400397159</v>
      </c>
      <c r="U655" s="239" t="s">
        <v>156</v>
      </c>
      <c r="V655" s="492">
        <f t="shared" si="249"/>
        <v>4.8309666666666674E-2</v>
      </c>
      <c r="Z655" s="214">
        <f t="shared" si="247"/>
        <v>2891.238555555552</v>
      </c>
      <c r="AA655" s="214">
        <f t="shared" si="248"/>
        <v>22392.531458333302</v>
      </c>
    </row>
    <row r="656" spans="1:27" ht="13.15" customHeight="1" thickBot="1">
      <c r="A656" s="296" t="s">
        <v>502</v>
      </c>
      <c r="B656" s="297">
        <f>B644+B655</f>
        <v>6738.1634444444317</v>
      </c>
      <c r="C656" s="297">
        <f>C655+B644</f>
        <v>9629.4019999999837</v>
      </c>
      <c r="D656" s="297">
        <f t="shared" ref="D656:I656" si="251">D644+D655</f>
        <v>15999.576111111124</v>
      </c>
      <c r="E656" s="297">
        <f t="shared" si="251"/>
        <v>28673.129541666691</v>
      </c>
      <c r="F656" s="297">
        <f>F655+E644</f>
        <v>51065.660999999993</v>
      </c>
      <c r="G656" s="297">
        <f t="shared" si="251"/>
        <v>221118.00700000016</v>
      </c>
      <c r="H656" s="297">
        <f t="shared" si="251"/>
        <v>568739.2537</v>
      </c>
      <c r="I656" s="432">
        <f t="shared" si="251"/>
        <v>3729</v>
      </c>
      <c r="J656" s="244"/>
      <c r="K656" s="296" t="s">
        <v>502</v>
      </c>
      <c r="L656" s="299">
        <f>B656/I656</f>
        <v>1.8069625756085899</v>
      </c>
      <c r="M656" s="300">
        <f>D656/I656</f>
        <v>4.2905808825720362</v>
      </c>
      <c r="N656" s="300">
        <f>D656/B656</f>
        <v>2.3744713590025279</v>
      </c>
      <c r="O656" s="301">
        <f>(F656*3.6+G656)*100/H656</f>
        <v>71.202116605372638</v>
      </c>
      <c r="P656" s="301">
        <f>(E656*3.6+G656)*100/H656</f>
        <v>57.028114595565548</v>
      </c>
      <c r="Q656" s="301">
        <f>E656/(B656*8760)*1000</f>
        <v>0.48576861200093774</v>
      </c>
      <c r="R656" s="301">
        <f>G656/(D656*8761)*1000/3.6</f>
        <v>0.43818696425851678</v>
      </c>
      <c r="S656" s="302">
        <f>G656/(E656*3.6)</f>
        <v>2.1421334047912537</v>
      </c>
      <c r="T656" s="309"/>
      <c r="U656" s="239" t="s">
        <v>508</v>
      </c>
      <c r="V656" s="492">
        <f t="shared" si="249"/>
        <v>0</v>
      </c>
      <c r="Z656" s="214">
        <f t="shared" si="247"/>
        <v>2891.238555555552</v>
      </c>
      <c r="AA656" s="214">
        <f t="shared" si="248"/>
        <v>22392.531458333302</v>
      </c>
    </row>
    <row r="657" spans="1:27" ht="13.15" customHeight="1">
      <c r="U657" s="239" t="s">
        <v>509</v>
      </c>
      <c r="V657" s="492">
        <f t="shared" si="249"/>
        <v>0.25057861111111113</v>
      </c>
    </row>
    <row r="658" spans="1:27" ht="13.15" customHeight="1">
      <c r="A658" s="251" t="s">
        <v>139</v>
      </c>
      <c r="B658" s="227" t="s">
        <v>476</v>
      </c>
      <c r="C658" s="228"/>
      <c r="D658" s="286"/>
      <c r="E658" s="227" t="s">
        <v>477</v>
      </c>
      <c r="F658" s="228"/>
      <c r="G658" s="229"/>
      <c r="H658" s="200" t="s">
        <v>138</v>
      </c>
      <c r="I658" s="200" t="s">
        <v>478</v>
      </c>
      <c r="J658" s="230"/>
      <c r="K658" s="303" t="s">
        <v>503</v>
      </c>
      <c r="L658" s="227" t="s">
        <v>479</v>
      </c>
      <c r="M658" s="228"/>
      <c r="N658" s="286"/>
      <c r="O658" s="227" t="s">
        <v>480</v>
      </c>
      <c r="P658" s="228"/>
      <c r="Q658" s="228"/>
      <c r="R658" s="229"/>
      <c r="S658" s="286"/>
      <c r="U658" s="239" t="s">
        <v>510</v>
      </c>
      <c r="V658" s="492">
        <f t="shared" si="249"/>
        <v>1.5276000000000001E-2</v>
      </c>
    </row>
    <row r="659" spans="1:27" ht="13.15" customHeight="1">
      <c r="A659" s="239"/>
      <c r="B659" s="240" t="s">
        <v>9</v>
      </c>
      <c r="C659" s="240"/>
      <c r="D659" s="241" t="s">
        <v>34</v>
      </c>
      <c r="E659" s="242" t="s">
        <v>88</v>
      </c>
      <c r="F659" s="243"/>
      <c r="G659" s="244" t="s">
        <v>34</v>
      </c>
      <c r="H659" s="241" t="s">
        <v>170</v>
      </c>
      <c r="I659" s="241" t="s">
        <v>483</v>
      </c>
      <c r="J659" s="230"/>
      <c r="K659" s="305"/>
      <c r="L659" s="306" t="s">
        <v>484</v>
      </c>
      <c r="M659" s="247"/>
      <c r="N659" s="248" t="s">
        <v>485</v>
      </c>
      <c r="O659" s="248" t="s">
        <v>486</v>
      </c>
      <c r="P659" s="248" t="s">
        <v>486</v>
      </c>
      <c r="Q659" s="247" t="s">
        <v>487</v>
      </c>
      <c r="R659" s="249"/>
      <c r="S659" s="307" t="s">
        <v>485</v>
      </c>
      <c r="U659" s="239" t="s">
        <v>511</v>
      </c>
      <c r="V659" s="492">
        <f t="shared" si="249"/>
        <v>0</v>
      </c>
    </row>
    <row r="660" spans="1:27" ht="13.15" customHeight="1">
      <c r="A660" s="239"/>
      <c r="B660" s="252" t="s">
        <v>0</v>
      </c>
      <c r="C660" s="252" t="s">
        <v>489</v>
      </c>
      <c r="D660" s="252" t="s">
        <v>490</v>
      </c>
      <c r="E660" s="252" t="s">
        <v>491</v>
      </c>
      <c r="F660" s="252" t="s">
        <v>489</v>
      </c>
      <c r="G660" s="230" t="s">
        <v>490</v>
      </c>
      <c r="H660" s="248"/>
      <c r="I660" s="241" t="s">
        <v>492</v>
      </c>
      <c r="J660" s="230"/>
      <c r="K660" s="305"/>
      <c r="L660" s="248" t="s">
        <v>88</v>
      </c>
      <c r="M660" s="252" t="s">
        <v>34</v>
      </c>
      <c r="N660" s="252" t="s">
        <v>493</v>
      </c>
      <c r="O660" s="248" t="s">
        <v>494</v>
      </c>
      <c r="P660" s="248" t="s">
        <v>495</v>
      </c>
      <c r="Q660" s="230" t="s">
        <v>88</v>
      </c>
      <c r="R660" s="248" t="s">
        <v>34</v>
      </c>
      <c r="S660" s="252" t="s">
        <v>88</v>
      </c>
      <c r="U660" s="239" t="s">
        <v>512</v>
      </c>
      <c r="V660" s="492">
        <f t="shared" si="249"/>
        <v>0.31202050000000009</v>
      </c>
    </row>
    <row r="661" spans="1:27" ht="13.15" customHeight="1">
      <c r="A661" s="239"/>
      <c r="B661" s="257" t="s">
        <v>496</v>
      </c>
      <c r="C661" s="256" t="s">
        <v>496</v>
      </c>
      <c r="D661" s="256" t="s">
        <v>496</v>
      </c>
      <c r="E661" s="256" t="s">
        <v>473</v>
      </c>
      <c r="F661" s="257" t="s">
        <v>473</v>
      </c>
      <c r="G661" s="259" t="s">
        <v>451</v>
      </c>
      <c r="H661" s="257" t="s">
        <v>497</v>
      </c>
      <c r="I661" s="257" t="s">
        <v>498</v>
      </c>
      <c r="J661" s="230"/>
      <c r="K661" s="305"/>
      <c r="L661" s="257" t="s">
        <v>496</v>
      </c>
      <c r="M661" s="256" t="s">
        <v>496</v>
      </c>
      <c r="N661" s="256"/>
      <c r="O661" s="257" t="s">
        <v>79</v>
      </c>
      <c r="P661" s="257" t="s">
        <v>79</v>
      </c>
      <c r="Q661" s="259"/>
      <c r="R661" s="257"/>
      <c r="S661" s="256"/>
      <c r="U661" s="239" t="s">
        <v>513</v>
      </c>
      <c r="V661" s="492">
        <f t="shared" si="249"/>
        <v>8.8000000000000005E-3</v>
      </c>
    </row>
    <row r="662" spans="1:27" ht="13.15" customHeight="1">
      <c r="A662" s="251" t="s">
        <v>150</v>
      </c>
      <c r="B662" s="422">
        <v>5151.7771666666449</v>
      </c>
      <c r="C662" s="422">
        <v>7987.0409999999756</v>
      </c>
      <c r="D662" s="422">
        <v>9513.8819444444362</v>
      </c>
      <c r="E662" s="422">
        <v>19714.991486111092</v>
      </c>
      <c r="F662" s="422">
        <v>41705.716</v>
      </c>
      <c r="G662" s="422">
        <v>113015.72799999993</v>
      </c>
      <c r="H662" s="422">
        <v>398231.46540000016</v>
      </c>
      <c r="I662" s="423">
        <v>2528</v>
      </c>
      <c r="J662" s="244"/>
      <c r="K662" s="303" t="s">
        <v>150</v>
      </c>
      <c r="L662" s="312">
        <f>B662/I662</f>
        <v>2.0378865374472488</v>
      </c>
      <c r="M662" s="313">
        <f>D662/I662</f>
        <v>3.7634026678973242</v>
      </c>
      <c r="N662" s="313">
        <f>D662/B662</f>
        <v>1.8467184500917</v>
      </c>
      <c r="O662" s="312">
        <f>(F662*3.6+G662)*100/H662</f>
        <v>66.081243815245699</v>
      </c>
      <c r="P662" s="313">
        <f>(E662*3.6+G662)*100/H662</f>
        <v>46.201697589413982</v>
      </c>
      <c r="Q662" s="313">
        <f>E662/(B662*8760)*1000</f>
        <v>0.43685309584280169</v>
      </c>
      <c r="R662" s="313">
        <f>G662/(D662*8761)*1000/3.6</f>
        <v>0.37663870485501805</v>
      </c>
      <c r="S662" s="313">
        <f>G662/(E662*3.6)</f>
        <v>1.5923546200815673</v>
      </c>
      <c r="U662" s="239" t="s">
        <v>514</v>
      </c>
      <c r="V662" s="492">
        <f t="shared" si="249"/>
        <v>0.15770400000000001</v>
      </c>
      <c r="Z662" s="214">
        <f>C662-B662</f>
        <v>2835.2638333333307</v>
      </c>
      <c r="AA662" s="214">
        <f>F662-E662</f>
        <v>21990.724513888908</v>
      </c>
    </row>
    <row r="663" spans="1:27" ht="13.15" customHeight="1">
      <c r="A663" s="239"/>
      <c r="B663" s="252"/>
      <c r="C663" s="252"/>
      <c r="D663" s="252"/>
      <c r="E663" s="267"/>
      <c r="F663" s="267"/>
      <c r="G663" s="248"/>
      <c r="H663" s="252"/>
      <c r="I663" s="248"/>
      <c r="J663" s="230"/>
      <c r="K663" s="239"/>
      <c r="L663" s="312"/>
      <c r="M663" s="267"/>
      <c r="N663" s="267"/>
      <c r="O663" s="239"/>
      <c r="P663" s="313"/>
      <c r="Q663" s="267"/>
      <c r="R663" s="267"/>
      <c r="S663" s="239"/>
      <c r="U663" s="239" t="s">
        <v>515</v>
      </c>
      <c r="V663" s="492">
        <f t="shared" si="249"/>
        <v>3.4969999999999992E-3</v>
      </c>
      <c r="Z663" s="214">
        <f t="shared" ref="Z663:Z683" si="252">C663-B663</f>
        <v>0</v>
      </c>
      <c r="AA663" s="214">
        <f t="shared" ref="AA663:AA683" si="253">F663-E663</f>
        <v>0</v>
      </c>
    </row>
    <row r="664" spans="1:27" ht="13.15" customHeight="1">
      <c r="A664" s="312" t="s">
        <v>7</v>
      </c>
      <c r="B664" s="205">
        <f>SUM(B665:B682)</f>
        <v>1586.3862777777781</v>
      </c>
      <c r="C664" s="205">
        <f t="shared" ref="C664:I664" si="254">SUM(C665:C682)</f>
        <v>1642.3610000000001</v>
      </c>
      <c r="D664" s="205">
        <f t="shared" si="254"/>
        <v>6485.6941666666653</v>
      </c>
      <c r="E664" s="205">
        <f t="shared" si="254"/>
        <v>8958.1380555555552</v>
      </c>
      <c r="F664" s="205">
        <f t="shared" si="254"/>
        <v>9359.9449999999997</v>
      </c>
      <c r="G664" s="205">
        <f t="shared" si="254"/>
        <v>108102.27899999999</v>
      </c>
      <c r="H664" s="205">
        <f t="shared" si="254"/>
        <v>170507.78830000001</v>
      </c>
      <c r="I664" s="205">
        <f t="shared" si="254"/>
        <v>1201</v>
      </c>
      <c r="J664" s="244"/>
      <c r="K664" s="318" t="s">
        <v>7</v>
      </c>
      <c r="L664" s="312">
        <f>B664/I664</f>
        <v>1.3208878249606812</v>
      </c>
      <c r="M664" s="313">
        <f>D664/I664</f>
        <v>5.4002449347765742</v>
      </c>
      <c r="N664" s="313">
        <f>D664/B664</f>
        <v>4.0883448486152281</v>
      </c>
      <c r="O664" s="312">
        <f t="shared" ref="O664:O681" si="255">(F664*3.6+G664)*100/H664</f>
        <v>83.162231129591163</v>
      </c>
      <c r="P664" s="313">
        <f>(E664*3.6+G664)*100/H664</f>
        <v>82.313879852255397</v>
      </c>
      <c r="Q664" s="313">
        <f>E664/(B664*8760)*1000</f>
        <v>0.64462137237163641</v>
      </c>
      <c r="R664" s="313">
        <f>G664/(D664*8761)*1000/3.6</f>
        <v>0.5284722689311363</v>
      </c>
      <c r="S664" s="313">
        <f>G664/(E664*3.6)</f>
        <v>3.35208172134729</v>
      </c>
      <c r="U664" s="239" t="s">
        <v>516</v>
      </c>
      <c r="V664" s="492">
        <f t="shared" si="249"/>
        <v>1.7949999999999999E-3</v>
      </c>
      <c r="Z664" s="214">
        <f t="shared" si="252"/>
        <v>55.974722222221999</v>
      </c>
      <c r="AA664" s="214">
        <f t="shared" si="253"/>
        <v>401.80694444444453</v>
      </c>
    </row>
    <row r="665" spans="1:27" ht="13.15" customHeight="1">
      <c r="A665" s="239" t="s">
        <v>152</v>
      </c>
      <c r="B665" s="209"/>
      <c r="C665" s="209"/>
      <c r="D665" s="209"/>
      <c r="E665" s="209"/>
      <c r="F665" s="209"/>
      <c r="G665" s="209"/>
      <c r="H665" s="209"/>
      <c r="I665" s="424"/>
      <c r="J665" s="230"/>
      <c r="K665" s="305" t="s">
        <v>152</v>
      </c>
      <c r="L665" s="239" t="e">
        <f t="shared" ref="L665:L681" si="256">B665/I665</f>
        <v>#DIV/0!</v>
      </c>
      <c r="M665" s="267" t="e">
        <f t="shared" ref="M665:M681" si="257">D665/I665</f>
        <v>#DIV/0!</v>
      </c>
      <c r="N665" s="267" t="e">
        <f t="shared" ref="N665:N681" si="258">D665/B665</f>
        <v>#DIV/0!</v>
      </c>
      <c r="O665" s="239" t="e">
        <f t="shared" si="255"/>
        <v>#DIV/0!</v>
      </c>
      <c r="P665" s="267" t="e">
        <f t="shared" ref="P665:P681" si="259">(E665*3.6+G665)*100/H665</f>
        <v>#DIV/0!</v>
      </c>
      <c r="Q665" s="267" t="e">
        <f t="shared" ref="Q665:Q681" si="260">E665/(B665*8760)*1000</f>
        <v>#DIV/0!</v>
      </c>
      <c r="R665" s="267" t="e">
        <f t="shared" ref="R665:R681" si="261">G665/(D665*8761)*1000/3.6</f>
        <v>#DIV/0!</v>
      </c>
      <c r="S665" s="267" t="e">
        <f t="shared" ref="S665:S681" si="262">G665/(E665*3.6)</f>
        <v>#DIV/0!</v>
      </c>
      <c r="U665" s="239" t="s">
        <v>517</v>
      </c>
      <c r="V665" s="492">
        <f t="shared" si="249"/>
        <v>2.5000000000000001E-4</v>
      </c>
      <c r="Z665" s="214">
        <f t="shared" si="252"/>
        <v>0</v>
      </c>
      <c r="AA665" s="214">
        <f t="shared" si="253"/>
        <v>0</v>
      </c>
    </row>
    <row r="666" spans="1:27" ht="13.15" customHeight="1">
      <c r="A666" s="239" t="s">
        <v>504</v>
      </c>
      <c r="B666" s="209">
        <v>13.75</v>
      </c>
      <c r="C666" s="209">
        <v>13.75</v>
      </c>
      <c r="D666" s="209">
        <v>48.614166666666662</v>
      </c>
      <c r="E666" s="209">
        <v>77.816000000000003</v>
      </c>
      <c r="F666" s="209">
        <v>77.816000000000003</v>
      </c>
      <c r="G666" s="209">
        <v>561.48500000000001</v>
      </c>
      <c r="H666" s="209">
        <v>1048.5011999999999</v>
      </c>
      <c r="I666" s="424">
        <v>4</v>
      </c>
      <c r="J666" s="230"/>
      <c r="K666" s="305" t="s">
        <v>504</v>
      </c>
      <c r="L666" s="239">
        <f t="shared" si="256"/>
        <v>3.4375</v>
      </c>
      <c r="M666" s="267">
        <f t="shared" si="257"/>
        <v>12.153541666666666</v>
      </c>
      <c r="N666" s="267">
        <f t="shared" si="258"/>
        <v>3.5355757575757574</v>
      </c>
      <c r="O666" s="239">
        <f t="shared" si="255"/>
        <v>80.26911175685828</v>
      </c>
      <c r="P666" s="267">
        <f t="shared" si="259"/>
        <v>80.26911175685828</v>
      </c>
      <c r="Q666" s="267">
        <f t="shared" si="260"/>
        <v>0.64604400166044007</v>
      </c>
      <c r="R666" s="267">
        <f t="shared" si="261"/>
        <v>0.36620066781381266</v>
      </c>
      <c r="S666" s="267">
        <f t="shared" si="262"/>
        <v>2.0043185920062139</v>
      </c>
      <c r="U666" s="239" t="s">
        <v>518</v>
      </c>
      <c r="V666" s="492">
        <f t="shared" si="249"/>
        <v>4.5573333333333334E-3</v>
      </c>
      <c r="Z666" s="214">
        <f t="shared" si="252"/>
        <v>0</v>
      </c>
      <c r="AA666" s="214">
        <f t="shared" si="253"/>
        <v>0</v>
      </c>
    </row>
    <row r="667" spans="1:27" ht="13.15" customHeight="1">
      <c r="A667" s="239" t="s">
        <v>505</v>
      </c>
      <c r="B667" s="209"/>
      <c r="C667" s="209"/>
      <c r="D667" s="209"/>
      <c r="E667" s="209"/>
      <c r="F667" s="209"/>
      <c r="G667" s="209"/>
      <c r="H667" s="209"/>
      <c r="I667" s="424"/>
      <c r="J667" s="230"/>
      <c r="K667" s="305" t="s">
        <v>505</v>
      </c>
      <c r="L667" s="239" t="e">
        <f t="shared" si="256"/>
        <v>#DIV/0!</v>
      </c>
      <c r="M667" s="267" t="e">
        <f t="shared" si="257"/>
        <v>#DIV/0!</v>
      </c>
      <c r="N667" s="267" t="e">
        <f t="shared" si="258"/>
        <v>#DIV/0!</v>
      </c>
      <c r="O667" s="239" t="e">
        <f t="shared" si="255"/>
        <v>#DIV/0!</v>
      </c>
      <c r="P667" s="267" t="e">
        <f t="shared" si="259"/>
        <v>#DIV/0!</v>
      </c>
      <c r="Q667" s="267" t="e">
        <f t="shared" si="260"/>
        <v>#DIV/0!</v>
      </c>
      <c r="R667" s="267" t="e">
        <f t="shared" si="261"/>
        <v>#DIV/0!</v>
      </c>
      <c r="S667" s="267" t="e">
        <f t="shared" si="262"/>
        <v>#DIV/0!</v>
      </c>
      <c r="U667" s="239" t="s">
        <v>519</v>
      </c>
      <c r="V667" s="492">
        <f t="shared" si="249"/>
        <v>0.39350816666666666</v>
      </c>
      <c r="Z667" s="214">
        <f t="shared" si="252"/>
        <v>0</v>
      </c>
      <c r="AA667" s="214">
        <f t="shared" si="253"/>
        <v>0</v>
      </c>
    </row>
    <row r="668" spans="1:27" ht="13.15" customHeight="1">
      <c r="A668" s="239" t="s">
        <v>506</v>
      </c>
      <c r="B668" s="209">
        <v>376.34</v>
      </c>
      <c r="C668" s="209">
        <v>385.74</v>
      </c>
      <c r="D668" s="209">
        <v>1651.6933333333329</v>
      </c>
      <c r="E668" s="209">
        <v>2524.608444444445</v>
      </c>
      <c r="F668" s="209">
        <v>2665.9940000000001</v>
      </c>
      <c r="G668" s="209">
        <v>31234.078000000005</v>
      </c>
      <c r="H668" s="209">
        <v>47926.017749999999</v>
      </c>
      <c r="I668" s="424">
        <v>14</v>
      </c>
      <c r="J668" s="230"/>
      <c r="K668" s="305" t="s">
        <v>506</v>
      </c>
      <c r="L668" s="239">
        <f t="shared" si="256"/>
        <v>26.881428571428568</v>
      </c>
      <c r="M668" s="267">
        <f t="shared" si="257"/>
        <v>117.97809523809521</v>
      </c>
      <c r="N668" s="267">
        <f t="shared" si="258"/>
        <v>4.3888327930417521</v>
      </c>
      <c r="O668" s="239">
        <f t="shared" si="255"/>
        <v>85.197265111808719</v>
      </c>
      <c r="P668" s="267">
        <f t="shared" si="259"/>
        <v>84.13523654382908</v>
      </c>
      <c r="Q668" s="267">
        <f t="shared" si="260"/>
        <v>0.7657897406856562</v>
      </c>
      <c r="R668" s="267">
        <f t="shared" si="261"/>
        <v>0.59957441660750277</v>
      </c>
      <c r="S668" s="267">
        <f t="shared" si="262"/>
        <v>3.4366251118545286</v>
      </c>
      <c r="U668" s="220"/>
      <c r="Z668" s="214">
        <f t="shared" si="252"/>
        <v>9.4000000000000341</v>
      </c>
      <c r="AA668" s="214">
        <f t="shared" si="253"/>
        <v>141.38555555555513</v>
      </c>
    </row>
    <row r="669" spans="1:27" ht="13.15" customHeight="1">
      <c r="A669" s="239" t="s">
        <v>507</v>
      </c>
      <c r="B669" s="209"/>
      <c r="C669" s="209"/>
      <c r="D669" s="209"/>
      <c r="E669" s="209"/>
      <c r="F669" s="209"/>
      <c r="G669" s="209"/>
      <c r="H669" s="209"/>
      <c r="I669" s="424"/>
      <c r="J669" s="230"/>
      <c r="K669" s="305" t="s">
        <v>507</v>
      </c>
      <c r="L669" s="239" t="e">
        <f t="shared" si="256"/>
        <v>#DIV/0!</v>
      </c>
      <c r="M669" s="267" t="e">
        <f t="shared" si="257"/>
        <v>#DIV/0!</v>
      </c>
      <c r="N669" s="267" t="e">
        <f t="shared" si="258"/>
        <v>#DIV/0!</v>
      </c>
      <c r="O669" s="239" t="e">
        <f t="shared" si="255"/>
        <v>#DIV/0!</v>
      </c>
      <c r="P669" s="267" t="e">
        <f t="shared" si="259"/>
        <v>#DIV/0!</v>
      </c>
      <c r="Q669" s="267" t="e">
        <f t="shared" si="260"/>
        <v>#DIV/0!</v>
      </c>
      <c r="R669" s="267" t="e">
        <f t="shared" si="261"/>
        <v>#DIV/0!</v>
      </c>
      <c r="S669" s="267" t="e">
        <f t="shared" si="262"/>
        <v>#DIV/0!</v>
      </c>
      <c r="U669" s="220"/>
      <c r="Z669" s="214">
        <f t="shared" si="252"/>
        <v>0</v>
      </c>
      <c r="AA669" s="214">
        <f t="shared" si="253"/>
        <v>0</v>
      </c>
    </row>
    <row r="670" spans="1:27" ht="13.15" customHeight="1">
      <c r="A670" s="239" t="s">
        <v>156</v>
      </c>
      <c r="B670" s="209">
        <v>48.309666666666672</v>
      </c>
      <c r="C670" s="209">
        <v>53.64800000000001</v>
      </c>
      <c r="D670" s="425">
        <v>284.27777777777771</v>
      </c>
      <c r="E670" s="425">
        <v>173.166</v>
      </c>
      <c r="F670" s="425">
        <v>174.14700000000002</v>
      </c>
      <c r="G670" s="425">
        <v>2948.0049999999997</v>
      </c>
      <c r="H670" s="209">
        <v>3974.1352999999999</v>
      </c>
      <c r="I670" s="424">
        <v>9</v>
      </c>
      <c r="J670" s="230"/>
      <c r="K670" s="305" t="s">
        <v>156</v>
      </c>
      <c r="L670" s="239">
        <f t="shared" si="256"/>
        <v>5.3677407407407411</v>
      </c>
      <c r="M670" s="267">
        <f t="shared" si="257"/>
        <v>31.586419753086414</v>
      </c>
      <c r="N670" s="267">
        <f t="shared" si="258"/>
        <v>5.8844905666452751</v>
      </c>
      <c r="O670" s="322">
        <f t="shared" si="255"/>
        <v>89.955019900807102</v>
      </c>
      <c r="P670" s="323">
        <f t="shared" si="259"/>
        <v>89.866155286660714</v>
      </c>
      <c r="Q670" s="267">
        <f t="shared" si="260"/>
        <v>0.40918949732306326</v>
      </c>
      <c r="R670" s="267">
        <f t="shared" si="261"/>
        <v>0.3287979664170253</v>
      </c>
      <c r="S670" s="267">
        <f t="shared" si="262"/>
        <v>4.7289322255972746</v>
      </c>
      <c r="U670" s="220"/>
      <c r="Z670" s="214">
        <f t="shared" si="252"/>
        <v>5.3383333333333383</v>
      </c>
      <c r="AA670" s="214">
        <f t="shared" si="253"/>
        <v>0.98100000000002296</v>
      </c>
    </row>
    <row r="671" spans="1:27" ht="13.15" customHeight="1">
      <c r="A671" s="239" t="s">
        <v>508</v>
      </c>
      <c r="B671" s="209"/>
      <c r="C671" s="209"/>
      <c r="D671" s="425"/>
      <c r="E671" s="425"/>
      <c r="F671" s="425"/>
      <c r="G671" s="425"/>
      <c r="H671" s="209"/>
      <c r="I671" s="424"/>
      <c r="J671" s="230"/>
      <c r="K671" s="305" t="s">
        <v>508</v>
      </c>
      <c r="L671" s="239" t="e">
        <f t="shared" si="256"/>
        <v>#DIV/0!</v>
      </c>
      <c r="M671" s="267" t="e">
        <f t="shared" si="257"/>
        <v>#DIV/0!</v>
      </c>
      <c r="N671" s="267" t="e">
        <f t="shared" si="258"/>
        <v>#DIV/0!</v>
      </c>
      <c r="O671" s="239" t="e">
        <f t="shared" si="255"/>
        <v>#DIV/0!</v>
      </c>
      <c r="P671" s="267" t="e">
        <f t="shared" si="259"/>
        <v>#DIV/0!</v>
      </c>
      <c r="Q671" s="267" t="e">
        <f t="shared" si="260"/>
        <v>#DIV/0!</v>
      </c>
      <c r="R671" s="267" t="e">
        <f t="shared" si="261"/>
        <v>#DIV/0!</v>
      </c>
      <c r="S671" s="267" t="e">
        <f t="shared" si="262"/>
        <v>#DIV/0!</v>
      </c>
      <c r="U671" s="220"/>
      <c r="Z671" s="214">
        <f t="shared" si="252"/>
        <v>0</v>
      </c>
      <c r="AA671" s="214">
        <f t="shared" si="253"/>
        <v>0</v>
      </c>
    </row>
    <row r="672" spans="1:27" ht="13.15" customHeight="1">
      <c r="A672" s="239" t="s">
        <v>509</v>
      </c>
      <c r="B672" s="209">
        <v>250.57861111111112</v>
      </c>
      <c r="C672" s="209">
        <v>281.64</v>
      </c>
      <c r="D672" s="209">
        <v>1652.0219444444447</v>
      </c>
      <c r="E672" s="209">
        <v>1934.3972777777772</v>
      </c>
      <c r="F672" s="209">
        <v>2117.181</v>
      </c>
      <c r="G672" s="209">
        <v>35917.614000000001</v>
      </c>
      <c r="H672" s="209">
        <v>52571.372100000001</v>
      </c>
      <c r="I672" s="424">
        <v>17</v>
      </c>
      <c r="J672" s="230"/>
      <c r="K672" s="305" t="s">
        <v>509</v>
      </c>
      <c r="L672" s="239">
        <f t="shared" si="256"/>
        <v>14.739918300653596</v>
      </c>
      <c r="M672" s="267">
        <f t="shared" si="257"/>
        <v>97.177761437908515</v>
      </c>
      <c r="N672" s="267">
        <f t="shared" si="258"/>
        <v>6.5928290412301314</v>
      </c>
      <c r="O672" s="239">
        <f t="shared" si="255"/>
        <v>82.819724615861801</v>
      </c>
      <c r="P672" s="267">
        <f t="shared" si="259"/>
        <v>81.568052130029912</v>
      </c>
      <c r="Q672" s="267">
        <f t="shared" si="260"/>
        <v>0.88124683137596826</v>
      </c>
      <c r="R672" s="267">
        <f t="shared" si="261"/>
        <v>0.68934318407427631</v>
      </c>
      <c r="S672" s="267">
        <f t="shared" si="262"/>
        <v>5.1577383377325905</v>
      </c>
      <c r="U672" s="220"/>
      <c r="Z672" s="214">
        <f t="shared" si="252"/>
        <v>31.061388888888871</v>
      </c>
      <c r="AA672" s="214">
        <f t="shared" si="253"/>
        <v>182.78372222222288</v>
      </c>
    </row>
    <row r="673" spans="1:27" ht="13.15" customHeight="1">
      <c r="A673" s="239" t="s">
        <v>510</v>
      </c>
      <c r="B673" s="209">
        <v>15.276000000000002</v>
      </c>
      <c r="C673" s="209">
        <v>15.276000000000002</v>
      </c>
      <c r="D673" s="209">
        <v>37.846388888888896</v>
      </c>
      <c r="E673" s="209">
        <v>48.275999999999982</v>
      </c>
      <c r="F673" s="209">
        <v>48.275999999999982</v>
      </c>
      <c r="G673" s="209">
        <v>530.48900000000003</v>
      </c>
      <c r="H673" s="209">
        <v>744.97770000000003</v>
      </c>
      <c r="I673" s="424">
        <v>8</v>
      </c>
      <c r="J673" s="230"/>
      <c r="K673" s="305" t="s">
        <v>510</v>
      </c>
      <c r="L673" s="239">
        <f t="shared" si="256"/>
        <v>1.9095000000000002</v>
      </c>
      <c r="M673" s="267">
        <f t="shared" si="257"/>
        <v>4.730798611111112</v>
      </c>
      <c r="N673" s="267">
        <f t="shared" si="258"/>
        <v>2.4775064734805508</v>
      </c>
      <c r="O673" s="322">
        <f t="shared" si="255"/>
        <v>94.537406958624388</v>
      </c>
      <c r="P673" s="323">
        <f t="shared" si="259"/>
        <v>94.537406958624388</v>
      </c>
      <c r="Q673" s="267">
        <f t="shared" si="260"/>
        <v>0.36075928934993368</v>
      </c>
      <c r="R673" s="267">
        <f t="shared" si="261"/>
        <v>0.44442220956213058</v>
      </c>
      <c r="S673" s="267">
        <f t="shared" si="262"/>
        <v>3.0524081439132407</v>
      </c>
      <c r="U673" s="220"/>
      <c r="Z673" s="214">
        <f t="shared" si="252"/>
        <v>0</v>
      </c>
      <c r="AA673" s="214">
        <f t="shared" si="253"/>
        <v>0</v>
      </c>
    </row>
    <row r="674" spans="1:27" ht="13.15" customHeight="1">
      <c r="A674" s="239" t="s">
        <v>511</v>
      </c>
      <c r="B674" s="209"/>
      <c r="C674" s="209"/>
      <c r="D674" s="209"/>
      <c r="E674" s="209"/>
      <c r="F674" s="209"/>
      <c r="G674" s="209"/>
      <c r="H674" s="209"/>
      <c r="I674" s="424"/>
      <c r="J674" s="230"/>
      <c r="K674" s="305" t="s">
        <v>511</v>
      </c>
      <c r="L674" s="239" t="e">
        <f t="shared" si="256"/>
        <v>#DIV/0!</v>
      </c>
      <c r="M674" s="267" t="e">
        <f t="shared" si="257"/>
        <v>#DIV/0!</v>
      </c>
      <c r="N674" s="267" t="e">
        <f t="shared" si="258"/>
        <v>#DIV/0!</v>
      </c>
      <c r="O674" s="239" t="e">
        <f t="shared" si="255"/>
        <v>#DIV/0!</v>
      </c>
      <c r="P674" s="267" t="e">
        <f t="shared" si="259"/>
        <v>#DIV/0!</v>
      </c>
      <c r="Q674" s="267" t="e">
        <f t="shared" si="260"/>
        <v>#DIV/0!</v>
      </c>
      <c r="R674" s="267" t="e">
        <f t="shared" si="261"/>
        <v>#DIV/0!</v>
      </c>
      <c r="S674" s="267" t="e">
        <f t="shared" si="262"/>
        <v>#DIV/0!</v>
      </c>
      <c r="U674" s="220"/>
      <c r="Z674" s="214">
        <f t="shared" si="252"/>
        <v>0</v>
      </c>
      <c r="AA674" s="214">
        <f t="shared" si="253"/>
        <v>0</v>
      </c>
    </row>
    <row r="675" spans="1:27" ht="13.15" customHeight="1">
      <c r="A675" s="239" t="s">
        <v>512</v>
      </c>
      <c r="B675" s="209">
        <v>312.02050000000008</v>
      </c>
      <c r="C675" s="209">
        <v>312.28700000000009</v>
      </c>
      <c r="D675" s="209">
        <v>1565.3947222222223</v>
      </c>
      <c r="E675" s="209">
        <v>1495.0650000000001</v>
      </c>
      <c r="F675" s="209">
        <v>1495.0650000000001</v>
      </c>
      <c r="G675" s="209">
        <v>17702.930999999997</v>
      </c>
      <c r="H675" s="209">
        <v>28557.142400000001</v>
      </c>
      <c r="I675" s="424">
        <v>61</v>
      </c>
      <c r="J675" s="230"/>
      <c r="K675" s="305" t="s">
        <v>512</v>
      </c>
      <c r="L675" s="239">
        <f t="shared" si="256"/>
        <v>5.1150901639344273</v>
      </c>
      <c r="M675" s="267">
        <f t="shared" si="257"/>
        <v>25.662208561020037</v>
      </c>
      <c r="N675" s="267">
        <f t="shared" si="258"/>
        <v>5.0169611362786162</v>
      </c>
      <c r="O675" s="239">
        <f t="shared" si="255"/>
        <v>80.838498042437166</v>
      </c>
      <c r="P675" s="267">
        <f t="shared" si="259"/>
        <v>80.838498042437166</v>
      </c>
      <c r="Q675" s="267">
        <f t="shared" si="260"/>
        <v>0.54698175455761777</v>
      </c>
      <c r="R675" s="267">
        <f t="shared" si="261"/>
        <v>0.35856271718214422</v>
      </c>
      <c r="S675" s="267">
        <f t="shared" si="262"/>
        <v>3.2891418321834385</v>
      </c>
      <c r="U675" s="220"/>
      <c r="Z675" s="214">
        <f t="shared" si="252"/>
        <v>0.26650000000000773</v>
      </c>
      <c r="AA675" s="214">
        <f t="shared" si="253"/>
        <v>0</v>
      </c>
    </row>
    <row r="676" spans="1:27" ht="13.15" customHeight="1">
      <c r="A676" s="239" t="s">
        <v>513</v>
      </c>
      <c r="B676" s="209">
        <v>8.8000000000000007</v>
      </c>
      <c r="C676" s="209">
        <v>8.8000000000000007</v>
      </c>
      <c r="D676" s="209">
        <v>45.36666666666666</v>
      </c>
      <c r="E676" s="209">
        <v>28.303000000000001</v>
      </c>
      <c r="F676" s="209">
        <v>28.303000000000001</v>
      </c>
      <c r="G676" s="209">
        <v>468.16399999999999</v>
      </c>
      <c r="H676" s="209">
        <v>631.9867999999999</v>
      </c>
      <c r="I676" s="424">
        <v>2</v>
      </c>
      <c r="J676" s="230"/>
      <c r="K676" s="305" t="s">
        <v>513</v>
      </c>
      <c r="L676" s="239">
        <f t="shared" si="256"/>
        <v>4.4000000000000004</v>
      </c>
      <c r="M676" s="267">
        <f t="shared" si="257"/>
        <v>22.68333333333333</v>
      </c>
      <c r="N676" s="267">
        <f t="shared" si="258"/>
        <v>5.1553030303030294</v>
      </c>
      <c r="O676" s="239">
        <f t="shared" si="255"/>
        <v>90.200428236792305</v>
      </c>
      <c r="P676" s="267">
        <f t="shared" si="259"/>
        <v>90.200428236792305</v>
      </c>
      <c r="Q676" s="267">
        <f t="shared" si="260"/>
        <v>0.36715182648401828</v>
      </c>
      <c r="R676" s="267">
        <f t="shared" si="261"/>
        <v>0.32719372305563565</v>
      </c>
      <c r="S676" s="267">
        <f t="shared" si="262"/>
        <v>4.5947622356483606</v>
      </c>
      <c r="U676" s="220"/>
      <c r="Z676" s="214">
        <f t="shared" si="252"/>
        <v>0</v>
      </c>
      <c r="AA676" s="214">
        <f t="shared" si="253"/>
        <v>0</v>
      </c>
    </row>
    <row r="677" spans="1:27" ht="13.15" customHeight="1">
      <c r="A677" s="239" t="s">
        <v>514</v>
      </c>
      <c r="B677" s="209">
        <v>157.70400000000001</v>
      </c>
      <c r="C677" s="209">
        <v>157.70400000000001</v>
      </c>
      <c r="D677" s="209">
        <v>546.74916666666661</v>
      </c>
      <c r="E677" s="209">
        <v>1088.8969999999999</v>
      </c>
      <c r="F677" s="209">
        <v>1088.8969999999999</v>
      </c>
      <c r="G677" s="209">
        <v>10090.133999999998</v>
      </c>
      <c r="H677" s="209">
        <v>16430.96775</v>
      </c>
      <c r="I677" s="424">
        <v>24</v>
      </c>
      <c r="J677" s="230"/>
      <c r="K677" s="305" t="s">
        <v>514</v>
      </c>
      <c r="L677" s="239">
        <f t="shared" si="256"/>
        <v>6.5710000000000006</v>
      </c>
      <c r="M677" s="267">
        <f t="shared" si="257"/>
        <v>22.781215277777775</v>
      </c>
      <c r="N677" s="267">
        <f t="shared" si="258"/>
        <v>3.4669327770168579</v>
      </c>
      <c r="O677" s="239">
        <f t="shared" si="255"/>
        <v>85.266816983436655</v>
      </c>
      <c r="P677" s="267">
        <f t="shared" si="259"/>
        <v>85.266816983436655</v>
      </c>
      <c r="Q677" s="267">
        <f t="shared" si="260"/>
        <v>0.78820645324331085</v>
      </c>
      <c r="R677" s="267">
        <f t="shared" si="261"/>
        <v>0.58513034722024937</v>
      </c>
      <c r="S677" s="267">
        <f t="shared" si="262"/>
        <v>2.5739946018769446</v>
      </c>
      <c r="U677" s="220"/>
      <c r="Z677" s="214">
        <f t="shared" si="252"/>
        <v>0</v>
      </c>
      <c r="AA677" s="214">
        <f t="shared" si="253"/>
        <v>0</v>
      </c>
    </row>
    <row r="678" spans="1:27" ht="13.15" customHeight="1">
      <c r="A678" s="239" t="s">
        <v>515</v>
      </c>
      <c r="B678" s="209">
        <v>3.4969999999999994</v>
      </c>
      <c r="C678" s="209">
        <v>3.4969999999999994</v>
      </c>
      <c r="D678" s="209">
        <v>4.8975</v>
      </c>
      <c r="E678" s="209">
        <v>5.8760000000000003</v>
      </c>
      <c r="F678" s="209">
        <v>5.8760000000000003</v>
      </c>
      <c r="G678" s="209">
        <v>32.621000000000002</v>
      </c>
      <c r="H678" s="209">
        <v>66.436599999999984</v>
      </c>
      <c r="I678" s="424">
        <v>6</v>
      </c>
      <c r="J678" s="230"/>
      <c r="K678" s="305" t="s">
        <v>515</v>
      </c>
      <c r="L678" s="239">
        <f t="shared" si="256"/>
        <v>0.5828333333333332</v>
      </c>
      <c r="M678" s="267">
        <f t="shared" si="257"/>
        <v>0.81625000000000003</v>
      </c>
      <c r="N678" s="267">
        <f t="shared" si="258"/>
        <v>1.4004861309694026</v>
      </c>
      <c r="O678" s="239">
        <f t="shared" si="255"/>
        <v>80.941228178443836</v>
      </c>
      <c r="P678" s="267">
        <f t="shared" si="259"/>
        <v>80.941228178443836</v>
      </c>
      <c r="Q678" s="267">
        <f t="shared" si="260"/>
        <v>0.19181477143487638</v>
      </c>
      <c r="R678" s="267">
        <f t="shared" si="261"/>
        <v>0.21118673915341873</v>
      </c>
      <c r="S678" s="267">
        <f t="shared" si="262"/>
        <v>1.5421015808183951</v>
      </c>
      <c r="U678" s="220"/>
      <c r="Z678" s="214">
        <f t="shared" si="252"/>
        <v>0</v>
      </c>
      <c r="AA678" s="214">
        <f t="shared" si="253"/>
        <v>0</v>
      </c>
    </row>
    <row r="679" spans="1:27" ht="13.15" customHeight="1">
      <c r="A679" s="239" t="s">
        <v>516</v>
      </c>
      <c r="B679" s="209">
        <v>1.7949999999999999</v>
      </c>
      <c r="C679" s="209">
        <v>1.7949999999999999</v>
      </c>
      <c r="D679" s="209">
        <v>2.9633333333333329</v>
      </c>
      <c r="E679" s="209">
        <v>3.4420000000000002</v>
      </c>
      <c r="F679" s="209">
        <v>3.4420000000000002</v>
      </c>
      <c r="G679" s="209">
        <v>20.673999999999999</v>
      </c>
      <c r="H679" s="209">
        <v>50.323349999999998</v>
      </c>
      <c r="I679" s="424">
        <v>5</v>
      </c>
      <c r="J679" s="244"/>
      <c r="K679" s="239" t="s">
        <v>516</v>
      </c>
      <c r="L679" s="239">
        <f t="shared" si="256"/>
        <v>0.35899999999999999</v>
      </c>
      <c r="M679" s="267">
        <f t="shared" si="257"/>
        <v>0.59266666666666656</v>
      </c>
      <c r="N679" s="267">
        <f t="shared" si="258"/>
        <v>1.650882079851439</v>
      </c>
      <c r="O679" s="239">
        <f t="shared" si="255"/>
        <v>65.705482643742926</v>
      </c>
      <c r="P679" s="267">
        <f t="shared" si="259"/>
        <v>65.705482643742926</v>
      </c>
      <c r="Q679" s="267">
        <f t="shared" si="260"/>
        <v>0.21889825873494359</v>
      </c>
      <c r="R679" s="267">
        <f t="shared" si="261"/>
        <v>0.22120137619482877</v>
      </c>
      <c r="S679" s="267">
        <f t="shared" si="262"/>
        <v>1.6684421202143453</v>
      </c>
      <c r="U679" s="220"/>
      <c r="Z679" s="214">
        <f t="shared" si="252"/>
        <v>0</v>
      </c>
      <c r="AA679" s="214">
        <f t="shared" si="253"/>
        <v>0</v>
      </c>
    </row>
    <row r="680" spans="1:27" ht="13.15" customHeight="1">
      <c r="A680" s="239" t="s">
        <v>517</v>
      </c>
      <c r="B680" s="209">
        <v>0.25</v>
      </c>
      <c r="C680" s="209">
        <v>0.25</v>
      </c>
      <c r="D680" s="209">
        <v>0.40277777777777779</v>
      </c>
      <c r="E680" s="209">
        <v>0</v>
      </c>
      <c r="F680" s="209">
        <v>0</v>
      </c>
      <c r="G680" s="209">
        <v>0</v>
      </c>
      <c r="H680" s="209">
        <v>0</v>
      </c>
      <c r="I680" s="424">
        <v>1</v>
      </c>
      <c r="K680" s="239" t="s">
        <v>517</v>
      </c>
      <c r="L680" s="239">
        <f t="shared" si="256"/>
        <v>0.25</v>
      </c>
      <c r="M680" s="267">
        <f t="shared" si="257"/>
        <v>0.40277777777777779</v>
      </c>
      <c r="N680" s="267">
        <f t="shared" si="258"/>
        <v>1.6111111111111112</v>
      </c>
      <c r="O680" s="239" t="e">
        <f t="shared" si="255"/>
        <v>#DIV/0!</v>
      </c>
      <c r="P680" s="267" t="e">
        <f t="shared" si="259"/>
        <v>#DIV/0!</v>
      </c>
      <c r="Q680" s="267">
        <f t="shared" si="260"/>
        <v>0</v>
      </c>
      <c r="R680" s="267">
        <f t="shared" si="261"/>
        <v>0</v>
      </c>
      <c r="S680" s="267" t="e">
        <f t="shared" si="262"/>
        <v>#DIV/0!</v>
      </c>
      <c r="U680" s="220"/>
      <c r="Z680" s="214">
        <f t="shared" si="252"/>
        <v>0</v>
      </c>
      <c r="AA680" s="214">
        <f t="shared" si="253"/>
        <v>0</v>
      </c>
    </row>
    <row r="681" spans="1:27" ht="13.15" customHeight="1">
      <c r="A681" s="239" t="s">
        <v>518</v>
      </c>
      <c r="B681" s="209">
        <v>4.5573333333333332</v>
      </c>
      <c r="C681" s="209">
        <v>5.202</v>
      </c>
      <c r="D681" s="209">
        <v>7.8283333333333323</v>
      </c>
      <c r="E681" s="209">
        <v>11.547000000000002</v>
      </c>
      <c r="F681" s="209">
        <v>11.548000000000002</v>
      </c>
      <c r="G681" s="209">
        <v>59.673999999999999</v>
      </c>
      <c r="H681" s="209">
        <v>124.12175000000001</v>
      </c>
      <c r="I681" s="424">
        <v>19</v>
      </c>
      <c r="K681" s="239" t="s">
        <v>518</v>
      </c>
      <c r="L681" s="239">
        <f t="shared" si="256"/>
        <v>0.23985964912280702</v>
      </c>
      <c r="M681" s="267">
        <f t="shared" si="257"/>
        <v>0.41201754385964906</v>
      </c>
      <c r="N681" s="267">
        <f t="shared" si="258"/>
        <v>1.7177442949093036</v>
      </c>
      <c r="O681" s="239">
        <f t="shared" si="255"/>
        <v>81.570554717444764</v>
      </c>
      <c r="P681" s="267">
        <f t="shared" si="259"/>
        <v>81.56765433938854</v>
      </c>
      <c r="Q681" s="267">
        <f t="shared" si="260"/>
        <v>0.2892372772670071</v>
      </c>
      <c r="R681" s="267">
        <f t="shared" si="261"/>
        <v>0.24169054390546438</v>
      </c>
      <c r="S681" s="267">
        <f t="shared" si="262"/>
        <v>1.4355340011354558</v>
      </c>
      <c r="U681" s="220"/>
      <c r="Z681" s="214">
        <f t="shared" si="252"/>
        <v>0.64466666666666672</v>
      </c>
      <c r="AA681" s="214">
        <f t="shared" si="253"/>
        <v>9.9999999999944578E-4</v>
      </c>
    </row>
    <row r="682" spans="1:27" ht="13.15" customHeight="1">
      <c r="A682" s="272" t="s">
        <v>519</v>
      </c>
      <c r="B682" s="272">
        <v>393.50816666666668</v>
      </c>
      <c r="C682" s="272">
        <v>402.77199999999999</v>
      </c>
      <c r="D682" s="272">
        <v>637.6380555555553</v>
      </c>
      <c r="E682" s="272">
        <v>1566.7443333333322</v>
      </c>
      <c r="F682" s="272">
        <v>1643.4</v>
      </c>
      <c r="G682" s="272">
        <v>8536.41</v>
      </c>
      <c r="H682" s="272">
        <v>18381.805600000007</v>
      </c>
      <c r="I682" s="272">
        <v>1031</v>
      </c>
      <c r="K682" s="239" t="s">
        <v>519</v>
      </c>
      <c r="L682" s="239"/>
      <c r="M682" s="267"/>
      <c r="N682" s="267"/>
      <c r="O682" s="239"/>
      <c r="P682" s="267"/>
      <c r="Q682" s="267"/>
      <c r="R682" s="267"/>
      <c r="S682" s="267"/>
      <c r="U682" s="220"/>
      <c r="Z682" s="214">
        <f t="shared" si="252"/>
        <v>9.2638333333333094</v>
      </c>
      <c r="AA682" s="214">
        <f t="shared" si="253"/>
        <v>76.655666666667912</v>
      </c>
    </row>
    <row r="683" spans="1:27" ht="13.15" customHeight="1">
      <c r="A683" s="433" t="s">
        <v>169</v>
      </c>
      <c r="B683" s="434">
        <f>B662+B664</f>
        <v>6738.1634444444226</v>
      </c>
      <c r="C683" s="434">
        <f t="shared" ref="C683:I683" si="263">C662+C664</f>
        <v>9629.4019999999764</v>
      </c>
      <c r="D683" s="434">
        <f t="shared" si="263"/>
        <v>15999.576111111102</v>
      </c>
      <c r="E683" s="434">
        <f t="shared" si="263"/>
        <v>28673.129541666647</v>
      </c>
      <c r="F683" s="434">
        <f t="shared" si="263"/>
        <v>51065.661</v>
      </c>
      <c r="G683" s="434">
        <f t="shared" si="263"/>
        <v>221118.00699999993</v>
      </c>
      <c r="H683" s="434">
        <f t="shared" si="263"/>
        <v>568739.25370000023</v>
      </c>
      <c r="I683" s="434">
        <f t="shared" si="263"/>
        <v>3729</v>
      </c>
      <c r="K683" s="328" t="s">
        <v>169</v>
      </c>
      <c r="L683" s="282">
        <f>B683/I683</f>
        <v>1.8069625756085874</v>
      </c>
      <c r="M683" s="281">
        <f>D683/I683</f>
        <v>4.2905808825720309</v>
      </c>
      <c r="N683" s="281">
        <f>D683/B683</f>
        <v>2.3744713590025279</v>
      </c>
      <c r="O683" s="282">
        <f>(F683*3.6+G683)*100/H683</f>
        <v>71.202116605372581</v>
      </c>
      <c r="P683" s="282">
        <f>(E683*3.6+G683)*100/H683</f>
        <v>57.028114595565455</v>
      </c>
      <c r="Q683" s="281">
        <f>E683/(B683*8760)*1000</f>
        <v>0.48576861200093768</v>
      </c>
      <c r="R683" s="281">
        <f>G683/(D683*8761)*1000/3.6</f>
        <v>0.43818696425851683</v>
      </c>
      <c r="S683" s="281">
        <f>G683/(E683*3.6)</f>
        <v>2.142133404791255</v>
      </c>
      <c r="U683" s="220"/>
      <c r="Z683" s="214">
        <f t="shared" si="252"/>
        <v>2891.2385555555538</v>
      </c>
      <c r="AA683" s="214">
        <f t="shared" si="253"/>
        <v>22392.531458333353</v>
      </c>
    </row>
    <row r="684" spans="1:27" ht="13.15" customHeight="1">
      <c r="U684" s="220"/>
    </row>
    <row r="685" spans="1:27" ht="13.15" customHeight="1">
      <c r="A685" s="251" t="s">
        <v>520</v>
      </c>
      <c r="B685" s="227" t="s">
        <v>476</v>
      </c>
      <c r="C685" s="228"/>
      <c r="D685" s="286"/>
      <c r="E685" s="227" t="s">
        <v>521</v>
      </c>
      <c r="F685" s="228"/>
      <c r="G685" s="286"/>
      <c r="H685" s="200" t="s">
        <v>138</v>
      </c>
      <c r="I685" s="200" t="s">
        <v>478</v>
      </c>
      <c r="U685" s="220"/>
    </row>
    <row r="686" spans="1:27" ht="13.15" customHeight="1">
      <c r="A686" s="239"/>
      <c r="B686" s="243" t="s">
        <v>88</v>
      </c>
      <c r="C686" s="243"/>
      <c r="D686" s="241" t="s">
        <v>34</v>
      </c>
      <c r="E686" s="243" t="s">
        <v>88</v>
      </c>
      <c r="F686" s="243"/>
      <c r="G686" s="241" t="s">
        <v>34</v>
      </c>
      <c r="H686" s="241" t="s">
        <v>170</v>
      </c>
      <c r="I686" s="241" t="s">
        <v>483</v>
      </c>
      <c r="U686" s="220"/>
    </row>
    <row r="687" spans="1:27" ht="13.15" customHeight="1">
      <c r="A687" s="239"/>
      <c r="B687" s="252" t="s">
        <v>0</v>
      </c>
      <c r="C687" s="252" t="s">
        <v>489</v>
      </c>
      <c r="D687" s="252" t="s">
        <v>490</v>
      </c>
      <c r="E687" s="252" t="s">
        <v>491</v>
      </c>
      <c r="F687" s="252" t="s">
        <v>489</v>
      </c>
      <c r="G687" s="252" t="s">
        <v>490</v>
      </c>
      <c r="H687" s="248"/>
      <c r="I687" s="241" t="s">
        <v>492</v>
      </c>
      <c r="U687" s="220"/>
    </row>
    <row r="688" spans="1:27" ht="13.15" customHeight="1">
      <c r="A688" s="239"/>
      <c r="B688" s="257" t="s">
        <v>496</v>
      </c>
      <c r="C688" s="256" t="s">
        <v>496</v>
      </c>
      <c r="D688" s="252" t="s">
        <v>496</v>
      </c>
      <c r="E688" s="329" t="s">
        <v>473</v>
      </c>
      <c r="F688" s="329" t="s">
        <v>473</v>
      </c>
      <c r="G688" s="252" t="s">
        <v>496</v>
      </c>
      <c r="H688" s="257" t="s">
        <v>497</v>
      </c>
      <c r="I688" s="257" t="s">
        <v>498</v>
      </c>
      <c r="U688" s="220"/>
    </row>
    <row r="689" spans="1:21" ht="13.15" customHeight="1">
      <c r="A689" s="251" t="s">
        <v>522</v>
      </c>
      <c r="B689" s="389"/>
      <c r="C689" s="389"/>
      <c r="D689" s="200"/>
      <c r="E689" s="389"/>
      <c r="F689" s="389"/>
      <c r="G689" s="200"/>
      <c r="H689" s="200"/>
      <c r="I689" s="389"/>
      <c r="U689" s="220"/>
    </row>
    <row r="690" spans="1:21" ht="13.15" customHeight="1">
      <c r="A690" s="239" t="s">
        <v>523</v>
      </c>
      <c r="B690" s="334">
        <v>78.75</v>
      </c>
      <c r="C690" s="334">
        <v>144</v>
      </c>
      <c r="D690" s="334">
        <v>105</v>
      </c>
      <c r="E690" s="334">
        <v>172.91666666666666</v>
      </c>
      <c r="F690" s="334">
        <v>808</v>
      </c>
      <c r="G690" s="334">
        <v>830</v>
      </c>
      <c r="H690" s="334">
        <v>7287.2209999999995</v>
      </c>
      <c r="I690" s="335">
        <v>1</v>
      </c>
    </row>
    <row r="691" spans="1:21" ht="13.15" customHeight="1">
      <c r="A691" s="239" t="s">
        <v>524</v>
      </c>
      <c r="B691" s="334">
        <v>4.5376666666666665</v>
      </c>
      <c r="C691" s="334">
        <v>7.46</v>
      </c>
      <c r="D691" s="334">
        <v>7.5183333333333335</v>
      </c>
      <c r="E691" s="334">
        <v>17.309166666666666</v>
      </c>
      <c r="F691" s="334">
        <v>45.713999999999999</v>
      </c>
      <c r="G691" s="334">
        <v>103.649</v>
      </c>
      <c r="H691" s="334">
        <v>449.41509999999994</v>
      </c>
      <c r="I691" s="335">
        <v>4</v>
      </c>
    </row>
    <row r="692" spans="1:21" ht="13.15" customHeight="1">
      <c r="A692" s="239" t="s">
        <v>525</v>
      </c>
      <c r="B692" s="334">
        <v>4712.097111111093</v>
      </c>
      <c r="C692" s="334">
        <v>5703.5730000000331</v>
      </c>
      <c r="D692" s="334">
        <v>9081.4083333333165</v>
      </c>
      <c r="E692" s="334">
        <v>17178.573916666657</v>
      </c>
      <c r="F692" s="334">
        <v>27124.13100000003</v>
      </c>
      <c r="G692" s="334">
        <v>106761.31599999977</v>
      </c>
      <c r="H692" s="334">
        <v>270786.68604999944</v>
      </c>
      <c r="I692" s="335">
        <v>3559</v>
      </c>
    </row>
    <row r="693" spans="1:21" ht="13.15" customHeight="1">
      <c r="A693" s="239" t="s">
        <v>267</v>
      </c>
      <c r="B693" s="340">
        <v>6.2561666666666662</v>
      </c>
      <c r="C693" s="340">
        <v>24.015000000000001</v>
      </c>
      <c r="D693" s="340">
        <v>58.332222222222221</v>
      </c>
      <c r="E693" s="340">
        <v>23.343833333333333</v>
      </c>
      <c r="F693" s="340">
        <v>126.05</v>
      </c>
      <c r="G693" s="340">
        <v>551.45000000000005</v>
      </c>
      <c r="H693" s="340">
        <v>2472.1820000000002</v>
      </c>
      <c r="I693" s="341">
        <v>9</v>
      </c>
    </row>
    <row r="694" spans="1:21" ht="13.15" customHeight="1">
      <c r="A694" s="312" t="s">
        <v>526</v>
      </c>
      <c r="B694" s="391"/>
      <c r="C694" s="391"/>
      <c r="D694" s="205"/>
      <c r="E694" s="391"/>
      <c r="F694" s="391"/>
      <c r="G694" s="205"/>
      <c r="H694" s="205"/>
      <c r="I694" s="391"/>
    </row>
    <row r="695" spans="1:21" ht="13.15" customHeight="1">
      <c r="A695" s="239" t="s">
        <v>527</v>
      </c>
      <c r="B695" s="334"/>
      <c r="C695" s="334"/>
      <c r="D695" s="334"/>
      <c r="E695" s="334"/>
      <c r="F695" s="334"/>
      <c r="G695" s="334"/>
      <c r="H695" s="334"/>
      <c r="I695" s="335"/>
    </row>
    <row r="696" spans="1:21" ht="13.15" customHeight="1">
      <c r="A696" s="239" t="s">
        <v>528</v>
      </c>
      <c r="B696" s="334">
        <v>1264.355</v>
      </c>
      <c r="C696" s="334">
        <v>1268.386</v>
      </c>
      <c r="D696" s="334">
        <v>4566.6880555555554</v>
      </c>
      <c r="E696" s="334">
        <v>8406.1406666666644</v>
      </c>
      <c r="F696" s="334">
        <v>8496.4480000000003</v>
      </c>
      <c r="G696" s="334">
        <v>76512.002999999997</v>
      </c>
      <c r="H696" s="334">
        <v>130052.70175000002</v>
      </c>
      <c r="I696" s="335">
        <v>25</v>
      </c>
    </row>
    <row r="697" spans="1:21" ht="13.15" customHeight="1">
      <c r="A697" s="239" t="s">
        <v>529</v>
      </c>
      <c r="B697" s="334"/>
      <c r="C697" s="334"/>
      <c r="D697" s="334"/>
      <c r="E697" s="334"/>
      <c r="F697" s="334"/>
      <c r="G697" s="334"/>
      <c r="H697" s="334"/>
      <c r="I697" s="335"/>
    </row>
    <row r="698" spans="1:21" ht="13.15" customHeight="1">
      <c r="A698" s="239" t="s">
        <v>530</v>
      </c>
      <c r="B698" s="340">
        <v>672.16750000000002</v>
      </c>
      <c r="C698" s="340">
        <v>2481.9680000000003</v>
      </c>
      <c r="D698" s="340">
        <v>2180.6291666666702</v>
      </c>
      <c r="E698" s="340">
        <v>2874.8452916666647</v>
      </c>
      <c r="F698" s="340">
        <v>14465.317999999997</v>
      </c>
      <c r="G698" s="340">
        <v>36359.589000000014</v>
      </c>
      <c r="H698" s="340">
        <v>157691.04780000009</v>
      </c>
      <c r="I698" s="341">
        <v>131</v>
      </c>
    </row>
    <row r="699" spans="1:21" ht="13.15" customHeight="1">
      <c r="A699" s="282" t="s">
        <v>169</v>
      </c>
      <c r="B699" s="360">
        <f t="shared" ref="B699:I699" si="264">SUM(B689:B698)</f>
        <v>6738.1634444444262</v>
      </c>
      <c r="C699" s="360">
        <f t="shared" si="264"/>
        <v>9629.4020000000346</v>
      </c>
      <c r="D699" s="360">
        <f t="shared" si="264"/>
        <v>15999.576111111095</v>
      </c>
      <c r="E699" s="360">
        <f t="shared" si="264"/>
        <v>28673.129541666654</v>
      </c>
      <c r="F699" s="360">
        <f t="shared" si="264"/>
        <v>51065.661000000029</v>
      </c>
      <c r="G699" s="360">
        <f t="shared" si="264"/>
        <v>221118.00699999978</v>
      </c>
      <c r="H699" s="360">
        <f t="shared" si="264"/>
        <v>568739.25369999954</v>
      </c>
      <c r="I699" s="360">
        <f t="shared" si="264"/>
        <v>3729</v>
      </c>
    </row>
    <row r="700" spans="1:21" ht="13.15" customHeight="1">
      <c r="D700" s="220"/>
    </row>
    <row r="701" spans="1:21" ht="13.15" customHeight="1">
      <c r="D701" s="220"/>
    </row>
    <row r="702" spans="1:21" ht="13.15" customHeight="1">
      <c r="A702" s="221" t="s">
        <v>192</v>
      </c>
      <c r="D702" s="220"/>
      <c r="I702" s="221">
        <v>2002</v>
      </c>
      <c r="K702" s="221" t="str">
        <f>+A702</f>
        <v>Austria</v>
      </c>
      <c r="M702" s="220"/>
      <c r="S702" s="221">
        <v>2002</v>
      </c>
    </row>
    <row r="703" spans="1:21" ht="13.15" customHeight="1" thickBot="1"/>
    <row r="704" spans="1:21" ht="13.15" customHeight="1">
      <c r="A704" s="346" t="s">
        <v>475</v>
      </c>
      <c r="B704" s="233" t="s">
        <v>476</v>
      </c>
      <c r="C704" s="233"/>
      <c r="D704" s="234"/>
      <c r="E704" s="235" t="s">
        <v>477</v>
      </c>
      <c r="F704" s="233"/>
      <c r="G704" s="236"/>
      <c r="H704" s="347" t="s">
        <v>138</v>
      </c>
      <c r="I704" s="348" t="s">
        <v>478</v>
      </c>
      <c r="J704" s="230"/>
      <c r="K704" s="231" t="s">
        <v>475</v>
      </c>
      <c r="L704" s="232" t="s">
        <v>479</v>
      </c>
      <c r="M704" s="233"/>
      <c r="N704" s="234"/>
      <c r="O704" s="235" t="s">
        <v>480</v>
      </c>
      <c r="P704" s="233"/>
      <c r="Q704" s="233"/>
      <c r="R704" s="236"/>
      <c r="S704" s="237"/>
    </row>
    <row r="705" spans="1:27" ht="13.15" customHeight="1">
      <c r="A705" s="266"/>
      <c r="B705" s="240" t="s">
        <v>9</v>
      </c>
      <c r="C705" s="240"/>
      <c r="D705" s="241" t="s">
        <v>34</v>
      </c>
      <c r="E705" s="242" t="s">
        <v>88</v>
      </c>
      <c r="F705" s="243"/>
      <c r="G705" s="244" t="s">
        <v>34</v>
      </c>
      <c r="H705" s="241" t="s">
        <v>170</v>
      </c>
      <c r="I705" s="349" t="s">
        <v>483</v>
      </c>
      <c r="J705" s="230"/>
      <c r="K705" s="245"/>
      <c r="L705" s="246" t="s">
        <v>484</v>
      </c>
      <c r="M705" s="247"/>
      <c r="N705" s="248" t="s">
        <v>485</v>
      </c>
      <c r="O705" s="248" t="s">
        <v>486</v>
      </c>
      <c r="P705" s="248" t="s">
        <v>486</v>
      </c>
      <c r="Q705" s="247" t="s">
        <v>487</v>
      </c>
      <c r="R705" s="249"/>
      <c r="S705" s="250" t="s">
        <v>485</v>
      </c>
      <c r="U705" s="214" t="str">
        <f>A702</f>
        <v>Austria</v>
      </c>
    </row>
    <row r="706" spans="1:27" ht="13.15" customHeight="1">
      <c r="A706" s="350" t="s">
        <v>488</v>
      </c>
      <c r="B706" s="252" t="s">
        <v>0</v>
      </c>
      <c r="C706" s="252" t="s">
        <v>489</v>
      </c>
      <c r="D706" s="252" t="s">
        <v>490</v>
      </c>
      <c r="E706" s="252" t="s">
        <v>491</v>
      </c>
      <c r="F706" s="252" t="s">
        <v>489</v>
      </c>
      <c r="G706" s="230" t="s">
        <v>490</v>
      </c>
      <c r="H706" s="248"/>
      <c r="I706" s="349" t="s">
        <v>492</v>
      </c>
      <c r="J706" s="230"/>
      <c r="K706" s="253" t="s">
        <v>488</v>
      </c>
      <c r="L706" s="254" t="s">
        <v>88</v>
      </c>
      <c r="M706" s="252" t="s">
        <v>34</v>
      </c>
      <c r="N706" s="252" t="s">
        <v>493</v>
      </c>
      <c r="O706" s="248" t="s">
        <v>494</v>
      </c>
      <c r="P706" s="248" t="s">
        <v>495</v>
      </c>
      <c r="Q706" s="230" t="s">
        <v>88</v>
      </c>
      <c r="R706" s="248" t="s">
        <v>34</v>
      </c>
      <c r="S706" s="255" t="s">
        <v>88</v>
      </c>
      <c r="U706" s="214" t="s">
        <v>547</v>
      </c>
      <c r="V706" s="214">
        <f>G734/1000</f>
        <v>57.275287200000008</v>
      </c>
    </row>
    <row r="707" spans="1:27" ht="13.15" customHeight="1">
      <c r="A707" s="266"/>
      <c r="B707" s="252" t="s">
        <v>496</v>
      </c>
      <c r="C707" s="252" t="s">
        <v>496</v>
      </c>
      <c r="D707" s="252" t="s">
        <v>496</v>
      </c>
      <c r="E707" s="256" t="s">
        <v>473</v>
      </c>
      <c r="F707" s="257" t="s">
        <v>473</v>
      </c>
      <c r="G707" s="230" t="s">
        <v>451</v>
      </c>
      <c r="H707" s="257" t="s">
        <v>497</v>
      </c>
      <c r="I707" s="351" t="s">
        <v>498</v>
      </c>
      <c r="J707" s="230"/>
      <c r="K707" s="245"/>
      <c r="L707" s="258" t="s">
        <v>496</v>
      </c>
      <c r="M707" s="256" t="s">
        <v>496</v>
      </c>
      <c r="N707" s="256"/>
      <c r="O707" s="257" t="s">
        <v>79</v>
      </c>
      <c r="P707" s="257" t="s">
        <v>79</v>
      </c>
      <c r="Q707" s="259"/>
      <c r="R707" s="257"/>
      <c r="S707" s="260"/>
      <c r="U707" s="214" t="s">
        <v>548</v>
      </c>
      <c r="V707" s="214">
        <f>G740/1000</f>
        <v>2.2712003999999997</v>
      </c>
    </row>
    <row r="708" spans="1:27" ht="13.15" customHeight="1">
      <c r="A708" s="352" t="s">
        <v>262</v>
      </c>
      <c r="B708" s="262">
        <v>19.600000000000001</v>
      </c>
      <c r="C708" s="263">
        <v>19.600000000000001</v>
      </c>
      <c r="D708" s="262">
        <v>84</v>
      </c>
      <c r="E708" s="262">
        <v>119.746</v>
      </c>
      <c r="F708" s="263">
        <v>119.746</v>
      </c>
      <c r="G708" s="262">
        <v>1500.8868</v>
      </c>
      <c r="H708" s="262">
        <v>2212.9920000000002</v>
      </c>
      <c r="I708" s="264">
        <v>1</v>
      </c>
      <c r="J708" s="230"/>
      <c r="K708" s="265" t="s">
        <v>262</v>
      </c>
      <c r="L708" s="266">
        <f>C708/I708</f>
        <v>19.600000000000001</v>
      </c>
      <c r="M708" s="267">
        <f>D708/I708</f>
        <v>84</v>
      </c>
      <c r="N708" s="267">
        <f>D708/C708</f>
        <v>4.2857142857142856</v>
      </c>
      <c r="O708" s="239">
        <f>(F708*3.6+G708)*100/H708</f>
        <v>87.301372982821448</v>
      </c>
      <c r="P708" s="239">
        <f>(F708*3.6+G708)*100/H708</f>
        <v>87.301372982821448</v>
      </c>
      <c r="Q708" s="267">
        <f>F708/(C708*8760)*1000</f>
        <v>0.69743034199981369</v>
      </c>
      <c r="R708" s="267">
        <f>G708/(D708*8761)*1000/3.6</f>
        <v>0.56651637940874333</v>
      </c>
      <c r="S708" s="268">
        <f>G708/(F708*3.6)</f>
        <v>3.4816444808177307</v>
      </c>
      <c r="U708" s="214" t="s">
        <v>549</v>
      </c>
      <c r="V708" s="214">
        <f>G742/1000</f>
        <v>9.0088163999999988</v>
      </c>
      <c r="Z708" s="214">
        <f t="shared" ref="Z708:Z713" si="265">C708-B708</f>
        <v>0</v>
      </c>
      <c r="AA708" s="214">
        <f t="shared" ref="AA708:AA713" si="266">F708-E708</f>
        <v>0</v>
      </c>
    </row>
    <row r="709" spans="1:27" ht="13.15" customHeight="1">
      <c r="A709" s="266" t="s">
        <v>263</v>
      </c>
      <c r="B709" s="262">
        <v>366.6</v>
      </c>
      <c r="C709" s="263">
        <v>366.6</v>
      </c>
      <c r="D709" s="262">
        <v>1902.4670000000001</v>
      </c>
      <c r="E709" s="262">
        <v>1925.3219999999999</v>
      </c>
      <c r="F709" s="263">
        <v>1925.3219999999999</v>
      </c>
      <c r="G709" s="262">
        <v>32424.8796</v>
      </c>
      <c r="H709" s="262">
        <v>45475.263243000001</v>
      </c>
      <c r="I709" s="270">
        <v>21</v>
      </c>
      <c r="J709" s="230"/>
      <c r="K709" s="245" t="s">
        <v>263</v>
      </c>
      <c r="L709" s="266">
        <f>C709/I709</f>
        <v>17.457142857142859</v>
      </c>
      <c r="M709" s="267">
        <f>D709/I709</f>
        <v>90.593666666666678</v>
      </c>
      <c r="N709" s="267">
        <f>D709/C709</f>
        <v>5.1894899072558642</v>
      </c>
      <c r="O709" s="239">
        <f>(F709*3.6+G709)*100/H709</f>
        <v>86.543839426939599</v>
      </c>
      <c r="P709" s="239">
        <f>(F709*3.6+G709)*100/H709</f>
        <v>86.543839426939599</v>
      </c>
      <c r="Q709" s="267">
        <f>F709/(C709*8760)*1000</f>
        <v>0.59952432198133165</v>
      </c>
      <c r="R709" s="267">
        <f>G709/(D709*8761)*1000/3.6</f>
        <v>0.54038720658985839</v>
      </c>
      <c r="S709" s="268">
        <f>G709/(F709*3.6)</f>
        <v>4.678132281249578</v>
      </c>
      <c r="U709" s="214" t="s">
        <v>550</v>
      </c>
      <c r="V709" s="214">
        <f>G747/1000</f>
        <v>28.328248799999997</v>
      </c>
      <c r="Z709" s="214">
        <f t="shared" si="265"/>
        <v>0</v>
      </c>
      <c r="AA709" s="214">
        <f t="shared" si="266"/>
        <v>0</v>
      </c>
    </row>
    <row r="710" spans="1:27" ht="13.15" customHeight="1">
      <c r="A710" s="266" t="s">
        <v>499</v>
      </c>
      <c r="B710" s="262">
        <v>63.444000000000003</v>
      </c>
      <c r="C710" s="263">
        <v>63.444000000000003</v>
      </c>
      <c r="D710" s="262">
        <v>145.82499999999999</v>
      </c>
      <c r="E710" s="262">
        <v>151.511</v>
      </c>
      <c r="F710" s="263">
        <v>151.511</v>
      </c>
      <c r="G710" s="262">
        <v>1477.5876000000001</v>
      </c>
      <c r="H710" s="262">
        <v>2240.4672680000003</v>
      </c>
      <c r="I710" s="270">
        <v>2</v>
      </c>
      <c r="J710" s="230"/>
      <c r="K710" s="245" t="s">
        <v>499</v>
      </c>
      <c r="L710" s="266">
        <f>C710/I710</f>
        <v>31.722000000000001</v>
      </c>
      <c r="M710" s="267">
        <f>D710/I710</f>
        <v>72.912499999999994</v>
      </c>
      <c r="N710" s="267">
        <f>D710/C710</f>
        <v>2.2984837021625366</v>
      </c>
      <c r="O710" s="239">
        <f>(F710*3.6+G710)*100/H710</f>
        <v>90.29487861279479</v>
      </c>
      <c r="P710" s="239">
        <f>(F710*3.6+G710)*100/H710</f>
        <v>90.29487861279479</v>
      </c>
      <c r="Q710" s="267">
        <f>F710/(C710*8760)*1000</f>
        <v>0.27261484546541453</v>
      </c>
      <c r="R710" s="267">
        <f>G710/(D710*8761)*1000/3.6</f>
        <v>0.32126622605642857</v>
      </c>
      <c r="S710" s="268">
        <f>G710/(F710*3.6)</f>
        <v>2.7089848261842375</v>
      </c>
      <c r="U710" s="214" t="s">
        <v>551</v>
      </c>
      <c r="V710" s="214">
        <f>G738/1000</f>
        <v>9.5561568000000001</v>
      </c>
      <c r="Z710" s="214">
        <f t="shared" si="265"/>
        <v>0</v>
      </c>
      <c r="AA710" s="214">
        <f t="shared" si="266"/>
        <v>0</v>
      </c>
    </row>
    <row r="711" spans="1:27" ht="13.15" customHeight="1">
      <c r="A711" s="266" t="s">
        <v>265</v>
      </c>
      <c r="B711" s="262">
        <v>4.8710000000000004</v>
      </c>
      <c r="C711" s="263">
        <v>4.8710000000000004</v>
      </c>
      <c r="D711" s="262">
        <v>8.7100000000000009</v>
      </c>
      <c r="E711" s="262">
        <v>12.925000000000001</v>
      </c>
      <c r="F711" s="263">
        <v>12.925000000000001</v>
      </c>
      <c r="G711" s="262">
        <v>99.108000000000004</v>
      </c>
      <c r="H711" s="262">
        <v>174.52832199999997</v>
      </c>
      <c r="I711" s="271">
        <v>1</v>
      </c>
      <c r="J711" s="230"/>
      <c r="K711" s="245" t="s">
        <v>265</v>
      </c>
      <c r="L711" s="266">
        <f>C711/I711</f>
        <v>4.8710000000000004</v>
      </c>
      <c r="M711" s="267">
        <f>D711/I711</f>
        <v>8.7100000000000009</v>
      </c>
      <c r="N711" s="267">
        <f>D711/C711</f>
        <v>1.7881338534181892</v>
      </c>
      <c r="O711" s="239">
        <f>(F711*3.6+G711)*100/H711</f>
        <v>83.446628221177789</v>
      </c>
      <c r="P711" s="239">
        <f>(F711*3.6+G711)*100/H711</f>
        <v>83.446628221177789</v>
      </c>
      <c r="Q711" s="267">
        <f>F711/(C711*8760)*1000</f>
        <v>0.3029063069194346</v>
      </c>
      <c r="R711" s="267">
        <f>G711/(D711*8761)*1000/3.6</f>
        <v>0.3607732893049263</v>
      </c>
      <c r="S711" s="268">
        <f>G711/(F711*3.6)</f>
        <v>2.1299806576402323</v>
      </c>
      <c r="U711" s="214" t="s">
        <v>552</v>
      </c>
      <c r="V711" s="214">
        <f>(G735+G736+G737+G739+G741+G743+G744+G745+G746+G748+G749+G750+G751+G752)/1000</f>
        <v>8.1108647999999999</v>
      </c>
      <c r="Z711" s="214">
        <f t="shared" si="265"/>
        <v>0</v>
      </c>
      <c r="AA711" s="214">
        <f t="shared" si="266"/>
        <v>0</v>
      </c>
    </row>
    <row r="712" spans="1:27" ht="13.15" customHeight="1">
      <c r="A712" s="266" t="s">
        <v>266</v>
      </c>
      <c r="B712" s="262">
        <v>35.543999999999997</v>
      </c>
      <c r="C712" s="263">
        <v>35.543999999999997</v>
      </c>
      <c r="D712" s="262">
        <v>47.368000000000002</v>
      </c>
      <c r="E712" s="262">
        <v>181.75700000000001</v>
      </c>
      <c r="F712" s="263">
        <v>181.75700000000001</v>
      </c>
      <c r="G712" s="262">
        <v>936.68040000000008</v>
      </c>
      <c r="H712" s="262">
        <v>1913.6666879999998</v>
      </c>
      <c r="I712" s="271">
        <v>8</v>
      </c>
      <c r="J712" s="230"/>
      <c r="K712" s="245" t="s">
        <v>266</v>
      </c>
      <c r="L712" s="266">
        <f>C712/I712</f>
        <v>4.4429999999999996</v>
      </c>
      <c r="M712" s="267">
        <f>D712/I712</f>
        <v>5.9210000000000003</v>
      </c>
      <c r="N712" s="267">
        <f>D712/C712</f>
        <v>1.3326581138870135</v>
      </c>
      <c r="O712" s="239">
        <f>(F712*3.6+G712)*100/H712</f>
        <v>83.1391176936242</v>
      </c>
      <c r="P712" s="239">
        <f>(F712*3.6+G712)*100/H712</f>
        <v>83.1391176936242</v>
      </c>
      <c r="Q712" s="267">
        <f>F712/(C712*8760)*1000</f>
        <v>0.58374172804791702</v>
      </c>
      <c r="R712" s="267">
        <f>G712/(D712*8761)*1000/3.6</f>
        <v>0.62697497031309457</v>
      </c>
      <c r="S712" s="268">
        <f>G712/(F712*3.6)</f>
        <v>1.4315212068861174</v>
      </c>
      <c r="Z712" s="214">
        <f t="shared" si="265"/>
        <v>0</v>
      </c>
      <c r="AA712" s="214">
        <f t="shared" si="266"/>
        <v>0</v>
      </c>
    </row>
    <row r="713" spans="1:27" ht="13.15" customHeight="1">
      <c r="A713" s="353" t="s">
        <v>267</v>
      </c>
      <c r="B713" s="218"/>
      <c r="C713" s="218"/>
      <c r="D713" s="210"/>
      <c r="E713" s="204"/>
      <c r="F713" s="204"/>
      <c r="G713" s="400"/>
      <c r="H713" s="203"/>
      <c r="I713" s="401"/>
      <c r="J713" s="230"/>
      <c r="K713" s="245" t="s">
        <v>267</v>
      </c>
      <c r="L713" s="266"/>
      <c r="M713" s="267"/>
      <c r="N713" s="267"/>
      <c r="O713" s="239"/>
      <c r="P713" s="272"/>
      <c r="Q713" s="272"/>
      <c r="R713" s="274"/>
      <c r="S713" s="275"/>
      <c r="U713" s="214" t="s">
        <v>553</v>
      </c>
      <c r="V713" s="214">
        <f>H734/1000</f>
        <v>120.48737797100002</v>
      </c>
      <c r="Z713" s="214">
        <f t="shared" si="265"/>
        <v>0</v>
      </c>
      <c r="AA713" s="214">
        <f t="shared" si="266"/>
        <v>0</v>
      </c>
    </row>
    <row r="714" spans="1:27" ht="13.15" customHeight="1">
      <c r="A714" s="276" t="s">
        <v>500</v>
      </c>
      <c r="B714" s="277">
        <f>SUM(B708:B713)</f>
        <v>490.05900000000003</v>
      </c>
      <c r="C714" s="277">
        <f t="shared" ref="C714:I714" si="267">SUM(C708:C713)</f>
        <v>490.05900000000003</v>
      </c>
      <c r="D714" s="277">
        <f t="shared" si="267"/>
        <v>2188.37</v>
      </c>
      <c r="E714" s="277">
        <f t="shared" si="267"/>
        <v>2391.2610000000004</v>
      </c>
      <c r="F714" s="277">
        <f t="shared" si="267"/>
        <v>2391.2610000000004</v>
      </c>
      <c r="G714" s="277">
        <f t="shared" si="267"/>
        <v>36439.142399999997</v>
      </c>
      <c r="H714" s="277">
        <f t="shared" si="267"/>
        <v>52016.917520999996</v>
      </c>
      <c r="I714" s="277">
        <f t="shared" si="267"/>
        <v>33</v>
      </c>
      <c r="J714" s="244"/>
      <c r="K714" s="279" t="s">
        <v>169</v>
      </c>
      <c r="L714" s="280">
        <f>C714/I714</f>
        <v>14.850272727272728</v>
      </c>
      <c r="M714" s="281">
        <f>D714/I714</f>
        <v>66.314242424242423</v>
      </c>
      <c r="N714" s="281">
        <f>D714/C714</f>
        <v>4.4655235390024464</v>
      </c>
      <c r="O714" s="282">
        <f>(F714*3.6+G714)*100/H714</f>
        <v>86.601982868003645</v>
      </c>
      <c r="P714" s="282">
        <f>(F714*3.6+G714)*100/H714</f>
        <v>86.601982868003645</v>
      </c>
      <c r="Q714" s="283">
        <f>F714/(C714*8760)*1000</f>
        <v>0.55702476640567777</v>
      </c>
      <c r="R714" s="283">
        <f>G714/(D714*8761)*1000/3.6</f>
        <v>0.52794807861012427</v>
      </c>
      <c r="S714" s="284">
        <f>G714/(F714*3.6)</f>
        <v>4.2329064037760817</v>
      </c>
      <c r="U714" s="214" t="s">
        <v>554</v>
      </c>
      <c r="V714" s="214">
        <f>H740/1000</f>
        <v>17.740182188000002</v>
      </c>
    </row>
    <row r="715" spans="1:27" ht="13.15" customHeight="1">
      <c r="A715" s="285" t="s">
        <v>501</v>
      </c>
      <c r="B715" s="228" t="s">
        <v>476</v>
      </c>
      <c r="C715" s="228"/>
      <c r="D715" s="286"/>
      <c r="E715" s="227" t="s">
        <v>477</v>
      </c>
      <c r="F715" s="228"/>
      <c r="G715" s="229"/>
      <c r="H715" s="200" t="s">
        <v>138</v>
      </c>
      <c r="I715" s="354" t="s">
        <v>478</v>
      </c>
      <c r="J715" s="244"/>
      <c r="K715" s="287" t="s">
        <v>501</v>
      </c>
      <c r="L715" s="288" t="s">
        <v>479</v>
      </c>
      <c r="M715" s="228"/>
      <c r="N715" s="286"/>
      <c r="O715" s="227" t="s">
        <v>480</v>
      </c>
      <c r="P715" s="228"/>
      <c r="Q715" s="228"/>
      <c r="R715" s="229"/>
      <c r="S715" s="289"/>
      <c r="U715" s="214" t="s">
        <v>555</v>
      </c>
      <c r="V715" s="214">
        <f>H742/1000</f>
        <v>12.101435432000002</v>
      </c>
    </row>
    <row r="716" spans="1:27" ht="13.15" customHeight="1">
      <c r="A716" s="266"/>
      <c r="B716" s="240" t="s">
        <v>481</v>
      </c>
      <c r="C716" s="240"/>
      <c r="D716" s="241" t="s">
        <v>34</v>
      </c>
      <c r="E716" s="242" t="s">
        <v>482</v>
      </c>
      <c r="F716" s="243"/>
      <c r="G716" s="244" t="s">
        <v>34</v>
      </c>
      <c r="H716" s="241" t="s">
        <v>170</v>
      </c>
      <c r="I716" s="349" t="s">
        <v>483</v>
      </c>
      <c r="J716" s="244"/>
      <c r="K716" s="245"/>
      <c r="L716" s="246" t="s">
        <v>484</v>
      </c>
      <c r="M716" s="247"/>
      <c r="N716" s="248" t="s">
        <v>485</v>
      </c>
      <c r="O716" s="248" t="s">
        <v>486</v>
      </c>
      <c r="P716" s="248" t="s">
        <v>486</v>
      </c>
      <c r="Q716" s="247" t="s">
        <v>487</v>
      </c>
      <c r="R716" s="249"/>
      <c r="S716" s="250" t="s">
        <v>485</v>
      </c>
      <c r="U716" s="214" t="s">
        <v>556</v>
      </c>
      <c r="V716" s="214">
        <f>H747/1000</f>
        <v>60.790318309</v>
      </c>
    </row>
    <row r="717" spans="1:27" ht="13.15" customHeight="1">
      <c r="A717" s="350" t="s">
        <v>488</v>
      </c>
      <c r="B717" s="252" t="s">
        <v>0</v>
      </c>
      <c r="C717" s="252" t="s">
        <v>489</v>
      </c>
      <c r="D717" s="252" t="s">
        <v>490</v>
      </c>
      <c r="E717" s="252" t="s">
        <v>491</v>
      </c>
      <c r="F717" s="252" t="s">
        <v>489</v>
      </c>
      <c r="G717" s="230" t="s">
        <v>490</v>
      </c>
      <c r="H717" s="248"/>
      <c r="I717" s="349" t="s">
        <v>492</v>
      </c>
      <c r="J717" s="244"/>
      <c r="K717" s="253" t="s">
        <v>488</v>
      </c>
      <c r="L717" s="254" t="s">
        <v>88</v>
      </c>
      <c r="M717" s="252" t="s">
        <v>34</v>
      </c>
      <c r="N717" s="252" t="s">
        <v>493</v>
      </c>
      <c r="O717" s="248" t="s">
        <v>494</v>
      </c>
      <c r="P717" s="248" t="s">
        <v>495</v>
      </c>
      <c r="Q717" s="230" t="s">
        <v>88</v>
      </c>
      <c r="R717" s="248" t="s">
        <v>34</v>
      </c>
      <c r="S717" s="255" t="s">
        <v>88</v>
      </c>
      <c r="U717" s="214" t="s">
        <v>557</v>
      </c>
      <c r="V717" s="214">
        <f>H738/1000</f>
        <v>16.097514200999999</v>
      </c>
    </row>
    <row r="718" spans="1:27" ht="13.15" customHeight="1">
      <c r="A718" s="266"/>
      <c r="B718" s="252" t="s">
        <v>496</v>
      </c>
      <c r="C718" s="252" t="s">
        <v>496</v>
      </c>
      <c r="D718" s="252" t="s">
        <v>496</v>
      </c>
      <c r="E718" s="256" t="s">
        <v>473</v>
      </c>
      <c r="F718" s="256" t="s">
        <v>473</v>
      </c>
      <c r="G718" s="230" t="s">
        <v>451</v>
      </c>
      <c r="H718" s="257" t="s">
        <v>497</v>
      </c>
      <c r="I718" s="351" t="s">
        <v>498</v>
      </c>
      <c r="J718" s="244"/>
      <c r="K718" s="245"/>
      <c r="L718" s="258" t="s">
        <v>496</v>
      </c>
      <c r="M718" s="256" t="s">
        <v>496</v>
      </c>
      <c r="N718" s="256"/>
      <c r="O718" s="257" t="s">
        <v>79</v>
      </c>
      <c r="P718" s="257" t="s">
        <v>79</v>
      </c>
      <c r="Q718" s="259"/>
      <c r="R718" s="257"/>
      <c r="S718" s="260"/>
      <c r="U718" s="214" t="s">
        <v>558</v>
      </c>
      <c r="V718" s="214">
        <f>(H735+H736+H737+H739+H741+H743+H744+H745+H746+H748+H749+H750+H751+H752)/1000</f>
        <v>13.757927840999999</v>
      </c>
    </row>
    <row r="719" spans="1:27" ht="13.15" customHeight="1">
      <c r="A719" s="352" t="s">
        <v>262</v>
      </c>
      <c r="B719" s="262">
        <v>684.05</v>
      </c>
      <c r="C719" s="262">
        <v>746.8</v>
      </c>
      <c r="D719" s="262">
        <v>929</v>
      </c>
      <c r="E719" s="262">
        <v>2458.8569900000002</v>
      </c>
      <c r="F719" s="262">
        <v>3707.7460000000001</v>
      </c>
      <c r="G719" s="262">
        <v>10798.401599999999</v>
      </c>
      <c r="H719" s="262">
        <v>39061.875301</v>
      </c>
      <c r="I719" s="264">
        <v>16</v>
      </c>
      <c r="J719" s="244"/>
      <c r="K719" s="265" t="s">
        <v>262</v>
      </c>
      <c r="L719" s="266">
        <f>B719/I719</f>
        <v>42.753124999999997</v>
      </c>
      <c r="M719" s="267">
        <f>D719/I719</f>
        <v>58.0625</v>
      </c>
      <c r="N719" s="267">
        <f>D719/B719</f>
        <v>1.358087859074629</v>
      </c>
      <c r="O719" s="239">
        <f>(F719*3.6+G719)*100/H719</f>
        <v>61.815483803415454</v>
      </c>
      <c r="P719" s="267">
        <f>(E719*3.6+G719)*100/H719</f>
        <v>50.305538616823512</v>
      </c>
      <c r="Q719" s="507">
        <f>E719/(B719*8760)*1000</f>
        <v>0.41033760282817322</v>
      </c>
      <c r="R719" s="507">
        <f>G719/(D719*8761)*1000/3.6</f>
        <v>0.36854250212772649</v>
      </c>
      <c r="S719" s="268">
        <f>G719/(E719*3.6)</f>
        <v>1.2198985187829079</v>
      </c>
      <c r="U719" s="220"/>
      <c r="Z719" s="214">
        <f t="shared" ref="Z719:Z726" si="268">C719-B719</f>
        <v>62.75</v>
      </c>
      <c r="AA719" s="214">
        <f t="shared" ref="AA719:AA726" si="269">F719-E719</f>
        <v>1248.8890099999999</v>
      </c>
    </row>
    <row r="720" spans="1:27" ht="13.15" customHeight="1">
      <c r="A720" s="266" t="s">
        <v>263</v>
      </c>
      <c r="B720" s="262">
        <v>152.71799999999999</v>
      </c>
      <c r="C720" s="262">
        <v>152.71799999999999</v>
      </c>
      <c r="D720" s="262">
        <v>688.298</v>
      </c>
      <c r="E720" s="262">
        <v>691.56570999999997</v>
      </c>
      <c r="F720" s="262">
        <v>882.83600000000001</v>
      </c>
      <c r="G720" s="262">
        <v>8131.1076000000003</v>
      </c>
      <c r="H720" s="262">
        <v>28437.346968000002</v>
      </c>
      <c r="I720" s="270">
        <v>23</v>
      </c>
      <c r="J720" s="244"/>
      <c r="K720" s="245" t="s">
        <v>263</v>
      </c>
      <c r="L720" s="266">
        <f>B720/I720</f>
        <v>6.6399130434782601</v>
      </c>
      <c r="M720" s="267">
        <f>D720/I720</f>
        <v>29.925999999999998</v>
      </c>
      <c r="N720" s="267">
        <f>D720/B720</f>
        <v>4.5069867337183567</v>
      </c>
      <c r="O720" s="239">
        <f>(F720*3.6+G720)*100/H720</f>
        <v>39.76924152849476</v>
      </c>
      <c r="P720" s="267">
        <f>(E720*3.6+G720)*100/H720</f>
        <v>37.347872739152912</v>
      </c>
      <c r="Q720" s="507">
        <f>E720/(B720*8760)*1000</f>
        <v>0.51693878459602716</v>
      </c>
      <c r="R720" s="507">
        <f>G720/(D720*8761)*1000/3.6</f>
        <v>0.37455622513883619</v>
      </c>
      <c r="S720" s="268">
        <f>G720/(E720*3.6)</f>
        <v>3.2659817676616734</v>
      </c>
      <c r="U720" s="239" t="s">
        <v>152</v>
      </c>
      <c r="V720" s="492">
        <f>B735/1000</f>
        <v>0</v>
      </c>
      <c r="Z720" s="214">
        <f t="shared" si="268"/>
        <v>0</v>
      </c>
      <c r="AA720" s="214">
        <f t="shared" si="269"/>
        <v>191.27029000000005</v>
      </c>
    </row>
    <row r="721" spans="1:27" ht="13.15" customHeight="1">
      <c r="A721" s="266" t="s">
        <v>499</v>
      </c>
      <c r="B721" s="262">
        <v>1544.222</v>
      </c>
      <c r="C721" s="262">
        <v>2762.7220000000002</v>
      </c>
      <c r="D721" s="262">
        <v>2070.85</v>
      </c>
      <c r="E721" s="262">
        <v>2841.8371400000001</v>
      </c>
      <c r="F721" s="262">
        <v>9441.3269999999993</v>
      </c>
      <c r="G721" s="262">
        <v>26890.995599999995</v>
      </c>
      <c r="H721" s="262">
        <v>98031.753058999981</v>
      </c>
      <c r="I721" s="270">
        <v>24</v>
      </c>
      <c r="J721" s="244"/>
      <c r="K721" s="245" t="s">
        <v>499</v>
      </c>
      <c r="L721" s="266">
        <f>B721/I721</f>
        <v>64.342583333333337</v>
      </c>
      <c r="M721" s="267">
        <f>D721/I721</f>
        <v>86.285416666666663</v>
      </c>
      <c r="N721" s="267">
        <f>D721/B721</f>
        <v>1.3410312765910601</v>
      </c>
      <c r="O721" s="239">
        <f>(F721*3.6+G721)*100/H721</f>
        <v>62.102095392867014</v>
      </c>
      <c r="P721" s="267">
        <f>(E721*3.6+G721)*100/H721</f>
        <v>37.866923874816891</v>
      </c>
      <c r="Q721" s="507">
        <f>E721/(B721*8760)*1000</f>
        <v>0.2100803073781434</v>
      </c>
      <c r="R721" s="507">
        <f>G721/(D721*8761)*1000/3.6</f>
        <v>0.41172008921034337</v>
      </c>
      <c r="S721" s="268">
        <f>G721/(E721*3.6)</f>
        <v>2.6284831367922785</v>
      </c>
      <c r="U721" s="239" t="s">
        <v>504</v>
      </c>
      <c r="V721" s="492">
        <f t="shared" ref="V721:V737" si="270">B736/1000</f>
        <v>7.7000000000000002E-3</v>
      </c>
      <c r="Z721" s="214">
        <f t="shared" si="268"/>
        <v>1218.5000000000002</v>
      </c>
      <c r="AA721" s="214">
        <f t="shared" si="269"/>
        <v>6599.4898599999997</v>
      </c>
    </row>
    <row r="722" spans="1:27" ht="13.15" customHeight="1">
      <c r="A722" s="266" t="s">
        <v>265</v>
      </c>
      <c r="B722" s="262"/>
      <c r="C722" s="262"/>
      <c r="D722" s="262"/>
      <c r="E722" s="262"/>
      <c r="F722" s="262"/>
      <c r="G722" s="262"/>
      <c r="H722" s="262"/>
      <c r="I722" s="270"/>
      <c r="J722" s="244"/>
      <c r="K722" s="245" t="s">
        <v>265</v>
      </c>
      <c r="L722" s="266" t="e">
        <f>B722/I722</f>
        <v>#DIV/0!</v>
      </c>
      <c r="M722" s="267" t="e">
        <f>D722/I722</f>
        <v>#DIV/0!</v>
      </c>
      <c r="N722" s="267" t="e">
        <f>D722/B722</f>
        <v>#DIV/0!</v>
      </c>
      <c r="O722" s="239" t="e">
        <f>(F722*3.6+G722)*100/H722</f>
        <v>#DIV/0!</v>
      </c>
      <c r="P722" s="267" t="e">
        <f>(E722*3.6+G722)*100/H722</f>
        <v>#DIV/0!</v>
      </c>
      <c r="Q722" s="267" t="e">
        <f>E722/(B722*8760)*1000</f>
        <v>#DIV/0!</v>
      </c>
      <c r="R722" s="267" t="e">
        <f>G722/(D722*8761)*1000/3.6</f>
        <v>#DIV/0!</v>
      </c>
      <c r="S722" s="268" t="e">
        <f>G722/(E722*3.6)</f>
        <v>#DIV/0!</v>
      </c>
      <c r="U722" s="239" t="s">
        <v>505</v>
      </c>
      <c r="V722" s="492">
        <f t="shared" si="270"/>
        <v>0</v>
      </c>
      <c r="Z722" s="214">
        <f t="shared" si="268"/>
        <v>0</v>
      </c>
      <c r="AA722" s="214">
        <f t="shared" si="269"/>
        <v>0</v>
      </c>
    </row>
    <row r="723" spans="1:27" ht="13.15" customHeight="1">
      <c r="A723" s="266" t="s">
        <v>266</v>
      </c>
      <c r="B723" s="262">
        <v>30.605</v>
      </c>
      <c r="C723" s="262">
        <v>33.93</v>
      </c>
      <c r="D723" s="262">
        <v>69.546999999999997</v>
      </c>
      <c r="E723" s="262">
        <v>137.852</v>
      </c>
      <c r="F723" s="262">
        <v>137.852</v>
      </c>
      <c r="G723" s="262">
        <v>859.74480000000005</v>
      </c>
      <c r="H723" s="262">
        <v>2025.608798</v>
      </c>
      <c r="I723" s="271">
        <v>19</v>
      </c>
      <c r="J723" s="244"/>
      <c r="K723" s="245" t="s">
        <v>266</v>
      </c>
      <c r="L723" s="266">
        <f>B723/I723</f>
        <v>1.6107894736842105</v>
      </c>
      <c r="M723" s="267">
        <f>D723/I723</f>
        <v>3.6603684210526315</v>
      </c>
      <c r="N723" s="267">
        <f>D723/B723</f>
        <v>2.2724064695311221</v>
      </c>
      <c r="O723" s="239">
        <f>(F723*3.6+G723)*100/H723</f>
        <v>66.943429616758607</v>
      </c>
      <c r="P723" s="267">
        <f>(E723*3.6+G723)*100/H723</f>
        <v>66.943429616758607</v>
      </c>
      <c r="Q723" s="267">
        <f>E723/(B723*8760)*1000</f>
        <v>0.51418165921794801</v>
      </c>
      <c r="R723" s="267">
        <f>G723/(D723*8761)*1000/3.6</f>
        <v>0.39195388707438883</v>
      </c>
      <c r="S723" s="268">
        <f>G723/(E723*3.6)</f>
        <v>1.7324231784812698</v>
      </c>
      <c r="U723" s="239" t="s">
        <v>506</v>
      </c>
      <c r="V723" s="492">
        <f t="shared" si="270"/>
        <v>0.12</v>
      </c>
      <c r="Z723" s="214">
        <f t="shared" si="268"/>
        <v>3.3249999999999993</v>
      </c>
      <c r="AA723" s="214">
        <f t="shared" si="269"/>
        <v>0</v>
      </c>
    </row>
    <row r="724" spans="1:27" ht="13.15" customHeight="1">
      <c r="A724" s="353" t="s">
        <v>267</v>
      </c>
      <c r="B724" s="262"/>
      <c r="C724" s="262"/>
      <c r="D724" s="262"/>
      <c r="E724" s="262"/>
      <c r="F724" s="262"/>
      <c r="G724" s="262"/>
      <c r="H724" s="262"/>
      <c r="I724" s="355"/>
      <c r="J724" s="244"/>
      <c r="K724" s="245" t="s">
        <v>267</v>
      </c>
      <c r="L724" s="266"/>
      <c r="M724" s="267"/>
      <c r="N724" s="267"/>
      <c r="O724" s="239"/>
      <c r="P724" s="267"/>
      <c r="Q724" s="272"/>
      <c r="R724" s="274"/>
      <c r="S724" s="275"/>
      <c r="U724" s="239" t="s">
        <v>507</v>
      </c>
      <c r="V724" s="492">
        <f t="shared" si="270"/>
        <v>0</v>
      </c>
      <c r="Z724" s="214">
        <f t="shared" si="268"/>
        <v>0</v>
      </c>
      <c r="AA724" s="214">
        <f t="shared" si="269"/>
        <v>0</v>
      </c>
    </row>
    <row r="725" spans="1:27" ht="13.15" customHeight="1">
      <c r="A725" s="276" t="s">
        <v>500</v>
      </c>
      <c r="B725" s="291">
        <f>SUM(B719:B724)</f>
        <v>2411.5949999999998</v>
      </c>
      <c r="C725" s="291">
        <f t="shared" ref="C725:I725" si="271">SUM(C719:C724)</f>
        <v>3696.17</v>
      </c>
      <c r="D725" s="291">
        <f t="shared" si="271"/>
        <v>3757.6950000000002</v>
      </c>
      <c r="E725" s="291">
        <f t="shared" si="271"/>
        <v>6130.1118400000005</v>
      </c>
      <c r="F725" s="291">
        <f t="shared" si="271"/>
        <v>14169.761</v>
      </c>
      <c r="G725" s="291">
        <f t="shared" si="271"/>
        <v>46680.249599999996</v>
      </c>
      <c r="H725" s="291">
        <f t="shared" si="271"/>
        <v>167556.58412599997</v>
      </c>
      <c r="I725" s="291">
        <f t="shared" si="271"/>
        <v>82</v>
      </c>
      <c r="J725" s="244"/>
      <c r="K725" s="279" t="s">
        <v>169</v>
      </c>
      <c r="L725" s="280">
        <f>B725/I725</f>
        <v>29.409695121951216</v>
      </c>
      <c r="M725" s="281">
        <f>D725/I725</f>
        <v>45.825548780487807</v>
      </c>
      <c r="N725" s="281">
        <f>D725/B725</f>
        <v>1.5581783010828936</v>
      </c>
      <c r="O725" s="294">
        <f>(F725*3.6+G725)*100/H725</f>
        <v>58.303521589183021</v>
      </c>
      <c r="P725" s="295">
        <f>(E725*3.6+G725)*100/H725</f>
        <v>41.030110862311481</v>
      </c>
      <c r="Q725" s="283">
        <f>E725/(B725*8760)*1000</f>
        <v>0.29017494920208603</v>
      </c>
      <c r="R725" s="283">
        <f>G725/(D725*8761)*1000/3.6</f>
        <v>0.39387232035938796</v>
      </c>
      <c r="S725" s="284">
        <f>G725/(E725*3.6)</f>
        <v>2.1152527618484687</v>
      </c>
      <c r="U725" s="239" t="s">
        <v>156</v>
      </c>
      <c r="V725" s="492">
        <f t="shared" si="270"/>
        <v>0.21274999999999999</v>
      </c>
      <c r="Z725" s="214">
        <f t="shared" si="268"/>
        <v>1284.5750000000003</v>
      </c>
      <c r="AA725" s="214">
        <f t="shared" si="269"/>
        <v>8039.6491599999999</v>
      </c>
    </row>
    <row r="726" spans="1:27" ht="13.15" customHeight="1" thickBot="1">
      <c r="A726" s="296" t="s">
        <v>502</v>
      </c>
      <c r="B726" s="297">
        <f>B714+B725</f>
        <v>2901.654</v>
      </c>
      <c r="C726" s="297">
        <f t="shared" ref="C726:I726" si="272">C714+C725</f>
        <v>4186.2290000000003</v>
      </c>
      <c r="D726" s="297">
        <f t="shared" si="272"/>
        <v>5946.0650000000005</v>
      </c>
      <c r="E726" s="297">
        <f t="shared" si="272"/>
        <v>8521.37284</v>
      </c>
      <c r="F726" s="297">
        <f t="shared" si="272"/>
        <v>16561.022000000001</v>
      </c>
      <c r="G726" s="297">
        <f t="shared" si="272"/>
        <v>83119.391999999993</v>
      </c>
      <c r="H726" s="297">
        <f t="shared" si="272"/>
        <v>219573.50164699997</v>
      </c>
      <c r="I726" s="297">
        <f t="shared" si="272"/>
        <v>115</v>
      </c>
      <c r="J726" s="244"/>
      <c r="K726" s="296" t="s">
        <v>502</v>
      </c>
      <c r="L726" s="299">
        <f>B726/I726</f>
        <v>25.231773913043479</v>
      </c>
      <c r="M726" s="300">
        <f>D726/I726</f>
        <v>51.704913043478264</v>
      </c>
      <c r="N726" s="300">
        <f>D726/B726</f>
        <v>2.0491984916189181</v>
      </c>
      <c r="O726" s="301">
        <f>(F726*3.6+G726)*100/H726</f>
        <v>65.007421264099634</v>
      </c>
      <c r="P726" s="301">
        <f>(E726*3.6+G726)*100/H726</f>
        <v>51.826077996855041</v>
      </c>
      <c r="Q726" s="301">
        <f>E726/(B726*8760)*1000</f>
        <v>0.33524309122348994</v>
      </c>
      <c r="R726" s="301">
        <f>G726/(D726*8761)*1000/3.6</f>
        <v>0.44321711680597303</v>
      </c>
      <c r="S726" s="302">
        <f>G726/(E726*3.6)</f>
        <v>2.7095070751533972</v>
      </c>
      <c r="T726" s="309"/>
      <c r="U726" s="239" t="s">
        <v>508</v>
      </c>
      <c r="V726" s="492">
        <f t="shared" si="270"/>
        <v>0</v>
      </c>
      <c r="Z726" s="214">
        <f t="shared" si="268"/>
        <v>1284.5750000000003</v>
      </c>
      <c r="AA726" s="214">
        <f t="shared" si="269"/>
        <v>8039.6491600000008</v>
      </c>
    </row>
    <row r="727" spans="1:27" ht="13.15" customHeight="1">
      <c r="U727" s="239" t="s">
        <v>509</v>
      </c>
      <c r="V727" s="492">
        <f t="shared" si="270"/>
        <v>8.7575E-2</v>
      </c>
    </row>
    <row r="728" spans="1:27" ht="13.15" customHeight="1">
      <c r="A728" s="251" t="s">
        <v>139</v>
      </c>
      <c r="B728" s="227" t="s">
        <v>476</v>
      </c>
      <c r="C728" s="228"/>
      <c r="D728" s="286"/>
      <c r="E728" s="227" t="s">
        <v>477</v>
      </c>
      <c r="F728" s="228"/>
      <c r="G728" s="229"/>
      <c r="H728" s="200" t="s">
        <v>138</v>
      </c>
      <c r="I728" s="200" t="s">
        <v>478</v>
      </c>
      <c r="J728" s="230"/>
      <c r="K728" s="303" t="s">
        <v>503</v>
      </c>
      <c r="L728" s="227" t="s">
        <v>479</v>
      </c>
      <c r="M728" s="228"/>
      <c r="N728" s="286"/>
      <c r="O728" s="227" t="s">
        <v>480</v>
      </c>
      <c r="P728" s="228"/>
      <c r="Q728" s="228"/>
      <c r="R728" s="229"/>
      <c r="S728" s="286"/>
      <c r="U728" s="239" t="s">
        <v>510</v>
      </c>
      <c r="V728" s="492">
        <f t="shared" si="270"/>
        <v>0</v>
      </c>
    </row>
    <row r="729" spans="1:27" ht="13.15" customHeight="1">
      <c r="A729" s="239"/>
      <c r="B729" s="240" t="s">
        <v>9</v>
      </c>
      <c r="C729" s="240"/>
      <c r="D729" s="241" t="s">
        <v>34</v>
      </c>
      <c r="E729" s="242" t="s">
        <v>88</v>
      </c>
      <c r="F729" s="243"/>
      <c r="G729" s="244" t="s">
        <v>34</v>
      </c>
      <c r="H729" s="241" t="s">
        <v>170</v>
      </c>
      <c r="I729" s="241" t="s">
        <v>483</v>
      </c>
      <c r="J729" s="230"/>
      <c r="K729" s="305"/>
      <c r="L729" s="306" t="s">
        <v>484</v>
      </c>
      <c r="M729" s="247"/>
      <c r="N729" s="248" t="s">
        <v>485</v>
      </c>
      <c r="O729" s="248" t="s">
        <v>486</v>
      </c>
      <c r="P729" s="248" t="s">
        <v>486</v>
      </c>
      <c r="Q729" s="247" t="s">
        <v>487</v>
      </c>
      <c r="R729" s="249"/>
      <c r="S729" s="307" t="s">
        <v>485</v>
      </c>
      <c r="U729" s="239" t="s">
        <v>511</v>
      </c>
      <c r="V729" s="492">
        <f t="shared" si="270"/>
        <v>0</v>
      </c>
    </row>
    <row r="730" spans="1:27" ht="13.15" customHeight="1">
      <c r="A730" s="239"/>
      <c r="B730" s="252" t="s">
        <v>0</v>
      </c>
      <c r="C730" s="252" t="s">
        <v>489</v>
      </c>
      <c r="D730" s="252" t="s">
        <v>490</v>
      </c>
      <c r="E730" s="252" t="s">
        <v>491</v>
      </c>
      <c r="F730" s="252" t="s">
        <v>489</v>
      </c>
      <c r="G730" s="230" t="s">
        <v>490</v>
      </c>
      <c r="H730" s="248"/>
      <c r="I730" s="241" t="s">
        <v>492</v>
      </c>
      <c r="J730" s="230"/>
      <c r="K730" s="305"/>
      <c r="L730" s="248" t="s">
        <v>88</v>
      </c>
      <c r="M730" s="252" t="s">
        <v>34</v>
      </c>
      <c r="N730" s="252" t="s">
        <v>493</v>
      </c>
      <c r="O730" s="248" t="s">
        <v>494</v>
      </c>
      <c r="P730" s="248" t="s">
        <v>495</v>
      </c>
      <c r="Q730" s="230" t="s">
        <v>88</v>
      </c>
      <c r="R730" s="248" t="s">
        <v>34</v>
      </c>
      <c r="S730" s="252" t="s">
        <v>88</v>
      </c>
      <c r="U730" s="239" t="s">
        <v>512</v>
      </c>
      <c r="V730" s="492">
        <f t="shared" si="270"/>
        <v>7.1900000000000006E-2</v>
      </c>
    </row>
    <row r="731" spans="1:27" ht="13.15" customHeight="1">
      <c r="A731" s="239"/>
      <c r="B731" s="257" t="s">
        <v>496</v>
      </c>
      <c r="C731" s="256" t="s">
        <v>496</v>
      </c>
      <c r="D731" s="256" t="s">
        <v>496</v>
      </c>
      <c r="E731" s="256" t="s">
        <v>473</v>
      </c>
      <c r="F731" s="257" t="s">
        <v>473</v>
      </c>
      <c r="G731" s="259" t="s">
        <v>451</v>
      </c>
      <c r="H731" s="257" t="s">
        <v>497</v>
      </c>
      <c r="I731" s="257" t="s">
        <v>498</v>
      </c>
      <c r="J731" s="230"/>
      <c r="K731" s="305"/>
      <c r="L731" s="257" t="s">
        <v>496</v>
      </c>
      <c r="M731" s="256" t="s">
        <v>496</v>
      </c>
      <c r="N731" s="256"/>
      <c r="O731" s="257" t="s">
        <v>79</v>
      </c>
      <c r="P731" s="257" t="s">
        <v>79</v>
      </c>
      <c r="Q731" s="259"/>
      <c r="R731" s="257"/>
      <c r="S731" s="256"/>
      <c r="U731" s="239" t="s">
        <v>513</v>
      </c>
      <c r="V731" s="492">
        <f t="shared" si="270"/>
        <v>1.7332E-2</v>
      </c>
    </row>
    <row r="732" spans="1:27" ht="13.15" customHeight="1">
      <c r="A732" s="251" t="s">
        <v>150</v>
      </c>
      <c r="B732" s="422">
        <v>1862.7270000000001</v>
      </c>
      <c r="C732" s="422">
        <v>3107.6019999999999</v>
      </c>
      <c r="D732" s="422">
        <v>2615.6</v>
      </c>
      <c r="E732" s="422">
        <v>3531.6914500000003</v>
      </c>
      <c r="F732" s="422">
        <v>10139.627</v>
      </c>
      <c r="G732" s="422">
        <v>25844.104800000001</v>
      </c>
      <c r="H732" s="422">
        <v>99086.123675999988</v>
      </c>
      <c r="I732" s="423">
        <v>59</v>
      </c>
      <c r="J732" s="244"/>
      <c r="K732" s="303" t="s">
        <v>150</v>
      </c>
      <c r="L732" s="312">
        <f>B732/I732</f>
        <v>31.571644067796612</v>
      </c>
      <c r="M732" s="313">
        <f>D732/I732</f>
        <v>44.332203389830504</v>
      </c>
      <c r="N732" s="313">
        <f>D732/B732</f>
        <v>1.4041778532227212</v>
      </c>
      <c r="O732" s="312">
        <f>(F732*3.6+G732)*100/H732</f>
        <v>62.921789335373141</v>
      </c>
      <c r="P732" s="313">
        <f>(E732*3.6+G732)*100/H732</f>
        <v>38.913818191213913</v>
      </c>
      <c r="Q732" s="313">
        <f>E732/(B732*8760)*1000</f>
        <v>0.21643596964516201</v>
      </c>
      <c r="R732" s="313">
        <f>G732/(D732*8761)*1000/3.6</f>
        <v>0.31328094754067848</v>
      </c>
      <c r="S732" s="313">
        <f>G732/(E732*3.6)</f>
        <v>2.0327138147926256</v>
      </c>
      <c r="U732" s="239" t="s">
        <v>514</v>
      </c>
      <c r="V732" s="492">
        <f t="shared" si="270"/>
        <v>0.48564999999999997</v>
      </c>
      <c r="Z732" s="214">
        <f>C732-B732</f>
        <v>1244.8749999999998</v>
      </c>
      <c r="AA732" s="214">
        <f>F732-E732</f>
        <v>6607.9355500000001</v>
      </c>
    </row>
    <row r="733" spans="1:27" ht="13.15" customHeight="1">
      <c r="A733" s="239"/>
      <c r="B733" s="252"/>
      <c r="C733" s="252"/>
      <c r="D733" s="252"/>
      <c r="E733" s="267"/>
      <c r="F733" s="267"/>
      <c r="G733" s="248"/>
      <c r="H733" s="252"/>
      <c r="I733" s="248"/>
      <c r="J733" s="230"/>
      <c r="K733" s="239"/>
      <c r="L733" s="312"/>
      <c r="M733" s="267"/>
      <c r="N733" s="267"/>
      <c r="O733" s="239"/>
      <c r="P733" s="313"/>
      <c r="Q733" s="267"/>
      <c r="R733" s="267"/>
      <c r="S733" s="239"/>
      <c r="U733" s="239" t="s">
        <v>515</v>
      </c>
      <c r="V733" s="492">
        <f t="shared" si="270"/>
        <v>1.0702E-2</v>
      </c>
      <c r="Z733" s="214">
        <f t="shared" ref="Z733:Z753" si="273">C733-B733</f>
        <v>0</v>
      </c>
      <c r="AA733" s="214">
        <f t="shared" ref="AA733:AA753" si="274">F733-E733</f>
        <v>0</v>
      </c>
    </row>
    <row r="734" spans="1:27" ht="13.15" customHeight="1">
      <c r="A734" s="312" t="s">
        <v>7</v>
      </c>
      <c r="B734" s="205">
        <f>SUM(B735:B752)</f>
        <v>1038.9269999999999</v>
      </c>
      <c r="C734" s="205">
        <f t="shared" ref="C734:I734" si="275">SUM(C735:C752)</f>
        <v>1078.627</v>
      </c>
      <c r="D734" s="205">
        <f t="shared" si="275"/>
        <v>3330.4650000000001</v>
      </c>
      <c r="E734" s="205">
        <f t="shared" si="275"/>
        <v>4989.6821100000006</v>
      </c>
      <c r="F734" s="205">
        <f t="shared" si="275"/>
        <v>6421.3949999999995</v>
      </c>
      <c r="G734" s="205">
        <f t="shared" si="275"/>
        <v>57275.287200000006</v>
      </c>
      <c r="H734" s="205">
        <f t="shared" si="275"/>
        <v>120487.37797100001</v>
      </c>
      <c r="I734" s="205">
        <f t="shared" si="275"/>
        <v>56</v>
      </c>
      <c r="J734" s="244"/>
      <c r="K734" s="318" t="s">
        <v>7</v>
      </c>
      <c r="L734" s="312">
        <f>B734/I734</f>
        <v>18.552267857142855</v>
      </c>
      <c r="M734" s="313">
        <f>D734/I734</f>
        <v>59.472589285714285</v>
      </c>
      <c r="N734" s="313">
        <f>D734/B734</f>
        <v>3.2056775885119939</v>
      </c>
      <c r="O734" s="312">
        <f t="shared" ref="O734:O751" si="276">(F734*3.6+G734)*100/H734</f>
        <v>66.722598295192</v>
      </c>
      <c r="P734" s="313">
        <f>(E734*3.6+G734)*100/H734</f>
        <v>62.444833693790727</v>
      </c>
      <c r="Q734" s="696">
        <f>E734/(B734*8760)*1000</f>
        <v>0.54825643609566577</v>
      </c>
      <c r="R734" s="696">
        <f>G734/(D734*8761)*1000/3.6</f>
        <v>0.54526324079475685</v>
      </c>
      <c r="S734" s="313">
        <f>G734/(E734*3.6)</f>
        <v>3.1885402014117488</v>
      </c>
      <c r="U734" s="239" t="s">
        <v>516</v>
      </c>
      <c r="V734" s="492">
        <f t="shared" si="270"/>
        <v>1.5868E-2</v>
      </c>
      <c r="Z734" s="214">
        <f t="shared" si="273"/>
        <v>39.700000000000045</v>
      </c>
      <c r="AA734" s="214">
        <f t="shared" si="274"/>
        <v>1431.7128899999989</v>
      </c>
    </row>
    <row r="735" spans="1:27" ht="13.15" customHeight="1">
      <c r="A735" s="239" t="s">
        <v>152</v>
      </c>
      <c r="B735" s="209"/>
      <c r="C735" s="209"/>
      <c r="D735" s="209"/>
      <c r="E735" s="209"/>
      <c r="F735" s="209"/>
      <c r="G735" s="209"/>
      <c r="H735" s="209"/>
      <c r="I735" s="424"/>
      <c r="J735" s="230"/>
      <c r="K735" s="305" t="s">
        <v>152</v>
      </c>
      <c r="L735" s="239" t="e">
        <f t="shared" ref="L735:L751" si="277">B735/I735</f>
        <v>#DIV/0!</v>
      </c>
      <c r="M735" s="267" t="e">
        <f t="shared" ref="M735:M751" si="278">D735/I735</f>
        <v>#DIV/0!</v>
      </c>
      <c r="N735" s="267" t="e">
        <f t="shared" ref="N735:N751" si="279">D735/B735</f>
        <v>#DIV/0!</v>
      </c>
      <c r="O735" s="239" t="e">
        <f t="shared" si="276"/>
        <v>#DIV/0!</v>
      </c>
      <c r="P735" s="267" t="e">
        <f t="shared" ref="P735:P751" si="280">(E735*3.6+G735)*100/H735</f>
        <v>#DIV/0!</v>
      </c>
      <c r="Q735" s="697" t="e">
        <f t="shared" ref="Q735:Q751" si="281">E735/(B735*8760)*1000</f>
        <v>#DIV/0!</v>
      </c>
      <c r="R735" s="697" t="e">
        <f t="shared" ref="R735:R751" si="282">G735/(D735*8761)*1000/3.6</f>
        <v>#DIV/0!</v>
      </c>
      <c r="S735" s="267" t="e">
        <f t="shared" ref="S735:S751" si="283">G735/(E735*3.6)</f>
        <v>#DIV/0!</v>
      </c>
      <c r="U735" s="239" t="s">
        <v>517</v>
      </c>
      <c r="V735" s="492">
        <f t="shared" si="270"/>
        <v>0</v>
      </c>
      <c r="Z735" s="214">
        <f t="shared" si="273"/>
        <v>0</v>
      </c>
      <c r="AA735" s="214">
        <f t="shared" si="274"/>
        <v>0</v>
      </c>
    </row>
    <row r="736" spans="1:27" ht="13.15" customHeight="1">
      <c r="A736" s="239" t="s">
        <v>504</v>
      </c>
      <c r="B736" s="209">
        <v>7.7</v>
      </c>
      <c r="C736" s="209">
        <v>7.7</v>
      </c>
      <c r="D736" s="209">
        <v>12.718999999999999</v>
      </c>
      <c r="E736" s="209">
        <v>49.000800000000005</v>
      </c>
      <c r="F736" s="209">
        <v>49.316000000000003</v>
      </c>
      <c r="G736" s="209">
        <v>294.00479999999999</v>
      </c>
      <c r="H736" s="209">
        <v>673.51113599999996</v>
      </c>
      <c r="I736" s="424">
        <v>3</v>
      </c>
      <c r="J736" s="230"/>
      <c r="K736" s="305" t="s">
        <v>504</v>
      </c>
      <c r="L736" s="239">
        <f t="shared" si="277"/>
        <v>2.5666666666666669</v>
      </c>
      <c r="M736" s="267">
        <f t="shared" si="278"/>
        <v>4.2396666666666665</v>
      </c>
      <c r="N736" s="267">
        <f t="shared" si="279"/>
        <v>1.6518181818181816</v>
      </c>
      <c r="O736" s="239">
        <f t="shared" si="276"/>
        <v>70.01256175220837</v>
      </c>
      <c r="P736" s="267">
        <f t="shared" si="280"/>
        <v>69.844083468873791</v>
      </c>
      <c r="Q736" s="697">
        <f t="shared" si="281"/>
        <v>0.72645436755025794</v>
      </c>
      <c r="R736" s="697">
        <f t="shared" si="282"/>
        <v>0.73290092944290386</v>
      </c>
      <c r="S736" s="267">
        <f t="shared" si="283"/>
        <v>1.6666666666666665</v>
      </c>
      <c r="U736" s="239" t="s">
        <v>518</v>
      </c>
      <c r="V736" s="492">
        <f t="shared" si="270"/>
        <v>9.4500000000000001E-3</v>
      </c>
      <c r="Z736" s="214">
        <f t="shared" si="273"/>
        <v>0</v>
      </c>
      <c r="AA736" s="214">
        <f t="shared" si="274"/>
        <v>0.31519999999999726</v>
      </c>
    </row>
    <row r="737" spans="1:27" ht="13.15" customHeight="1">
      <c r="A737" s="239" t="s">
        <v>505</v>
      </c>
      <c r="B737" s="209"/>
      <c r="C737" s="209"/>
      <c r="D737" s="209"/>
      <c r="E737" s="209"/>
      <c r="F737" s="209"/>
      <c r="G737" s="209"/>
      <c r="H737" s="209"/>
      <c r="I737" s="424"/>
      <c r="J737" s="230"/>
      <c r="K737" s="305" t="s">
        <v>505</v>
      </c>
      <c r="L737" s="239" t="e">
        <f t="shared" si="277"/>
        <v>#DIV/0!</v>
      </c>
      <c r="M737" s="267" t="e">
        <f t="shared" si="278"/>
        <v>#DIV/0!</v>
      </c>
      <c r="N737" s="267" t="e">
        <f t="shared" si="279"/>
        <v>#DIV/0!</v>
      </c>
      <c r="O737" s="239" t="e">
        <f t="shared" si="276"/>
        <v>#DIV/0!</v>
      </c>
      <c r="P737" s="267" t="e">
        <f t="shared" si="280"/>
        <v>#DIV/0!</v>
      </c>
      <c r="Q737" s="697" t="e">
        <f t="shared" si="281"/>
        <v>#DIV/0!</v>
      </c>
      <c r="R737" s="697" t="e">
        <f t="shared" si="282"/>
        <v>#DIV/0!</v>
      </c>
      <c r="S737" s="267" t="e">
        <f t="shared" si="283"/>
        <v>#DIV/0!</v>
      </c>
      <c r="U737" s="239" t="s">
        <v>519</v>
      </c>
      <c r="V737" s="492">
        <f t="shared" si="270"/>
        <v>0</v>
      </c>
      <c r="Z737" s="214">
        <f t="shared" si="273"/>
        <v>0</v>
      </c>
      <c r="AA737" s="214">
        <f t="shared" si="274"/>
        <v>0</v>
      </c>
    </row>
    <row r="738" spans="1:27" ht="13.15" customHeight="1">
      <c r="A738" s="239" t="s">
        <v>506</v>
      </c>
      <c r="B738" s="209">
        <v>120</v>
      </c>
      <c r="C738" s="209">
        <v>120</v>
      </c>
      <c r="D738" s="209">
        <v>225</v>
      </c>
      <c r="E738" s="209">
        <v>763.16499999999996</v>
      </c>
      <c r="F738" s="209">
        <v>763.16499999999996</v>
      </c>
      <c r="G738" s="209">
        <v>9556.1568000000007</v>
      </c>
      <c r="H738" s="209">
        <v>16097.514201</v>
      </c>
      <c r="I738" s="424">
        <v>1</v>
      </c>
      <c r="J738" s="230"/>
      <c r="K738" s="305" t="s">
        <v>506</v>
      </c>
      <c r="L738" s="239">
        <f t="shared" si="277"/>
        <v>120</v>
      </c>
      <c r="M738" s="267">
        <f t="shared" si="278"/>
        <v>225</v>
      </c>
      <c r="N738" s="267">
        <f t="shared" si="279"/>
        <v>1.875</v>
      </c>
      <c r="O738" s="239">
        <f t="shared" si="276"/>
        <v>76.431370995378202</v>
      </c>
      <c r="P738" s="267">
        <f t="shared" si="280"/>
        <v>76.431370995378202</v>
      </c>
      <c r="Q738" s="697">
        <f t="shared" si="281"/>
        <v>0.72599410197869096</v>
      </c>
      <c r="R738" s="697">
        <f t="shared" si="282"/>
        <v>1.3466184732843789</v>
      </c>
      <c r="S738" s="267">
        <f t="shared" si="283"/>
        <v>3.4782622368688298</v>
      </c>
      <c r="U738" s="220"/>
      <c r="Z738" s="214">
        <f t="shared" si="273"/>
        <v>0</v>
      </c>
      <c r="AA738" s="214">
        <f t="shared" si="274"/>
        <v>0</v>
      </c>
    </row>
    <row r="739" spans="1:27" ht="13.15" customHeight="1">
      <c r="A739" s="239" t="s">
        <v>507</v>
      </c>
      <c r="B739" s="209"/>
      <c r="C739" s="209"/>
      <c r="D739" s="209"/>
      <c r="E739" s="209"/>
      <c r="F739" s="209"/>
      <c r="G739" s="209"/>
      <c r="H739" s="209"/>
      <c r="I739" s="424"/>
      <c r="J739" s="230"/>
      <c r="K739" s="305" t="s">
        <v>507</v>
      </c>
      <c r="L739" s="239" t="e">
        <f t="shared" si="277"/>
        <v>#DIV/0!</v>
      </c>
      <c r="M739" s="267" t="e">
        <f t="shared" si="278"/>
        <v>#DIV/0!</v>
      </c>
      <c r="N739" s="267" t="e">
        <f t="shared" si="279"/>
        <v>#DIV/0!</v>
      </c>
      <c r="O739" s="239" t="e">
        <f t="shared" si="276"/>
        <v>#DIV/0!</v>
      </c>
      <c r="P739" s="267" t="e">
        <f t="shared" si="280"/>
        <v>#DIV/0!</v>
      </c>
      <c r="Q739" s="697" t="e">
        <f t="shared" si="281"/>
        <v>#DIV/0!</v>
      </c>
      <c r="R739" s="697" t="e">
        <f t="shared" si="282"/>
        <v>#DIV/0!</v>
      </c>
      <c r="S739" s="267" t="e">
        <f t="shared" si="283"/>
        <v>#DIV/0!</v>
      </c>
      <c r="U739" s="220"/>
      <c r="Z739" s="214">
        <f t="shared" si="273"/>
        <v>0</v>
      </c>
      <c r="AA739" s="214">
        <f t="shared" si="274"/>
        <v>0</v>
      </c>
    </row>
    <row r="740" spans="1:27" ht="13.15" customHeight="1">
      <c r="A740" s="239" t="s">
        <v>156</v>
      </c>
      <c r="B740" s="209">
        <v>212.75</v>
      </c>
      <c r="C740" s="209">
        <v>251</v>
      </c>
      <c r="D740" s="425">
        <v>301.5</v>
      </c>
      <c r="E740" s="425">
        <v>412.6404</v>
      </c>
      <c r="F740" s="425">
        <v>1608.21</v>
      </c>
      <c r="G740" s="425">
        <v>2271.2003999999997</v>
      </c>
      <c r="H740" s="209">
        <v>17740.182188000002</v>
      </c>
      <c r="I740" s="424">
        <v>7</v>
      </c>
      <c r="J740" s="230"/>
      <c r="K740" s="305" t="s">
        <v>156</v>
      </c>
      <c r="L740" s="239">
        <f t="shared" si="277"/>
        <v>30.392857142857142</v>
      </c>
      <c r="M740" s="267">
        <f t="shared" si="278"/>
        <v>43.071428571428569</v>
      </c>
      <c r="N740" s="267">
        <f t="shared" si="279"/>
        <v>1.4171562867215042</v>
      </c>
      <c r="O740" s="322">
        <f t="shared" si="276"/>
        <v>45.437844519164749</v>
      </c>
      <c r="P740" s="323">
        <f t="shared" si="280"/>
        <v>21.176252871524337</v>
      </c>
      <c r="Q740" s="697">
        <f t="shared" si="281"/>
        <v>0.22141042769988573</v>
      </c>
      <c r="R740" s="697">
        <f t="shared" si="282"/>
        <v>0.23884269252224588</v>
      </c>
      <c r="S740" s="267">
        <f t="shared" si="283"/>
        <v>1.528907494273464</v>
      </c>
      <c r="U740" s="220"/>
      <c r="Z740" s="214">
        <f t="shared" si="273"/>
        <v>38.25</v>
      </c>
      <c r="AA740" s="214">
        <f t="shared" si="274"/>
        <v>1195.5696</v>
      </c>
    </row>
    <row r="741" spans="1:27" ht="13.15" customHeight="1">
      <c r="A741" s="239" t="s">
        <v>508</v>
      </c>
      <c r="B741" s="209"/>
      <c r="C741" s="209"/>
      <c r="D741" s="425"/>
      <c r="E741" s="425"/>
      <c r="F741" s="425"/>
      <c r="G741" s="425"/>
      <c r="H741" s="209"/>
      <c r="I741" s="424"/>
      <c r="J741" s="230"/>
      <c r="K741" s="305" t="s">
        <v>508</v>
      </c>
      <c r="L741" s="239" t="e">
        <f t="shared" si="277"/>
        <v>#DIV/0!</v>
      </c>
      <c r="M741" s="267" t="e">
        <f t="shared" si="278"/>
        <v>#DIV/0!</v>
      </c>
      <c r="N741" s="267" t="e">
        <f t="shared" si="279"/>
        <v>#DIV/0!</v>
      </c>
      <c r="O741" s="239" t="e">
        <f t="shared" si="276"/>
        <v>#DIV/0!</v>
      </c>
      <c r="P741" s="267" t="e">
        <f t="shared" si="280"/>
        <v>#DIV/0!</v>
      </c>
      <c r="Q741" s="697" t="e">
        <f t="shared" si="281"/>
        <v>#DIV/0!</v>
      </c>
      <c r="R741" s="697" t="e">
        <f t="shared" si="282"/>
        <v>#DIV/0!</v>
      </c>
      <c r="S741" s="267" t="e">
        <f t="shared" si="283"/>
        <v>#DIV/0!</v>
      </c>
      <c r="U741" s="220"/>
      <c r="Z741" s="214">
        <f t="shared" si="273"/>
        <v>0</v>
      </c>
      <c r="AA741" s="214">
        <f t="shared" si="274"/>
        <v>0</v>
      </c>
    </row>
    <row r="742" spans="1:27" ht="13.15" customHeight="1">
      <c r="A742" s="239" t="s">
        <v>509</v>
      </c>
      <c r="B742" s="209">
        <v>87.575000000000003</v>
      </c>
      <c r="C742" s="209">
        <v>89.025000000000006</v>
      </c>
      <c r="D742" s="209">
        <v>385.73200000000003</v>
      </c>
      <c r="E742" s="209">
        <v>516.15750000000003</v>
      </c>
      <c r="F742" s="209">
        <v>542.07899999999995</v>
      </c>
      <c r="G742" s="209">
        <v>9008.8163999999997</v>
      </c>
      <c r="H742" s="209">
        <v>12101.435432000002</v>
      </c>
      <c r="I742" s="424">
        <v>6</v>
      </c>
      <c r="J742" s="230"/>
      <c r="K742" s="305" t="s">
        <v>509</v>
      </c>
      <c r="L742" s="239">
        <f t="shared" si="277"/>
        <v>14.595833333333333</v>
      </c>
      <c r="M742" s="267">
        <f t="shared" si="278"/>
        <v>64.288666666666671</v>
      </c>
      <c r="N742" s="267">
        <f t="shared" si="279"/>
        <v>4.404590351127605</v>
      </c>
      <c r="O742" s="239">
        <f t="shared" si="276"/>
        <v>90.570253930517325</v>
      </c>
      <c r="P742" s="267">
        <f t="shared" si="280"/>
        <v>89.799127228033427</v>
      </c>
      <c r="Q742" s="697">
        <f t="shared" si="281"/>
        <v>0.67281860166823737</v>
      </c>
      <c r="R742" s="697">
        <f t="shared" si="282"/>
        <v>0.74050140335465864</v>
      </c>
      <c r="S742" s="267">
        <f t="shared" si="283"/>
        <v>4.8482275274504385</v>
      </c>
      <c r="U742" s="220"/>
      <c r="Z742" s="214">
        <f t="shared" si="273"/>
        <v>1.4500000000000028</v>
      </c>
      <c r="AA742" s="214">
        <f t="shared" si="274"/>
        <v>25.921499999999924</v>
      </c>
    </row>
    <row r="743" spans="1:27" ht="13.15" customHeight="1">
      <c r="A743" s="239" t="s">
        <v>510</v>
      </c>
      <c r="B743" s="209"/>
      <c r="C743" s="209"/>
      <c r="D743" s="209"/>
      <c r="E743" s="209"/>
      <c r="F743" s="209"/>
      <c r="G743" s="209"/>
      <c r="H743" s="209"/>
      <c r="I743" s="424"/>
      <c r="J743" s="230"/>
      <c r="K743" s="305" t="s">
        <v>510</v>
      </c>
      <c r="L743" s="239" t="e">
        <f t="shared" si="277"/>
        <v>#DIV/0!</v>
      </c>
      <c r="M743" s="267" t="e">
        <f t="shared" si="278"/>
        <v>#DIV/0!</v>
      </c>
      <c r="N743" s="267" t="e">
        <f t="shared" si="279"/>
        <v>#DIV/0!</v>
      </c>
      <c r="O743" s="322" t="e">
        <f t="shared" si="276"/>
        <v>#DIV/0!</v>
      </c>
      <c r="P743" s="323" t="e">
        <f t="shared" si="280"/>
        <v>#DIV/0!</v>
      </c>
      <c r="Q743" s="697" t="e">
        <f t="shared" si="281"/>
        <v>#DIV/0!</v>
      </c>
      <c r="R743" s="697" t="e">
        <f t="shared" si="282"/>
        <v>#DIV/0!</v>
      </c>
      <c r="S743" s="267" t="e">
        <f t="shared" si="283"/>
        <v>#DIV/0!</v>
      </c>
      <c r="U743" s="220"/>
      <c r="Z743" s="214">
        <f t="shared" si="273"/>
        <v>0</v>
      </c>
      <c r="AA743" s="214">
        <f t="shared" si="274"/>
        <v>0</v>
      </c>
    </row>
    <row r="744" spans="1:27" ht="13.15" customHeight="1">
      <c r="A744" s="239" t="s">
        <v>511</v>
      </c>
      <c r="B744" s="209"/>
      <c r="C744" s="209"/>
      <c r="D744" s="209"/>
      <c r="E744" s="209"/>
      <c r="F744" s="209"/>
      <c r="G744" s="209"/>
      <c r="H744" s="209"/>
      <c r="I744" s="424"/>
      <c r="J744" s="230"/>
      <c r="K744" s="305" t="s">
        <v>511</v>
      </c>
      <c r="L744" s="239" t="e">
        <f t="shared" si="277"/>
        <v>#DIV/0!</v>
      </c>
      <c r="M744" s="267" t="e">
        <f t="shared" si="278"/>
        <v>#DIV/0!</v>
      </c>
      <c r="N744" s="267" t="e">
        <f t="shared" si="279"/>
        <v>#DIV/0!</v>
      </c>
      <c r="O744" s="239" t="e">
        <f t="shared" si="276"/>
        <v>#DIV/0!</v>
      </c>
      <c r="P744" s="267" t="e">
        <f t="shared" si="280"/>
        <v>#DIV/0!</v>
      </c>
      <c r="Q744" s="697" t="e">
        <f t="shared" si="281"/>
        <v>#DIV/0!</v>
      </c>
      <c r="R744" s="697" t="e">
        <f t="shared" si="282"/>
        <v>#DIV/0!</v>
      </c>
      <c r="S744" s="267" t="e">
        <f t="shared" si="283"/>
        <v>#DIV/0!</v>
      </c>
      <c r="U744" s="220"/>
      <c r="Z744" s="214">
        <f t="shared" si="273"/>
        <v>0</v>
      </c>
      <c r="AA744" s="214">
        <f t="shared" si="274"/>
        <v>0</v>
      </c>
    </row>
    <row r="745" spans="1:27" ht="13.15" customHeight="1">
      <c r="A745" s="239" t="s">
        <v>512</v>
      </c>
      <c r="B745" s="209">
        <v>71.900000000000006</v>
      </c>
      <c r="C745" s="209">
        <v>71.900000000000006</v>
      </c>
      <c r="D745" s="209">
        <v>454.88600000000002</v>
      </c>
      <c r="E745" s="209">
        <v>281.6567</v>
      </c>
      <c r="F745" s="209">
        <v>297.214</v>
      </c>
      <c r="G745" s="209">
        <v>4775.1948000000002</v>
      </c>
      <c r="H745" s="209">
        <v>7210.6984149999998</v>
      </c>
      <c r="I745" s="424">
        <v>6</v>
      </c>
      <c r="J745" s="230"/>
      <c r="K745" s="305" t="s">
        <v>512</v>
      </c>
      <c r="L745" s="239">
        <f t="shared" si="277"/>
        <v>11.983333333333334</v>
      </c>
      <c r="M745" s="267">
        <f t="shared" si="278"/>
        <v>75.814333333333337</v>
      </c>
      <c r="N745" s="267">
        <f t="shared" si="279"/>
        <v>6.3266481223922115</v>
      </c>
      <c r="O745" s="239">
        <f t="shared" si="276"/>
        <v>81.062400111487676</v>
      </c>
      <c r="P745" s="267">
        <f t="shared" si="280"/>
        <v>80.285689219190573</v>
      </c>
      <c r="Q745" s="697">
        <f t="shared" si="281"/>
        <v>0.44718485847289174</v>
      </c>
      <c r="R745" s="697">
        <f t="shared" si="282"/>
        <v>0.33283756880911991</v>
      </c>
      <c r="S745" s="267">
        <f t="shared" si="283"/>
        <v>4.7094317301878492</v>
      </c>
      <c r="U745" s="220"/>
      <c r="Z745" s="214">
        <f t="shared" si="273"/>
        <v>0</v>
      </c>
      <c r="AA745" s="214">
        <f t="shared" si="274"/>
        <v>15.557299999999998</v>
      </c>
    </row>
    <row r="746" spans="1:27" ht="13.15" customHeight="1">
      <c r="A746" s="239" t="s">
        <v>513</v>
      </c>
      <c r="B746" s="209">
        <v>17.332000000000001</v>
      </c>
      <c r="C746" s="209">
        <v>17.332000000000001</v>
      </c>
      <c r="D746" s="209">
        <v>69.599999999999994</v>
      </c>
      <c r="E746" s="209">
        <v>49.064</v>
      </c>
      <c r="F746" s="209">
        <v>49.064</v>
      </c>
      <c r="G746" s="209">
        <v>1015.0812</v>
      </c>
      <c r="H746" s="209">
        <v>1324.6548</v>
      </c>
      <c r="I746" s="424">
        <v>3</v>
      </c>
      <c r="J746" s="230"/>
      <c r="K746" s="305" t="s">
        <v>513</v>
      </c>
      <c r="L746" s="239">
        <f t="shared" si="277"/>
        <v>5.7773333333333339</v>
      </c>
      <c r="M746" s="267">
        <f t="shared" si="278"/>
        <v>23.2</v>
      </c>
      <c r="N746" s="267">
        <f t="shared" si="279"/>
        <v>4.0156935148857595</v>
      </c>
      <c r="O746" s="239">
        <f t="shared" si="276"/>
        <v>89.963936264753656</v>
      </c>
      <c r="P746" s="267">
        <f t="shared" si="280"/>
        <v>89.963936264753656</v>
      </c>
      <c r="Q746" s="697">
        <f t="shared" si="281"/>
        <v>0.32315446815192317</v>
      </c>
      <c r="R746" s="697">
        <f t="shared" si="282"/>
        <v>0.46241867366738959</v>
      </c>
      <c r="S746" s="267">
        <f t="shared" si="283"/>
        <v>5.7469223870862542</v>
      </c>
      <c r="U746" s="220"/>
      <c r="Z746" s="214">
        <f t="shared" si="273"/>
        <v>0</v>
      </c>
      <c r="AA746" s="214">
        <f t="shared" si="274"/>
        <v>0</v>
      </c>
    </row>
    <row r="747" spans="1:27" ht="13.15" customHeight="1">
      <c r="A747" s="239" t="s">
        <v>514</v>
      </c>
      <c r="B747" s="209">
        <v>485.65</v>
      </c>
      <c r="C747" s="209">
        <v>485.65</v>
      </c>
      <c r="D747" s="209">
        <v>1743.6969999999999</v>
      </c>
      <c r="E747" s="209">
        <v>2805.7028100000002</v>
      </c>
      <c r="F747" s="209">
        <v>2985.424</v>
      </c>
      <c r="G747" s="209">
        <v>28328.248799999998</v>
      </c>
      <c r="H747" s="209">
        <v>60790.318309000002</v>
      </c>
      <c r="I747" s="424">
        <v>21</v>
      </c>
      <c r="J747" s="230"/>
      <c r="K747" s="305" t="s">
        <v>514</v>
      </c>
      <c r="L747" s="239">
        <f t="shared" si="277"/>
        <v>23.126190476190477</v>
      </c>
      <c r="M747" s="267">
        <f t="shared" si="278"/>
        <v>83.03319047619047</v>
      </c>
      <c r="N747" s="267">
        <f t="shared" si="279"/>
        <v>3.5904396170081334</v>
      </c>
      <c r="O747" s="239">
        <f t="shared" si="276"/>
        <v>64.279602882445886</v>
      </c>
      <c r="P747" s="267">
        <f t="shared" si="280"/>
        <v>63.215294778791474</v>
      </c>
      <c r="Q747" s="697">
        <f t="shared" si="281"/>
        <v>0.65949904026379003</v>
      </c>
      <c r="R747" s="697">
        <f t="shared" si="282"/>
        <v>0.51510115846360227</v>
      </c>
      <c r="S747" s="267">
        <f t="shared" si="283"/>
        <v>2.8046299030509214</v>
      </c>
      <c r="U747" s="220"/>
      <c r="Z747" s="214">
        <f t="shared" si="273"/>
        <v>0</v>
      </c>
      <c r="AA747" s="214">
        <f t="shared" si="274"/>
        <v>179.72118999999975</v>
      </c>
    </row>
    <row r="748" spans="1:27" ht="13.15" customHeight="1">
      <c r="A748" s="239" t="s">
        <v>515</v>
      </c>
      <c r="B748" s="209">
        <v>10.702</v>
      </c>
      <c r="C748" s="209">
        <v>10.702</v>
      </c>
      <c r="D748" s="209">
        <v>12.871</v>
      </c>
      <c r="E748" s="209">
        <v>11.437899999999999</v>
      </c>
      <c r="F748" s="209">
        <v>26.065999999999999</v>
      </c>
      <c r="G748" s="209">
        <v>80.168399999999991</v>
      </c>
      <c r="H748" s="209">
        <v>263.73812399999997</v>
      </c>
      <c r="I748" s="424">
        <v>4</v>
      </c>
      <c r="J748" s="230"/>
      <c r="K748" s="305" t="s">
        <v>515</v>
      </c>
      <c r="L748" s="239">
        <f t="shared" si="277"/>
        <v>2.6755</v>
      </c>
      <c r="M748" s="267">
        <f t="shared" si="278"/>
        <v>3.2177500000000001</v>
      </c>
      <c r="N748" s="267">
        <f t="shared" si="279"/>
        <v>1.2026723976826761</v>
      </c>
      <c r="O748" s="239">
        <f t="shared" si="276"/>
        <v>65.976809632573264</v>
      </c>
      <c r="P748" s="267">
        <f t="shared" si="280"/>
        <v>46.009593971328925</v>
      </c>
      <c r="Q748" s="697">
        <f t="shared" si="281"/>
        <v>0.12200489133171027</v>
      </c>
      <c r="R748" s="697">
        <f t="shared" si="282"/>
        <v>0.1974852866189569</v>
      </c>
      <c r="S748" s="267">
        <f t="shared" si="283"/>
        <v>1.946948303447311</v>
      </c>
      <c r="U748" s="220"/>
      <c r="Z748" s="214">
        <f t="shared" si="273"/>
        <v>0</v>
      </c>
      <c r="AA748" s="214">
        <f t="shared" si="274"/>
        <v>14.6281</v>
      </c>
    </row>
    <row r="749" spans="1:27" ht="13.15" customHeight="1">
      <c r="A749" s="239" t="s">
        <v>516</v>
      </c>
      <c r="B749" s="209">
        <v>15.868</v>
      </c>
      <c r="C749" s="209">
        <v>15.868</v>
      </c>
      <c r="D749" s="209">
        <v>84.46</v>
      </c>
      <c r="E749" s="209">
        <v>52.994999999999997</v>
      </c>
      <c r="F749" s="209">
        <v>52.994999999999997</v>
      </c>
      <c r="G749" s="209">
        <v>937.65599999999995</v>
      </c>
      <c r="H749" s="209">
        <v>1494.1161980000002</v>
      </c>
      <c r="I749" s="424">
        <v>4</v>
      </c>
      <c r="J749" s="244"/>
      <c r="K749" s="239" t="s">
        <v>516</v>
      </c>
      <c r="L749" s="239">
        <f t="shared" si="277"/>
        <v>3.9670000000000001</v>
      </c>
      <c r="M749" s="267">
        <f t="shared" si="278"/>
        <v>21.114999999999998</v>
      </c>
      <c r="N749" s="267">
        <f t="shared" si="279"/>
        <v>5.3226619611797323</v>
      </c>
      <c r="O749" s="239">
        <f t="shared" si="276"/>
        <v>75.525451200549782</v>
      </c>
      <c r="P749" s="267">
        <f t="shared" si="280"/>
        <v>75.525451200549782</v>
      </c>
      <c r="Q749" s="697">
        <f t="shared" si="281"/>
        <v>0.38124889930971612</v>
      </c>
      <c r="R749" s="697">
        <f t="shared" si="282"/>
        <v>0.35199482519225583</v>
      </c>
      <c r="S749" s="267">
        <f t="shared" si="283"/>
        <v>4.9148032833286157</v>
      </c>
      <c r="U749" s="220"/>
      <c r="Z749" s="214">
        <f t="shared" si="273"/>
        <v>0</v>
      </c>
      <c r="AA749" s="214">
        <f t="shared" si="274"/>
        <v>0</v>
      </c>
    </row>
    <row r="750" spans="1:27" ht="13.15" customHeight="1">
      <c r="A750" s="239" t="s">
        <v>517</v>
      </c>
      <c r="B750" s="209"/>
      <c r="C750" s="209"/>
      <c r="D750" s="209"/>
      <c r="E750" s="209"/>
      <c r="F750" s="209"/>
      <c r="G750" s="209"/>
      <c r="H750" s="209"/>
      <c r="I750" s="424"/>
      <c r="K750" s="239" t="s">
        <v>517</v>
      </c>
      <c r="L750" s="239" t="e">
        <f t="shared" si="277"/>
        <v>#DIV/0!</v>
      </c>
      <c r="M750" s="267" t="e">
        <f t="shared" si="278"/>
        <v>#DIV/0!</v>
      </c>
      <c r="N750" s="267" t="e">
        <f t="shared" si="279"/>
        <v>#DIV/0!</v>
      </c>
      <c r="O750" s="239" t="e">
        <f t="shared" si="276"/>
        <v>#DIV/0!</v>
      </c>
      <c r="P750" s="267" t="e">
        <f t="shared" si="280"/>
        <v>#DIV/0!</v>
      </c>
      <c r="Q750" s="697" t="e">
        <f t="shared" si="281"/>
        <v>#DIV/0!</v>
      </c>
      <c r="R750" s="697" t="e">
        <f t="shared" si="282"/>
        <v>#DIV/0!</v>
      </c>
      <c r="S750" s="267" t="e">
        <f t="shared" si="283"/>
        <v>#DIV/0!</v>
      </c>
      <c r="U750" s="220"/>
      <c r="Z750" s="214">
        <f t="shared" si="273"/>
        <v>0</v>
      </c>
      <c r="AA750" s="214">
        <f t="shared" si="274"/>
        <v>0</v>
      </c>
    </row>
    <row r="751" spans="1:27" ht="13.15" customHeight="1">
      <c r="A751" s="239" t="s">
        <v>518</v>
      </c>
      <c r="B751" s="209">
        <v>9.4499999999999993</v>
      </c>
      <c r="C751" s="209">
        <v>9.4499999999999993</v>
      </c>
      <c r="D751" s="209">
        <v>40</v>
      </c>
      <c r="E751" s="209">
        <v>47.862000000000002</v>
      </c>
      <c r="F751" s="209">
        <v>47.862000000000002</v>
      </c>
      <c r="G751" s="209">
        <v>1008.7596</v>
      </c>
      <c r="H751" s="209">
        <v>2791.2091679999999</v>
      </c>
      <c r="I751" s="424">
        <v>1</v>
      </c>
      <c r="K751" s="239" t="s">
        <v>518</v>
      </c>
      <c r="L751" s="239">
        <f t="shared" si="277"/>
        <v>9.4499999999999993</v>
      </c>
      <c r="M751" s="267">
        <f t="shared" si="278"/>
        <v>40</v>
      </c>
      <c r="N751" s="267">
        <f t="shared" si="279"/>
        <v>4.2328042328042335</v>
      </c>
      <c r="O751" s="239">
        <f t="shared" si="276"/>
        <v>42.313661532083358</v>
      </c>
      <c r="P751" s="267">
        <f t="shared" si="280"/>
        <v>42.313661532083358</v>
      </c>
      <c r="Q751" s="697">
        <f t="shared" si="281"/>
        <v>0.57816916721026312</v>
      </c>
      <c r="R751" s="697">
        <f t="shared" si="282"/>
        <v>0.79959764867024308</v>
      </c>
      <c r="S751" s="267">
        <f t="shared" si="283"/>
        <v>5.8545610296268435</v>
      </c>
      <c r="U751" s="220"/>
      <c r="Z751" s="214">
        <f t="shared" si="273"/>
        <v>0</v>
      </c>
      <c r="AA751" s="214">
        <f t="shared" si="274"/>
        <v>0</v>
      </c>
    </row>
    <row r="752" spans="1:27" ht="13.15" customHeight="1">
      <c r="A752" s="239" t="s">
        <v>519</v>
      </c>
      <c r="B752" s="204"/>
      <c r="C752" s="204"/>
      <c r="D752" s="204"/>
      <c r="E752" s="387"/>
      <c r="F752" s="272"/>
      <c r="G752" s="206"/>
      <c r="H752" s="202"/>
      <c r="I752" s="202"/>
      <c r="K752" s="239" t="s">
        <v>519</v>
      </c>
      <c r="L752" s="239"/>
      <c r="M752" s="267"/>
      <c r="N752" s="267"/>
      <c r="O752" s="239"/>
      <c r="P752" s="267"/>
      <c r="Q752" s="267"/>
      <c r="R752" s="267"/>
      <c r="S752" s="267"/>
      <c r="U752" s="220"/>
      <c r="Z752" s="214">
        <f t="shared" si="273"/>
        <v>0</v>
      </c>
      <c r="AA752" s="214">
        <f t="shared" si="274"/>
        <v>0</v>
      </c>
    </row>
    <row r="753" spans="1:27" ht="13.15" customHeight="1">
      <c r="A753" s="282" t="s">
        <v>169</v>
      </c>
      <c r="B753" s="360">
        <f>B732+B734</f>
        <v>2901.654</v>
      </c>
      <c r="C753" s="360">
        <f t="shared" ref="C753:I753" si="284">C732+C734</f>
        <v>4186.2289999999994</v>
      </c>
      <c r="D753" s="360">
        <f t="shared" si="284"/>
        <v>5946.0650000000005</v>
      </c>
      <c r="E753" s="360">
        <f t="shared" si="284"/>
        <v>8521.37356</v>
      </c>
      <c r="F753" s="360">
        <f t="shared" si="284"/>
        <v>16561.022000000001</v>
      </c>
      <c r="G753" s="360">
        <f t="shared" si="284"/>
        <v>83119.392000000007</v>
      </c>
      <c r="H753" s="360">
        <f t="shared" si="284"/>
        <v>219573.501647</v>
      </c>
      <c r="I753" s="360">
        <f t="shared" si="284"/>
        <v>115</v>
      </c>
      <c r="K753" s="328" t="s">
        <v>169</v>
      </c>
      <c r="L753" s="282">
        <f>B753/I753</f>
        <v>25.231773913043479</v>
      </c>
      <c r="M753" s="281">
        <f>D753/I753</f>
        <v>51.704913043478264</v>
      </c>
      <c r="N753" s="281">
        <f>D753/B753</f>
        <v>2.0491984916189181</v>
      </c>
      <c r="O753" s="282">
        <f>(F753*3.6+G753)*100/H753</f>
        <v>65.007421264099619</v>
      </c>
      <c r="P753" s="282">
        <f>(E753*3.6+G753)*100/H753</f>
        <v>51.826079177325354</v>
      </c>
      <c r="Q753" s="281">
        <f>E753/(B753*8760)*1000</f>
        <v>0.33524311954932789</v>
      </c>
      <c r="R753" s="281">
        <f>G753/(D753*8761)*1000/3.6</f>
        <v>0.44321711680597309</v>
      </c>
      <c r="S753" s="281">
        <f>G753/(E753*3.6)</f>
        <v>2.7095068462178769</v>
      </c>
      <c r="U753" s="220"/>
      <c r="Z753" s="214">
        <f t="shared" si="273"/>
        <v>1284.5749999999994</v>
      </c>
      <c r="AA753" s="214">
        <f t="shared" si="274"/>
        <v>8039.6484400000008</v>
      </c>
    </row>
    <row r="754" spans="1:27" ht="13.15" customHeight="1">
      <c r="U754" s="220"/>
    </row>
    <row r="755" spans="1:27" ht="13.15" customHeight="1">
      <c r="A755" s="251" t="s">
        <v>520</v>
      </c>
      <c r="B755" s="227" t="s">
        <v>476</v>
      </c>
      <c r="C755" s="228"/>
      <c r="D755" s="286"/>
      <c r="E755" s="227" t="s">
        <v>521</v>
      </c>
      <c r="F755" s="228"/>
      <c r="G755" s="286"/>
      <c r="H755" s="200" t="s">
        <v>138</v>
      </c>
      <c r="I755" s="200" t="s">
        <v>478</v>
      </c>
      <c r="U755" s="220"/>
    </row>
    <row r="756" spans="1:27" ht="13.15" customHeight="1">
      <c r="A756" s="239"/>
      <c r="B756" s="243" t="s">
        <v>88</v>
      </c>
      <c r="C756" s="243"/>
      <c r="D756" s="241" t="s">
        <v>34</v>
      </c>
      <c r="E756" s="243" t="s">
        <v>88</v>
      </c>
      <c r="F756" s="243"/>
      <c r="G756" s="241" t="s">
        <v>34</v>
      </c>
      <c r="H756" s="241" t="s">
        <v>170</v>
      </c>
      <c r="I756" s="241" t="s">
        <v>483</v>
      </c>
      <c r="U756" s="220"/>
    </row>
    <row r="757" spans="1:27" ht="13.15" customHeight="1">
      <c r="A757" s="239"/>
      <c r="B757" s="252" t="s">
        <v>0</v>
      </c>
      <c r="C757" s="252" t="s">
        <v>489</v>
      </c>
      <c r="D757" s="252" t="s">
        <v>490</v>
      </c>
      <c r="E757" s="252" t="s">
        <v>491</v>
      </c>
      <c r="F757" s="252" t="s">
        <v>489</v>
      </c>
      <c r="G757" s="252" t="s">
        <v>490</v>
      </c>
      <c r="H757" s="248"/>
      <c r="I757" s="241" t="s">
        <v>492</v>
      </c>
      <c r="U757" s="220"/>
    </row>
    <row r="758" spans="1:27" ht="13.15" customHeight="1">
      <c r="A758" s="239"/>
      <c r="B758" s="257" t="s">
        <v>496</v>
      </c>
      <c r="C758" s="256" t="s">
        <v>496</v>
      </c>
      <c r="D758" s="252" t="s">
        <v>496</v>
      </c>
      <c r="E758" s="329" t="s">
        <v>473</v>
      </c>
      <c r="F758" s="329" t="s">
        <v>473</v>
      </c>
      <c r="G758" s="252" t="s">
        <v>496</v>
      </c>
      <c r="H758" s="257" t="s">
        <v>497</v>
      </c>
      <c r="I758" s="257" t="s">
        <v>498</v>
      </c>
      <c r="U758" s="220"/>
    </row>
    <row r="759" spans="1:27" ht="13.15" customHeight="1">
      <c r="A759" s="251" t="s">
        <v>522</v>
      </c>
      <c r="B759" s="389"/>
      <c r="C759" s="389"/>
      <c r="D759" s="200"/>
      <c r="E759" s="389"/>
      <c r="F759" s="389"/>
      <c r="G759" s="200"/>
      <c r="H759" s="200"/>
      <c r="I759" s="200"/>
      <c r="U759" s="220"/>
    </row>
    <row r="760" spans="1:27" ht="13.15" customHeight="1">
      <c r="A760" s="239" t="s">
        <v>523</v>
      </c>
      <c r="B760" s="334">
        <v>20.25</v>
      </c>
      <c r="C760" s="334">
        <v>454</v>
      </c>
      <c r="D760" s="334">
        <v>45</v>
      </c>
      <c r="E760" s="334">
        <v>38.451599999999999</v>
      </c>
      <c r="F760" s="334">
        <v>1693.125</v>
      </c>
      <c r="G760" s="334">
        <v>307.61279999999999</v>
      </c>
      <c r="H760" s="334">
        <v>15745.018393999999</v>
      </c>
      <c r="I760" s="335">
        <v>2</v>
      </c>
    </row>
    <row r="761" spans="1:27" ht="13.15" customHeight="1">
      <c r="A761" s="239" t="s">
        <v>524</v>
      </c>
      <c r="B761" s="334">
        <v>21.231000000000002</v>
      </c>
      <c r="C761" s="334">
        <v>23.106000000000002</v>
      </c>
      <c r="D761" s="334">
        <v>63.195</v>
      </c>
      <c r="E761" s="334">
        <v>69.994749999999996</v>
      </c>
      <c r="F761" s="334">
        <v>70.254999999999995</v>
      </c>
      <c r="G761" s="334">
        <v>1005.7968000000001</v>
      </c>
      <c r="H761" s="334">
        <v>1388.5783779999997</v>
      </c>
      <c r="I761" s="335">
        <v>8</v>
      </c>
    </row>
    <row r="762" spans="1:27" ht="13.15" customHeight="1">
      <c r="A762" s="239" t="s">
        <v>525</v>
      </c>
      <c r="B762" s="334">
        <v>467.44</v>
      </c>
      <c r="C762" s="334">
        <v>716.39</v>
      </c>
      <c r="D762" s="334">
        <v>1589.0650000000001</v>
      </c>
      <c r="E762" s="334">
        <v>1853.6241399999999</v>
      </c>
      <c r="F762" s="334">
        <v>3299.61</v>
      </c>
      <c r="G762" s="334">
        <v>17154.752399999998</v>
      </c>
      <c r="H762" s="334">
        <v>37672.897191999997</v>
      </c>
      <c r="I762" s="335">
        <v>52</v>
      </c>
    </row>
    <row r="763" spans="1:27" ht="13.15" customHeight="1">
      <c r="A763" s="239" t="s">
        <v>267</v>
      </c>
      <c r="B763" s="340">
        <v>27.189</v>
      </c>
      <c r="C763" s="340">
        <v>27.189</v>
      </c>
      <c r="D763" s="340">
        <v>141.76</v>
      </c>
      <c r="E763" s="340">
        <v>110.547</v>
      </c>
      <c r="F763" s="340">
        <v>110.547</v>
      </c>
      <c r="G763" s="340">
        <v>2990.3507999999997</v>
      </c>
      <c r="H763" s="340">
        <v>5714.6275479999995</v>
      </c>
      <c r="I763" s="341">
        <v>5</v>
      </c>
    </row>
    <row r="764" spans="1:27" ht="13.15" customHeight="1">
      <c r="A764" s="312" t="s">
        <v>526</v>
      </c>
      <c r="B764" s="391"/>
      <c r="C764" s="391"/>
      <c r="D764" s="205"/>
      <c r="E764" s="391"/>
      <c r="F764" s="391"/>
      <c r="G764" s="205"/>
      <c r="H764" s="205"/>
      <c r="I764" s="391"/>
    </row>
    <row r="765" spans="1:27" ht="13.15" customHeight="1">
      <c r="A765" s="239" t="s">
        <v>527</v>
      </c>
      <c r="B765" s="334">
        <v>11.25</v>
      </c>
      <c r="C765" s="334">
        <v>220</v>
      </c>
      <c r="D765" s="334">
        <v>25</v>
      </c>
      <c r="E765" s="334">
        <v>10.750500000000001</v>
      </c>
      <c r="F765" s="334">
        <v>649.29899999999998</v>
      </c>
      <c r="G765" s="334">
        <v>86.004000000000005</v>
      </c>
      <c r="H765" s="334">
        <v>5987.6591510000007</v>
      </c>
      <c r="I765" s="335">
        <v>2</v>
      </c>
    </row>
    <row r="766" spans="1:27" ht="13.15" customHeight="1">
      <c r="A766" s="239" t="s">
        <v>528</v>
      </c>
      <c r="B766" s="334">
        <v>1368.8</v>
      </c>
      <c r="C766" s="334">
        <v>1665.8</v>
      </c>
      <c r="D766" s="334">
        <v>1768.5</v>
      </c>
      <c r="E766" s="334">
        <v>2995.20255</v>
      </c>
      <c r="F766" s="334">
        <v>4894.2</v>
      </c>
      <c r="G766" s="334">
        <v>24405.094799999995</v>
      </c>
      <c r="H766" s="334">
        <v>58116.509970999992</v>
      </c>
      <c r="I766" s="335">
        <v>18</v>
      </c>
    </row>
    <row r="767" spans="1:27" ht="13.15" customHeight="1">
      <c r="A767" s="239" t="s">
        <v>529</v>
      </c>
      <c r="B767" s="334">
        <v>82</v>
      </c>
      <c r="C767" s="334">
        <v>138</v>
      </c>
      <c r="D767" s="334">
        <v>172.1</v>
      </c>
      <c r="E767" s="334">
        <v>264.1422</v>
      </c>
      <c r="F767" s="334">
        <v>421.15600000000001</v>
      </c>
      <c r="G767" s="334">
        <v>2192.4899999999998</v>
      </c>
      <c r="H767" s="334">
        <v>6358.0516980000002</v>
      </c>
      <c r="I767" s="335">
        <v>5</v>
      </c>
    </row>
    <row r="768" spans="1:27" ht="13.15" customHeight="1">
      <c r="A768" s="239" t="s">
        <v>530</v>
      </c>
      <c r="B768" s="340">
        <v>903.49399999999991</v>
      </c>
      <c r="C768" s="340">
        <v>941.74399999999991</v>
      </c>
      <c r="D768" s="340">
        <v>2141.4450000000002</v>
      </c>
      <c r="E768" s="340">
        <v>3178.5727499999998</v>
      </c>
      <c r="F768" s="340">
        <v>5422.83</v>
      </c>
      <c r="G768" s="340">
        <v>34977.290399999998</v>
      </c>
      <c r="H768" s="340">
        <v>88590.159314999997</v>
      </c>
      <c r="I768" s="341">
        <v>23</v>
      </c>
    </row>
    <row r="769" spans="1:27" ht="13.15" customHeight="1">
      <c r="A769" s="282" t="s">
        <v>169</v>
      </c>
      <c r="B769" s="360">
        <f>SUM(B759:B768)</f>
        <v>2901.6539999999995</v>
      </c>
      <c r="C769" s="360">
        <f t="shared" ref="C769:I769" si="285">SUM(C759:C768)</f>
        <v>4186.2290000000003</v>
      </c>
      <c r="D769" s="360">
        <f t="shared" si="285"/>
        <v>5946.0650000000005</v>
      </c>
      <c r="E769" s="360">
        <f t="shared" si="285"/>
        <v>8521.2854900000002</v>
      </c>
      <c r="F769" s="360">
        <f t="shared" si="285"/>
        <v>16561.022000000001</v>
      </c>
      <c r="G769" s="360">
        <f t="shared" si="285"/>
        <v>83119.391999999993</v>
      </c>
      <c r="H769" s="360">
        <f t="shared" si="285"/>
        <v>219573.50164699997</v>
      </c>
      <c r="I769" s="360">
        <f t="shared" si="285"/>
        <v>115</v>
      </c>
    </row>
    <row r="770" spans="1:27" ht="13.15" customHeight="1"/>
    <row r="771" spans="1:27" ht="13.15" customHeight="1"/>
    <row r="772" spans="1:27" ht="13.15" customHeight="1">
      <c r="A772" s="221" t="s">
        <v>194</v>
      </c>
      <c r="D772" s="220"/>
      <c r="I772" s="221">
        <v>2002</v>
      </c>
      <c r="K772" s="221" t="str">
        <f>+A772</f>
        <v>Portugal</v>
      </c>
      <c r="M772" s="220"/>
      <c r="S772" s="221">
        <v>2002</v>
      </c>
    </row>
    <row r="773" spans="1:27" ht="12.75" customHeight="1" thickBot="1">
      <c r="B773" s="223"/>
      <c r="C773" s="223"/>
      <c r="D773" s="223"/>
    </row>
    <row r="774" spans="1:27" ht="13.15" customHeight="1">
      <c r="A774" s="224" t="s">
        <v>475</v>
      </c>
      <c r="B774" s="225" t="s">
        <v>476</v>
      </c>
      <c r="C774" s="225"/>
      <c r="D774" s="226"/>
      <c r="E774" s="227" t="s">
        <v>477</v>
      </c>
      <c r="F774" s="228"/>
      <c r="G774" s="229"/>
      <c r="H774" s="200" t="s">
        <v>138</v>
      </c>
      <c r="I774" s="200" t="s">
        <v>478</v>
      </c>
      <c r="J774" s="230"/>
      <c r="K774" s="231" t="s">
        <v>475</v>
      </c>
      <c r="L774" s="232" t="s">
        <v>479</v>
      </c>
      <c r="M774" s="233"/>
      <c r="N774" s="234"/>
      <c r="O774" s="235" t="s">
        <v>480</v>
      </c>
      <c r="P774" s="233"/>
      <c r="Q774" s="233"/>
      <c r="R774" s="236"/>
      <c r="S774" s="237"/>
      <c r="T774" s="238"/>
    </row>
    <row r="775" spans="1:27" ht="13.15" customHeight="1">
      <c r="A775" s="239"/>
      <c r="B775" s="240" t="s">
        <v>481</v>
      </c>
      <c r="C775" s="240"/>
      <c r="D775" s="241" t="s">
        <v>34</v>
      </c>
      <c r="E775" s="242" t="s">
        <v>482</v>
      </c>
      <c r="F775" s="243"/>
      <c r="G775" s="244" t="s">
        <v>34</v>
      </c>
      <c r="H775" s="241" t="s">
        <v>170</v>
      </c>
      <c r="I775" s="241" t="s">
        <v>483</v>
      </c>
      <c r="J775" s="230"/>
      <c r="K775" s="245"/>
      <c r="L775" s="246" t="s">
        <v>484</v>
      </c>
      <c r="M775" s="247"/>
      <c r="N775" s="248" t="s">
        <v>485</v>
      </c>
      <c r="O775" s="248" t="s">
        <v>486</v>
      </c>
      <c r="P775" s="248" t="s">
        <v>486</v>
      </c>
      <c r="Q775" s="247" t="s">
        <v>487</v>
      </c>
      <c r="R775" s="249"/>
      <c r="S775" s="250" t="s">
        <v>485</v>
      </c>
      <c r="T775" s="230"/>
      <c r="U775" s="214" t="str">
        <f>A772</f>
        <v>Portugal</v>
      </c>
    </row>
    <row r="776" spans="1:27" ht="13.15" customHeight="1">
      <c r="A776" s="251" t="s">
        <v>488</v>
      </c>
      <c r="B776" s="252" t="s">
        <v>0</v>
      </c>
      <c r="C776" s="252" t="s">
        <v>489</v>
      </c>
      <c r="D776" s="252" t="s">
        <v>490</v>
      </c>
      <c r="E776" s="252" t="s">
        <v>491</v>
      </c>
      <c r="F776" s="252" t="s">
        <v>489</v>
      </c>
      <c r="G776" s="230" t="s">
        <v>490</v>
      </c>
      <c r="H776" s="248"/>
      <c r="I776" s="241" t="s">
        <v>492</v>
      </c>
      <c r="J776" s="230"/>
      <c r="K776" s="253" t="s">
        <v>488</v>
      </c>
      <c r="L776" s="254" t="s">
        <v>88</v>
      </c>
      <c r="M776" s="252" t="s">
        <v>34</v>
      </c>
      <c r="N776" s="252" t="s">
        <v>493</v>
      </c>
      <c r="O776" s="248" t="s">
        <v>494</v>
      </c>
      <c r="P776" s="248" t="s">
        <v>495</v>
      </c>
      <c r="Q776" s="230" t="s">
        <v>88</v>
      </c>
      <c r="R776" s="248" t="s">
        <v>34</v>
      </c>
      <c r="S776" s="255" t="s">
        <v>88</v>
      </c>
      <c r="T776" s="230"/>
      <c r="U776" s="214" t="s">
        <v>547</v>
      </c>
      <c r="V776" s="214">
        <f>G804/1000</f>
        <v>39.417076284930737</v>
      </c>
    </row>
    <row r="777" spans="1:27" ht="13.15" customHeight="1">
      <c r="A777" s="239"/>
      <c r="B777" s="252" t="s">
        <v>496</v>
      </c>
      <c r="C777" s="252" t="s">
        <v>496</v>
      </c>
      <c r="D777" s="252" t="s">
        <v>496</v>
      </c>
      <c r="E777" s="252" t="s">
        <v>473</v>
      </c>
      <c r="F777" s="252" t="s">
        <v>473</v>
      </c>
      <c r="G777" s="230" t="s">
        <v>451</v>
      </c>
      <c r="H777" s="248" t="s">
        <v>497</v>
      </c>
      <c r="I777" s="248" t="s">
        <v>498</v>
      </c>
      <c r="J777" s="230"/>
      <c r="K777" s="245"/>
      <c r="L777" s="258" t="s">
        <v>496</v>
      </c>
      <c r="M777" s="256" t="s">
        <v>496</v>
      </c>
      <c r="N777" s="256"/>
      <c r="O777" s="257" t="s">
        <v>79</v>
      </c>
      <c r="P777" s="257" t="s">
        <v>79</v>
      </c>
      <c r="Q777" s="259"/>
      <c r="R777" s="257"/>
      <c r="S777" s="260"/>
      <c r="T777" s="230"/>
      <c r="U777" s="214" t="s">
        <v>548</v>
      </c>
      <c r="V777" s="214">
        <f>G810/1000</f>
        <v>0</v>
      </c>
    </row>
    <row r="778" spans="1:27" ht="13.15" customHeight="1">
      <c r="A778" s="261" t="s">
        <v>262</v>
      </c>
      <c r="B778" s="435">
        <v>0</v>
      </c>
      <c r="C778" s="436">
        <v>0</v>
      </c>
      <c r="D778" s="437">
        <v>0</v>
      </c>
      <c r="E778" s="437">
        <v>0</v>
      </c>
      <c r="F778" s="436">
        <v>0</v>
      </c>
      <c r="G778" s="437">
        <v>0</v>
      </c>
      <c r="H778" s="437">
        <v>0</v>
      </c>
      <c r="I778" s="438">
        <v>0</v>
      </c>
      <c r="J778" s="230"/>
      <c r="K778" s="265" t="s">
        <v>262</v>
      </c>
      <c r="L778" s="266" t="e">
        <f>C778/I778</f>
        <v>#DIV/0!</v>
      </c>
      <c r="M778" s="267" t="e">
        <f>D778/I778</f>
        <v>#DIV/0!</v>
      </c>
      <c r="N778" s="267" t="e">
        <f>D778/C778</f>
        <v>#DIV/0!</v>
      </c>
      <c r="O778" s="239" t="e">
        <f>(F778*3.6+G778)*100/H778</f>
        <v>#DIV/0!</v>
      </c>
      <c r="P778" s="239" t="e">
        <f>(F778*3.6+G778)*100/H778</f>
        <v>#DIV/0!</v>
      </c>
      <c r="Q778" s="267" t="e">
        <f>F778/(C778*8760)*1000</f>
        <v>#DIV/0!</v>
      </c>
      <c r="R778" s="267" t="e">
        <f>G778/(D778*8761)*1000/3.6</f>
        <v>#DIV/0!</v>
      </c>
      <c r="S778" s="268" t="e">
        <f>G778/(F778*3.6)</f>
        <v>#DIV/0!</v>
      </c>
      <c r="T778" s="269"/>
      <c r="U778" s="214" t="s">
        <v>549</v>
      </c>
      <c r="V778" s="214">
        <f>G812/1000</f>
        <v>3.2626706472000002</v>
      </c>
      <c r="Z778" s="214">
        <f t="shared" ref="Z778:Z783" si="286">C778-B778</f>
        <v>0</v>
      </c>
      <c r="AA778" s="214">
        <f t="shared" ref="AA778:AA783" si="287">F778-E778</f>
        <v>0</v>
      </c>
    </row>
    <row r="779" spans="1:27" ht="13.15" customHeight="1">
      <c r="A779" s="239" t="s">
        <v>263</v>
      </c>
      <c r="B779" s="439">
        <v>85.044348500000012</v>
      </c>
      <c r="C779" s="263">
        <v>85.044348500000012</v>
      </c>
      <c r="D779" s="262">
        <v>786.68907800000022</v>
      </c>
      <c r="E779" s="262">
        <v>316.83014325789998</v>
      </c>
      <c r="F779" s="263">
        <v>316.83014325789998</v>
      </c>
      <c r="G779" s="262">
        <v>7451.4450943152015</v>
      </c>
      <c r="H779" s="262">
        <v>10186.348984722001</v>
      </c>
      <c r="I779" s="440">
        <v>22</v>
      </c>
      <c r="J779" s="230"/>
      <c r="K779" s="245" t="s">
        <v>263</v>
      </c>
      <c r="L779" s="266">
        <f>C779/I779</f>
        <v>3.8656522045454551</v>
      </c>
      <c r="M779" s="267">
        <f>D779/I779</f>
        <v>35.758594454545467</v>
      </c>
      <c r="N779" s="267">
        <f>D779/C779</f>
        <v>9.2503392862137108</v>
      </c>
      <c r="O779" s="239">
        <f>(F779*3.6+G779)*100/H779</f>
        <v>84.348510177006574</v>
      </c>
      <c r="P779" s="239">
        <f>(F779*3.6+G779)*100/H779</f>
        <v>84.348510177006574</v>
      </c>
      <c r="Q779" s="267">
        <f>F779/(C779*8760)*1000</f>
        <v>0.42528192890818167</v>
      </c>
      <c r="R779" s="267">
        <f>G779/(D779*8761)*1000/3.6</f>
        <v>0.30031788996616471</v>
      </c>
      <c r="S779" s="268">
        <f>G779/(F779*3.6)</f>
        <v>6.5329827466799593</v>
      </c>
      <c r="T779" s="269"/>
      <c r="U779" s="214" t="s">
        <v>550</v>
      </c>
      <c r="V779" s="214">
        <f>G817/1000</f>
        <v>22.242924856000801</v>
      </c>
      <c r="Z779" s="214">
        <f t="shared" si="286"/>
        <v>0</v>
      </c>
      <c r="AA779" s="214">
        <f t="shared" si="287"/>
        <v>0</v>
      </c>
    </row>
    <row r="780" spans="1:27" ht="13.15" customHeight="1">
      <c r="A780" s="239" t="s">
        <v>499</v>
      </c>
      <c r="B780" s="439">
        <v>145.31015149999999</v>
      </c>
      <c r="C780" s="263">
        <v>145.31015149999999</v>
      </c>
      <c r="D780" s="262">
        <v>1033.2671660000001</v>
      </c>
      <c r="E780" s="262">
        <v>839.62372906209998</v>
      </c>
      <c r="F780" s="263">
        <v>839.62372906209998</v>
      </c>
      <c r="G780" s="262">
        <v>15978.350529508683</v>
      </c>
      <c r="H780" s="262">
        <v>22711.383660258001</v>
      </c>
      <c r="I780" s="440">
        <v>11</v>
      </c>
      <c r="J780" s="230"/>
      <c r="K780" s="245" t="s">
        <v>499</v>
      </c>
      <c r="L780" s="266">
        <f>C780/I780</f>
        <v>13.210013772727272</v>
      </c>
      <c r="M780" s="267">
        <f>D780/I780</f>
        <v>93.933378727272739</v>
      </c>
      <c r="N780" s="267">
        <f>D780/C780</f>
        <v>7.1107706883094135</v>
      </c>
      <c r="O780" s="239">
        <f>(F780*3.6+G780)*100/H780</f>
        <v>83.662872497643292</v>
      </c>
      <c r="P780" s="239">
        <f>(F780*3.6+G780)*100/H780</f>
        <v>83.662872497643292</v>
      </c>
      <c r="Q780" s="267">
        <f>F780/(C780*8760)*1000</f>
        <v>0.6596060678905209</v>
      </c>
      <c r="R780" s="267">
        <f>G780/(D780*8761)*1000/3.6</f>
        <v>0.49030140097918917</v>
      </c>
      <c r="S780" s="268">
        <f>G780/(F780*3.6)</f>
        <v>5.2862139896870728</v>
      </c>
      <c r="T780" s="269"/>
      <c r="U780" s="214" t="s">
        <v>551</v>
      </c>
      <c r="V780" s="214">
        <f>G808/1000</f>
        <v>12.183258939023881</v>
      </c>
      <c r="Z780" s="214">
        <f t="shared" si="286"/>
        <v>0</v>
      </c>
      <c r="AA780" s="214">
        <f t="shared" si="287"/>
        <v>0</v>
      </c>
    </row>
    <row r="781" spans="1:27" ht="13.15" customHeight="1">
      <c r="A781" s="239" t="s">
        <v>265</v>
      </c>
      <c r="B781" s="439">
        <v>78.7</v>
      </c>
      <c r="C781" s="263">
        <v>78.7</v>
      </c>
      <c r="D781" s="262">
        <v>171.38164699999999</v>
      </c>
      <c r="E781" s="262">
        <v>301.39419700000002</v>
      </c>
      <c r="F781" s="263">
        <v>301.39419700000002</v>
      </c>
      <c r="G781" s="262">
        <v>2365.7849568000001</v>
      </c>
      <c r="H781" s="262">
        <v>3950.4276280079998</v>
      </c>
      <c r="I781" s="439">
        <v>8</v>
      </c>
      <c r="J781" s="230"/>
      <c r="K781" s="245" t="s">
        <v>265</v>
      </c>
      <c r="L781" s="266">
        <f>C781/I781</f>
        <v>9.8375000000000004</v>
      </c>
      <c r="M781" s="267">
        <f>D781/I781</f>
        <v>21.422705874999998</v>
      </c>
      <c r="N781" s="267">
        <f>D781/C781</f>
        <v>2.1776575222363403</v>
      </c>
      <c r="O781" s="239">
        <f>(F781*3.6+G781)*100/H781</f>
        <v>87.35267143066396</v>
      </c>
      <c r="P781" s="239">
        <f>(F781*3.6+G781)*100/H781</f>
        <v>87.35267143066396</v>
      </c>
      <c r="Q781" s="267">
        <f>F781/(C781*8760)*1000</f>
        <v>0.43717573381374275</v>
      </c>
      <c r="R781" s="267">
        <f>G781/(D781*8761)*1000/3.6</f>
        <v>0.4376780558927002</v>
      </c>
      <c r="S781" s="268">
        <f>G781/(F781*3.6)</f>
        <v>2.1804085630752872</v>
      </c>
      <c r="T781" s="269"/>
      <c r="U781" s="214" t="s">
        <v>552</v>
      </c>
      <c r="V781" s="214">
        <f>(G805+G806+G807+G809+G811+G813+G814+G815+G816+G818+G819+G820+G821+G822)/1000</f>
        <v>1.7282218427060398</v>
      </c>
      <c r="Z781" s="214">
        <f t="shared" si="286"/>
        <v>0</v>
      </c>
      <c r="AA781" s="214">
        <f t="shared" si="287"/>
        <v>0</v>
      </c>
    </row>
    <row r="782" spans="1:27" ht="13.15" customHeight="1">
      <c r="A782" s="239" t="s">
        <v>266</v>
      </c>
      <c r="B782" s="439">
        <v>46.793239</v>
      </c>
      <c r="C782" s="263">
        <v>46.793239</v>
      </c>
      <c r="D782" s="262">
        <v>73.059929999999994</v>
      </c>
      <c r="E782" s="262">
        <v>196.24777033140001</v>
      </c>
      <c r="F782" s="263">
        <v>196.24777033140001</v>
      </c>
      <c r="G782" s="262">
        <v>1220.7825338255998</v>
      </c>
      <c r="H782" s="262">
        <v>2216.0383888787997</v>
      </c>
      <c r="I782" s="439">
        <v>19</v>
      </c>
      <c r="J782" s="230"/>
      <c r="K782" s="245" t="s">
        <v>266</v>
      </c>
      <c r="L782" s="266">
        <f>C782/I782</f>
        <v>2.462802052631579</v>
      </c>
      <c r="M782" s="267">
        <f>D782/I782</f>
        <v>3.8452594736842101</v>
      </c>
      <c r="N782" s="267">
        <f>D782/C782</f>
        <v>1.5613351749384135</v>
      </c>
      <c r="O782" s="239">
        <f>(F782*3.6+G782)*100/H782</f>
        <v>86.969364641455542</v>
      </c>
      <c r="P782" s="239">
        <f>(F782*3.6+G782)*100/H782</f>
        <v>86.969364641455542</v>
      </c>
      <c r="Q782" s="267">
        <f>F782/(C782*8760)*1000</f>
        <v>0.47875962397368321</v>
      </c>
      <c r="R782" s="267">
        <f>G782/(D782*8761)*1000/3.6</f>
        <v>0.52978892359831697</v>
      </c>
      <c r="S782" s="268">
        <f>G782/(F782*3.6)</f>
        <v>1.7279496160560572</v>
      </c>
      <c r="T782" s="269"/>
      <c r="Z782" s="214">
        <f t="shared" si="286"/>
        <v>0</v>
      </c>
      <c r="AA782" s="214">
        <f t="shared" si="287"/>
        <v>0</v>
      </c>
    </row>
    <row r="783" spans="1:27" ht="13.15" customHeight="1">
      <c r="A783" s="272" t="s">
        <v>267</v>
      </c>
      <c r="B783" s="397"/>
      <c r="C783" s="395"/>
      <c r="D783" s="395"/>
      <c r="E783" s="395"/>
      <c r="F783" s="395"/>
      <c r="G783" s="396"/>
      <c r="H783" s="397"/>
      <c r="I783" s="395"/>
      <c r="J783" s="230"/>
      <c r="K783" s="245" t="s">
        <v>267</v>
      </c>
      <c r="L783" s="266"/>
      <c r="M783" s="267"/>
      <c r="N783" s="267"/>
      <c r="O783" s="239"/>
      <c r="P783" s="272"/>
      <c r="Q783" s="272"/>
      <c r="R783" s="274"/>
      <c r="S783" s="275"/>
      <c r="T783" s="269"/>
      <c r="U783" s="214" t="s">
        <v>553</v>
      </c>
      <c r="V783" s="214">
        <f>H804/1000</f>
        <v>62.497414491141583</v>
      </c>
      <c r="Z783" s="214">
        <f t="shared" si="286"/>
        <v>0</v>
      </c>
      <c r="AA783" s="214">
        <f t="shared" si="287"/>
        <v>0</v>
      </c>
    </row>
    <row r="784" spans="1:27" ht="13.15" customHeight="1">
      <c r="A784" s="276" t="s">
        <v>500</v>
      </c>
      <c r="B784" s="277">
        <f t="shared" ref="B784:I784" si="288">SUM(B778:B783)</f>
        <v>355.84773900000005</v>
      </c>
      <c r="C784" s="277">
        <f t="shared" si="288"/>
        <v>355.84773900000005</v>
      </c>
      <c r="D784" s="277">
        <f t="shared" si="288"/>
        <v>2064.3978210000005</v>
      </c>
      <c r="E784" s="277">
        <f t="shared" si="288"/>
        <v>1654.0958396514</v>
      </c>
      <c r="F784" s="277">
        <f t="shared" si="288"/>
        <v>1654.0958396514</v>
      </c>
      <c r="G784" s="277">
        <f t="shared" si="288"/>
        <v>27016.363114449487</v>
      </c>
      <c r="H784" s="277">
        <f t="shared" si="288"/>
        <v>39064.198661866802</v>
      </c>
      <c r="I784" s="278">
        <f t="shared" si="288"/>
        <v>60</v>
      </c>
      <c r="J784" s="244"/>
      <c r="K784" s="279" t="s">
        <v>169</v>
      </c>
      <c r="L784" s="280">
        <f>C784/I784</f>
        <v>5.9307956500000012</v>
      </c>
      <c r="M784" s="281">
        <f>D784/I784</f>
        <v>34.406630350000007</v>
      </c>
      <c r="N784" s="281">
        <f>D784/C784</f>
        <v>5.8013515184931386</v>
      </c>
      <c r="O784" s="282">
        <f>(F784*3.6+G784)*100/H784</f>
        <v>84.402366531531712</v>
      </c>
      <c r="P784" s="282">
        <f>(F784*3.6+G784)*100/H784</f>
        <v>84.402366531531712</v>
      </c>
      <c r="Q784" s="283">
        <f>F784/(C784*8760)*1000</f>
        <v>0.53063067512592155</v>
      </c>
      <c r="R784" s="283">
        <f>G784/(D784*8761)*1000/3.6</f>
        <v>0.41493236529990574</v>
      </c>
      <c r="S784" s="284">
        <f>G784/(F784*3.6)</f>
        <v>4.5369470919840298</v>
      </c>
      <c r="U784" s="214" t="s">
        <v>554</v>
      </c>
      <c r="V784" s="214">
        <f>H810/1000</f>
        <v>0</v>
      </c>
    </row>
    <row r="785" spans="1:27" ht="13.15" customHeight="1">
      <c r="A785" s="285" t="s">
        <v>501</v>
      </c>
      <c r="B785" s="228" t="s">
        <v>476</v>
      </c>
      <c r="C785" s="228"/>
      <c r="D785" s="286"/>
      <c r="E785" s="227" t="s">
        <v>477</v>
      </c>
      <c r="F785" s="228"/>
      <c r="G785" s="229"/>
      <c r="H785" s="200" t="s">
        <v>138</v>
      </c>
      <c r="I785" s="200" t="s">
        <v>478</v>
      </c>
      <c r="J785" s="244"/>
      <c r="K785" s="287" t="s">
        <v>501</v>
      </c>
      <c r="L785" s="288" t="s">
        <v>479</v>
      </c>
      <c r="M785" s="228"/>
      <c r="N785" s="286"/>
      <c r="O785" s="227" t="s">
        <v>480</v>
      </c>
      <c r="P785" s="228"/>
      <c r="Q785" s="228"/>
      <c r="R785" s="229"/>
      <c r="S785" s="289"/>
      <c r="T785" s="269"/>
      <c r="U785" s="214" t="s">
        <v>555</v>
      </c>
      <c r="V785" s="214">
        <f>H812/1000</f>
        <v>5.3403136537607994</v>
      </c>
    </row>
    <row r="786" spans="1:27" ht="13.15" customHeight="1">
      <c r="A786" s="239"/>
      <c r="B786" s="240" t="s">
        <v>481</v>
      </c>
      <c r="C786" s="240"/>
      <c r="D786" s="241" t="s">
        <v>34</v>
      </c>
      <c r="E786" s="242" t="s">
        <v>482</v>
      </c>
      <c r="F786" s="243"/>
      <c r="G786" s="244" t="s">
        <v>34</v>
      </c>
      <c r="H786" s="241" t="s">
        <v>170</v>
      </c>
      <c r="I786" s="241" t="s">
        <v>483</v>
      </c>
      <c r="J786" s="244"/>
      <c r="K786" s="245"/>
      <c r="L786" s="246" t="s">
        <v>484</v>
      </c>
      <c r="M786" s="247"/>
      <c r="N786" s="248" t="s">
        <v>485</v>
      </c>
      <c r="O786" s="248" t="s">
        <v>486</v>
      </c>
      <c r="P786" s="248" t="s">
        <v>486</v>
      </c>
      <c r="Q786" s="247" t="s">
        <v>487</v>
      </c>
      <c r="R786" s="249"/>
      <c r="S786" s="250" t="s">
        <v>485</v>
      </c>
      <c r="T786" s="269"/>
      <c r="U786" s="214" t="s">
        <v>556</v>
      </c>
      <c r="V786" s="214">
        <f>H817/1000</f>
        <v>36.765591894820801</v>
      </c>
    </row>
    <row r="787" spans="1:27" ht="13.15" customHeight="1">
      <c r="A787" s="251" t="s">
        <v>488</v>
      </c>
      <c r="B787" s="252" t="s">
        <v>0</v>
      </c>
      <c r="C787" s="252" t="s">
        <v>489</v>
      </c>
      <c r="D787" s="252" t="s">
        <v>490</v>
      </c>
      <c r="E787" s="252" t="s">
        <v>491</v>
      </c>
      <c r="F787" s="252" t="s">
        <v>489</v>
      </c>
      <c r="G787" s="230" t="s">
        <v>490</v>
      </c>
      <c r="H787" s="248"/>
      <c r="I787" s="241" t="s">
        <v>492</v>
      </c>
      <c r="J787" s="244"/>
      <c r="K787" s="253" t="s">
        <v>488</v>
      </c>
      <c r="L787" s="254" t="s">
        <v>88</v>
      </c>
      <c r="M787" s="252" t="s">
        <v>34</v>
      </c>
      <c r="N787" s="252" t="s">
        <v>493</v>
      </c>
      <c r="O787" s="248" t="s">
        <v>494</v>
      </c>
      <c r="P787" s="248" t="s">
        <v>495</v>
      </c>
      <c r="Q787" s="230" t="s">
        <v>88</v>
      </c>
      <c r="R787" s="248" t="s">
        <v>34</v>
      </c>
      <c r="S787" s="255" t="s">
        <v>88</v>
      </c>
      <c r="T787" s="269"/>
      <c r="U787" s="214" t="s">
        <v>557</v>
      </c>
      <c r="V787" s="214">
        <f>H808/1000</f>
        <v>16.0701121329408</v>
      </c>
    </row>
    <row r="788" spans="1:27" ht="13.15" customHeight="1">
      <c r="A788" s="239"/>
      <c r="B788" s="252" t="s">
        <v>496</v>
      </c>
      <c r="C788" s="252" t="s">
        <v>496</v>
      </c>
      <c r="D788" s="252" t="s">
        <v>496</v>
      </c>
      <c r="E788" s="256" t="s">
        <v>473</v>
      </c>
      <c r="F788" s="256" t="s">
        <v>473</v>
      </c>
      <c r="G788" s="230" t="s">
        <v>451</v>
      </c>
      <c r="H788" s="257" t="s">
        <v>497</v>
      </c>
      <c r="I788" s="257" t="s">
        <v>498</v>
      </c>
      <c r="J788" s="244"/>
      <c r="K788" s="245"/>
      <c r="L788" s="258" t="s">
        <v>496</v>
      </c>
      <c r="M788" s="256" t="s">
        <v>496</v>
      </c>
      <c r="N788" s="256"/>
      <c r="O788" s="257" t="s">
        <v>79</v>
      </c>
      <c r="P788" s="257" t="s">
        <v>79</v>
      </c>
      <c r="Q788" s="259"/>
      <c r="R788" s="257"/>
      <c r="S788" s="260"/>
      <c r="T788" s="269"/>
      <c r="U788" s="214" t="s">
        <v>558</v>
      </c>
      <c r="V788" s="214">
        <f>(H805+H806+H807+H809+H811+H813+H814+H815+H816+H818+H819+H820+H821+H822)/1000</f>
        <v>4.3213968096192001</v>
      </c>
    </row>
    <row r="789" spans="1:27" ht="13.15" customHeight="1">
      <c r="A789" s="261" t="s">
        <v>262</v>
      </c>
      <c r="B789" s="365">
        <v>0</v>
      </c>
      <c r="C789" s="365">
        <v>0</v>
      </c>
      <c r="D789" s="365">
        <v>0</v>
      </c>
      <c r="E789" s="319">
        <v>0</v>
      </c>
      <c r="F789" s="319">
        <v>0</v>
      </c>
      <c r="G789" s="368">
        <v>0</v>
      </c>
      <c r="H789" s="369">
        <v>0</v>
      </c>
      <c r="I789" s="320">
        <v>0</v>
      </c>
      <c r="J789" s="244"/>
      <c r="K789" s="265" t="s">
        <v>262</v>
      </c>
      <c r="L789" s="266" t="e">
        <f>B789/I789</f>
        <v>#DIV/0!</v>
      </c>
      <c r="M789" s="267" t="e">
        <f>D789/I789</f>
        <v>#DIV/0!</v>
      </c>
      <c r="N789" s="267" t="e">
        <f>D789/B789</f>
        <v>#DIV/0!</v>
      </c>
      <c r="O789" s="239" t="e">
        <f>(F789*3.6+G789)*100/H789</f>
        <v>#DIV/0!</v>
      </c>
      <c r="P789" s="267" t="e">
        <f>(E789*3.6+G789)*100/H789</f>
        <v>#DIV/0!</v>
      </c>
      <c r="Q789" s="267" t="e">
        <f>E789/(B789*8760)*1000</f>
        <v>#DIV/0!</v>
      </c>
      <c r="R789" s="267" t="e">
        <f>G789/(D789*8761)*1000/3.6</f>
        <v>#DIV/0!</v>
      </c>
      <c r="S789" s="268" t="e">
        <f>G789/(E789*3.6)</f>
        <v>#DIV/0!</v>
      </c>
      <c r="T789" s="269"/>
      <c r="Z789" s="214">
        <f t="shared" ref="Z789:Z796" si="289">C789-B789</f>
        <v>0</v>
      </c>
      <c r="AA789" s="214">
        <f t="shared" ref="AA789:AA796" si="290">F789-E789</f>
        <v>0</v>
      </c>
    </row>
    <row r="790" spans="1:27" ht="13.15" customHeight="1">
      <c r="A790" s="239" t="s">
        <v>263</v>
      </c>
      <c r="B790" s="320">
        <v>191.46902</v>
      </c>
      <c r="C790" s="320">
        <v>191.46902</v>
      </c>
      <c r="D790" s="320">
        <v>1456.9259410000004</v>
      </c>
      <c r="E790" s="320">
        <v>871.57272107026029</v>
      </c>
      <c r="F790" s="319">
        <v>927.2795595598003</v>
      </c>
      <c r="G790" s="321">
        <v>17727.336853748639</v>
      </c>
      <c r="H790" s="319">
        <v>30368.165773413606</v>
      </c>
      <c r="I790" s="320">
        <v>18</v>
      </c>
      <c r="J790" s="244"/>
      <c r="K790" s="245" t="s">
        <v>263</v>
      </c>
      <c r="L790" s="266">
        <f>B790/I790</f>
        <v>10.637167777777778</v>
      </c>
      <c r="M790" s="267">
        <f>D790/I790</f>
        <v>80.940330055555577</v>
      </c>
      <c r="N790" s="267">
        <f>D790/B790</f>
        <v>7.6091993420136603</v>
      </c>
      <c r="O790" s="239">
        <f>(F790*3.6+G790)*100/H790</f>
        <v>69.367190054679412</v>
      </c>
      <c r="P790" s="267">
        <f>(E790*3.6+G790)*100/H790</f>
        <v>68.706812275992775</v>
      </c>
      <c r="Q790" s="267">
        <f>E790/(B790*8760)*1000</f>
        <v>0.51963812663741549</v>
      </c>
      <c r="R790" s="267">
        <f>G790/(D790*8761)*1000/3.6</f>
        <v>0.38578899960225188</v>
      </c>
      <c r="S790" s="268">
        <f>G790/(E790*3.6)</f>
        <v>5.6498558503593168</v>
      </c>
      <c r="T790" s="269"/>
      <c r="U790" s="239" t="s">
        <v>152</v>
      </c>
      <c r="V790" s="492">
        <f>B805/1000</f>
        <v>0</v>
      </c>
      <c r="Z790" s="214">
        <f t="shared" si="289"/>
        <v>0</v>
      </c>
      <c r="AA790" s="214">
        <f t="shared" si="290"/>
        <v>55.706838489540019</v>
      </c>
    </row>
    <row r="791" spans="1:27" ht="13.15" customHeight="1">
      <c r="A791" s="239" t="s">
        <v>499</v>
      </c>
      <c r="B791" s="320">
        <v>60.907530000000001</v>
      </c>
      <c r="C791" s="320">
        <v>60.907530000000001</v>
      </c>
      <c r="D791" s="320">
        <v>376.13552399999998</v>
      </c>
      <c r="E791" s="320">
        <v>159.23481031754</v>
      </c>
      <c r="F791" s="319">
        <v>214.36529472799998</v>
      </c>
      <c r="G791" s="321">
        <v>2279.79974462976</v>
      </c>
      <c r="H791" s="319">
        <v>4324.5410934888005</v>
      </c>
      <c r="I791" s="320">
        <v>2</v>
      </c>
      <c r="J791" s="244"/>
      <c r="K791" s="245" t="s">
        <v>499</v>
      </c>
      <c r="L791" s="266">
        <f>B791/I791</f>
        <v>30.453765000000001</v>
      </c>
      <c r="M791" s="267">
        <f>D791/I791</f>
        <v>188.06776199999999</v>
      </c>
      <c r="N791" s="267">
        <f>D791/B791</f>
        <v>6.1755176084139345</v>
      </c>
      <c r="O791" s="239">
        <f>(F791*3.6+G791)*100/H791</f>
        <v>70.562742720725694</v>
      </c>
      <c r="P791" s="267">
        <f>(E791*3.6+G791)*100/H791</f>
        <v>65.973359949534554</v>
      </c>
      <c r="Q791" s="267">
        <f>E791/(B791*8760)*1000</f>
        <v>0.29844404726765733</v>
      </c>
      <c r="R791" s="267">
        <f>G791/(D791*8761)*1000/3.6</f>
        <v>0.19217468036911933</v>
      </c>
      <c r="S791" s="268">
        <f>G791/(E791*3.6)</f>
        <v>3.9770054398202359</v>
      </c>
      <c r="T791" s="269"/>
      <c r="U791" s="239" t="s">
        <v>504</v>
      </c>
      <c r="V791" s="492">
        <f t="shared" ref="V791:V807" si="291">B806/1000</f>
        <v>0</v>
      </c>
      <c r="Z791" s="214">
        <f t="shared" si="289"/>
        <v>0</v>
      </c>
      <c r="AA791" s="214">
        <f t="shared" si="290"/>
        <v>55.130484410459985</v>
      </c>
    </row>
    <row r="792" spans="1:27" ht="13.15" customHeight="1">
      <c r="A792" s="239" t="s">
        <v>265</v>
      </c>
      <c r="B792" s="320">
        <v>63.648980000000002</v>
      </c>
      <c r="C792" s="320">
        <v>76.8</v>
      </c>
      <c r="D792" s="320">
        <v>82.511561</v>
      </c>
      <c r="E792" s="320">
        <v>367.839547280999</v>
      </c>
      <c r="F792" s="319">
        <v>444.50283300000001</v>
      </c>
      <c r="G792" s="321">
        <v>1713.4249968000001</v>
      </c>
      <c r="H792" s="319">
        <v>4563.6684206544005</v>
      </c>
      <c r="I792" s="320">
        <v>3</v>
      </c>
      <c r="J792" s="244"/>
      <c r="K792" s="245" t="s">
        <v>265</v>
      </c>
      <c r="L792" s="266">
        <f>B792/I792</f>
        <v>21.216326666666667</v>
      </c>
      <c r="M792" s="267">
        <f>D792/I792</f>
        <v>27.503853666666668</v>
      </c>
      <c r="N792" s="267">
        <f>D792/B792</f>
        <v>1.2963532329976066</v>
      </c>
      <c r="O792" s="239">
        <f>(F792*3.6+G792)*100/H792</f>
        <v>72.609026120369336</v>
      </c>
      <c r="P792" s="267">
        <f>(E792*3.6+G792)*100/H792</f>
        <v>66.561526540002617</v>
      </c>
      <c r="Q792" s="267">
        <f>E792/(B792*8760)*1000</f>
        <v>0.65972488325276246</v>
      </c>
      <c r="R792" s="267">
        <f>G792/(D792*8761)*1000/3.6</f>
        <v>0.65840650637032572</v>
      </c>
      <c r="S792" s="268">
        <f>G792/(E792*3.6)</f>
        <v>1.2939103245372705</v>
      </c>
      <c r="T792" s="269"/>
      <c r="U792" s="239" t="s">
        <v>505</v>
      </c>
      <c r="V792" s="492">
        <f t="shared" si="291"/>
        <v>0</v>
      </c>
      <c r="Z792" s="214">
        <f t="shared" si="289"/>
        <v>13.151019999999995</v>
      </c>
      <c r="AA792" s="214">
        <f t="shared" si="290"/>
        <v>76.66328571900101</v>
      </c>
    </row>
    <row r="793" spans="1:27" ht="13.15" customHeight="1">
      <c r="A793" s="239" t="s">
        <v>266</v>
      </c>
      <c r="B793" s="320">
        <v>305.77757183239993</v>
      </c>
      <c r="C793" s="320">
        <v>370.43624009999996</v>
      </c>
      <c r="D793" s="320">
        <v>146.29692800000004</v>
      </c>
      <c r="E793" s="320">
        <v>1446.0574339502004</v>
      </c>
      <c r="F793" s="319">
        <v>1741.0155500262008</v>
      </c>
      <c r="G793" s="321">
        <v>2522.9073590521189</v>
      </c>
      <c r="H793" s="319">
        <v>15344.730704628002</v>
      </c>
      <c r="I793" s="320">
        <v>111</v>
      </c>
      <c r="J793" s="244"/>
      <c r="K793" s="245" t="s">
        <v>266</v>
      </c>
      <c r="L793" s="266">
        <f>B793/I793</f>
        <v>2.7547528993909904</v>
      </c>
      <c r="M793" s="267">
        <f>D793/I793</f>
        <v>1.3179903423423427</v>
      </c>
      <c r="N793" s="267">
        <f>D793/B793</f>
        <v>0.47844231060931769</v>
      </c>
      <c r="O793" s="239">
        <f>(F793*3.6+G793)*100/H793</f>
        <v>57.287178956455655</v>
      </c>
      <c r="P793" s="267">
        <f>(E793*3.6+G793)*100/H793</f>
        <v>50.367219015071043</v>
      </c>
      <c r="Q793" s="267">
        <f>E793/(B793*8760)*1000</f>
        <v>0.5398533599062445</v>
      </c>
      <c r="R793" s="267">
        <f>G793/(D793*8761)*1000/3.6</f>
        <v>0.54677659446909821</v>
      </c>
      <c r="S793" s="268">
        <f>G793/(E793*3.6)</f>
        <v>0.48463330935777632</v>
      </c>
      <c r="T793" s="269"/>
      <c r="U793" s="239" t="s">
        <v>506</v>
      </c>
      <c r="V793" s="492">
        <f t="shared" si="291"/>
        <v>0.1140065</v>
      </c>
      <c r="Z793" s="214">
        <f t="shared" si="289"/>
        <v>64.658668267600035</v>
      </c>
      <c r="AA793" s="214">
        <f t="shared" si="290"/>
        <v>294.95811607600035</v>
      </c>
    </row>
    <row r="794" spans="1:27" ht="13.15" customHeight="1">
      <c r="A794" s="272" t="s">
        <v>267</v>
      </c>
      <c r="B794" s="395">
        <v>40.686800000000005</v>
      </c>
      <c r="C794" s="395">
        <v>40.686800000000005</v>
      </c>
      <c r="D794" s="395">
        <v>204.36622399999999</v>
      </c>
      <c r="E794" s="320">
        <v>104.4855518</v>
      </c>
      <c r="F794" s="319">
        <v>104.4855518</v>
      </c>
      <c r="G794" s="396">
        <v>3104.4170692836001</v>
      </c>
      <c r="H794" s="397">
        <v>5181.8220689399996</v>
      </c>
      <c r="I794" s="395">
        <v>1</v>
      </c>
      <c r="J794" s="244"/>
      <c r="K794" s="245" t="s">
        <v>267</v>
      </c>
      <c r="L794" s="266"/>
      <c r="M794" s="267"/>
      <c r="N794" s="267"/>
      <c r="O794" s="239"/>
      <c r="P794" s="267"/>
      <c r="Q794" s="272"/>
      <c r="R794" s="274"/>
      <c r="S794" s="275"/>
      <c r="T794" s="269"/>
      <c r="U794" s="239" t="s">
        <v>507</v>
      </c>
      <c r="V794" s="492">
        <f t="shared" si="291"/>
        <v>0</v>
      </c>
      <c r="Z794" s="214">
        <f t="shared" si="289"/>
        <v>0</v>
      </c>
      <c r="AA794" s="214">
        <f t="shared" si="290"/>
        <v>0</v>
      </c>
    </row>
    <row r="795" spans="1:27" ht="13.15" customHeight="1">
      <c r="A795" s="276" t="s">
        <v>500</v>
      </c>
      <c r="B795" s="291">
        <f t="shared" ref="B795:I795" si="292">SUM(B789:B794)</f>
        <v>662.48990183239994</v>
      </c>
      <c r="C795" s="291">
        <f t="shared" si="292"/>
        <v>740.29959009999993</v>
      </c>
      <c r="D795" s="291">
        <f t="shared" si="292"/>
        <v>2266.2361780000006</v>
      </c>
      <c r="E795" s="291">
        <f t="shared" si="292"/>
        <v>2949.1900644189996</v>
      </c>
      <c r="F795" s="291">
        <f t="shared" si="292"/>
        <v>3431.6487891140009</v>
      </c>
      <c r="G795" s="292">
        <f t="shared" si="292"/>
        <v>27347.886023514118</v>
      </c>
      <c r="H795" s="291">
        <f t="shared" si="292"/>
        <v>59782.92806112481</v>
      </c>
      <c r="I795" s="293">
        <f t="shared" si="292"/>
        <v>135</v>
      </c>
      <c r="J795" s="244"/>
      <c r="K795" s="279" t="s">
        <v>169</v>
      </c>
      <c r="L795" s="280">
        <f>B795/I795</f>
        <v>4.9073326061659257</v>
      </c>
      <c r="M795" s="281">
        <f>D795/I795</f>
        <v>16.786934651851855</v>
      </c>
      <c r="N795" s="281">
        <f>D795/B795</f>
        <v>3.4207859949740405</v>
      </c>
      <c r="O795" s="294">
        <f>(F795*3.6+G795)*100/H795</f>
        <v>66.40996510530826</v>
      </c>
      <c r="P795" s="295">
        <f>(E795*3.6+G795)*100/H795</f>
        <v>63.504701905208428</v>
      </c>
      <c r="Q795" s="283">
        <f>E795/(B795*8760)*1000</f>
        <v>0.50818213460571915</v>
      </c>
      <c r="R795" s="283">
        <f>G795/(D795*8761)*1000/3.6</f>
        <v>0.38261536982185029</v>
      </c>
      <c r="S795" s="284">
        <f>G795/(E795*3.6)</f>
        <v>2.5758377183561625</v>
      </c>
      <c r="U795" s="239" t="s">
        <v>156</v>
      </c>
      <c r="V795" s="492">
        <f t="shared" si="291"/>
        <v>0</v>
      </c>
      <c r="Z795" s="214">
        <f t="shared" si="289"/>
        <v>77.809688267599995</v>
      </c>
      <c r="AA795" s="214">
        <f t="shared" si="290"/>
        <v>482.45872469500137</v>
      </c>
    </row>
    <row r="796" spans="1:27" ht="13.15" customHeight="1" thickBot="1">
      <c r="A796" s="296" t="s">
        <v>502</v>
      </c>
      <c r="B796" s="297">
        <f t="shared" ref="B796:I796" si="293">B784+B795</f>
        <v>1018.3376408324</v>
      </c>
      <c r="C796" s="297">
        <f>C795+B784</f>
        <v>1096.1473291</v>
      </c>
      <c r="D796" s="297">
        <f t="shared" si="293"/>
        <v>4330.6339990000015</v>
      </c>
      <c r="E796" s="297">
        <f t="shared" si="293"/>
        <v>4603.2859040703997</v>
      </c>
      <c r="F796" s="297">
        <f>F795+E784</f>
        <v>5085.7446287654011</v>
      </c>
      <c r="G796" s="297">
        <f t="shared" si="293"/>
        <v>54364.249137963605</v>
      </c>
      <c r="H796" s="297">
        <f t="shared" si="293"/>
        <v>98847.126722991612</v>
      </c>
      <c r="I796" s="298">
        <f t="shared" si="293"/>
        <v>195</v>
      </c>
      <c r="J796" s="244"/>
      <c r="K796" s="296" t="s">
        <v>502</v>
      </c>
      <c r="L796" s="299">
        <f>B796/I796</f>
        <v>5.2222443119610258</v>
      </c>
      <c r="M796" s="300">
        <f>D796/I796</f>
        <v>22.208379482051289</v>
      </c>
      <c r="N796" s="300">
        <f>D796/B796</f>
        <v>4.2526504229580429</v>
      </c>
      <c r="O796" s="301">
        <f>(F796*3.6+G796)*100/H796</f>
        <v>73.520528325701449</v>
      </c>
      <c r="P796" s="301">
        <f>(E796*3.6+G796)*100/H796</f>
        <v>71.763419680784182</v>
      </c>
      <c r="Q796" s="301">
        <f>E796/(B796*8760)*1000</f>
        <v>0.51602654894106093</v>
      </c>
      <c r="R796" s="301">
        <f>G796/(D796*8761)*1000/3.6</f>
        <v>0.39802076659783497</v>
      </c>
      <c r="S796" s="302">
        <f>G796/(E796*3.6)</f>
        <v>3.2805219208192056</v>
      </c>
      <c r="T796" s="269"/>
      <c r="U796" s="239" t="s">
        <v>508</v>
      </c>
      <c r="V796" s="492">
        <f t="shared" si="291"/>
        <v>0</v>
      </c>
      <c r="Z796" s="214">
        <f t="shared" si="289"/>
        <v>77.809688267599995</v>
      </c>
      <c r="AA796" s="214">
        <f t="shared" si="290"/>
        <v>482.45872469500137</v>
      </c>
    </row>
    <row r="797" spans="1:27" ht="13.15" customHeight="1">
      <c r="U797" s="239" t="s">
        <v>509</v>
      </c>
      <c r="V797" s="492">
        <f t="shared" si="291"/>
        <v>8.3699999999999997E-2</v>
      </c>
    </row>
    <row r="798" spans="1:27" ht="13.15" customHeight="1">
      <c r="A798" s="251" t="s">
        <v>139</v>
      </c>
      <c r="B798" s="227" t="s">
        <v>476</v>
      </c>
      <c r="C798" s="228"/>
      <c r="D798" s="286"/>
      <c r="E798" s="227" t="s">
        <v>477</v>
      </c>
      <c r="F798" s="228"/>
      <c r="G798" s="229"/>
      <c r="H798" s="200" t="s">
        <v>138</v>
      </c>
      <c r="I798" s="200" t="s">
        <v>478</v>
      </c>
      <c r="J798" s="230"/>
      <c r="K798" s="303" t="s">
        <v>503</v>
      </c>
      <c r="L798" s="227" t="s">
        <v>479</v>
      </c>
      <c r="M798" s="228"/>
      <c r="N798" s="286"/>
      <c r="O798" s="227" t="s">
        <v>480</v>
      </c>
      <c r="P798" s="228"/>
      <c r="Q798" s="228"/>
      <c r="R798" s="229"/>
      <c r="S798" s="286"/>
      <c r="T798" s="304"/>
      <c r="U798" s="239" t="s">
        <v>510</v>
      </c>
      <c r="V798" s="492">
        <f t="shared" si="291"/>
        <v>1.0961116999999999E-2</v>
      </c>
    </row>
    <row r="799" spans="1:27" ht="13.15" customHeight="1">
      <c r="A799" s="239"/>
      <c r="B799" s="240" t="s">
        <v>9</v>
      </c>
      <c r="C799" s="240"/>
      <c r="D799" s="241" t="s">
        <v>34</v>
      </c>
      <c r="E799" s="242" t="s">
        <v>88</v>
      </c>
      <c r="F799" s="243"/>
      <c r="G799" s="244" t="s">
        <v>34</v>
      </c>
      <c r="H799" s="241" t="s">
        <v>170</v>
      </c>
      <c r="I799" s="241" t="s">
        <v>483</v>
      </c>
      <c r="J799" s="230"/>
      <c r="K799" s="305"/>
      <c r="L799" s="306" t="s">
        <v>484</v>
      </c>
      <c r="M799" s="247"/>
      <c r="N799" s="248" t="s">
        <v>485</v>
      </c>
      <c r="O799" s="248" t="s">
        <v>486</v>
      </c>
      <c r="P799" s="248" t="s">
        <v>486</v>
      </c>
      <c r="Q799" s="247" t="s">
        <v>487</v>
      </c>
      <c r="R799" s="249"/>
      <c r="S799" s="307" t="s">
        <v>485</v>
      </c>
      <c r="T799" s="230"/>
      <c r="U799" s="239" t="s">
        <v>511</v>
      </c>
      <c r="V799" s="492">
        <f t="shared" si="291"/>
        <v>7.9000000000000008E-3</v>
      </c>
    </row>
    <row r="800" spans="1:27" ht="13.15" customHeight="1">
      <c r="A800" s="239"/>
      <c r="B800" s="252" t="s">
        <v>0</v>
      </c>
      <c r="C800" s="252" t="s">
        <v>489</v>
      </c>
      <c r="D800" s="252" t="s">
        <v>490</v>
      </c>
      <c r="E800" s="252" t="s">
        <v>491</v>
      </c>
      <c r="F800" s="252" t="s">
        <v>489</v>
      </c>
      <c r="G800" s="230" t="s">
        <v>490</v>
      </c>
      <c r="H800" s="248"/>
      <c r="I800" s="241" t="s">
        <v>492</v>
      </c>
      <c r="J800" s="230"/>
      <c r="K800" s="305"/>
      <c r="L800" s="248" t="s">
        <v>88</v>
      </c>
      <c r="M800" s="252" t="s">
        <v>34</v>
      </c>
      <c r="N800" s="252" t="s">
        <v>493</v>
      </c>
      <c r="O800" s="248" t="s">
        <v>494</v>
      </c>
      <c r="P800" s="248" t="s">
        <v>495</v>
      </c>
      <c r="Q800" s="230" t="s">
        <v>88</v>
      </c>
      <c r="R800" s="248" t="s">
        <v>34</v>
      </c>
      <c r="S800" s="252" t="s">
        <v>88</v>
      </c>
      <c r="T800" s="230"/>
      <c r="U800" s="239" t="s">
        <v>512</v>
      </c>
      <c r="V800" s="492">
        <f t="shared" si="291"/>
        <v>1.4409524E-2</v>
      </c>
    </row>
    <row r="801" spans="1:27" ht="13.15" customHeight="1">
      <c r="A801" s="239"/>
      <c r="B801" s="257" t="s">
        <v>496</v>
      </c>
      <c r="C801" s="256" t="s">
        <v>496</v>
      </c>
      <c r="D801" s="256" t="s">
        <v>496</v>
      </c>
      <c r="E801" s="256" t="s">
        <v>473</v>
      </c>
      <c r="F801" s="256" t="s">
        <v>473</v>
      </c>
      <c r="G801" s="257" t="s">
        <v>451</v>
      </c>
      <c r="H801" s="257" t="s">
        <v>497</v>
      </c>
      <c r="I801" s="257" t="s">
        <v>498</v>
      </c>
      <c r="J801" s="230"/>
      <c r="K801" s="305"/>
      <c r="L801" s="257" t="s">
        <v>496</v>
      </c>
      <c r="M801" s="256" t="s">
        <v>496</v>
      </c>
      <c r="N801" s="256"/>
      <c r="O801" s="257" t="s">
        <v>79</v>
      </c>
      <c r="P801" s="257" t="s">
        <v>79</v>
      </c>
      <c r="Q801" s="259"/>
      <c r="R801" s="257"/>
      <c r="S801" s="256"/>
      <c r="T801" s="230"/>
      <c r="U801" s="239" t="s">
        <v>513</v>
      </c>
      <c r="V801" s="492">
        <f t="shared" si="291"/>
        <v>1.7392576000000003E-2</v>
      </c>
    </row>
    <row r="802" spans="1:27" ht="13.15" customHeight="1">
      <c r="A802" s="251" t="s">
        <v>150</v>
      </c>
      <c r="B802" s="422">
        <v>533.62056622670002</v>
      </c>
      <c r="C802" s="422">
        <v>595.61988189999977</v>
      </c>
      <c r="D802" s="422">
        <v>1465.062736000001</v>
      </c>
      <c r="E802" s="422">
        <v>2348.744541303719</v>
      </c>
      <c r="F802" s="422">
        <v>2781.5405780328001</v>
      </c>
      <c r="G802" s="422">
        <v>14947.17285303288</v>
      </c>
      <c r="H802" s="422">
        <v>36349.712231850004</v>
      </c>
      <c r="I802" s="423">
        <v>110</v>
      </c>
      <c r="J802" s="244"/>
      <c r="K802" s="303" t="s">
        <v>150</v>
      </c>
      <c r="L802" s="312">
        <f>B802/I802</f>
        <v>4.8510960566063641</v>
      </c>
      <c r="M802" s="313">
        <f>D802/I802</f>
        <v>13.318752145454555</v>
      </c>
      <c r="N802" s="313">
        <f>D802/B802</f>
        <v>2.7455140013805108</v>
      </c>
      <c r="O802" s="312">
        <f>(F802*3.6+G802)*100/H802</f>
        <v>68.668271084908653</v>
      </c>
      <c r="P802" s="313">
        <f>(E802*3.6+G802)*100/H802</f>
        <v>64.381949030178617</v>
      </c>
      <c r="Q802" s="313">
        <f>E802/(B802*8760)*1000</f>
        <v>0.50245725136832442</v>
      </c>
      <c r="R802" s="313">
        <f>G802/(D802*8761)*1000/3.6</f>
        <v>0.32347941837736666</v>
      </c>
      <c r="S802" s="313">
        <f>G802/(E802*3.6)</f>
        <v>1.7677497003872336</v>
      </c>
      <c r="T802" s="269"/>
      <c r="U802" s="239" t="s">
        <v>514</v>
      </c>
      <c r="V802" s="492">
        <f t="shared" si="291"/>
        <v>0.1959033790000001</v>
      </c>
      <c r="Z802" s="214">
        <f>C802-B802</f>
        <v>61.999315673299748</v>
      </c>
      <c r="AA802" s="214">
        <f>F802-E802</f>
        <v>432.79603672908115</v>
      </c>
    </row>
    <row r="803" spans="1:27" ht="13.15" customHeight="1">
      <c r="A803" s="239"/>
      <c r="B803" s="314"/>
      <c r="C803" s="315"/>
      <c r="D803" s="315"/>
      <c r="E803" s="316"/>
      <c r="F803" s="316"/>
      <c r="G803" s="317"/>
      <c r="H803" s="314"/>
      <c r="I803" s="314"/>
      <c r="J803" s="230"/>
      <c r="K803" s="239"/>
      <c r="L803" s="312"/>
      <c r="M803" s="267"/>
      <c r="N803" s="267"/>
      <c r="O803" s="239"/>
      <c r="P803" s="313"/>
      <c r="Q803" s="267"/>
      <c r="R803" s="267"/>
      <c r="S803" s="239"/>
      <c r="T803" s="269"/>
      <c r="U803" s="239" t="s">
        <v>515</v>
      </c>
      <c r="V803" s="492">
        <f t="shared" si="291"/>
        <v>0</v>
      </c>
      <c r="Z803" s="214">
        <f t="shared" ref="Z803:Z823" si="294">C803-B803</f>
        <v>0</v>
      </c>
      <c r="AA803" s="214">
        <f t="shared" ref="AA803:AA823" si="295">F803-E803</f>
        <v>0</v>
      </c>
    </row>
    <row r="804" spans="1:27" ht="13.15" customHeight="1">
      <c r="A804" s="312" t="s">
        <v>7</v>
      </c>
      <c r="B804" s="310">
        <f>SUM(B805:B822)</f>
        <v>484.71707460570013</v>
      </c>
      <c r="C804" s="310">
        <f t="shared" ref="C804:I804" si="296">SUM(C805:C822)</f>
        <v>500.52744719999998</v>
      </c>
      <c r="D804" s="310">
        <f t="shared" si="296"/>
        <v>2865.5712630000007</v>
      </c>
      <c r="E804" s="310">
        <f t="shared" si="296"/>
        <v>2254.5413627666799</v>
      </c>
      <c r="F804" s="310">
        <f t="shared" si="296"/>
        <v>2304.2040507325996</v>
      </c>
      <c r="G804" s="310">
        <f t="shared" si="296"/>
        <v>39417.076284930736</v>
      </c>
      <c r="H804" s="310">
        <f t="shared" si="296"/>
        <v>62497.414491141586</v>
      </c>
      <c r="I804" s="310">
        <f t="shared" si="296"/>
        <v>85</v>
      </c>
      <c r="J804" s="244"/>
      <c r="K804" s="318" t="s">
        <v>7</v>
      </c>
      <c r="L804" s="312">
        <f>B804/I804</f>
        <v>5.70255381889059</v>
      </c>
      <c r="M804" s="313">
        <f>D804/I804</f>
        <v>33.712603094117654</v>
      </c>
      <c r="N804" s="313">
        <f>D804/B804</f>
        <v>5.9118430381909688</v>
      </c>
      <c r="O804" s="312">
        <f t="shared" ref="O804:O821" si="297">(F804*3.6+G804)*100/H804</f>
        <v>76.342695543558605</v>
      </c>
      <c r="P804" s="313">
        <f>(E804*3.6+G804)*100/H804</f>
        <v>76.056626626735408</v>
      </c>
      <c r="Q804" s="313">
        <f>E804/(B804*8760)*1000</f>
        <v>0.53096486375068952</v>
      </c>
      <c r="R804" s="313">
        <f>G804/(D804*8761)*1000/3.6</f>
        <v>0.43613105650026701</v>
      </c>
      <c r="S804" s="313">
        <f>G804/(E804*3.6)</f>
        <v>4.8565034280359418</v>
      </c>
      <c r="T804" s="269"/>
      <c r="U804" s="239" t="s">
        <v>516</v>
      </c>
      <c r="V804" s="492">
        <f t="shared" si="291"/>
        <v>8.1392815200000013E-3</v>
      </c>
      <c r="Z804" s="214">
        <f t="shared" si="294"/>
        <v>15.810372594299849</v>
      </c>
      <c r="AA804" s="214">
        <f t="shared" si="295"/>
        <v>49.662687965919758</v>
      </c>
    </row>
    <row r="805" spans="1:27" ht="13.15" customHeight="1">
      <c r="A805" s="239" t="s">
        <v>152</v>
      </c>
      <c r="B805" s="319">
        <v>0</v>
      </c>
      <c r="C805" s="320">
        <v>0</v>
      </c>
      <c r="D805" s="320">
        <v>0</v>
      </c>
      <c r="E805" s="316">
        <v>0</v>
      </c>
      <c r="F805" s="316">
        <v>0</v>
      </c>
      <c r="G805" s="321">
        <v>0</v>
      </c>
      <c r="H805" s="319">
        <v>0</v>
      </c>
      <c r="I805" s="319">
        <v>0</v>
      </c>
      <c r="J805" s="230"/>
      <c r="K805" s="305" t="s">
        <v>152</v>
      </c>
      <c r="L805" s="239" t="e">
        <f t="shared" ref="L805:L821" si="298">B805/I805</f>
        <v>#DIV/0!</v>
      </c>
      <c r="M805" s="267" t="e">
        <f t="shared" ref="M805:M821" si="299">D805/I805</f>
        <v>#DIV/0!</v>
      </c>
      <c r="N805" s="267" t="e">
        <f t="shared" ref="N805:N821" si="300">D805/B805</f>
        <v>#DIV/0!</v>
      </c>
      <c r="O805" s="239" t="e">
        <f t="shared" si="297"/>
        <v>#DIV/0!</v>
      </c>
      <c r="P805" s="267" t="e">
        <f t="shared" ref="P805:P821" si="301">(E805*3.6+G805)*100/H805</f>
        <v>#DIV/0!</v>
      </c>
      <c r="Q805" s="267" t="e">
        <f t="shared" ref="Q805:Q821" si="302">E805/(B805*8760)*1000</f>
        <v>#DIV/0!</v>
      </c>
      <c r="R805" s="267" t="e">
        <f t="shared" ref="R805:R821" si="303">G805/(D805*8761)*1000/3.6</f>
        <v>#DIV/0!</v>
      </c>
      <c r="S805" s="267" t="e">
        <f t="shared" ref="S805:S821" si="304">G805/(E805*3.6)</f>
        <v>#DIV/0!</v>
      </c>
      <c r="T805" s="269"/>
      <c r="U805" s="239" t="s">
        <v>517</v>
      </c>
      <c r="V805" s="492">
        <f t="shared" si="291"/>
        <v>5.5999999999999999E-3</v>
      </c>
      <c r="Z805" s="214">
        <f t="shared" si="294"/>
        <v>0</v>
      </c>
      <c r="AA805" s="214">
        <f t="shared" si="295"/>
        <v>0</v>
      </c>
    </row>
    <row r="806" spans="1:27" ht="13.15" customHeight="1">
      <c r="A806" s="239" t="s">
        <v>504</v>
      </c>
      <c r="B806" s="319">
        <v>0</v>
      </c>
      <c r="C806" s="320">
        <v>0</v>
      </c>
      <c r="D806" s="320">
        <v>0</v>
      </c>
      <c r="E806" s="316">
        <v>0</v>
      </c>
      <c r="F806" s="316">
        <v>0</v>
      </c>
      <c r="G806" s="321">
        <v>0</v>
      </c>
      <c r="H806" s="319">
        <v>0</v>
      </c>
      <c r="I806" s="319">
        <v>0</v>
      </c>
      <c r="J806" s="230"/>
      <c r="K806" s="305" t="s">
        <v>504</v>
      </c>
      <c r="L806" s="239" t="e">
        <f t="shared" si="298"/>
        <v>#DIV/0!</v>
      </c>
      <c r="M806" s="267" t="e">
        <f t="shared" si="299"/>
        <v>#DIV/0!</v>
      </c>
      <c r="N806" s="267" t="e">
        <f t="shared" si="300"/>
        <v>#DIV/0!</v>
      </c>
      <c r="O806" s="239" t="e">
        <f t="shared" si="297"/>
        <v>#DIV/0!</v>
      </c>
      <c r="P806" s="267" t="e">
        <f t="shared" si="301"/>
        <v>#DIV/0!</v>
      </c>
      <c r="Q806" s="267" t="e">
        <f t="shared" si="302"/>
        <v>#DIV/0!</v>
      </c>
      <c r="R806" s="267" t="e">
        <f t="shared" si="303"/>
        <v>#DIV/0!</v>
      </c>
      <c r="S806" s="267" t="e">
        <f t="shared" si="304"/>
        <v>#DIV/0!</v>
      </c>
      <c r="T806" s="269"/>
      <c r="U806" s="239" t="s">
        <v>518</v>
      </c>
      <c r="V806" s="492">
        <f t="shared" si="291"/>
        <v>2.6704697085700002E-2</v>
      </c>
      <c r="Z806" s="214">
        <f t="shared" si="294"/>
        <v>0</v>
      </c>
      <c r="AA806" s="214">
        <f t="shared" si="295"/>
        <v>0</v>
      </c>
    </row>
    <row r="807" spans="1:27" ht="13.15" customHeight="1">
      <c r="A807" s="239" t="s">
        <v>505</v>
      </c>
      <c r="B807" s="319">
        <v>0</v>
      </c>
      <c r="C807" s="320">
        <v>0</v>
      </c>
      <c r="D807" s="320">
        <v>0</v>
      </c>
      <c r="E807" s="316">
        <v>0</v>
      </c>
      <c r="F807" s="316">
        <v>0</v>
      </c>
      <c r="G807" s="321">
        <v>0</v>
      </c>
      <c r="H807" s="319">
        <v>0</v>
      </c>
      <c r="I807" s="319">
        <v>0</v>
      </c>
      <c r="J807" s="230"/>
      <c r="K807" s="305" t="s">
        <v>505</v>
      </c>
      <c r="L807" s="239" t="e">
        <f t="shared" si="298"/>
        <v>#DIV/0!</v>
      </c>
      <c r="M807" s="267" t="e">
        <f t="shared" si="299"/>
        <v>#DIV/0!</v>
      </c>
      <c r="N807" s="267" t="e">
        <f t="shared" si="300"/>
        <v>#DIV/0!</v>
      </c>
      <c r="O807" s="239" t="e">
        <f t="shared" si="297"/>
        <v>#DIV/0!</v>
      </c>
      <c r="P807" s="267" t="e">
        <f t="shared" si="301"/>
        <v>#DIV/0!</v>
      </c>
      <c r="Q807" s="267" t="e">
        <f t="shared" si="302"/>
        <v>#DIV/0!</v>
      </c>
      <c r="R807" s="267" t="e">
        <f t="shared" si="303"/>
        <v>#DIV/0!</v>
      </c>
      <c r="S807" s="267" t="e">
        <f t="shared" si="304"/>
        <v>#DIV/0!</v>
      </c>
      <c r="T807" s="269"/>
      <c r="U807" s="239" t="s">
        <v>519</v>
      </c>
      <c r="V807" s="492">
        <f t="shared" si="291"/>
        <v>0</v>
      </c>
      <c r="Z807" s="214">
        <f t="shared" si="294"/>
        <v>0</v>
      </c>
      <c r="AA807" s="214">
        <f t="shared" si="295"/>
        <v>0</v>
      </c>
    </row>
    <row r="808" spans="1:27" ht="13.15" customHeight="1">
      <c r="A808" s="239" t="s">
        <v>506</v>
      </c>
      <c r="B808" s="320">
        <v>114.0065</v>
      </c>
      <c r="C808" s="320">
        <v>114.0065</v>
      </c>
      <c r="D808" s="320">
        <v>748.68598700000007</v>
      </c>
      <c r="E808" s="316">
        <v>555.27705031999994</v>
      </c>
      <c r="F808" s="316">
        <v>555.27705031999994</v>
      </c>
      <c r="G808" s="321">
        <v>12183.258939023881</v>
      </c>
      <c r="H808" s="319">
        <v>16070.1121329408</v>
      </c>
      <c r="I808" s="319">
        <v>7</v>
      </c>
      <c r="J808" s="230"/>
      <c r="K808" s="305" t="s">
        <v>506</v>
      </c>
      <c r="L808" s="239">
        <f t="shared" si="298"/>
        <v>16.286642857142859</v>
      </c>
      <c r="M808" s="267">
        <f t="shared" si="299"/>
        <v>106.95514100000001</v>
      </c>
      <c r="N808" s="267">
        <f t="shared" si="300"/>
        <v>6.5670465017345503</v>
      </c>
      <c r="O808" s="239">
        <f t="shared" si="297"/>
        <v>88.252379341553194</v>
      </c>
      <c r="P808" s="267">
        <f t="shared" si="301"/>
        <v>88.252379341553194</v>
      </c>
      <c r="Q808" s="267">
        <f t="shared" si="302"/>
        <v>0.55600155370457027</v>
      </c>
      <c r="R808" s="267">
        <f t="shared" si="303"/>
        <v>0.5159499669325448</v>
      </c>
      <c r="S808" s="267">
        <f t="shared" si="304"/>
        <v>6.0946847924346974</v>
      </c>
      <c r="T808" s="269"/>
      <c r="Z808" s="214">
        <f t="shared" si="294"/>
        <v>0</v>
      </c>
      <c r="AA808" s="214">
        <f t="shared" si="295"/>
        <v>0</v>
      </c>
    </row>
    <row r="809" spans="1:27" ht="13.15" customHeight="1">
      <c r="A809" s="239" t="s">
        <v>507</v>
      </c>
      <c r="B809" s="319">
        <v>0</v>
      </c>
      <c r="C809" s="320">
        <v>0</v>
      </c>
      <c r="D809" s="320">
        <v>0</v>
      </c>
      <c r="E809" s="316">
        <v>0</v>
      </c>
      <c r="F809" s="316">
        <v>0</v>
      </c>
      <c r="G809" s="321">
        <v>0</v>
      </c>
      <c r="H809" s="319">
        <v>0</v>
      </c>
      <c r="I809" s="319">
        <v>0</v>
      </c>
      <c r="J809" s="230"/>
      <c r="K809" s="305" t="s">
        <v>507</v>
      </c>
      <c r="L809" s="239" t="e">
        <f t="shared" si="298"/>
        <v>#DIV/0!</v>
      </c>
      <c r="M809" s="267" t="e">
        <f t="shared" si="299"/>
        <v>#DIV/0!</v>
      </c>
      <c r="N809" s="267" t="e">
        <f t="shared" si="300"/>
        <v>#DIV/0!</v>
      </c>
      <c r="O809" s="239" t="e">
        <f t="shared" si="297"/>
        <v>#DIV/0!</v>
      </c>
      <c r="P809" s="267" t="e">
        <f t="shared" si="301"/>
        <v>#DIV/0!</v>
      </c>
      <c r="Q809" s="267" t="e">
        <f t="shared" si="302"/>
        <v>#DIV/0!</v>
      </c>
      <c r="R809" s="267" t="e">
        <f t="shared" si="303"/>
        <v>#DIV/0!</v>
      </c>
      <c r="S809" s="267" t="e">
        <f t="shared" si="304"/>
        <v>#DIV/0!</v>
      </c>
      <c r="T809" s="269"/>
      <c r="Z809" s="214">
        <f t="shared" si="294"/>
        <v>0</v>
      </c>
      <c r="AA809" s="214">
        <f t="shared" si="295"/>
        <v>0</v>
      </c>
    </row>
    <row r="810" spans="1:27" ht="13.15" customHeight="1">
      <c r="A810" s="239" t="s">
        <v>156</v>
      </c>
      <c r="B810" s="319">
        <v>0</v>
      </c>
      <c r="C810" s="320">
        <v>0</v>
      </c>
      <c r="D810" s="320">
        <v>0</v>
      </c>
      <c r="E810" s="316">
        <v>0</v>
      </c>
      <c r="F810" s="316">
        <v>0</v>
      </c>
      <c r="G810" s="321">
        <v>0</v>
      </c>
      <c r="H810" s="319">
        <v>0</v>
      </c>
      <c r="I810" s="319">
        <v>0</v>
      </c>
      <c r="J810" s="230"/>
      <c r="K810" s="305" t="s">
        <v>156</v>
      </c>
      <c r="L810" s="239" t="e">
        <f t="shared" si="298"/>
        <v>#DIV/0!</v>
      </c>
      <c r="M810" s="267" t="e">
        <f t="shared" si="299"/>
        <v>#DIV/0!</v>
      </c>
      <c r="N810" s="267" t="e">
        <f t="shared" si="300"/>
        <v>#DIV/0!</v>
      </c>
      <c r="O810" s="322" t="e">
        <f t="shared" si="297"/>
        <v>#DIV/0!</v>
      </c>
      <c r="P810" s="323" t="e">
        <f t="shared" si="301"/>
        <v>#DIV/0!</v>
      </c>
      <c r="Q810" s="267" t="e">
        <f t="shared" si="302"/>
        <v>#DIV/0!</v>
      </c>
      <c r="R810" s="267" t="e">
        <f t="shared" si="303"/>
        <v>#DIV/0!</v>
      </c>
      <c r="S810" s="267" t="e">
        <f t="shared" si="304"/>
        <v>#DIV/0!</v>
      </c>
      <c r="T810" s="269"/>
      <c r="Z810" s="214">
        <f t="shared" si="294"/>
        <v>0</v>
      </c>
      <c r="AA810" s="214">
        <f t="shared" si="295"/>
        <v>0</v>
      </c>
    </row>
    <row r="811" spans="1:27" ht="13.15" customHeight="1">
      <c r="A811" s="239" t="s">
        <v>508</v>
      </c>
      <c r="B811" s="319">
        <v>0</v>
      </c>
      <c r="C811" s="320">
        <v>0</v>
      </c>
      <c r="D811" s="320">
        <v>0</v>
      </c>
      <c r="E811" s="316">
        <v>0</v>
      </c>
      <c r="F811" s="316">
        <v>0</v>
      </c>
      <c r="G811" s="321">
        <v>0</v>
      </c>
      <c r="H811" s="319">
        <v>0</v>
      </c>
      <c r="I811" s="319">
        <v>0</v>
      </c>
      <c r="J811" s="230"/>
      <c r="K811" s="305" t="s">
        <v>508</v>
      </c>
      <c r="L811" s="239" t="e">
        <f t="shared" si="298"/>
        <v>#DIV/0!</v>
      </c>
      <c r="M811" s="267" t="e">
        <f t="shared" si="299"/>
        <v>#DIV/0!</v>
      </c>
      <c r="N811" s="267" t="e">
        <f t="shared" si="300"/>
        <v>#DIV/0!</v>
      </c>
      <c r="O811" s="239" t="e">
        <f t="shared" si="297"/>
        <v>#DIV/0!</v>
      </c>
      <c r="P811" s="267" t="e">
        <f t="shared" si="301"/>
        <v>#DIV/0!</v>
      </c>
      <c r="Q811" s="267" t="e">
        <f t="shared" si="302"/>
        <v>#DIV/0!</v>
      </c>
      <c r="R811" s="267" t="e">
        <f t="shared" si="303"/>
        <v>#DIV/0!</v>
      </c>
      <c r="S811" s="267" t="e">
        <f t="shared" si="304"/>
        <v>#DIV/0!</v>
      </c>
      <c r="T811" s="269"/>
      <c r="Z811" s="214">
        <f t="shared" si="294"/>
        <v>0</v>
      </c>
      <c r="AA811" s="214">
        <f t="shared" si="295"/>
        <v>0</v>
      </c>
    </row>
    <row r="812" spans="1:27" ht="13.15" customHeight="1">
      <c r="A812" s="239" t="s">
        <v>509</v>
      </c>
      <c r="B812" s="319">
        <v>83.7</v>
      </c>
      <c r="C812" s="320">
        <v>83.7</v>
      </c>
      <c r="D812" s="320">
        <v>393.28847999999999</v>
      </c>
      <c r="E812" s="316">
        <v>194.02520000000001</v>
      </c>
      <c r="F812" s="316">
        <v>194.02520000000001</v>
      </c>
      <c r="G812" s="321">
        <v>3262.6706472000001</v>
      </c>
      <c r="H812" s="319">
        <v>5340.3136537607998</v>
      </c>
      <c r="I812" s="319">
        <v>5</v>
      </c>
      <c r="J812" s="230"/>
      <c r="K812" s="305" t="s">
        <v>509</v>
      </c>
      <c r="L812" s="239">
        <f t="shared" si="298"/>
        <v>16.740000000000002</v>
      </c>
      <c r="M812" s="267">
        <f t="shared" si="299"/>
        <v>78.657696000000001</v>
      </c>
      <c r="N812" s="267">
        <f t="shared" si="300"/>
        <v>4.6987870967741934</v>
      </c>
      <c r="O812" s="239">
        <f t="shared" si="297"/>
        <v>74.174695046431182</v>
      </c>
      <c r="P812" s="267">
        <f t="shared" si="301"/>
        <v>74.174695046431182</v>
      </c>
      <c r="Q812" s="267">
        <f t="shared" si="302"/>
        <v>0.2646236013594977</v>
      </c>
      <c r="R812" s="267">
        <f t="shared" si="303"/>
        <v>0.26303032964245371</v>
      </c>
      <c r="S812" s="267">
        <f t="shared" si="304"/>
        <v>4.671029340518654</v>
      </c>
      <c r="T812" s="269"/>
      <c r="Z812" s="214">
        <f t="shared" si="294"/>
        <v>0</v>
      </c>
      <c r="AA812" s="214">
        <f t="shared" si="295"/>
        <v>0</v>
      </c>
    </row>
    <row r="813" spans="1:27" ht="13.15" customHeight="1">
      <c r="A813" s="239" t="s">
        <v>510</v>
      </c>
      <c r="B813" s="319">
        <v>10.961117</v>
      </c>
      <c r="C813" s="320">
        <v>11.778</v>
      </c>
      <c r="D813" s="320">
        <v>15.731214</v>
      </c>
      <c r="E813" s="316">
        <v>55.679149156000001</v>
      </c>
      <c r="F813" s="316">
        <v>59.730204999999998</v>
      </c>
      <c r="G813" s="321">
        <v>282.86478720000002</v>
      </c>
      <c r="H813" s="319">
        <v>644.92573478760005</v>
      </c>
      <c r="I813" s="319">
        <v>6</v>
      </c>
      <c r="J813" s="230"/>
      <c r="K813" s="305" t="s">
        <v>510</v>
      </c>
      <c r="L813" s="239">
        <f t="shared" si="298"/>
        <v>1.8268528333333334</v>
      </c>
      <c r="M813" s="267">
        <f t="shared" si="299"/>
        <v>2.6218689999999998</v>
      </c>
      <c r="N813" s="267">
        <f t="shared" si="300"/>
        <v>1.4351834762825724</v>
      </c>
      <c r="O813" s="322">
        <f t="shared" si="297"/>
        <v>77.201683596015343</v>
      </c>
      <c r="P813" s="323">
        <f t="shared" si="301"/>
        <v>74.940368803979169</v>
      </c>
      <c r="Q813" s="267">
        <f t="shared" si="302"/>
        <v>0.579874045250237</v>
      </c>
      <c r="R813" s="267">
        <f t="shared" si="303"/>
        <v>0.57011237361927714</v>
      </c>
      <c r="S813" s="267">
        <f t="shared" si="304"/>
        <v>1.4111844952920387</v>
      </c>
      <c r="T813" s="269"/>
      <c r="Z813" s="214">
        <f t="shared" si="294"/>
        <v>0.81688300000000069</v>
      </c>
      <c r="AA813" s="214">
        <f t="shared" si="295"/>
        <v>4.0510558439999969</v>
      </c>
    </row>
    <row r="814" spans="1:27" ht="13.15" customHeight="1">
      <c r="A814" s="239" t="s">
        <v>511</v>
      </c>
      <c r="B814" s="324">
        <v>7.9</v>
      </c>
      <c r="C814" s="325">
        <v>7.9</v>
      </c>
      <c r="D814" s="320">
        <v>16.678376</v>
      </c>
      <c r="E814" s="316">
        <v>33.4544</v>
      </c>
      <c r="F814" s="316">
        <v>33.4544</v>
      </c>
      <c r="G814" s="321">
        <v>254.2625496</v>
      </c>
      <c r="H814" s="319">
        <v>489.05414120159998</v>
      </c>
      <c r="I814" s="319">
        <v>2</v>
      </c>
      <c r="J814" s="230"/>
      <c r="K814" s="305" t="s">
        <v>511</v>
      </c>
      <c r="L814" s="239">
        <f t="shared" si="298"/>
        <v>3.95</v>
      </c>
      <c r="M814" s="267">
        <f t="shared" si="299"/>
        <v>8.339188</v>
      </c>
      <c r="N814" s="267">
        <f t="shared" si="300"/>
        <v>2.1111868354430379</v>
      </c>
      <c r="O814" s="239">
        <f t="shared" si="297"/>
        <v>76.616954654421434</v>
      </c>
      <c r="P814" s="267">
        <f t="shared" si="301"/>
        <v>76.616954654421434</v>
      </c>
      <c r="Q814" s="267">
        <f t="shared" si="302"/>
        <v>0.48341714351771575</v>
      </c>
      <c r="R814" s="267">
        <f t="shared" si="303"/>
        <v>0.48336194558580675</v>
      </c>
      <c r="S814" s="267">
        <f t="shared" si="304"/>
        <v>2.111186749724999</v>
      </c>
      <c r="T814" s="269"/>
      <c r="Z814" s="214">
        <f t="shared" si="294"/>
        <v>0</v>
      </c>
      <c r="AA814" s="214">
        <f t="shared" si="295"/>
        <v>0</v>
      </c>
    </row>
    <row r="815" spans="1:27" ht="13.15" customHeight="1">
      <c r="A815" s="239" t="s">
        <v>512</v>
      </c>
      <c r="B815" s="324">
        <v>14.409523999999999</v>
      </c>
      <c r="C815" s="325">
        <v>14.6</v>
      </c>
      <c r="D815" s="320">
        <v>140.99231399999999</v>
      </c>
      <c r="E815" s="316">
        <v>34.052363810000003</v>
      </c>
      <c r="F815" s="316">
        <v>34.944811000000001</v>
      </c>
      <c r="G815" s="321">
        <v>419.77004040000003</v>
      </c>
      <c r="H815" s="319">
        <v>786.09744317879995</v>
      </c>
      <c r="I815" s="319">
        <v>8</v>
      </c>
      <c r="J815" s="230"/>
      <c r="K815" s="305" t="s">
        <v>512</v>
      </c>
      <c r="L815" s="239">
        <f t="shared" si="298"/>
        <v>1.8011904999999999</v>
      </c>
      <c r="M815" s="267">
        <f t="shared" si="299"/>
        <v>17.624039249999999</v>
      </c>
      <c r="N815" s="267">
        <f t="shared" si="300"/>
        <v>9.7846614503018969</v>
      </c>
      <c r="O815" s="239">
        <f t="shared" si="297"/>
        <v>69.402510431001161</v>
      </c>
      <c r="P815" s="267">
        <f t="shared" si="301"/>
        <v>68.993806661274078</v>
      </c>
      <c r="Q815" s="267">
        <f t="shared" si="302"/>
        <v>0.26976992041472464</v>
      </c>
      <c r="R815" s="267">
        <f t="shared" si="303"/>
        <v>9.4397353712940626E-2</v>
      </c>
      <c r="S815" s="267">
        <f t="shared" si="304"/>
        <v>3.4242201114319641</v>
      </c>
      <c r="T815" s="269"/>
      <c r="Z815" s="214">
        <f t="shared" si="294"/>
        <v>0.19047600000000031</v>
      </c>
      <c r="AA815" s="214">
        <f t="shared" si="295"/>
        <v>0.89244718999999861</v>
      </c>
    </row>
    <row r="816" spans="1:27" ht="13.15" customHeight="1">
      <c r="A816" s="239" t="s">
        <v>513</v>
      </c>
      <c r="B816" s="324">
        <v>17.392576000000002</v>
      </c>
      <c r="C816" s="325">
        <v>21.260845</v>
      </c>
      <c r="D816" s="320">
        <v>7.9757350000000002</v>
      </c>
      <c r="E816" s="316">
        <v>74.851971243820003</v>
      </c>
      <c r="F816" s="316">
        <v>86.889958999699999</v>
      </c>
      <c r="G816" s="321">
        <v>139.94576280000001</v>
      </c>
      <c r="H816" s="319">
        <v>791.65396090080014</v>
      </c>
      <c r="I816" s="319">
        <v>5</v>
      </c>
      <c r="J816" s="230"/>
      <c r="K816" s="305" t="s">
        <v>513</v>
      </c>
      <c r="L816" s="239">
        <f t="shared" si="298"/>
        <v>3.4785152000000004</v>
      </c>
      <c r="M816" s="267">
        <f t="shared" si="299"/>
        <v>1.5951470000000001</v>
      </c>
      <c r="N816" s="267">
        <f t="shared" si="300"/>
        <v>0.45857123177153281</v>
      </c>
      <c r="O816" s="239">
        <f t="shared" si="297"/>
        <v>57.190342947788615</v>
      </c>
      <c r="P816" s="267">
        <f t="shared" si="301"/>
        <v>51.716138552745065</v>
      </c>
      <c r="Q816" s="267">
        <f t="shared" si="302"/>
        <v>0.49128694770564968</v>
      </c>
      <c r="R816" s="267">
        <f t="shared" si="303"/>
        <v>0.55633048290245957</v>
      </c>
      <c r="S816" s="267">
        <f t="shared" si="304"/>
        <v>0.51934267533681733</v>
      </c>
      <c r="T816" s="269"/>
      <c r="Z816" s="214">
        <f t="shared" si="294"/>
        <v>3.868268999999998</v>
      </c>
      <c r="AA816" s="214">
        <f t="shared" si="295"/>
        <v>12.037987755879996</v>
      </c>
    </row>
    <row r="817" spans="1:27" ht="13.15" customHeight="1">
      <c r="A817" s="239" t="s">
        <v>514</v>
      </c>
      <c r="B817" s="324">
        <v>195.90337900000009</v>
      </c>
      <c r="C817" s="325">
        <v>202.31475</v>
      </c>
      <c r="D817" s="320">
        <v>1421.0506880000003</v>
      </c>
      <c r="E817" s="316">
        <v>1186.8101616308002</v>
      </c>
      <c r="F817" s="316">
        <v>1210.5814564878001</v>
      </c>
      <c r="G817" s="321">
        <v>22242.924856000802</v>
      </c>
      <c r="H817" s="319">
        <v>36765.591894820798</v>
      </c>
      <c r="I817" s="319">
        <v>23</v>
      </c>
      <c r="J817" s="230"/>
      <c r="K817" s="305" t="s">
        <v>514</v>
      </c>
      <c r="L817" s="239">
        <f t="shared" si="298"/>
        <v>8.5175382173913086</v>
      </c>
      <c r="M817" s="267">
        <f t="shared" si="299"/>
        <v>61.784812521739141</v>
      </c>
      <c r="N817" s="267">
        <f t="shared" si="300"/>
        <v>7.2538344935847157</v>
      </c>
      <c r="O817" s="239">
        <f t="shared" si="297"/>
        <v>72.353025555680489</v>
      </c>
      <c r="P817" s="267">
        <f t="shared" si="301"/>
        <v>72.120262645919595</v>
      </c>
      <c r="Q817" s="267">
        <f t="shared" si="302"/>
        <v>0.69156853112937089</v>
      </c>
      <c r="R817" s="267">
        <f t="shared" si="303"/>
        <v>0.49627928097644813</v>
      </c>
      <c r="S817" s="267">
        <f t="shared" si="304"/>
        <v>5.2060476372126576</v>
      </c>
      <c r="T817" s="269"/>
      <c r="Z817" s="214">
        <f t="shared" si="294"/>
        <v>6.4113709999999173</v>
      </c>
      <c r="AA817" s="214">
        <f t="shared" si="295"/>
        <v>23.77129485699993</v>
      </c>
    </row>
    <row r="818" spans="1:27" ht="13.15" customHeight="1">
      <c r="A818" s="239" t="s">
        <v>515</v>
      </c>
      <c r="B818" s="324">
        <v>0</v>
      </c>
      <c r="C818" s="325">
        <v>0</v>
      </c>
      <c r="D818" s="320">
        <v>0</v>
      </c>
      <c r="E818" s="316">
        <v>0</v>
      </c>
      <c r="F818" s="316">
        <v>0</v>
      </c>
      <c r="G818" s="321">
        <v>0</v>
      </c>
      <c r="H818" s="319">
        <v>0</v>
      </c>
      <c r="I818" s="319">
        <v>0</v>
      </c>
      <c r="J818" s="230"/>
      <c r="K818" s="305" t="s">
        <v>515</v>
      </c>
      <c r="L818" s="239" t="e">
        <f t="shared" si="298"/>
        <v>#DIV/0!</v>
      </c>
      <c r="M818" s="267" t="e">
        <f t="shared" si="299"/>
        <v>#DIV/0!</v>
      </c>
      <c r="N818" s="267" t="e">
        <f t="shared" si="300"/>
        <v>#DIV/0!</v>
      </c>
      <c r="O818" s="239" t="e">
        <f t="shared" si="297"/>
        <v>#DIV/0!</v>
      </c>
      <c r="P818" s="267" t="e">
        <f t="shared" si="301"/>
        <v>#DIV/0!</v>
      </c>
      <c r="Q818" s="267" t="e">
        <f t="shared" si="302"/>
        <v>#DIV/0!</v>
      </c>
      <c r="R818" s="267" t="e">
        <f t="shared" si="303"/>
        <v>#DIV/0!</v>
      </c>
      <c r="S818" s="267" t="e">
        <f t="shared" si="304"/>
        <v>#DIV/0!</v>
      </c>
      <c r="T818" s="269"/>
      <c r="Z818" s="214">
        <f t="shared" si="294"/>
        <v>0</v>
      </c>
      <c r="AA818" s="214">
        <f t="shared" si="295"/>
        <v>0</v>
      </c>
    </row>
    <row r="819" spans="1:27" ht="13.15" customHeight="1">
      <c r="A819" s="239" t="s">
        <v>516</v>
      </c>
      <c r="B819" s="319">
        <v>8.1392815200000008</v>
      </c>
      <c r="C819" s="320">
        <v>10.334699199999999</v>
      </c>
      <c r="D819" s="319">
        <v>3.1668530000000001</v>
      </c>
      <c r="E819" s="316">
        <v>21.627415984820001</v>
      </c>
      <c r="F819" s="316">
        <v>23.4297009997</v>
      </c>
      <c r="G819" s="321">
        <v>44.519047200000003</v>
      </c>
      <c r="H819" s="319">
        <v>200.34145253520001</v>
      </c>
      <c r="I819" s="319">
        <v>2</v>
      </c>
      <c r="J819" s="244"/>
      <c r="K819" s="239" t="s">
        <v>516</v>
      </c>
      <c r="L819" s="239">
        <f t="shared" si="298"/>
        <v>4.0696407600000004</v>
      </c>
      <c r="M819" s="267">
        <f t="shared" si="299"/>
        <v>1.5834265000000001</v>
      </c>
      <c r="N819" s="267">
        <f t="shared" si="300"/>
        <v>0.38908262261458182</v>
      </c>
      <c r="O819" s="239">
        <f t="shared" si="297"/>
        <v>64.323168854073387</v>
      </c>
      <c r="P819" s="267">
        <f t="shared" si="301"/>
        <v>61.084584940727744</v>
      </c>
      <c r="Q819" s="267">
        <f t="shared" si="302"/>
        <v>0.3033293660163206</v>
      </c>
      <c r="R819" s="267">
        <f t="shared" si="303"/>
        <v>0.44571964427348298</v>
      </c>
      <c r="S819" s="267">
        <f t="shared" si="304"/>
        <v>0.57179285813339031</v>
      </c>
      <c r="Z819" s="214">
        <f t="shared" si="294"/>
        <v>2.1954176799999985</v>
      </c>
      <c r="AA819" s="214">
        <f t="shared" si="295"/>
        <v>1.8022850148799989</v>
      </c>
    </row>
    <row r="820" spans="1:27" ht="13.15" customHeight="1">
      <c r="A820" s="239" t="s">
        <v>517</v>
      </c>
      <c r="B820" s="319">
        <v>5.6</v>
      </c>
      <c r="C820" s="320">
        <v>5.6</v>
      </c>
      <c r="D820" s="320">
        <v>4.770601000000001</v>
      </c>
      <c r="E820" s="316">
        <v>22.392778</v>
      </c>
      <c r="F820" s="316">
        <v>22.392778</v>
      </c>
      <c r="G820" s="321">
        <v>68.674514399999993</v>
      </c>
      <c r="H820" s="319">
        <v>212.4747783864</v>
      </c>
      <c r="I820" s="319">
        <v>2</v>
      </c>
      <c r="K820" s="239" t="s">
        <v>517</v>
      </c>
      <c r="L820" s="239">
        <f t="shared" si="298"/>
        <v>2.8</v>
      </c>
      <c r="M820" s="267">
        <f t="shared" si="299"/>
        <v>2.3853005000000005</v>
      </c>
      <c r="N820" s="267">
        <f t="shared" si="300"/>
        <v>0.85189303571428598</v>
      </c>
      <c r="O820" s="239">
        <f t="shared" si="297"/>
        <v>70.261758281968213</v>
      </c>
      <c r="P820" s="267">
        <f t="shared" si="301"/>
        <v>70.261758281968213</v>
      </c>
      <c r="Q820" s="267">
        <f t="shared" si="302"/>
        <v>0.45647378506197001</v>
      </c>
      <c r="R820" s="267">
        <f t="shared" si="303"/>
        <v>0.45642173887123128</v>
      </c>
      <c r="S820" s="267">
        <f t="shared" si="304"/>
        <v>0.85189314161914154</v>
      </c>
      <c r="Z820" s="214">
        <f t="shared" si="294"/>
        <v>0</v>
      </c>
      <c r="AA820" s="214">
        <f t="shared" si="295"/>
        <v>0</v>
      </c>
    </row>
    <row r="821" spans="1:27" ht="13.15" customHeight="1">
      <c r="A821" s="239" t="s">
        <v>518</v>
      </c>
      <c r="B821" s="319">
        <v>26.704697085700001</v>
      </c>
      <c r="C821" s="320">
        <v>29.032653</v>
      </c>
      <c r="D821" s="320">
        <v>113.23101499999999</v>
      </c>
      <c r="E821" s="316">
        <v>76.370872621240011</v>
      </c>
      <c r="F821" s="316">
        <v>83.478489925399984</v>
      </c>
      <c r="G821" s="321">
        <v>518.18514110603996</v>
      </c>
      <c r="H821" s="319">
        <v>1196.8492986287999</v>
      </c>
      <c r="I821" s="319">
        <v>25</v>
      </c>
      <c r="K821" s="239" t="s">
        <v>518</v>
      </c>
      <c r="L821" s="239">
        <f t="shared" si="298"/>
        <v>1.0681878834280001</v>
      </c>
      <c r="M821" s="267">
        <f t="shared" si="299"/>
        <v>4.5292405999999996</v>
      </c>
      <c r="N821" s="267">
        <f t="shared" si="300"/>
        <v>4.2401160603553016</v>
      </c>
      <c r="O821" s="239">
        <f t="shared" si="297"/>
        <v>68.405245821295352</v>
      </c>
      <c r="P821" s="267">
        <f t="shared" si="301"/>
        <v>66.267347397133619</v>
      </c>
      <c r="Q821" s="267">
        <f t="shared" si="302"/>
        <v>0.32646452105407381</v>
      </c>
      <c r="R821" s="267">
        <f t="shared" si="303"/>
        <v>0.1450986507603991</v>
      </c>
      <c r="S821" s="267">
        <f t="shared" si="304"/>
        <v>1.8847541220036785</v>
      </c>
      <c r="Z821" s="214">
        <f t="shared" si="294"/>
        <v>2.3279559142999986</v>
      </c>
      <c r="AA821" s="214">
        <f t="shared" si="295"/>
        <v>7.1076173041599731</v>
      </c>
    </row>
    <row r="822" spans="1:27" ht="13.15" customHeight="1">
      <c r="A822" s="239" t="s">
        <v>519</v>
      </c>
      <c r="B822" s="319"/>
      <c r="C822" s="320"/>
      <c r="D822" s="320"/>
      <c r="E822" s="316"/>
      <c r="F822" s="316"/>
      <c r="G822" s="321"/>
      <c r="H822" s="319"/>
      <c r="I822" s="319"/>
      <c r="K822" s="239" t="s">
        <v>519</v>
      </c>
      <c r="L822" s="239"/>
      <c r="M822" s="267"/>
      <c r="N822" s="267"/>
      <c r="O822" s="239"/>
      <c r="P822" s="267"/>
      <c r="Q822" s="267"/>
      <c r="R822" s="267"/>
      <c r="S822" s="267"/>
      <c r="Z822" s="214">
        <f t="shared" si="294"/>
        <v>0</v>
      </c>
      <c r="AA822" s="214">
        <f t="shared" si="295"/>
        <v>0</v>
      </c>
    </row>
    <row r="823" spans="1:27" ht="13.15" customHeight="1">
      <c r="A823" s="282" t="s">
        <v>169</v>
      </c>
      <c r="B823" s="326">
        <f>(B802+B804)</f>
        <v>1018.3376408324002</v>
      </c>
      <c r="C823" s="326">
        <f t="shared" ref="C823:I823" si="305">(C802+C804)</f>
        <v>1096.1473290999998</v>
      </c>
      <c r="D823" s="326">
        <f t="shared" si="305"/>
        <v>4330.6339990000015</v>
      </c>
      <c r="E823" s="326">
        <f t="shared" si="305"/>
        <v>4603.2859040703988</v>
      </c>
      <c r="F823" s="326">
        <f t="shared" si="305"/>
        <v>5085.7446287654002</v>
      </c>
      <c r="G823" s="327">
        <f t="shared" si="305"/>
        <v>54364.249137963619</v>
      </c>
      <c r="H823" s="326">
        <f t="shared" si="305"/>
        <v>98847.126722991583</v>
      </c>
      <c r="I823" s="326">
        <f t="shared" si="305"/>
        <v>195</v>
      </c>
      <c r="K823" s="328" t="s">
        <v>169</v>
      </c>
      <c r="L823" s="282">
        <f>B823/I823</f>
        <v>5.2222443119610267</v>
      </c>
      <c r="M823" s="281">
        <f>D823/I823</f>
        <v>22.208379482051289</v>
      </c>
      <c r="N823" s="281">
        <f>D823/B823</f>
        <v>4.252650422958042</v>
      </c>
      <c r="O823" s="282">
        <f>(F823*3.6+G823)*100/H823</f>
        <v>73.520528325701477</v>
      </c>
      <c r="P823" s="282">
        <f>(E823*3.6+G823)*100/H823</f>
        <v>71.76341968078421</v>
      </c>
      <c r="Q823" s="281">
        <f>E823/(B823*8760)*1000</f>
        <v>0.5160265489410607</v>
      </c>
      <c r="R823" s="281">
        <f>G823/(D823*8761)*1000/3.6</f>
        <v>0.39802076659783514</v>
      </c>
      <c r="S823" s="281">
        <f>G823/(E823*3.6)</f>
        <v>3.2805219208192073</v>
      </c>
      <c r="Z823" s="214">
        <f t="shared" si="294"/>
        <v>77.80968826759954</v>
      </c>
      <c r="AA823" s="214">
        <f t="shared" si="295"/>
        <v>482.45872469500137</v>
      </c>
    </row>
    <row r="824" spans="1:27" ht="13.15" customHeight="1"/>
    <row r="825" spans="1:27" ht="13.15" customHeight="1">
      <c r="A825" s="251" t="s">
        <v>520</v>
      </c>
      <c r="B825" s="227" t="s">
        <v>476</v>
      </c>
      <c r="C825" s="228"/>
      <c r="D825" s="286"/>
      <c r="E825" s="227" t="s">
        <v>521</v>
      </c>
      <c r="F825" s="228"/>
      <c r="G825" s="286"/>
      <c r="H825" s="200" t="s">
        <v>138</v>
      </c>
      <c r="I825" s="200" t="s">
        <v>478</v>
      </c>
    </row>
    <row r="826" spans="1:27" ht="13.15" customHeight="1">
      <c r="A826" s="239"/>
      <c r="B826" s="243" t="s">
        <v>88</v>
      </c>
      <c r="C826" s="243"/>
      <c r="D826" s="241" t="s">
        <v>34</v>
      </c>
      <c r="E826" s="243" t="s">
        <v>88</v>
      </c>
      <c r="F826" s="243"/>
      <c r="G826" s="241" t="s">
        <v>34</v>
      </c>
      <c r="H826" s="241" t="s">
        <v>170</v>
      </c>
      <c r="I826" s="241" t="s">
        <v>483</v>
      </c>
    </row>
    <row r="827" spans="1:27" ht="13.15" customHeight="1">
      <c r="A827" s="239"/>
      <c r="B827" s="252" t="s">
        <v>0</v>
      </c>
      <c r="C827" s="252" t="s">
        <v>489</v>
      </c>
      <c r="D827" s="252" t="s">
        <v>490</v>
      </c>
      <c r="E827" s="252" t="s">
        <v>491</v>
      </c>
      <c r="F827" s="252" t="s">
        <v>489</v>
      </c>
      <c r="G827" s="252" t="s">
        <v>490</v>
      </c>
      <c r="H827" s="248"/>
      <c r="I827" s="241" t="s">
        <v>492</v>
      </c>
    </row>
    <row r="828" spans="1:27" ht="13.15" customHeight="1">
      <c r="A828" s="239"/>
      <c r="B828" s="257" t="s">
        <v>496</v>
      </c>
      <c r="C828" s="256" t="s">
        <v>496</v>
      </c>
      <c r="D828" s="252" t="s">
        <v>496</v>
      </c>
      <c r="E828" s="329" t="s">
        <v>473</v>
      </c>
      <c r="F828" s="329" t="s">
        <v>473</v>
      </c>
      <c r="G828" s="252" t="s">
        <v>496</v>
      </c>
      <c r="H828" s="257" t="s">
        <v>497</v>
      </c>
      <c r="I828" s="257" t="s">
        <v>498</v>
      </c>
    </row>
    <row r="829" spans="1:27" ht="13.15" customHeight="1">
      <c r="A829" s="251" t="s">
        <v>522</v>
      </c>
      <c r="B829" s="389"/>
      <c r="C829" s="389"/>
      <c r="D829" s="200"/>
      <c r="E829" s="389"/>
      <c r="F829" s="389"/>
      <c r="G829" s="200"/>
      <c r="H829" s="200"/>
      <c r="I829" s="200"/>
    </row>
    <row r="830" spans="1:27" ht="13.15" customHeight="1">
      <c r="A830" s="239" t="s">
        <v>523</v>
      </c>
      <c r="B830" s="204">
        <v>0</v>
      </c>
      <c r="C830" s="204">
        <v>0</v>
      </c>
      <c r="D830" s="204">
        <v>0</v>
      </c>
      <c r="E830" s="216">
        <v>0</v>
      </c>
      <c r="F830" s="204">
        <v>0</v>
      </c>
      <c r="G830" s="204">
        <v>0</v>
      </c>
      <c r="H830" s="202">
        <v>0</v>
      </c>
      <c r="I830" s="216">
        <v>0</v>
      </c>
    </row>
    <row r="831" spans="1:27" ht="13.15" customHeight="1">
      <c r="A831" s="239" t="s">
        <v>524</v>
      </c>
      <c r="B831" s="204">
        <v>341.82042325239979</v>
      </c>
      <c r="C831" s="204">
        <v>399.89012579999996</v>
      </c>
      <c r="D831" s="204">
        <v>983.96417400000018</v>
      </c>
      <c r="E831" s="216">
        <v>1454.6213120100206</v>
      </c>
      <c r="F831" s="204">
        <v>1837.6563250608995</v>
      </c>
      <c r="G831" s="204">
        <v>6691.6899807721165</v>
      </c>
      <c r="H831" s="202">
        <v>20904.585757268411</v>
      </c>
      <c r="I831" s="216">
        <v>77</v>
      </c>
    </row>
    <row r="832" spans="1:27" ht="13.15" customHeight="1">
      <c r="A832" s="239" t="s">
        <v>525</v>
      </c>
      <c r="B832" s="204">
        <v>240.44823378000001</v>
      </c>
      <c r="C832" s="204">
        <v>257.31014530000004</v>
      </c>
      <c r="D832" s="204">
        <v>351.98725000000002</v>
      </c>
      <c r="E832" s="216">
        <v>1089.3877509153392</v>
      </c>
      <c r="F832" s="204">
        <v>1177.1561912963002</v>
      </c>
      <c r="G832" s="204">
        <v>5656.0166629056021</v>
      </c>
      <c r="H832" s="202">
        <v>12795.334449249602</v>
      </c>
      <c r="I832" s="216">
        <v>64</v>
      </c>
    </row>
    <row r="833" spans="1:27" ht="13.15" customHeight="1">
      <c r="A833" s="239" t="s">
        <v>267</v>
      </c>
      <c r="B833" s="216">
        <v>6.0530037999999999</v>
      </c>
      <c r="C833" s="204">
        <v>6.4622080000000004</v>
      </c>
      <c r="D833" s="204">
        <v>73.278041999999999</v>
      </c>
      <c r="E833" s="216">
        <v>13.205654737240001</v>
      </c>
      <c r="F833" s="204">
        <v>13.637138000400002</v>
      </c>
      <c r="G833" s="204">
        <v>329.58087480000006</v>
      </c>
      <c r="H833" s="202">
        <v>496.19089209239996</v>
      </c>
      <c r="I833" s="216">
        <v>17</v>
      </c>
    </row>
    <row r="834" spans="1:27" ht="13.15" customHeight="1">
      <c r="A834" s="312" t="s">
        <v>526</v>
      </c>
      <c r="B834" s="391"/>
      <c r="C834" s="391"/>
      <c r="D834" s="205"/>
      <c r="E834" s="391"/>
      <c r="F834" s="391"/>
      <c r="G834" s="205"/>
      <c r="H834" s="205"/>
      <c r="I834" s="391"/>
    </row>
    <row r="835" spans="1:27" ht="13.15" customHeight="1">
      <c r="A835" s="239" t="s">
        <v>527</v>
      </c>
      <c r="B835" s="216">
        <v>0</v>
      </c>
      <c r="C835" s="216">
        <v>0</v>
      </c>
      <c r="D835" s="204">
        <v>0</v>
      </c>
      <c r="E835" s="216">
        <v>0</v>
      </c>
      <c r="F835" s="204">
        <v>0</v>
      </c>
      <c r="G835" s="204">
        <v>0</v>
      </c>
      <c r="H835" s="202">
        <v>0</v>
      </c>
      <c r="I835" s="216">
        <v>0</v>
      </c>
    </row>
    <row r="836" spans="1:27" ht="13.15" customHeight="1">
      <c r="A836" s="239" t="s">
        <v>528</v>
      </c>
      <c r="B836" s="204">
        <v>8.1999999999999993</v>
      </c>
      <c r="C836" s="204">
        <v>8.1999999999999993</v>
      </c>
      <c r="D836" s="204">
        <v>162.30122999999998</v>
      </c>
      <c r="E836" s="204">
        <v>25.077729999999999</v>
      </c>
      <c r="F836" s="204">
        <v>25.077729999999999</v>
      </c>
      <c r="G836" s="204">
        <v>707.71699799999999</v>
      </c>
      <c r="H836" s="202">
        <v>1018.395284832</v>
      </c>
      <c r="I836" s="204">
        <v>4</v>
      </c>
    </row>
    <row r="837" spans="1:27" ht="13.15" customHeight="1">
      <c r="A837" s="239" t="s">
        <v>529</v>
      </c>
      <c r="B837" s="204">
        <v>0</v>
      </c>
      <c r="C837" s="204">
        <v>0</v>
      </c>
      <c r="D837" s="204">
        <v>0</v>
      </c>
      <c r="E837" s="204">
        <v>0</v>
      </c>
      <c r="F837" s="204">
        <v>0</v>
      </c>
      <c r="G837" s="204">
        <v>0</v>
      </c>
      <c r="H837" s="202">
        <v>0</v>
      </c>
      <c r="I837" s="204">
        <v>0</v>
      </c>
    </row>
    <row r="838" spans="1:27" ht="13.15" customHeight="1">
      <c r="A838" s="239" t="s">
        <v>530</v>
      </c>
      <c r="B838" s="204">
        <v>421.81597999999997</v>
      </c>
      <c r="C838" s="204">
        <v>424.28484999999995</v>
      </c>
      <c r="D838" s="204">
        <v>2759.1033030000008</v>
      </c>
      <c r="E838" s="204">
        <v>2020.9934564078001</v>
      </c>
      <c r="F838" s="204">
        <v>2032.2172444077999</v>
      </c>
      <c r="G838" s="204">
        <v>40979.244621485879</v>
      </c>
      <c r="H838" s="202">
        <v>63632.620339549198</v>
      </c>
      <c r="I838" s="204">
        <v>33</v>
      </c>
    </row>
    <row r="839" spans="1:27" ht="13.15" customHeight="1">
      <c r="A839" s="282" t="s">
        <v>169</v>
      </c>
      <c r="B839" s="360">
        <f t="shared" ref="B839:I839" si="306">SUM(B830:B838)</f>
        <v>1018.3376408323999</v>
      </c>
      <c r="C839" s="360">
        <f t="shared" si="306"/>
        <v>1096.1473291</v>
      </c>
      <c r="D839" s="360">
        <f t="shared" si="306"/>
        <v>4330.6339990000015</v>
      </c>
      <c r="E839" s="360">
        <f t="shared" si="306"/>
        <v>4603.2859040703997</v>
      </c>
      <c r="F839" s="360">
        <f t="shared" si="306"/>
        <v>5085.7446287653993</v>
      </c>
      <c r="G839" s="360">
        <f t="shared" si="306"/>
        <v>54364.249137963598</v>
      </c>
      <c r="H839" s="360">
        <f t="shared" si="306"/>
        <v>98847.126722991612</v>
      </c>
      <c r="I839" s="360">
        <f t="shared" si="306"/>
        <v>195</v>
      </c>
    </row>
    <row r="840" spans="1:27" ht="13.15" customHeight="1">
      <c r="D840" s="220"/>
    </row>
    <row r="841" spans="1:27" ht="13.15" customHeight="1">
      <c r="D841" s="220"/>
    </row>
    <row r="842" spans="1:27" ht="13.15" customHeight="1">
      <c r="A842" s="221" t="s">
        <v>198</v>
      </c>
      <c r="D842" s="220"/>
      <c r="I842" s="221">
        <v>2002</v>
      </c>
      <c r="K842" s="221" t="str">
        <f>+A842</f>
        <v>Finland</v>
      </c>
      <c r="M842" s="220"/>
      <c r="S842" s="221">
        <v>2002</v>
      </c>
    </row>
    <row r="843" spans="1:27" ht="13.15" customHeight="1" thickBot="1"/>
    <row r="844" spans="1:27" ht="13.15" customHeight="1">
      <c r="A844" s="346" t="s">
        <v>475</v>
      </c>
      <c r="B844" s="233" t="s">
        <v>476</v>
      </c>
      <c r="C844" s="233"/>
      <c r="D844" s="234"/>
      <c r="E844" s="235" t="s">
        <v>477</v>
      </c>
      <c r="F844" s="233"/>
      <c r="G844" s="236"/>
      <c r="H844" s="347" t="s">
        <v>138</v>
      </c>
      <c r="I844" s="348" t="s">
        <v>478</v>
      </c>
      <c r="J844" s="230"/>
      <c r="K844" s="231" t="s">
        <v>475</v>
      </c>
      <c r="L844" s="232" t="s">
        <v>479</v>
      </c>
      <c r="M844" s="233"/>
      <c r="N844" s="234"/>
      <c r="O844" s="235" t="s">
        <v>480</v>
      </c>
      <c r="P844" s="233"/>
      <c r="Q844" s="233"/>
      <c r="R844" s="236"/>
      <c r="S844" s="237"/>
    </row>
    <row r="845" spans="1:27" ht="13.15" customHeight="1">
      <c r="A845" s="266"/>
      <c r="B845" s="240" t="s">
        <v>9</v>
      </c>
      <c r="C845" s="240"/>
      <c r="D845" s="241" t="s">
        <v>34</v>
      </c>
      <c r="E845" s="242" t="s">
        <v>88</v>
      </c>
      <c r="F845" s="243"/>
      <c r="G845" s="244" t="s">
        <v>34</v>
      </c>
      <c r="H845" s="241" t="s">
        <v>170</v>
      </c>
      <c r="I845" s="349" t="s">
        <v>483</v>
      </c>
      <c r="J845" s="230"/>
      <c r="K845" s="245"/>
      <c r="L845" s="246" t="s">
        <v>484</v>
      </c>
      <c r="M845" s="247"/>
      <c r="N845" s="248" t="s">
        <v>485</v>
      </c>
      <c r="O845" s="248" t="s">
        <v>486</v>
      </c>
      <c r="P845" s="248" t="s">
        <v>486</v>
      </c>
      <c r="Q845" s="247" t="s">
        <v>487</v>
      </c>
      <c r="R845" s="249"/>
      <c r="S845" s="250" t="s">
        <v>485</v>
      </c>
      <c r="U845" s="214" t="str">
        <f>A842</f>
        <v>Finland</v>
      </c>
    </row>
    <row r="846" spans="1:27" ht="13.15" customHeight="1">
      <c r="A846" s="350" t="s">
        <v>488</v>
      </c>
      <c r="B846" s="252" t="s">
        <v>0</v>
      </c>
      <c r="C846" s="252" t="s">
        <v>489</v>
      </c>
      <c r="D846" s="252" t="s">
        <v>490</v>
      </c>
      <c r="E846" s="252" t="s">
        <v>491</v>
      </c>
      <c r="F846" s="252" t="s">
        <v>489</v>
      </c>
      <c r="G846" s="230" t="s">
        <v>490</v>
      </c>
      <c r="H846" s="248"/>
      <c r="I846" s="349" t="s">
        <v>492</v>
      </c>
      <c r="J846" s="230"/>
      <c r="K846" s="253" t="s">
        <v>488</v>
      </c>
      <c r="L846" s="254" t="s">
        <v>88</v>
      </c>
      <c r="M846" s="252" t="s">
        <v>34</v>
      </c>
      <c r="N846" s="252" t="s">
        <v>493</v>
      </c>
      <c r="O846" s="248" t="s">
        <v>494</v>
      </c>
      <c r="P846" s="248" t="s">
        <v>495</v>
      </c>
      <c r="Q846" s="230" t="s">
        <v>88</v>
      </c>
      <c r="R846" s="248" t="s">
        <v>34</v>
      </c>
      <c r="S846" s="255" t="s">
        <v>88</v>
      </c>
      <c r="U846" s="214" t="s">
        <v>547</v>
      </c>
      <c r="V846" s="214">
        <f>G874/1000</f>
        <v>165.10540320000001</v>
      </c>
    </row>
    <row r="847" spans="1:27" ht="13.15" customHeight="1">
      <c r="A847" s="266"/>
      <c r="B847" s="252" t="s">
        <v>496</v>
      </c>
      <c r="C847" s="252" t="s">
        <v>496</v>
      </c>
      <c r="D847" s="252" t="s">
        <v>496</v>
      </c>
      <c r="E847" s="256" t="s">
        <v>473</v>
      </c>
      <c r="F847" s="257" t="s">
        <v>473</v>
      </c>
      <c r="G847" s="230" t="s">
        <v>451</v>
      </c>
      <c r="H847" s="257" t="s">
        <v>497</v>
      </c>
      <c r="I847" s="351" t="s">
        <v>498</v>
      </c>
      <c r="J847" s="230"/>
      <c r="K847" s="245"/>
      <c r="L847" s="258" t="s">
        <v>496</v>
      </c>
      <c r="M847" s="256" t="s">
        <v>496</v>
      </c>
      <c r="N847" s="256"/>
      <c r="O847" s="257" t="s">
        <v>79</v>
      </c>
      <c r="P847" s="257" t="s">
        <v>79</v>
      </c>
      <c r="Q847" s="259"/>
      <c r="R847" s="257"/>
      <c r="S847" s="260"/>
      <c r="U847" s="214" t="s">
        <v>548</v>
      </c>
      <c r="V847" s="214">
        <f>G880/1000</f>
        <v>1.3226184000000001</v>
      </c>
    </row>
    <row r="848" spans="1:27" ht="13.15" customHeight="1">
      <c r="A848" s="352" t="s">
        <v>262</v>
      </c>
      <c r="B848" s="201">
        <v>557.4</v>
      </c>
      <c r="C848" s="201">
        <v>557.4</v>
      </c>
      <c r="D848" s="201">
        <v>667</v>
      </c>
      <c r="E848" s="204">
        <v>3781.6186315789473</v>
      </c>
      <c r="F848" s="204">
        <v>3781.6186315789473</v>
      </c>
      <c r="G848" s="207">
        <v>17915.774399999998</v>
      </c>
      <c r="H848" s="213">
        <v>36911.63979999999</v>
      </c>
      <c r="I848" s="363">
        <v>9</v>
      </c>
      <c r="J848" s="230"/>
      <c r="K848" s="265" t="s">
        <v>262</v>
      </c>
      <c r="L848" s="266">
        <f>C848/I848</f>
        <v>61.93333333333333</v>
      </c>
      <c r="M848" s="267">
        <f>D848/I848</f>
        <v>74.111111111111114</v>
      </c>
      <c r="N848" s="267">
        <f>D848/C848</f>
        <v>1.196627197703624</v>
      </c>
      <c r="O848" s="239">
        <f>(F848*3.6+G848)*100/H848</f>
        <v>85.419129696005058</v>
      </c>
      <c r="P848" s="239">
        <f>(F848*3.6+G848)*100/H848</f>
        <v>85.419129696005058</v>
      </c>
      <c r="Q848" s="267">
        <f>F848/(C848*8760)*1000</f>
        <v>0.7744736717069769</v>
      </c>
      <c r="R848" s="267">
        <f>G848/(D848*8761)*1000/3.6</f>
        <v>0.85163513437893523</v>
      </c>
      <c r="S848" s="268">
        <f>G848/(F848*3.6)</f>
        <v>1.3159983818680592</v>
      </c>
      <c r="U848" s="214" t="s">
        <v>549</v>
      </c>
      <c r="V848" s="214">
        <f>G882/1000</f>
        <v>6.5008800000000004</v>
      </c>
      <c r="Z848" s="214">
        <f t="shared" ref="Z848:Z853" si="307">C848-B848</f>
        <v>0</v>
      </c>
      <c r="AA848" s="214">
        <f t="shared" ref="AA848:AA853" si="308">F848-E848</f>
        <v>0</v>
      </c>
    </row>
    <row r="849" spans="1:27" ht="13.15" customHeight="1">
      <c r="A849" s="266" t="s">
        <v>263</v>
      </c>
      <c r="B849" s="428">
        <v>2225.16</v>
      </c>
      <c r="C849" s="428">
        <v>2225.16</v>
      </c>
      <c r="D849" s="428">
        <v>8642.2999999999993</v>
      </c>
      <c r="E849" s="428">
        <v>10209.394783674821</v>
      </c>
      <c r="F849" s="428">
        <v>10209.394783674821</v>
      </c>
      <c r="G849" s="428">
        <v>163479.74039999998</v>
      </c>
      <c r="H849" s="428">
        <v>244771.38909716762</v>
      </c>
      <c r="I849" s="441">
        <v>68</v>
      </c>
      <c r="J849" s="230"/>
      <c r="K849" s="245" t="s">
        <v>263</v>
      </c>
      <c r="L849" s="266">
        <f>C849/I849</f>
        <v>32.722941176470584</v>
      </c>
      <c r="M849" s="267">
        <f>D849/I849</f>
        <v>127.09264705882352</v>
      </c>
      <c r="N849" s="267">
        <f>D849/C849</f>
        <v>3.8839004835607325</v>
      </c>
      <c r="O849" s="239">
        <f>(F849*3.6+G849)*100/H849</f>
        <v>81.804316411237934</v>
      </c>
      <c r="P849" s="239">
        <f>(F849*3.6+G849)*100/H849</f>
        <v>81.804316411237934</v>
      </c>
      <c r="Q849" s="267">
        <f>F849/(C849*8760)*1000</f>
        <v>0.52376279707241524</v>
      </c>
      <c r="R849" s="267">
        <f>G849/(D849*8761)*1000/3.6</f>
        <v>0.59976127405969148</v>
      </c>
      <c r="S849" s="268">
        <f>G849/(F849*3.6)</f>
        <v>4.4479658160162279</v>
      </c>
      <c r="U849" s="214" t="s">
        <v>550</v>
      </c>
      <c r="V849" s="214">
        <f>G887/1000</f>
        <v>146.77399080000001</v>
      </c>
      <c r="Z849" s="214">
        <f t="shared" si="307"/>
        <v>0</v>
      </c>
      <c r="AA849" s="214">
        <f t="shared" si="308"/>
        <v>0</v>
      </c>
    </row>
    <row r="850" spans="1:27" ht="13.15" customHeight="1">
      <c r="A850" s="266" t="s">
        <v>499</v>
      </c>
      <c r="B850" s="428">
        <v>257.5</v>
      </c>
      <c r="C850" s="428">
        <v>257.5</v>
      </c>
      <c r="D850" s="428">
        <v>578</v>
      </c>
      <c r="E850" s="428">
        <v>1214.009</v>
      </c>
      <c r="F850" s="428">
        <v>1214.009</v>
      </c>
      <c r="G850" s="428">
        <v>10350.558000000001</v>
      </c>
      <c r="H850" s="428">
        <v>17404.895657142861</v>
      </c>
      <c r="I850" s="441">
        <v>4</v>
      </c>
      <c r="J850" s="230"/>
      <c r="K850" s="245" t="s">
        <v>499</v>
      </c>
      <c r="L850" s="266">
        <f>C850/I850</f>
        <v>64.375</v>
      </c>
      <c r="M850" s="267">
        <f>D850/I850</f>
        <v>144.5</v>
      </c>
      <c r="N850" s="267">
        <f>D850/C850</f>
        <v>2.2446601941747573</v>
      </c>
      <c r="O850" s="239">
        <f>(F850*3.6+G850)*100/H850</f>
        <v>84.579595821699741</v>
      </c>
      <c r="P850" s="239">
        <f>(F850*3.6+G850)*100/H850</f>
        <v>84.579595821699741</v>
      </c>
      <c r="Q850" s="267">
        <f>F850/(C850*8760)*1000</f>
        <v>0.53819612537128159</v>
      </c>
      <c r="R850" s="267">
        <f>G850/(D850*8761)*1000/3.6</f>
        <v>0.56777954674084463</v>
      </c>
      <c r="S850" s="268">
        <f>G850/(F850*3.6)</f>
        <v>2.3683144029409995</v>
      </c>
      <c r="U850" s="214" t="s">
        <v>551</v>
      </c>
      <c r="V850" s="214">
        <f>G878/1000</f>
        <v>8.4845916000000017</v>
      </c>
      <c r="Z850" s="214">
        <f t="shared" si="307"/>
        <v>0</v>
      </c>
      <c r="AA850" s="214">
        <f t="shared" si="308"/>
        <v>0</v>
      </c>
    </row>
    <row r="851" spans="1:27" ht="13.15" customHeight="1">
      <c r="A851" s="266" t="s">
        <v>265</v>
      </c>
      <c r="B851" s="428">
        <v>263</v>
      </c>
      <c r="C851" s="428">
        <v>263</v>
      </c>
      <c r="D851" s="428">
        <v>489.3</v>
      </c>
      <c r="E851" s="427">
        <v>1004.78</v>
      </c>
      <c r="F851" s="427">
        <v>1004.78</v>
      </c>
      <c r="G851" s="428">
        <v>4767.4512000000004</v>
      </c>
      <c r="H851" s="428">
        <v>10075.284</v>
      </c>
      <c r="I851" s="441">
        <v>15</v>
      </c>
      <c r="J851" s="230"/>
      <c r="K851" s="245" t="s">
        <v>265</v>
      </c>
      <c r="L851" s="266">
        <f>C851/I851</f>
        <v>17.533333333333335</v>
      </c>
      <c r="M851" s="267">
        <f>D851/I851</f>
        <v>32.619999999999997</v>
      </c>
      <c r="N851" s="267">
        <f>D851/C851</f>
        <v>1.8604562737642587</v>
      </c>
      <c r="O851" s="239">
        <f>(F851*3.6+G851)*100/H851</f>
        <v>83.220077965047935</v>
      </c>
      <c r="P851" s="239">
        <f>(F851*3.6+G851)*100/H851</f>
        <v>83.220077965047935</v>
      </c>
      <c r="Q851" s="267">
        <f>F851/(C851*8760)*1000</f>
        <v>0.4361251454068788</v>
      </c>
      <c r="R851" s="267">
        <f>G851/(D851*8761)*1000/3.6</f>
        <v>0.30892628327710558</v>
      </c>
      <c r="S851" s="268">
        <f>G851/(F851*3.6)</f>
        <v>1.3179919982483728</v>
      </c>
      <c r="U851" s="214" t="s">
        <v>552</v>
      </c>
      <c r="V851" s="214">
        <f>(G875+G876+G877+G879+G881+G883+G884+G885+G886+G888+G889+G890+G891+G892)/1000</f>
        <v>2.0233224000000001</v>
      </c>
      <c r="Z851" s="214">
        <f t="shared" si="307"/>
        <v>0</v>
      </c>
      <c r="AA851" s="214">
        <f t="shared" si="308"/>
        <v>0</v>
      </c>
    </row>
    <row r="852" spans="1:27" ht="13.15" customHeight="1">
      <c r="A852" s="266" t="s">
        <v>266</v>
      </c>
      <c r="B852" s="216">
        <v>55.641000000000005</v>
      </c>
      <c r="C852" s="216">
        <v>55.641000000000005</v>
      </c>
      <c r="D852" s="204">
        <v>73.819999999999993</v>
      </c>
      <c r="E852" s="428">
        <v>133.874</v>
      </c>
      <c r="F852" s="428">
        <v>133.874</v>
      </c>
      <c r="G852" s="428">
        <v>520.28279999999995</v>
      </c>
      <c r="H852" s="428">
        <v>1357.93</v>
      </c>
      <c r="I852" s="363">
        <v>10</v>
      </c>
      <c r="J852" s="230"/>
      <c r="K852" s="245" t="s">
        <v>266</v>
      </c>
      <c r="L852" s="266">
        <f>C852/I852</f>
        <v>5.5641000000000007</v>
      </c>
      <c r="M852" s="267">
        <f>D852/I852</f>
        <v>7.3819999999999997</v>
      </c>
      <c r="N852" s="267">
        <f>D852/C852</f>
        <v>1.3267195054006935</v>
      </c>
      <c r="O852" s="239">
        <f>(F852*3.6+G852)*100/H852</f>
        <v>73.805660085571418</v>
      </c>
      <c r="P852" s="239">
        <f>(F852*3.6+G852)*100/H852</f>
        <v>73.805660085571418</v>
      </c>
      <c r="Q852" s="267">
        <f>F852/(C852*8760)*1000</f>
        <v>0.27466113282155602</v>
      </c>
      <c r="R852" s="267">
        <f>G852/(D852*8761)*1000/3.6</f>
        <v>0.22346486366282234</v>
      </c>
      <c r="S852" s="268">
        <f>G852/(F852*3.6)</f>
        <v>1.0795449452470232</v>
      </c>
      <c r="Z852" s="214">
        <f t="shared" si="307"/>
        <v>0</v>
      </c>
      <c r="AA852" s="214">
        <f t="shared" si="308"/>
        <v>0</v>
      </c>
    </row>
    <row r="853" spans="1:27" ht="13.15" customHeight="1">
      <c r="A853" s="353" t="s">
        <v>267</v>
      </c>
      <c r="B853" s="218"/>
      <c r="C853" s="218"/>
      <c r="D853" s="210"/>
      <c r="E853" s="204"/>
      <c r="F853" s="204"/>
      <c r="G853" s="400"/>
      <c r="H853" s="203"/>
      <c r="I853" s="401"/>
      <c r="J853" s="230"/>
      <c r="K853" s="245" t="s">
        <v>267</v>
      </c>
      <c r="L853" s="266"/>
      <c r="M853" s="267"/>
      <c r="N853" s="267"/>
      <c r="O853" s="239"/>
      <c r="P853" s="272"/>
      <c r="Q853" s="272"/>
      <c r="R853" s="274"/>
      <c r="S853" s="275"/>
      <c r="U853" s="214" t="s">
        <v>553</v>
      </c>
      <c r="V853" s="214">
        <f>H874/1000</f>
        <v>253.99488331428572</v>
      </c>
      <c r="Z853" s="214">
        <f t="shared" si="307"/>
        <v>0</v>
      </c>
      <c r="AA853" s="214">
        <f t="shared" si="308"/>
        <v>0</v>
      </c>
    </row>
    <row r="854" spans="1:27" ht="13.15" customHeight="1">
      <c r="A854" s="276" t="s">
        <v>500</v>
      </c>
      <c r="B854" s="277">
        <f t="shared" ref="B854:I854" si="309">SUM(B848:B853)</f>
        <v>3358.701</v>
      </c>
      <c r="C854" s="277">
        <f t="shared" si="309"/>
        <v>3358.701</v>
      </c>
      <c r="D854" s="277">
        <f t="shared" si="309"/>
        <v>10450.419999999998</v>
      </c>
      <c r="E854" s="277">
        <f t="shared" si="309"/>
        <v>16343.676415253769</v>
      </c>
      <c r="F854" s="277">
        <f t="shared" si="309"/>
        <v>16343.676415253769</v>
      </c>
      <c r="G854" s="277">
        <f t="shared" si="309"/>
        <v>197033.80679999996</v>
      </c>
      <c r="H854" s="277">
        <f t="shared" si="309"/>
        <v>310521.13855431043</v>
      </c>
      <c r="I854" s="278">
        <f t="shared" si="309"/>
        <v>106</v>
      </c>
      <c r="J854" s="244"/>
      <c r="K854" s="279" t="s">
        <v>169</v>
      </c>
      <c r="L854" s="280">
        <f>C854/I854</f>
        <v>31.685858490566037</v>
      </c>
      <c r="M854" s="281">
        <f>D854/I854</f>
        <v>98.588867924528287</v>
      </c>
      <c r="N854" s="281">
        <f>D854/C854</f>
        <v>3.1114469552365627</v>
      </c>
      <c r="O854" s="282">
        <f>(F854*3.6+G854)*100/H854</f>
        <v>82.400522903583735</v>
      </c>
      <c r="P854" s="282">
        <f>(F854*3.6+G854)*100/H854</f>
        <v>82.400522903583735</v>
      </c>
      <c r="Q854" s="283">
        <f>F854/(C854*8760)*1000</f>
        <v>0.55548751906155458</v>
      </c>
      <c r="R854" s="283">
        <f>G854/(D854*8761)*1000/3.6</f>
        <v>0.59779299569740807</v>
      </c>
      <c r="S854" s="284">
        <f>G854/(F854*3.6)</f>
        <v>3.348794457831914</v>
      </c>
      <c r="U854" s="214" t="s">
        <v>554</v>
      </c>
      <c r="V854" s="214">
        <f>H880/1000</f>
        <v>1.784</v>
      </c>
    </row>
    <row r="855" spans="1:27" ht="13.15" customHeight="1">
      <c r="A855" s="285" t="s">
        <v>501</v>
      </c>
      <c r="B855" s="228" t="s">
        <v>476</v>
      </c>
      <c r="C855" s="228"/>
      <c r="D855" s="286"/>
      <c r="E855" s="227" t="s">
        <v>477</v>
      </c>
      <c r="F855" s="228"/>
      <c r="G855" s="229"/>
      <c r="H855" s="200" t="s">
        <v>138</v>
      </c>
      <c r="I855" s="354" t="s">
        <v>478</v>
      </c>
      <c r="J855" s="244"/>
      <c r="K855" s="287" t="s">
        <v>501</v>
      </c>
      <c r="L855" s="288" t="s">
        <v>479</v>
      </c>
      <c r="M855" s="228"/>
      <c r="N855" s="286"/>
      <c r="O855" s="227" t="s">
        <v>480</v>
      </c>
      <c r="P855" s="228"/>
      <c r="Q855" s="228"/>
      <c r="R855" s="229"/>
      <c r="S855" s="289"/>
      <c r="U855" s="214" t="s">
        <v>555</v>
      </c>
      <c r="V855" s="214">
        <f>H882/1000</f>
        <v>10.094868</v>
      </c>
    </row>
    <row r="856" spans="1:27" ht="13.15" customHeight="1">
      <c r="A856" s="442"/>
      <c r="B856" s="240" t="s">
        <v>481</v>
      </c>
      <c r="C856" s="240"/>
      <c r="D856" s="241" t="s">
        <v>34</v>
      </c>
      <c r="E856" s="242" t="s">
        <v>482</v>
      </c>
      <c r="F856" s="243"/>
      <c r="G856" s="244" t="s">
        <v>34</v>
      </c>
      <c r="H856" s="241" t="s">
        <v>170</v>
      </c>
      <c r="I856" s="349" t="s">
        <v>483</v>
      </c>
      <c r="J856" s="244"/>
      <c r="K856" s="245"/>
      <c r="L856" s="246" t="s">
        <v>484</v>
      </c>
      <c r="M856" s="247"/>
      <c r="N856" s="248" t="s">
        <v>485</v>
      </c>
      <c r="O856" s="248" t="s">
        <v>486</v>
      </c>
      <c r="P856" s="248" t="s">
        <v>486</v>
      </c>
      <c r="Q856" s="247" t="s">
        <v>487</v>
      </c>
      <c r="R856" s="249"/>
      <c r="S856" s="250" t="s">
        <v>485</v>
      </c>
      <c r="U856" s="214" t="s">
        <v>556</v>
      </c>
      <c r="V856" s="214">
        <f>H887/1000</f>
        <v>224.97169360000001</v>
      </c>
    </row>
    <row r="857" spans="1:27" ht="13.15" customHeight="1">
      <c r="A857" s="443" t="s">
        <v>488</v>
      </c>
      <c r="B857" s="252" t="s">
        <v>0</v>
      </c>
      <c r="C857" s="252" t="s">
        <v>489</v>
      </c>
      <c r="D857" s="252" t="s">
        <v>490</v>
      </c>
      <c r="E857" s="252" t="s">
        <v>491</v>
      </c>
      <c r="F857" s="252" t="s">
        <v>489</v>
      </c>
      <c r="G857" s="230" t="s">
        <v>490</v>
      </c>
      <c r="H857" s="248"/>
      <c r="I857" s="349" t="s">
        <v>492</v>
      </c>
      <c r="J857" s="244"/>
      <c r="K857" s="253" t="s">
        <v>488</v>
      </c>
      <c r="L857" s="254" t="s">
        <v>88</v>
      </c>
      <c r="M857" s="252" t="s">
        <v>34</v>
      </c>
      <c r="N857" s="252" t="s">
        <v>493</v>
      </c>
      <c r="O857" s="248" t="s">
        <v>494</v>
      </c>
      <c r="P857" s="248" t="s">
        <v>495</v>
      </c>
      <c r="Q857" s="230" t="s">
        <v>88</v>
      </c>
      <c r="R857" s="248" t="s">
        <v>34</v>
      </c>
      <c r="S857" s="255" t="s">
        <v>88</v>
      </c>
      <c r="U857" s="214" t="s">
        <v>557</v>
      </c>
      <c r="V857" s="214">
        <f>H878/1000</f>
        <v>14.141628000000001</v>
      </c>
    </row>
    <row r="858" spans="1:27" ht="13.15" customHeight="1">
      <c r="A858" s="266"/>
      <c r="B858" s="257" t="s">
        <v>496</v>
      </c>
      <c r="C858" s="257" t="s">
        <v>496</v>
      </c>
      <c r="D858" s="256" t="s">
        <v>496</v>
      </c>
      <c r="E858" s="256" t="s">
        <v>473</v>
      </c>
      <c r="F858" s="256" t="s">
        <v>473</v>
      </c>
      <c r="G858" s="259" t="s">
        <v>451</v>
      </c>
      <c r="H858" s="257" t="s">
        <v>497</v>
      </c>
      <c r="I858" s="351" t="s">
        <v>498</v>
      </c>
      <c r="J858" s="244"/>
      <c r="K858" s="245"/>
      <c r="L858" s="258" t="s">
        <v>496</v>
      </c>
      <c r="M858" s="256" t="s">
        <v>496</v>
      </c>
      <c r="N858" s="256"/>
      <c r="O858" s="257" t="s">
        <v>79</v>
      </c>
      <c r="P858" s="257" t="s">
        <v>79</v>
      </c>
      <c r="Q858" s="259"/>
      <c r="R858" s="257"/>
      <c r="S858" s="260"/>
      <c r="U858" s="214" t="s">
        <v>558</v>
      </c>
      <c r="V858" s="214">
        <f>(H875+H876+H877+H879+H881+H883+H884+H885+H886+H888+H889+H890+H891+H892)/1000</f>
        <v>3.0026937142857149</v>
      </c>
    </row>
    <row r="859" spans="1:27" ht="13.15" customHeight="1">
      <c r="A859" s="352" t="s">
        <v>262</v>
      </c>
      <c r="B859" s="428">
        <v>970.8</v>
      </c>
      <c r="C859" s="444">
        <v>1133</v>
      </c>
      <c r="D859" s="428">
        <v>1015</v>
      </c>
      <c r="E859" s="428">
        <v>4858.4430000000002</v>
      </c>
      <c r="F859" s="444">
        <v>5420.924</v>
      </c>
      <c r="G859" s="428">
        <v>17801.456400000003</v>
      </c>
      <c r="H859" s="319">
        <v>44205.496300000013</v>
      </c>
      <c r="I859" s="445">
        <v>7</v>
      </c>
      <c r="J859" s="244"/>
      <c r="K859" s="265" t="s">
        <v>262</v>
      </c>
      <c r="L859" s="266">
        <f>B859/I859</f>
        <v>138.68571428571428</v>
      </c>
      <c r="M859" s="267">
        <f>D859/I859</f>
        <v>145</v>
      </c>
      <c r="N859" s="267">
        <f>D859/B859</f>
        <v>1.0455294602389782</v>
      </c>
      <c r="O859" s="239">
        <f>(F859*3.6+G859)*100/H859</f>
        <v>84.416613144098989</v>
      </c>
      <c r="P859" s="267">
        <f>(E859*3.6+G859)*100/H859</f>
        <v>79.835889547517638</v>
      </c>
      <c r="Q859" s="267">
        <f>E859/(B859*8760)*1000</f>
        <v>0.57129870294799945</v>
      </c>
      <c r="R859" s="267">
        <f>G859/(D859*8761)*1000/3.6</f>
        <v>0.55607492452837626</v>
      </c>
      <c r="S859" s="268">
        <f>G859/(E859*3.6)</f>
        <v>1.0177847100398214</v>
      </c>
      <c r="U859" s="220"/>
      <c r="Z859" s="214">
        <f t="shared" ref="Z859:Z866" si="310">C859-B859</f>
        <v>162.20000000000005</v>
      </c>
      <c r="AA859" s="214">
        <f t="shared" ref="AA859:AA866" si="311">F859-E859</f>
        <v>562.48099999999977</v>
      </c>
    </row>
    <row r="860" spans="1:27" ht="13.15" customHeight="1">
      <c r="A860" s="266" t="s">
        <v>263</v>
      </c>
      <c r="B860" s="428">
        <v>563.04999999999995</v>
      </c>
      <c r="C860" s="444">
        <v>932.09</v>
      </c>
      <c r="D860" s="428">
        <v>1765.3</v>
      </c>
      <c r="E860" s="428">
        <v>2973.3690000000001</v>
      </c>
      <c r="F860" s="444">
        <v>4402.6927468421054</v>
      </c>
      <c r="G860" s="428">
        <v>29762.402400000003</v>
      </c>
      <c r="H860" s="319">
        <v>64466.474791065906</v>
      </c>
      <c r="I860" s="441">
        <v>10</v>
      </c>
      <c r="J860" s="244"/>
      <c r="K860" s="245" t="s">
        <v>263</v>
      </c>
      <c r="L860" s="266">
        <f>B860/I860</f>
        <v>56.304999999999993</v>
      </c>
      <c r="M860" s="267">
        <f>D860/I860</f>
        <v>176.53</v>
      </c>
      <c r="N860" s="267">
        <f>D860/B860</f>
        <v>3.1352455376964747</v>
      </c>
      <c r="O860" s="239">
        <f>(F860*3.6+G860)*100/H860</f>
        <v>70.753203795397766</v>
      </c>
      <c r="P860" s="267">
        <f>(E860*3.6+G860)*100/H860</f>
        <v>62.771434192967639</v>
      </c>
      <c r="Q860" s="267">
        <f>E860/(B860*8760)*1000</f>
        <v>0.60283400218720695</v>
      </c>
      <c r="R860" s="267">
        <f>G860/(D860*8761)*1000/3.6</f>
        <v>0.53455609031060836</v>
      </c>
      <c r="S860" s="268">
        <f>G860/(E860*3.6)</f>
        <v>2.7804601447045423</v>
      </c>
      <c r="U860" s="239" t="s">
        <v>152</v>
      </c>
      <c r="V860" s="492">
        <f>B875/1000</f>
        <v>0</v>
      </c>
      <c r="Z860" s="214">
        <f t="shared" si="310"/>
        <v>369.04000000000008</v>
      </c>
      <c r="AA860" s="214">
        <f t="shared" si="311"/>
        <v>1429.3237468421053</v>
      </c>
    </row>
    <row r="861" spans="1:27" ht="13.15" customHeight="1">
      <c r="A861" s="266" t="s">
        <v>499</v>
      </c>
      <c r="B861" s="428">
        <v>869</v>
      </c>
      <c r="C861" s="444">
        <v>1680.5</v>
      </c>
      <c r="D861" s="428">
        <v>2054</v>
      </c>
      <c r="E861" s="428">
        <v>3960.6762631578949</v>
      </c>
      <c r="F861" s="444">
        <v>8207.3582631578938</v>
      </c>
      <c r="G861" s="428">
        <v>27408.276000000002</v>
      </c>
      <c r="H861" s="319">
        <v>88026.337595488731</v>
      </c>
      <c r="I861" s="441">
        <v>13</v>
      </c>
      <c r="J861" s="244"/>
      <c r="K861" s="245" t="s">
        <v>499</v>
      </c>
      <c r="L861" s="266">
        <f>B861/I861</f>
        <v>66.84615384615384</v>
      </c>
      <c r="M861" s="267">
        <f>D861/I861</f>
        <v>158</v>
      </c>
      <c r="N861" s="267">
        <f>D861/B861</f>
        <v>2.3636363636363638</v>
      </c>
      <c r="O861" s="239">
        <f>(F861*3.6+G861)*100/H861</f>
        <v>64.701960007804871</v>
      </c>
      <c r="P861" s="267">
        <f>(E861*3.6+G861)*100/H861</f>
        <v>47.334367969324447</v>
      </c>
      <c r="Q861" s="267">
        <f>E861/(B861*8760)*1000</f>
        <v>0.52028998102551804</v>
      </c>
      <c r="R861" s="267">
        <f>G861/(D861*8761)*1000/3.6</f>
        <v>0.42308253571779064</v>
      </c>
      <c r="S861" s="268">
        <f>G861/(E861*3.6)</f>
        <v>1.9222500134180966</v>
      </c>
      <c r="U861" s="239" t="s">
        <v>504</v>
      </c>
      <c r="V861" s="492">
        <f t="shared" ref="V861:V877" si="312">B876/1000</f>
        <v>0</v>
      </c>
      <c r="Z861" s="214">
        <f t="shared" si="310"/>
        <v>811.5</v>
      </c>
      <c r="AA861" s="214">
        <f t="shared" si="311"/>
        <v>4246.6819999999989</v>
      </c>
    </row>
    <row r="862" spans="1:27" ht="13.15" customHeight="1">
      <c r="A862" s="266" t="s">
        <v>265</v>
      </c>
      <c r="B862" s="428">
        <v>50</v>
      </c>
      <c r="C862" s="444">
        <v>74</v>
      </c>
      <c r="D862" s="428">
        <v>80</v>
      </c>
      <c r="E862" s="428">
        <v>312.13400000000001</v>
      </c>
      <c r="F862" s="444">
        <v>325.85500000000002</v>
      </c>
      <c r="G862" s="428">
        <v>2298.3876</v>
      </c>
      <c r="H862" s="319">
        <v>3993.5856000000008</v>
      </c>
      <c r="I862" s="441">
        <v>1</v>
      </c>
      <c r="J862" s="244"/>
      <c r="K862" s="245" t="s">
        <v>265</v>
      </c>
      <c r="L862" s="266">
        <f>B862/I862</f>
        <v>50</v>
      </c>
      <c r="M862" s="267">
        <f>D862/I862</f>
        <v>80</v>
      </c>
      <c r="N862" s="267">
        <f>D862/B862</f>
        <v>1.6</v>
      </c>
      <c r="O862" s="239">
        <f>(F862*3.6+G862)*100/H862</f>
        <v>86.926034589067029</v>
      </c>
      <c r="P862" s="267">
        <f>(E862*3.6+G862)*100/H862</f>
        <v>85.689161138802163</v>
      </c>
      <c r="Q862" s="267">
        <f>E862/(B862*8760)*1000</f>
        <v>0.71263470319634703</v>
      </c>
      <c r="R862" s="267">
        <f>G862/(D862*8761)*1000/3.6</f>
        <v>0.91091342312521395</v>
      </c>
      <c r="S862" s="268">
        <f>G862/(E862*3.6)</f>
        <v>2.0454067804212293</v>
      </c>
      <c r="U862" s="239" t="s">
        <v>505</v>
      </c>
      <c r="V862" s="492">
        <f t="shared" si="312"/>
        <v>0</v>
      </c>
      <c r="Z862" s="214">
        <f t="shared" si="310"/>
        <v>24</v>
      </c>
      <c r="AA862" s="214">
        <f t="shared" si="311"/>
        <v>13.721000000000004</v>
      </c>
    </row>
    <row r="863" spans="1:27" ht="13.15" customHeight="1">
      <c r="A863" s="266" t="s">
        <v>266</v>
      </c>
      <c r="B863" s="446"/>
      <c r="C863" s="320"/>
      <c r="D863" s="320"/>
      <c r="E863" s="320"/>
      <c r="F863" s="319"/>
      <c r="G863" s="321"/>
      <c r="H863" s="319"/>
      <c r="I863" s="370"/>
      <c r="J863" s="244"/>
      <c r="K863" s="245" t="s">
        <v>266</v>
      </c>
      <c r="L863" s="266" t="e">
        <f>B863/I863</f>
        <v>#DIV/0!</v>
      </c>
      <c r="M863" s="267" t="e">
        <f>D863/I863</f>
        <v>#DIV/0!</v>
      </c>
      <c r="N863" s="267" t="e">
        <f>D863/B863</f>
        <v>#DIV/0!</v>
      </c>
      <c r="O863" s="239" t="e">
        <f>(F863*3.6+G863)*100/H863</f>
        <v>#DIV/0!</v>
      </c>
      <c r="P863" s="267" t="e">
        <f>(E863*3.6+G863)*100/H863</f>
        <v>#DIV/0!</v>
      </c>
      <c r="Q863" s="267" t="e">
        <f>E863/(B863*8760)*1000</f>
        <v>#DIV/0!</v>
      </c>
      <c r="R863" s="267" t="e">
        <f>G863/(D863*8761)*1000/3.6</f>
        <v>#DIV/0!</v>
      </c>
      <c r="S863" s="268" t="e">
        <f>G863/(E863*3.6)</f>
        <v>#DIV/0!</v>
      </c>
      <c r="U863" s="239" t="s">
        <v>506</v>
      </c>
      <c r="V863" s="492">
        <f t="shared" si="312"/>
        <v>0.1176</v>
      </c>
      <c r="Z863" s="214">
        <f t="shared" si="310"/>
        <v>0</v>
      </c>
      <c r="AA863" s="214">
        <f t="shared" si="311"/>
        <v>0</v>
      </c>
    </row>
    <row r="864" spans="1:27" ht="13.15" customHeight="1">
      <c r="A864" s="353" t="s">
        <v>267</v>
      </c>
      <c r="B864" s="447"/>
      <c r="C864" s="428"/>
      <c r="D864" s="428"/>
      <c r="E864" s="428"/>
      <c r="F864" s="428"/>
      <c r="G864" s="428"/>
      <c r="H864" s="428"/>
      <c r="I864" s="430"/>
      <c r="J864" s="244"/>
      <c r="K864" s="245" t="s">
        <v>267</v>
      </c>
      <c r="L864" s="266"/>
      <c r="M864" s="267"/>
      <c r="N864" s="267"/>
      <c r="O864" s="239"/>
      <c r="P864" s="267"/>
      <c r="Q864" s="272"/>
      <c r="R864" s="274"/>
      <c r="S864" s="275"/>
      <c r="U864" s="239" t="s">
        <v>507</v>
      </c>
      <c r="V864" s="492">
        <f t="shared" si="312"/>
        <v>0</v>
      </c>
      <c r="Z864" s="214">
        <f t="shared" si="310"/>
        <v>0</v>
      </c>
      <c r="AA864" s="214">
        <f t="shared" si="311"/>
        <v>0</v>
      </c>
    </row>
    <row r="865" spans="1:27" ht="13.15" customHeight="1">
      <c r="A865" s="276" t="s">
        <v>500</v>
      </c>
      <c r="B865" s="292">
        <f>SUM(B859:B864)</f>
        <v>2452.85</v>
      </c>
      <c r="C865" s="291">
        <f t="shared" ref="C865:I865" si="313">SUM(C859:C864)</f>
        <v>3819.59</v>
      </c>
      <c r="D865" s="291">
        <f t="shared" si="313"/>
        <v>4914.3</v>
      </c>
      <c r="E865" s="291">
        <f t="shared" si="313"/>
        <v>12104.622263157895</v>
      </c>
      <c r="F865" s="291">
        <f t="shared" si="313"/>
        <v>18356.830009999998</v>
      </c>
      <c r="G865" s="291">
        <f t="shared" si="313"/>
        <v>77270.522400000002</v>
      </c>
      <c r="H865" s="291">
        <f t="shared" si="313"/>
        <v>200691.89428655466</v>
      </c>
      <c r="I865" s="293">
        <f t="shared" si="313"/>
        <v>31</v>
      </c>
      <c r="J865" s="244"/>
      <c r="K865" s="279" t="s">
        <v>169</v>
      </c>
      <c r="L865" s="280">
        <f>B865/I865</f>
        <v>79.124193548387098</v>
      </c>
      <c r="M865" s="281">
        <f>D865/I865</f>
        <v>158.52580645161291</v>
      </c>
      <c r="N865" s="281">
        <f>D865/B865</f>
        <v>2.0035061255274478</v>
      </c>
      <c r="O865" s="294">
        <f>(F865*3.6+G865)*100/H865</f>
        <v>71.430443638801236</v>
      </c>
      <c r="P865" s="295">
        <f>(E865*3.6+G865)*100/H865</f>
        <v>60.215268273276038</v>
      </c>
      <c r="Q865" s="283">
        <f>E865/(B865*8760)*1000</f>
        <v>0.56334720607636724</v>
      </c>
      <c r="R865" s="283">
        <f>G865/(D865*8761)*1000/3.6</f>
        <v>0.49853540012534392</v>
      </c>
      <c r="S865" s="284">
        <f>G865/(E865*3.6)</f>
        <v>1.7732097320648146</v>
      </c>
      <c r="U865" s="239" t="s">
        <v>156</v>
      </c>
      <c r="V865" s="492">
        <f t="shared" si="312"/>
        <v>1.2500000000000001E-2</v>
      </c>
      <c r="Z865" s="214">
        <f t="shared" si="310"/>
        <v>1366.7400000000002</v>
      </c>
      <c r="AA865" s="214">
        <f t="shared" si="311"/>
        <v>6252.207746842103</v>
      </c>
    </row>
    <row r="866" spans="1:27" ht="13.15" customHeight="1" thickBot="1">
      <c r="A866" s="296" t="s">
        <v>502</v>
      </c>
      <c r="B866" s="297">
        <f t="shared" ref="B866:I866" si="314">B854+B865</f>
        <v>5811.5509999999995</v>
      </c>
      <c r="C866" s="297">
        <f>C865+C854</f>
        <v>7178.2910000000002</v>
      </c>
      <c r="D866" s="297">
        <f t="shared" si="314"/>
        <v>15364.719999999998</v>
      </c>
      <c r="E866" s="297">
        <f t="shared" si="314"/>
        <v>28448.298678411666</v>
      </c>
      <c r="F866" s="297">
        <f>F865+F854</f>
        <v>34700.50642525377</v>
      </c>
      <c r="G866" s="297">
        <f t="shared" si="314"/>
        <v>274304.32919999998</v>
      </c>
      <c r="H866" s="297">
        <f t="shared" si="314"/>
        <v>511213.03284086508</v>
      </c>
      <c r="I866" s="448">
        <f t="shared" si="314"/>
        <v>137</v>
      </c>
      <c r="J866" s="244"/>
      <c r="K866" s="296" t="s">
        <v>502</v>
      </c>
      <c r="L866" s="299">
        <f>B866/I866</f>
        <v>42.420080291970798</v>
      </c>
      <c r="M866" s="300">
        <f>D866/I866</f>
        <v>112.15124087591239</v>
      </c>
      <c r="N866" s="300">
        <f>D866/B866</f>
        <v>2.6438243422452969</v>
      </c>
      <c r="O866" s="301">
        <f>(F866*3.6+G866)*100/H866</f>
        <v>78.093891721103319</v>
      </c>
      <c r="P866" s="301">
        <f>(E866*3.6+G866)*100/H866</f>
        <v>73.691040768037325</v>
      </c>
      <c r="Q866" s="301">
        <f>E866/(B866*8760)*1000</f>
        <v>0.55880481478764965</v>
      </c>
      <c r="R866" s="301">
        <f>G866/(D866*8761)*1000/3.6</f>
        <v>0.56604613653435176</v>
      </c>
      <c r="S866" s="302">
        <f>G866/(E866*3.6)</f>
        <v>2.6783902918532694</v>
      </c>
      <c r="T866" s="309"/>
      <c r="U866" s="239" t="s">
        <v>508</v>
      </c>
      <c r="V866" s="492">
        <f t="shared" si="312"/>
        <v>0</v>
      </c>
      <c r="Z866" s="214">
        <f t="shared" si="310"/>
        <v>1366.7400000000007</v>
      </c>
      <c r="AA866" s="214">
        <f t="shared" si="311"/>
        <v>6252.2077468421048</v>
      </c>
    </row>
    <row r="867" spans="1:27" ht="13.15" customHeight="1">
      <c r="U867" s="239" t="s">
        <v>509</v>
      </c>
      <c r="V867" s="492">
        <f t="shared" si="312"/>
        <v>5.5049999999999995E-2</v>
      </c>
    </row>
    <row r="868" spans="1:27" ht="13.15" customHeight="1">
      <c r="A868" s="251" t="s">
        <v>139</v>
      </c>
      <c r="B868" s="227" t="s">
        <v>476</v>
      </c>
      <c r="C868" s="228"/>
      <c r="D868" s="286"/>
      <c r="E868" s="227" t="s">
        <v>477</v>
      </c>
      <c r="F868" s="228"/>
      <c r="G868" s="229"/>
      <c r="H868" s="200" t="s">
        <v>138</v>
      </c>
      <c r="I868" s="200" t="s">
        <v>478</v>
      </c>
      <c r="J868" s="230"/>
      <c r="K868" s="303" t="s">
        <v>503</v>
      </c>
      <c r="L868" s="227" t="s">
        <v>479</v>
      </c>
      <c r="M868" s="228"/>
      <c r="N868" s="286"/>
      <c r="O868" s="227" t="s">
        <v>480</v>
      </c>
      <c r="P868" s="228"/>
      <c r="Q868" s="228"/>
      <c r="R868" s="229"/>
      <c r="S868" s="286"/>
      <c r="U868" s="239" t="s">
        <v>510</v>
      </c>
      <c r="V868" s="492">
        <f t="shared" si="312"/>
        <v>0</v>
      </c>
    </row>
    <row r="869" spans="1:27" ht="13.15" customHeight="1">
      <c r="A869" s="239"/>
      <c r="B869" s="240" t="s">
        <v>9</v>
      </c>
      <c r="C869" s="240"/>
      <c r="D869" s="241" t="s">
        <v>34</v>
      </c>
      <c r="E869" s="242" t="s">
        <v>88</v>
      </c>
      <c r="F869" s="243"/>
      <c r="G869" s="244" t="s">
        <v>34</v>
      </c>
      <c r="H869" s="241" t="s">
        <v>170</v>
      </c>
      <c r="I869" s="241" t="s">
        <v>483</v>
      </c>
      <c r="J869" s="230"/>
      <c r="K869" s="305"/>
      <c r="L869" s="306" t="s">
        <v>484</v>
      </c>
      <c r="M869" s="247"/>
      <c r="N869" s="248" t="s">
        <v>485</v>
      </c>
      <c r="O869" s="248" t="s">
        <v>486</v>
      </c>
      <c r="P869" s="248" t="s">
        <v>486</v>
      </c>
      <c r="Q869" s="247" t="s">
        <v>487</v>
      </c>
      <c r="R869" s="249"/>
      <c r="S869" s="307" t="s">
        <v>485</v>
      </c>
      <c r="U869" s="239" t="s">
        <v>511</v>
      </c>
      <c r="V869" s="492">
        <f t="shared" si="312"/>
        <v>0</v>
      </c>
    </row>
    <row r="870" spans="1:27" ht="13.15" customHeight="1">
      <c r="A870" s="239"/>
      <c r="B870" s="252" t="s">
        <v>0</v>
      </c>
      <c r="C870" s="252" t="s">
        <v>489</v>
      </c>
      <c r="D870" s="252" t="s">
        <v>490</v>
      </c>
      <c r="E870" s="252" t="s">
        <v>491</v>
      </c>
      <c r="F870" s="252" t="s">
        <v>489</v>
      </c>
      <c r="G870" s="230" t="s">
        <v>490</v>
      </c>
      <c r="H870" s="248"/>
      <c r="I870" s="241" t="s">
        <v>492</v>
      </c>
      <c r="J870" s="230"/>
      <c r="K870" s="305"/>
      <c r="L870" s="248" t="s">
        <v>88</v>
      </c>
      <c r="M870" s="252" t="s">
        <v>34</v>
      </c>
      <c r="N870" s="252" t="s">
        <v>493</v>
      </c>
      <c r="O870" s="248" t="s">
        <v>494</v>
      </c>
      <c r="P870" s="248" t="s">
        <v>495</v>
      </c>
      <c r="Q870" s="230" t="s">
        <v>88</v>
      </c>
      <c r="R870" s="248" t="s">
        <v>34</v>
      </c>
      <c r="S870" s="252" t="s">
        <v>88</v>
      </c>
      <c r="U870" s="239" t="s">
        <v>512</v>
      </c>
      <c r="V870" s="492">
        <f t="shared" si="312"/>
        <v>2.8E-3</v>
      </c>
    </row>
    <row r="871" spans="1:27" ht="13.15" customHeight="1">
      <c r="A871" s="239"/>
      <c r="B871" s="257" t="s">
        <v>496</v>
      </c>
      <c r="C871" s="256" t="s">
        <v>496</v>
      </c>
      <c r="D871" s="256" t="s">
        <v>496</v>
      </c>
      <c r="E871" s="256" t="s">
        <v>473</v>
      </c>
      <c r="F871" s="257" t="s">
        <v>473</v>
      </c>
      <c r="G871" s="259" t="s">
        <v>451</v>
      </c>
      <c r="H871" s="257" t="s">
        <v>497</v>
      </c>
      <c r="I871" s="257" t="s">
        <v>498</v>
      </c>
      <c r="J871" s="230"/>
      <c r="K871" s="305"/>
      <c r="L871" s="257" t="s">
        <v>496</v>
      </c>
      <c r="M871" s="256" t="s">
        <v>496</v>
      </c>
      <c r="N871" s="256"/>
      <c r="O871" s="257" t="s">
        <v>79</v>
      </c>
      <c r="P871" s="257" t="s">
        <v>79</v>
      </c>
      <c r="Q871" s="259"/>
      <c r="R871" s="257"/>
      <c r="S871" s="256"/>
      <c r="U871" s="239" t="s">
        <v>513</v>
      </c>
      <c r="V871" s="492">
        <f t="shared" si="312"/>
        <v>0</v>
      </c>
    </row>
    <row r="872" spans="1:27" ht="13.15" customHeight="1">
      <c r="A872" s="251" t="s">
        <v>150</v>
      </c>
      <c r="B872" s="422">
        <v>3970.581000000001</v>
      </c>
      <c r="C872" s="422">
        <v>5008.9710000000014</v>
      </c>
      <c r="D872" s="422">
        <v>7148.3</v>
      </c>
      <c r="E872" s="422">
        <v>18000.114941569562</v>
      </c>
      <c r="F872" s="422">
        <v>24013.474688411668</v>
      </c>
      <c r="G872" s="422">
        <v>109198.92600000001</v>
      </c>
      <c r="H872" s="422">
        <v>257218.14952657933</v>
      </c>
      <c r="I872" s="423">
        <v>89</v>
      </c>
      <c r="J872" s="244"/>
      <c r="K872" s="303" t="s">
        <v>150</v>
      </c>
      <c r="L872" s="312">
        <f>B872/I872</f>
        <v>44.613269662921361</v>
      </c>
      <c r="M872" s="313">
        <f>D872/I872</f>
        <v>80.317977528089884</v>
      </c>
      <c r="N872" s="313">
        <f>D872/B872</f>
        <v>1.8003158731681832</v>
      </c>
      <c r="O872" s="312">
        <f>(F872*3.6+G872)*100/H872</f>
        <v>76.062842081081456</v>
      </c>
      <c r="P872" s="313">
        <f>(E872*3.6+G872)*100/H872</f>
        <v>67.646602741643008</v>
      </c>
      <c r="Q872" s="313">
        <f>E872/(B872*8760)*1000</f>
        <v>0.51750805278413525</v>
      </c>
      <c r="R872" s="313">
        <f>G872/(D872*8761)*1000/3.6</f>
        <v>0.48435012392717464</v>
      </c>
      <c r="S872" s="313">
        <f>G872/(E872*3.6)</f>
        <v>1.6851578502950959</v>
      </c>
      <c r="U872" s="239" t="s">
        <v>514</v>
      </c>
      <c r="V872" s="492">
        <f t="shared" si="312"/>
        <v>1.6355999999999999</v>
      </c>
      <c r="Z872" s="214">
        <f>C872-B872</f>
        <v>1038.3900000000003</v>
      </c>
      <c r="AA872" s="214">
        <f>F872-E872</f>
        <v>6013.3597468421067</v>
      </c>
    </row>
    <row r="873" spans="1:27" ht="13.15" customHeight="1">
      <c r="A873" s="239"/>
      <c r="B873" s="252"/>
      <c r="C873" s="252"/>
      <c r="D873" s="252"/>
      <c r="E873" s="267"/>
      <c r="F873" s="267"/>
      <c r="G873" s="248"/>
      <c r="H873" s="252"/>
      <c r="I873" s="248"/>
      <c r="J873" s="230"/>
      <c r="K873" s="239"/>
      <c r="L873" s="312"/>
      <c r="M873" s="267"/>
      <c r="N873" s="267"/>
      <c r="O873" s="239"/>
      <c r="P873" s="313"/>
      <c r="Q873" s="267"/>
      <c r="R873" s="267"/>
      <c r="S873" s="239"/>
      <c r="U873" s="239" t="s">
        <v>515</v>
      </c>
      <c r="V873" s="492">
        <f t="shared" si="312"/>
        <v>0</v>
      </c>
      <c r="Z873" s="214">
        <f t="shared" ref="Z873:Z893" si="315">C873-B873</f>
        <v>0</v>
      </c>
      <c r="AA873" s="214">
        <f t="shared" ref="AA873:AA893" si="316">F873-E873</f>
        <v>0</v>
      </c>
    </row>
    <row r="874" spans="1:27" ht="13.15" customHeight="1">
      <c r="A874" s="312" t="s">
        <v>7</v>
      </c>
      <c r="B874" s="205">
        <f>SUM(B875:B892)</f>
        <v>1840.97</v>
      </c>
      <c r="C874" s="205">
        <f t="shared" ref="C874:I874" si="317">SUM(C875:C892)</f>
        <v>2169.3200000000002</v>
      </c>
      <c r="D874" s="205">
        <f t="shared" si="317"/>
        <v>8216.42</v>
      </c>
      <c r="E874" s="205">
        <f t="shared" si="317"/>
        <v>10448.183736842106</v>
      </c>
      <c r="F874" s="205">
        <f t="shared" si="317"/>
        <v>10687.031736842106</v>
      </c>
      <c r="G874" s="205">
        <f t="shared" si="317"/>
        <v>165105.4032</v>
      </c>
      <c r="H874" s="205">
        <f t="shared" si="317"/>
        <v>253994.88331428572</v>
      </c>
      <c r="I874" s="205">
        <f t="shared" si="317"/>
        <v>48</v>
      </c>
      <c r="J874" s="244"/>
      <c r="K874" s="318" t="s">
        <v>7</v>
      </c>
      <c r="L874" s="312">
        <f>B874/I874</f>
        <v>38.353541666666665</v>
      </c>
      <c r="M874" s="313">
        <f>D874/I874</f>
        <v>171.17541666666668</v>
      </c>
      <c r="N874" s="313">
        <f>D874/B874</f>
        <v>4.4630928260645204</v>
      </c>
      <c r="O874" s="312">
        <f t="shared" ref="O874:O891" si="318">(F874*3.6+G874)*100/H874</f>
        <v>80.150715949946644</v>
      </c>
      <c r="P874" s="313">
        <f>(E874*3.6+G874)*100/H874</f>
        <v>79.812184406011554</v>
      </c>
      <c r="Q874" s="313">
        <f>E874/(B874*8760)*1000</f>
        <v>0.64787315298581449</v>
      </c>
      <c r="R874" s="313">
        <f>G874/(D874*8761)*1000/3.6</f>
        <v>0.63712181267065993</v>
      </c>
      <c r="S874" s="313">
        <f>G874/(E874*3.6)</f>
        <v>4.389529621141758</v>
      </c>
      <c r="U874" s="239" t="s">
        <v>516</v>
      </c>
      <c r="V874" s="492">
        <f t="shared" si="312"/>
        <v>9.9600000000000001E-3</v>
      </c>
      <c r="Z874" s="214">
        <f t="shared" si="315"/>
        <v>328.35000000000014</v>
      </c>
      <c r="AA874" s="214">
        <f t="shared" si="316"/>
        <v>238.84799999999996</v>
      </c>
    </row>
    <row r="875" spans="1:27" ht="13.15" customHeight="1">
      <c r="A875" s="239" t="s">
        <v>152</v>
      </c>
      <c r="B875" s="204">
        <v>0</v>
      </c>
      <c r="C875" s="204">
        <v>0</v>
      </c>
      <c r="D875" s="204">
        <v>0</v>
      </c>
      <c r="E875" s="204">
        <v>0</v>
      </c>
      <c r="F875" s="204">
        <v>0</v>
      </c>
      <c r="G875" s="204">
        <v>0</v>
      </c>
      <c r="H875" s="204">
        <v>0</v>
      </c>
      <c r="I875" s="204">
        <v>0</v>
      </c>
      <c r="J875" s="230"/>
      <c r="K875" s="305" t="s">
        <v>152</v>
      </c>
      <c r="L875" s="239" t="e">
        <f t="shared" ref="L875:L891" si="319">B875/I875</f>
        <v>#DIV/0!</v>
      </c>
      <c r="M875" s="267" t="e">
        <f t="shared" ref="M875:M891" si="320">D875/I875</f>
        <v>#DIV/0!</v>
      </c>
      <c r="N875" s="267" t="e">
        <f t="shared" ref="N875:N891" si="321">D875/B875</f>
        <v>#DIV/0!</v>
      </c>
      <c r="O875" s="239" t="e">
        <f t="shared" si="318"/>
        <v>#DIV/0!</v>
      </c>
      <c r="P875" s="267" t="e">
        <f t="shared" ref="P875:P891" si="322">(E875*3.6+G875)*100/H875</f>
        <v>#DIV/0!</v>
      </c>
      <c r="Q875" s="267" t="e">
        <f t="shared" ref="Q875:Q891" si="323">E875/(B875*8760)*1000</f>
        <v>#DIV/0!</v>
      </c>
      <c r="R875" s="267" t="e">
        <f t="shared" ref="R875:R891" si="324">G875/(D875*8761)*1000/3.6</f>
        <v>#DIV/0!</v>
      </c>
      <c r="S875" s="267" t="e">
        <f t="shared" ref="S875:S891" si="325">G875/(E875*3.6)</f>
        <v>#DIV/0!</v>
      </c>
      <c r="U875" s="239" t="s">
        <v>517</v>
      </c>
      <c r="V875" s="492">
        <f t="shared" si="312"/>
        <v>0</v>
      </c>
      <c r="Z875" s="214">
        <f t="shared" si="315"/>
        <v>0</v>
      </c>
      <c r="AA875" s="214">
        <f t="shared" si="316"/>
        <v>0</v>
      </c>
    </row>
    <row r="876" spans="1:27" ht="13.15" customHeight="1">
      <c r="A876" s="239" t="s">
        <v>504</v>
      </c>
      <c r="B876" s="204">
        <v>0</v>
      </c>
      <c r="C876" s="204">
        <v>0</v>
      </c>
      <c r="D876" s="204">
        <v>0</v>
      </c>
      <c r="E876" s="267">
        <v>0</v>
      </c>
      <c r="F876" s="267">
        <v>0</v>
      </c>
      <c r="G876" s="206">
        <v>0</v>
      </c>
      <c r="H876" s="202">
        <v>0</v>
      </c>
      <c r="I876" s="202">
        <v>0</v>
      </c>
      <c r="J876" s="230"/>
      <c r="K876" s="305" t="s">
        <v>504</v>
      </c>
      <c r="L876" s="239" t="e">
        <f t="shared" si="319"/>
        <v>#DIV/0!</v>
      </c>
      <c r="M876" s="267" t="e">
        <f t="shared" si="320"/>
        <v>#DIV/0!</v>
      </c>
      <c r="N876" s="267" t="e">
        <f t="shared" si="321"/>
        <v>#DIV/0!</v>
      </c>
      <c r="O876" s="239" t="e">
        <f t="shared" si="318"/>
        <v>#DIV/0!</v>
      </c>
      <c r="P876" s="267" t="e">
        <f t="shared" si="322"/>
        <v>#DIV/0!</v>
      </c>
      <c r="Q876" s="267" t="e">
        <f t="shared" si="323"/>
        <v>#DIV/0!</v>
      </c>
      <c r="R876" s="267" t="e">
        <f t="shared" si="324"/>
        <v>#DIV/0!</v>
      </c>
      <c r="S876" s="267" t="e">
        <f t="shared" si="325"/>
        <v>#DIV/0!</v>
      </c>
      <c r="U876" s="239" t="s">
        <v>518</v>
      </c>
      <c r="V876" s="492">
        <f t="shared" si="312"/>
        <v>7.4599999999999996E-3</v>
      </c>
      <c r="Z876" s="214">
        <f t="shared" si="315"/>
        <v>0</v>
      </c>
      <c r="AA876" s="214">
        <f t="shared" si="316"/>
        <v>0</v>
      </c>
    </row>
    <row r="877" spans="1:27" ht="13.15" customHeight="1">
      <c r="A877" s="239" t="s">
        <v>505</v>
      </c>
      <c r="B877" s="204">
        <v>0</v>
      </c>
      <c r="C877" s="204">
        <v>0</v>
      </c>
      <c r="D877" s="204">
        <v>0</v>
      </c>
      <c r="E877" s="267">
        <v>0</v>
      </c>
      <c r="F877" s="267">
        <v>0</v>
      </c>
      <c r="G877" s="206">
        <v>0</v>
      </c>
      <c r="H877" s="202">
        <v>0</v>
      </c>
      <c r="I877" s="202">
        <v>0</v>
      </c>
      <c r="J877" s="230"/>
      <c r="K877" s="305" t="s">
        <v>505</v>
      </c>
      <c r="L877" s="239" t="e">
        <f t="shared" si="319"/>
        <v>#DIV/0!</v>
      </c>
      <c r="M877" s="267" t="e">
        <f t="shared" si="320"/>
        <v>#DIV/0!</v>
      </c>
      <c r="N877" s="267" t="e">
        <f t="shared" si="321"/>
        <v>#DIV/0!</v>
      </c>
      <c r="O877" s="239" t="e">
        <f t="shared" si="318"/>
        <v>#DIV/0!</v>
      </c>
      <c r="P877" s="267" t="e">
        <f t="shared" si="322"/>
        <v>#DIV/0!</v>
      </c>
      <c r="Q877" s="267" t="e">
        <f t="shared" si="323"/>
        <v>#DIV/0!</v>
      </c>
      <c r="R877" s="267" t="e">
        <f t="shared" si="324"/>
        <v>#DIV/0!</v>
      </c>
      <c r="S877" s="267" t="e">
        <f t="shared" si="325"/>
        <v>#DIV/0!</v>
      </c>
      <c r="U877" s="239" t="s">
        <v>519</v>
      </c>
      <c r="V877" s="492">
        <f t="shared" si="312"/>
        <v>0</v>
      </c>
      <c r="Z877" s="214">
        <f t="shared" si="315"/>
        <v>0</v>
      </c>
      <c r="AA877" s="214">
        <f t="shared" si="316"/>
        <v>0</v>
      </c>
    </row>
    <row r="878" spans="1:27" ht="13.15" customHeight="1">
      <c r="A878" s="239" t="s">
        <v>506</v>
      </c>
      <c r="B878" s="204">
        <v>117.6</v>
      </c>
      <c r="C878" s="204">
        <v>148.6</v>
      </c>
      <c r="D878" s="204">
        <v>350</v>
      </c>
      <c r="E878" s="267">
        <v>871.50199999999995</v>
      </c>
      <c r="F878" s="267">
        <v>871.50199999999995</v>
      </c>
      <c r="G878" s="206">
        <v>8484.5916000000016</v>
      </c>
      <c r="H878" s="202">
        <v>14141.628000000001</v>
      </c>
      <c r="I878" s="202">
        <v>2</v>
      </c>
      <c r="J878" s="230"/>
      <c r="K878" s="305" t="s">
        <v>506</v>
      </c>
      <c r="L878" s="239">
        <f t="shared" si="319"/>
        <v>58.8</v>
      </c>
      <c r="M878" s="267">
        <f t="shared" si="320"/>
        <v>175</v>
      </c>
      <c r="N878" s="267">
        <f t="shared" si="321"/>
        <v>2.9761904761904763</v>
      </c>
      <c r="O878" s="239">
        <f t="shared" si="318"/>
        <v>82.182891531300356</v>
      </c>
      <c r="P878" s="267">
        <f t="shared" si="322"/>
        <v>82.182891531300356</v>
      </c>
      <c r="Q878" s="267">
        <f t="shared" si="323"/>
        <v>0.84597389183984084</v>
      </c>
      <c r="R878" s="267">
        <f t="shared" si="324"/>
        <v>0.76861121528853538</v>
      </c>
      <c r="S878" s="267">
        <f t="shared" si="325"/>
        <v>2.7043322906889489</v>
      </c>
      <c r="U878" s="220"/>
      <c r="Z878" s="214">
        <f t="shared" si="315"/>
        <v>31</v>
      </c>
      <c r="AA878" s="214">
        <f t="shared" si="316"/>
        <v>0</v>
      </c>
    </row>
    <row r="879" spans="1:27" ht="13.15" customHeight="1">
      <c r="A879" s="239" t="s">
        <v>507</v>
      </c>
      <c r="B879" s="204">
        <v>0</v>
      </c>
      <c r="C879" s="204">
        <v>0</v>
      </c>
      <c r="D879" s="204">
        <v>0</v>
      </c>
      <c r="E879" s="267">
        <v>0</v>
      </c>
      <c r="F879" s="267">
        <v>0</v>
      </c>
      <c r="G879" s="206">
        <v>0</v>
      </c>
      <c r="H879" s="202">
        <v>0</v>
      </c>
      <c r="I879" s="202">
        <v>0</v>
      </c>
      <c r="J879" s="230"/>
      <c r="K879" s="305" t="s">
        <v>507</v>
      </c>
      <c r="L879" s="239" t="e">
        <f t="shared" si="319"/>
        <v>#DIV/0!</v>
      </c>
      <c r="M879" s="267" t="e">
        <f t="shared" si="320"/>
        <v>#DIV/0!</v>
      </c>
      <c r="N879" s="267" t="e">
        <f t="shared" si="321"/>
        <v>#DIV/0!</v>
      </c>
      <c r="O879" s="239" t="e">
        <f t="shared" si="318"/>
        <v>#DIV/0!</v>
      </c>
      <c r="P879" s="267" t="e">
        <f t="shared" si="322"/>
        <v>#DIV/0!</v>
      </c>
      <c r="Q879" s="267" t="e">
        <f t="shared" si="323"/>
        <v>#DIV/0!</v>
      </c>
      <c r="R879" s="267" t="e">
        <f t="shared" si="324"/>
        <v>#DIV/0!</v>
      </c>
      <c r="S879" s="267" t="e">
        <f t="shared" si="325"/>
        <v>#DIV/0!</v>
      </c>
      <c r="U879" s="220"/>
      <c r="Z879" s="214">
        <f t="shared" si="315"/>
        <v>0</v>
      </c>
      <c r="AA879" s="214">
        <f t="shared" si="316"/>
        <v>0</v>
      </c>
    </row>
    <row r="880" spans="1:27" ht="13.15" customHeight="1">
      <c r="A880" s="239" t="s">
        <v>156</v>
      </c>
      <c r="B880" s="204">
        <v>12.5</v>
      </c>
      <c r="C880" s="204">
        <v>81</v>
      </c>
      <c r="D880" s="204">
        <v>100</v>
      </c>
      <c r="E880" s="267">
        <v>46.923999999999999</v>
      </c>
      <c r="F880" s="267">
        <v>46.923999999999999</v>
      </c>
      <c r="G880" s="206">
        <v>1322.6184000000001</v>
      </c>
      <c r="H880" s="202">
        <v>1784</v>
      </c>
      <c r="I880" s="202">
        <v>1</v>
      </c>
      <c r="J880" s="230"/>
      <c r="K880" s="305" t="s">
        <v>156</v>
      </c>
      <c r="L880" s="239">
        <f t="shared" si="319"/>
        <v>12.5</v>
      </c>
      <c r="M880" s="267">
        <f t="shared" si="320"/>
        <v>100</v>
      </c>
      <c r="N880" s="267">
        <f t="shared" si="321"/>
        <v>8</v>
      </c>
      <c r="O880" s="322">
        <f t="shared" si="318"/>
        <v>83.606771300448443</v>
      </c>
      <c r="P880" s="323">
        <f t="shared" si="322"/>
        <v>83.606771300448443</v>
      </c>
      <c r="Q880" s="267">
        <f t="shared" si="323"/>
        <v>0.42852968036529682</v>
      </c>
      <c r="R880" s="267">
        <f t="shared" si="324"/>
        <v>0.41935167218354069</v>
      </c>
      <c r="S880" s="267">
        <f t="shared" si="325"/>
        <v>7.8295541727047997</v>
      </c>
      <c r="U880" s="220"/>
      <c r="Z880" s="214">
        <f t="shared" si="315"/>
        <v>68.5</v>
      </c>
      <c r="AA880" s="214">
        <f t="shared" si="316"/>
        <v>0</v>
      </c>
    </row>
    <row r="881" spans="1:27" ht="13.15" customHeight="1">
      <c r="A881" s="239" t="s">
        <v>508</v>
      </c>
      <c r="B881" s="204">
        <v>0</v>
      </c>
      <c r="C881" s="204">
        <v>0</v>
      </c>
      <c r="D881" s="204">
        <v>0</v>
      </c>
      <c r="E881" s="267">
        <v>0</v>
      </c>
      <c r="F881" s="267">
        <v>0</v>
      </c>
      <c r="G881" s="206">
        <v>0</v>
      </c>
      <c r="H881" s="202">
        <v>0</v>
      </c>
      <c r="I881" s="202">
        <v>0</v>
      </c>
      <c r="J881" s="230"/>
      <c r="K881" s="305" t="s">
        <v>508</v>
      </c>
      <c r="L881" s="239" t="e">
        <f t="shared" si="319"/>
        <v>#DIV/0!</v>
      </c>
      <c r="M881" s="267" t="e">
        <f t="shared" si="320"/>
        <v>#DIV/0!</v>
      </c>
      <c r="N881" s="267" t="e">
        <f t="shared" si="321"/>
        <v>#DIV/0!</v>
      </c>
      <c r="O881" s="239" t="e">
        <f t="shared" si="318"/>
        <v>#DIV/0!</v>
      </c>
      <c r="P881" s="267" t="e">
        <f t="shared" si="322"/>
        <v>#DIV/0!</v>
      </c>
      <c r="Q881" s="267" t="e">
        <f t="shared" si="323"/>
        <v>#DIV/0!</v>
      </c>
      <c r="R881" s="267" t="e">
        <f t="shared" si="324"/>
        <v>#DIV/0!</v>
      </c>
      <c r="S881" s="267" t="e">
        <f t="shared" si="325"/>
        <v>#DIV/0!</v>
      </c>
      <c r="U881" s="220"/>
      <c r="Z881" s="214">
        <f t="shared" si="315"/>
        <v>0</v>
      </c>
      <c r="AA881" s="214">
        <f t="shared" si="316"/>
        <v>0</v>
      </c>
    </row>
    <row r="882" spans="1:27" ht="13.15" customHeight="1">
      <c r="A882" s="239" t="s">
        <v>509</v>
      </c>
      <c r="B882" s="204">
        <v>55.05</v>
      </c>
      <c r="C882" s="204">
        <v>66.45</v>
      </c>
      <c r="D882" s="204">
        <v>350.9</v>
      </c>
      <c r="E882" s="267">
        <v>325.51499999999999</v>
      </c>
      <c r="F882" s="267">
        <v>339.05699999999996</v>
      </c>
      <c r="G882" s="206">
        <v>6500.88</v>
      </c>
      <c r="H882" s="202">
        <v>10094.868</v>
      </c>
      <c r="I882" s="202">
        <v>4</v>
      </c>
      <c r="J882" s="230"/>
      <c r="K882" s="305" t="s">
        <v>509</v>
      </c>
      <c r="L882" s="239">
        <f t="shared" si="319"/>
        <v>13.762499999999999</v>
      </c>
      <c r="M882" s="267">
        <f t="shared" si="320"/>
        <v>87.724999999999994</v>
      </c>
      <c r="N882" s="267">
        <f t="shared" si="321"/>
        <v>6.3742052679382377</v>
      </c>
      <c r="O882" s="239">
        <f t="shared" si="318"/>
        <v>76.489214123453621</v>
      </c>
      <c r="P882" s="267">
        <f t="shared" si="322"/>
        <v>76.0062835888493</v>
      </c>
      <c r="Q882" s="267">
        <f t="shared" si="323"/>
        <v>0.67500902044218825</v>
      </c>
      <c r="R882" s="267">
        <f t="shared" si="324"/>
        <v>0.58739818482966288</v>
      </c>
      <c r="S882" s="267">
        <f t="shared" si="325"/>
        <v>5.547517011504846</v>
      </c>
      <c r="U882" s="220"/>
      <c r="Z882" s="214">
        <f t="shared" si="315"/>
        <v>11.400000000000006</v>
      </c>
      <c r="AA882" s="214">
        <f t="shared" si="316"/>
        <v>13.541999999999973</v>
      </c>
    </row>
    <row r="883" spans="1:27" ht="13.15" customHeight="1">
      <c r="A883" s="239" t="s">
        <v>510</v>
      </c>
      <c r="B883" s="204">
        <v>0</v>
      </c>
      <c r="C883" s="204">
        <v>0</v>
      </c>
      <c r="D883" s="204">
        <v>0</v>
      </c>
      <c r="E883" s="267">
        <v>0</v>
      </c>
      <c r="F883" s="267">
        <v>0</v>
      </c>
      <c r="G883" s="206">
        <v>0</v>
      </c>
      <c r="H883" s="202">
        <v>0</v>
      </c>
      <c r="I883" s="202">
        <v>0</v>
      </c>
      <c r="J883" s="230"/>
      <c r="K883" s="305" t="s">
        <v>510</v>
      </c>
      <c r="L883" s="239" t="e">
        <f t="shared" si="319"/>
        <v>#DIV/0!</v>
      </c>
      <c r="M883" s="267" t="e">
        <f t="shared" si="320"/>
        <v>#DIV/0!</v>
      </c>
      <c r="N883" s="267" t="e">
        <f t="shared" si="321"/>
        <v>#DIV/0!</v>
      </c>
      <c r="O883" s="322" t="e">
        <f t="shared" si="318"/>
        <v>#DIV/0!</v>
      </c>
      <c r="P883" s="323" t="e">
        <f t="shared" si="322"/>
        <v>#DIV/0!</v>
      </c>
      <c r="Q883" s="267" t="e">
        <f t="shared" si="323"/>
        <v>#DIV/0!</v>
      </c>
      <c r="R883" s="267" t="e">
        <f t="shared" si="324"/>
        <v>#DIV/0!</v>
      </c>
      <c r="S883" s="267" t="e">
        <f t="shared" si="325"/>
        <v>#DIV/0!</v>
      </c>
      <c r="U883" s="220"/>
      <c r="Z883" s="214">
        <f t="shared" si="315"/>
        <v>0</v>
      </c>
      <c r="AA883" s="214">
        <f t="shared" si="316"/>
        <v>0</v>
      </c>
    </row>
    <row r="884" spans="1:27" ht="13.15" customHeight="1">
      <c r="A884" s="239" t="s">
        <v>511</v>
      </c>
      <c r="B884" s="382">
        <v>0</v>
      </c>
      <c r="C884" s="382">
        <v>0</v>
      </c>
      <c r="D884" s="204">
        <v>0</v>
      </c>
      <c r="E884" s="267">
        <v>0</v>
      </c>
      <c r="F884" s="267">
        <v>0</v>
      </c>
      <c r="G884" s="206">
        <v>0</v>
      </c>
      <c r="H884" s="202">
        <v>0</v>
      </c>
      <c r="I884" s="202">
        <v>0</v>
      </c>
      <c r="J884" s="230"/>
      <c r="K884" s="305" t="s">
        <v>511</v>
      </c>
      <c r="L884" s="239" t="e">
        <f t="shared" si="319"/>
        <v>#DIV/0!</v>
      </c>
      <c r="M884" s="267" t="e">
        <f t="shared" si="320"/>
        <v>#DIV/0!</v>
      </c>
      <c r="N884" s="267" t="e">
        <f t="shared" si="321"/>
        <v>#DIV/0!</v>
      </c>
      <c r="O884" s="239" t="e">
        <f t="shared" si="318"/>
        <v>#DIV/0!</v>
      </c>
      <c r="P884" s="267" t="e">
        <f t="shared" si="322"/>
        <v>#DIV/0!</v>
      </c>
      <c r="Q884" s="267" t="e">
        <f t="shared" si="323"/>
        <v>#DIV/0!</v>
      </c>
      <c r="R884" s="267" t="e">
        <f t="shared" si="324"/>
        <v>#DIV/0!</v>
      </c>
      <c r="S884" s="267" t="e">
        <f t="shared" si="325"/>
        <v>#DIV/0!</v>
      </c>
      <c r="U884" s="220"/>
      <c r="Z884" s="214">
        <f t="shared" si="315"/>
        <v>0</v>
      </c>
      <c r="AA884" s="214">
        <f t="shared" si="316"/>
        <v>0</v>
      </c>
    </row>
    <row r="885" spans="1:27" ht="13.15" customHeight="1">
      <c r="A885" s="239" t="s">
        <v>512</v>
      </c>
      <c r="B885" s="384">
        <v>2.8</v>
      </c>
      <c r="C885" s="382">
        <v>2.8</v>
      </c>
      <c r="D885" s="204">
        <v>41.6</v>
      </c>
      <c r="E885" s="385">
        <v>16.455947368421054</v>
      </c>
      <c r="F885" s="267">
        <v>16.455947368421054</v>
      </c>
      <c r="G885" s="206">
        <v>755.15760000000012</v>
      </c>
      <c r="H885" s="202">
        <v>1052.4652000000001</v>
      </c>
      <c r="I885" s="202">
        <v>2</v>
      </c>
      <c r="J885" s="230"/>
      <c r="K885" s="305" t="s">
        <v>512</v>
      </c>
      <c r="L885" s="239">
        <f t="shared" si="319"/>
        <v>1.4</v>
      </c>
      <c r="M885" s="267">
        <f t="shared" si="320"/>
        <v>20.8</v>
      </c>
      <c r="N885" s="267">
        <f t="shared" si="321"/>
        <v>14.857142857142859</v>
      </c>
      <c r="O885" s="239">
        <f t="shared" si="318"/>
        <v>77.380136704407505</v>
      </c>
      <c r="P885" s="267">
        <f t="shared" si="322"/>
        <v>77.380136704407505</v>
      </c>
      <c r="Q885" s="267">
        <f t="shared" si="323"/>
        <v>0.67090457307652696</v>
      </c>
      <c r="R885" s="267">
        <f t="shared" si="324"/>
        <v>0.57555666283265883</v>
      </c>
      <c r="S885" s="267">
        <f t="shared" si="325"/>
        <v>12.747123900173669</v>
      </c>
      <c r="U885" s="220"/>
      <c r="Z885" s="214">
        <f t="shared" si="315"/>
        <v>0</v>
      </c>
      <c r="AA885" s="214">
        <f t="shared" si="316"/>
        <v>0</v>
      </c>
    </row>
    <row r="886" spans="1:27" ht="13.15" customHeight="1">
      <c r="A886" s="239" t="s">
        <v>513</v>
      </c>
      <c r="B886" s="384">
        <v>0</v>
      </c>
      <c r="C886" s="384">
        <v>0</v>
      </c>
      <c r="D886" s="216">
        <v>0</v>
      </c>
      <c r="E886" s="385">
        <v>0</v>
      </c>
      <c r="F886" s="385">
        <v>0</v>
      </c>
      <c r="G886" s="386">
        <v>0</v>
      </c>
      <c r="H886" s="215">
        <v>0</v>
      </c>
      <c r="I886" s="202">
        <v>0</v>
      </c>
      <c r="J886" s="230"/>
      <c r="K886" s="305" t="s">
        <v>513</v>
      </c>
      <c r="L886" s="239" t="e">
        <f t="shared" si="319"/>
        <v>#DIV/0!</v>
      </c>
      <c r="M886" s="267" t="e">
        <f t="shared" si="320"/>
        <v>#DIV/0!</v>
      </c>
      <c r="N886" s="267" t="e">
        <f t="shared" si="321"/>
        <v>#DIV/0!</v>
      </c>
      <c r="O886" s="239" t="e">
        <f t="shared" si="318"/>
        <v>#DIV/0!</v>
      </c>
      <c r="P886" s="267" t="e">
        <f t="shared" si="322"/>
        <v>#DIV/0!</v>
      </c>
      <c r="Q886" s="267" t="e">
        <f t="shared" si="323"/>
        <v>#DIV/0!</v>
      </c>
      <c r="R886" s="267" t="e">
        <f t="shared" si="324"/>
        <v>#DIV/0!</v>
      </c>
      <c r="S886" s="267" t="e">
        <f t="shared" si="325"/>
        <v>#DIV/0!</v>
      </c>
      <c r="U886" s="220"/>
      <c r="Z886" s="214">
        <f t="shared" si="315"/>
        <v>0</v>
      </c>
      <c r="AA886" s="214">
        <f t="shared" si="316"/>
        <v>0</v>
      </c>
    </row>
    <row r="887" spans="1:27" ht="13.15" customHeight="1">
      <c r="A887" s="239" t="s">
        <v>514</v>
      </c>
      <c r="B887" s="382">
        <v>1635.6</v>
      </c>
      <c r="C887" s="382">
        <v>1850.15</v>
      </c>
      <c r="D887" s="204">
        <v>7295.6</v>
      </c>
      <c r="E887" s="267">
        <v>9126.8547894736839</v>
      </c>
      <c r="F887" s="267">
        <v>9352.0087894736844</v>
      </c>
      <c r="G887" s="206">
        <v>146773.9908</v>
      </c>
      <c r="H887" s="202">
        <v>224971.6936</v>
      </c>
      <c r="I887" s="202">
        <v>33</v>
      </c>
      <c r="J887" s="230"/>
      <c r="K887" s="305" t="s">
        <v>514</v>
      </c>
      <c r="L887" s="239">
        <f t="shared" si="319"/>
        <v>49.563636363636363</v>
      </c>
      <c r="M887" s="267">
        <f t="shared" si="320"/>
        <v>221.07878787878789</v>
      </c>
      <c r="N887" s="267">
        <f t="shared" si="321"/>
        <v>4.4605037906578628</v>
      </c>
      <c r="O887" s="239">
        <f t="shared" si="318"/>
        <v>80.206189300832676</v>
      </c>
      <c r="P887" s="267">
        <f t="shared" si="322"/>
        <v>79.845897573891619</v>
      </c>
      <c r="Q887" s="267">
        <f t="shared" si="323"/>
        <v>0.63700073405774615</v>
      </c>
      <c r="R887" s="267">
        <f t="shared" si="324"/>
        <v>0.63786960349843558</v>
      </c>
      <c r="S887" s="267">
        <f t="shared" si="325"/>
        <v>4.4670978053712522</v>
      </c>
      <c r="U887" s="220"/>
      <c r="Z887" s="214">
        <f t="shared" si="315"/>
        <v>214.55000000000018</v>
      </c>
      <c r="AA887" s="214">
        <f t="shared" si="316"/>
        <v>225.15400000000045</v>
      </c>
    </row>
    <row r="888" spans="1:27" ht="13.15" customHeight="1">
      <c r="A888" s="239" t="s">
        <v>515</v>
      </c>
      <c r="B888" s="382">
        <v>0</v>
      </c>
      <c r="C888" s="382">
        <v>0</v>
      </c>
      <c r="D888" s="204">
        <v>0</v>
      </c>
      <c r="E888" s="267">
        <v>0</v>
      </c>
      <c r="F888" s="267">
        <v>0</v>
      </c>
      <c r="G888" s="206">
        <v>0</v>
      </c>
      <c r="H888" s="202">
        <v>0</v>
      </c>
      <c r="I888" s="202">
        <v>0</v>
      </c>
      <c r="J888" s="230"/>
      <c r="K888" s="305" t="s">
        <v>515</v>
      </c>
      <c r="L888" s="239" t="e">
        <f t="shared" si="319"/>
        <v>#DIV/0!</v>
      </c>
      <c r="M888" s="267" t="e">
        <f t="shared" si="320"/>
        <v>#DIV/0!</v>
      </c>
      <c r="N888" s="267" t="e">
        <f t="shared" si="321"/>
        <v>#DIV/0!</v>
      </c>
      <c r="O888" s="239" t="e">
        <f t="shared" si="318"/>
        <v>#DIV/0!</v>
      </c>
      <c r="P888" s="267" t="e">
        <f t="shared" si="322"/>
        <v>#DIV/0!</v>
      </c>
      <c r="Q888" s="267" t="e">
        <f t="shared" si="323"/>
        <v>#DIV/0!</v>
      </c>
      <c r="R888" s="267" t="e">
        <f t="shared" si="324"/>
        <v>#DIV/0!</v>
      </c>
      <c r="S888" s="267" t="e">
        <f t="shared" si="325"/>
        <v>#DIV/0!</v>
      </c>
      <c r="U888" s="220"/>
      <c r="Z888" s="214">
        <f t="shared" si="315"/>
        <v>0</v>
      </c>
      <c r="AA888" s="214">
        <f t="shared" si="316"/>
        <v>0</v>
      </c>
    </row>
    <row r="889" spans="1:27" ht="13.15" customHeight="1">
      <c r="A889" s="239" t="s">
        <v>516</v>
      </c>
      <c r="B889" s="204">
        <v>9.9600000000000009</v>
      </c>
      <c r="C889" s="204">
        <v>12.86</v>
      </c>
      <c r="D889" s="202">
        <v>60</v>
      </c>
      <c r="E889" s="267">
        <v>28.869</v>
      </c>
      <c r="F889" s="267">
        <v>29.021000000000001</v>
      </c>
      <c r="G889" s="206">
        <v>859.572</v>
      </c>
      <c r="H889" s="202">
        <v>1293.0557142857144</v>
      </c>
      <c r="I889" s="202">
        <v>4</v>
      </c>
      <c r="J889" s="244"/>
      <c r="K889" s="239" t="s">
        <v>516</v>
      </c>
      <c r="L889" s="239">
        <f t="shared" si="319"/>
        <v>2.4900000000000002</v>
      </c>
      <c r="M889" s="267">
        <f t="shared" si="320"/>
        <v>15</v>
      </c>
      <c r="N889" s="267">
        <f t="shared" si="321"/>
        <v>6.0240963855421681</v>
      </c>
      <c r="O889" s="239">
        <f t="shared" si="318"/>
        <v>74.555766572868905</v>
      </c>
      <c r="P889" s="267">
        <f t="shared" si="322"/>
        <v>74.513448210716803</v>
      </c>
      <c r="Q889" s="267">
        <f t="shared" si="323"/>
        <v>0.33087830775155413</v>
      </c>
      <c r="R889" s="267">
        <f t="shared" si="324"/>
        <v>0.45422896929574247</v>
      </c>
      <c r="S889" s="267">
        <f t="shared" si="325"/>
        <v>8.2708095188610624</v>
      </c>
      <c r="U889" s="220"/>
      <c r="Z889" s="214">
        <f t="shared" si="315"/>
        <v>2.8999999999999986</v>
      </c>
      <c r="AA889" s="214">
        <f t="shared" si="316"/>
        <v>0.15200000000000102</v>
      </c>
    </row>
    <row r="890" spans="1:27" ht="13.15" customHeight="1">
      <c r="A890" s="239" t="s">
        <v>517</v>
      </c>
      <c r="B890" s="204">
        <v>0</v>
      </c>
      <c r="C890" s="204">
        <v>0</v>
      </c>
      <c r="D890" s="204">
        <v>0</v>
      </c>
      <c r="E890" s="267">
        <v>0</v>
      </c>
      <c r="F890" s="267">
        <v>0</v>
      </c>
      <c r="G890" s="206">
        <v>0</v>
      </c>
      <c r="H890" s="202">
        <v>0</v>
      </c>
      <c r="I890" s="202">
        <v>0</v>
      </c>
      <c r="K890" s="239" t="s">
        <v>517</v>
      </c>
      <c r="L890" s="239" t="e">
        <f t="shared" si="319"/>
        <v>#DIV/0!</v>
      </c>
      <c r="M890" s="267" t="e">
        <f t="shared" si="320"/>
        <v>#DIV/0!</v>
      </c>
      <c r="N890" s="267" t="e">
        <f t="shared" si="321"/>
        <v>#DIV/0!</v>
      </c>
      <c r="O890" s="239" t="e">
        <f t="shared" si="318"/>
        <v>#DIV/0!</v>
      </c>
      <c r="P890" s="267" t="e">
        <f t="shared" si="322"/>
        <v>#DIV/0!</v>
      </c>
      <c r="Q890" s="267" t="e">
        <f t="shared" si="323"/>
        <v>#DIV/0!</v>
      </c>
      <c r="R890" s="267" t="e">
        <f t="shared" si="324"/>
        <v>#DIV/0!</v>
      </c>
      <c r="S890" s="267" t="e">
        <f t="shared" si="325"/>
        <v>#DIV/0!</v>
      </c>
      <c r="U890" s="220"/>
      <c r="Z890" s="214">
        <f t="shared" si="315"/>
        <v>0</v>
      </c>
      <c r="AA890" s="214">
        <f t="shared" si="316"/>
        <v>0</v>
      </c>
    </row>
    <row r="891" spans="1:27" ht="13.15" customHeight="1">
      <c r="A891" s="239" t="s">
        <v>518</v>
      </c>
      <c r="B891" s="216">
        <v>7.46</v>
      </c>
      <c r="C891" s="216">
        <v>7.46</v>
      </c>
      <c r="D891" s="216">
        <v>18.32</v>
      </c>
      <c r="E891" s="385">
        <v>32.063000000000002</v>
      </c>
      <c r="F891" s="385">
        <v>32.063000000000002</v>
      </c>
      <c r="G891" s="386">
        <v>408.59280000000001</v>
      </c>
      <c r="H891" s="215">
        <v>657.17280000000005</v>
      </c>
      <c r="I891" s="202">
        <v>2</v>
      </c>
      <c r="K891" s="239" t="s">
        <v>518</v>
      </c>
      <c r="L891" s="239">
        <f t="shared" si="319"/>
        <v>3.73</v>
      </c>
      <c r="M891" s="267">
        <f t="shared" si="320"/>
        <v>9.16</v>
      </c>
      <c r="N891" s="267">
        <f t="shared" si="321"/>
        <v>2.455764075067024</v>
      </c>
      <c r="O891" s="239">
        <f t="shared" si="318"/>
        <v>79.738479742314354</v>
      </c>
      <c r="P891" s="267">
        <f t="shared" si="322"/>
        <v>79.738479742314354</v>
      </c>
      <c r="Q891" s="267">
        <f t="shared" si="323"/>
        <v>0.49063804522139387</v>
      </c>
      <c r="R891" s="267">
        <f t="shared" si="324"/>
        <v>0.70714595101653877</v>
      </c>
      <c r="S891" s="267">
        <f t="shared" si="325"/>
        <v>3.5398434332408066</v>
      </c>
      <c r="U891" s="220"/>
      <c r="Z891" s="214">
        <f t="shared" si="315"/>
        <v>0</v>
      </c>
      <c r="AA891" s="214">
        <f t="shared" si="316"/>
        <v>0</v>
      </c>
    </row>
    <row r="892" spans="1:27" ht="13.15" customHeight="1">
      <c r="A892" s="239" t="s">
        <v>519</v>
      </c>
      <c r="B892" s="204"/>
      <c r="C892" s="204"/>
      <c r="D892" s="204"/>
      <c r="E892" s="385"/>
      <c r="F892" s="272"/>
      <c r="G892" s="206"/>
      <c r="H892" s="202"/>
      <c r="I892" s="202"/>
      <c r="K892" s="239" t="s">
        <v>519</v>
      </c>
      <c r="L892" s="239"/>
      <c r="M892" s="267"/>
      <c r="N892" s="267"/>
      <c r="O892" s="239"/>
      <c r="P892" s="267"/>
      <c r="Q892" s="267"/>
      <c r="R892" s="267"/>
      <c r="S892" s="267"/>
      <c r="U892" s="220"/>
      <c r="Z892" s="214">
        <f t="shared" si="315"/>
        <v>0</v>
      </c>
      <c r="AA892" s="214">
        <f t="shared" si="316"/>
        <v>0</v>
      </c>
    </row>
    <row r="893" spans="1:27" ht="13.15" customHeight="1">
      <c r="A893" s="282" t="s">
        <v>169</v>
      </c>
      <c r="B893" s="360">
        <f>B872+B874</f>
        <v>5811.5510000000013</v>
      </c>
      <c r="C893" s="360">
        <f t="shared" ref="C893:I893" si="326">C872+C874</f>
        <v>7178.2910000000011</v>
      </c>
      <c r="D893" s="360">
        <f t="shared" si="326"/>
        <v>15364.720000000001</v>
      </c>
      <c r="E893" s="360">
        <f t="shared" si="326"/>
        <v>28448.298678411666</v>
      </c>
      <c r="F893" s="360">
        <f t="shared" si="326"/>
        <v>34700.50642525377</v>
      </c>
      <c r="G893" s="360">
        <f t="shared" si="326"/>
        <v>274304.32920000004</v>
      </c>
      <c r="H893" s="360">
        <f t="shared" si="326"/>
        <v>511213.03284086508</v>
      </c>
      <c r="I893" s="360">
        <f t="shared" si="326"/>
        <v>137</v>
      </c>
      <c r="K893" s="328" t="s">
        <v>169</v>
      </c>
      <c r="L893" s="282">
        <f>B893/I893</f>
        <v>42.420080291970812</v>
      </c>
      <c r="M893" s="281">
        <f>D893/I893</f>
        <v>112.15124087591242</v>
      </c>
      <c r="N893" s="281">
        <f>D893/B893</f>
        <v>2.6438243422452969</v>
      </c>
      <c r="O893" s="282">
        <f>(F893*3.6+G893)*100/H893</f>
        <v>78.093891721103319</v>
      </c>
      <c r="P893" s="282">
        <f>(E893*3.6+G893)*100/H893</f>
        <v>73.69104076803734</v>
      </c>
      <c r="Q893" s="281">
        <f>E893/(B893*8760)*1000</f>
        <v>0.55880481478764954</v>
      </c>
      <c r="R893" s="281">
        <f>G893/(D893*8761)*1000/3.6</f>
        <v>0.56604613653435176</v>
      </c>
      <c r="S893" s="281">
        <f>G893/(E893*3.6)</f>
        <v>2.6783902918532698</v>
      </c>
      <c r="U893" s="220"/>
      <c r="Z893" s="214">
        <f t="shared" si="315"/>
        <v>1366.7399999999998</v>
      </c>
      <c r="AA893" s="214">
        <f t="shared" si="316"/>
        <v>6252.2077468421048</v>
      </c>
    </row>
    <row r="894" spans="1:27" ht="13.15" customHeight="1">
      <c r="U894" s="220"/>
    </row>
    <row r="895" spans="1:27" ht="13.15" customHeight="1">
      <c r="A895" s="251" t="s">
        <v>520</v>
      </c>
      <c r="B895" s="227" t="s">
        <v>476</v>
      </c>
      <c r="C895" s="228"/>
      <c r="D895" s="286"/>
      <c r="E895" s="227" t="s">
        <v>521</v>
      </c>
      <c r="F895" s="228"/>
      <c r="G895" s="286"/>
      <c r="H895" s="200" t="s">
        <v>138</v>
      </c>
      <c r="I895" s="200" t="s">
        <v>478</v>
      </c>
      <c r="U895" s="220"/>
    </row>
    <row r="896" spans="1:27" ht="13.15" customHeight="1">
      <c r="A896" s="239"/>
      <c r="B896" s="243" t="s">
        <v>88</v>
      </c>
      <c r="C896" s="243"/>
      <c r="D896" s="241" t="s">
        <v>34</v>
      </c>
      <c r="E896" s="243" t="s">
        <v>88</v>
      </c>
      <c r="F896" s="243"/>
      <c r="G896" s="241" t="s">
        <v>34</v>
      </c>
      <c r="H896" s="241" t="s">
        <v>170</v>
      </c>
      <c r="I896" s="241" t="s">
        <v>483</v>
      </c>
      <c r="U896" s="220"/>
    </row>
    <row r="897" spans="1:21" ht="13.15" customHeight="1">
      <c r="A897" s="239"/>
      <c r="B897" s="252" t="s">
        <v>0</v>
      </c>
      <c r="C897" s="252" t="s">
        <v>489</v>
      </c>
      <c r="D897" s="252" t="s">
        <v>490</v>
      </c>
      <c r="E897" s="252" t="s">
        <v>491</v>
      </c>
      <c r="F897" s="252" t="s">
        <v>489</v>
      </c>
      <c r="G897" s="252" t="s">
        <v>490</v>
      </c>
      <c r="H897" s="248"/>
      <c r="I897" s="241" t="s">
        <v>492</v>
      </c>
      <c r="U897" s="220"/>
    </row>
    <row r="898" spans="1:21" ht="13.15" customHeight="1">
      <c r="A898" s="239"/>
      <c r="B898" s="257" t="s">
        <v>496</v>
      </c>
      <c r="C898" s="256" t="s">
        <v>496</v>
      </c>
      <c r="D898" s="252" t="s">
        <v>496</v>
      </c>
      <c r="E898" s="329" t="s">
        <v>473</v>
      </c>
      <c r="F898" s="329" t="s">
        <v>473</v>
      </c>
      <c r="G898" s="252" t="s">
        <v>496</v>
      </c>
      <c r="H898" s="257" t="s">
        <v>497</v>
      </c>
      <c r="I898" s="257" t="s">
        <v>498</v>
      </c>
      <c r="U898" s="220"/>
    </row>
    <row r="899" spans="1:21" ht="13.15" customHeight="1">
      <c r="A899" s="251" t="s">
        <v>522</v>
      </c>
      <c r="B899" s="389"/>
      <c r="C899" s="389"/>
      <c r="D899" s="200"/>
      <c r="E899" s="389"/>
      <c r="F899" s="389"/>
      <c r="G899" s="200"/>
      <c r="H899" s="200"/>
      <c r="I899" s="200"/>
      <c r="U899" s="220"/>
    </row>
    <row r="900" spans="1:21" ht="13.15" customHeight="1">
      <c r="A900" s="239" t="s">
        <v>523</v>
      </c>
      <c r="B900" s="216">
        <v>899.2</v>
      </c>
      <c r="C900" s="204">
        <v>899.2</v>
      </c>
      <c r="D900" s="204">
        <v>1856.6</v>
      </c>
      <c r="E900" s="216">
        <v>4172.1540000000005</v>
      </c>
      <c r="F900" s="204">
        <v>4172.1540000000005</v>
      </c>
      <c r="G900" s="204">
        <v>30267.381600000001</v>
      </c>
      <c r="H900" s="202">
        <v>51596.889212163449</v>
      </c>
      <c r="I900" s="216">
        <v>12</v>
      </c>
    </row>
    <row r="901" spans="1:21" ht="13.15" customHeight="1">
      <c r="A901" s="239" t="s">
        <v>524</v>
      </c>
      <c r="B901" s="216">
        <v>82.4</v>
      </c>
      <c r="C901" s="204">
        <v>82.4</v>
      </c>
      <c r="D901" s="204">
        <v>111.2</v>
      </c>
      <c r="E901" s="216">
        <v>77.961631578947376</v>
      </c>
      <c r="F901" s="204">
        <v>77.961631578947376</v>
      </c>
      <c r="G901" s="204">
        <v>285.41880000000003</v>
      </c>
      <c r="H901" s="202">
        <v>921.99399999999991</v>
      </c>
      <c r="I901" s="216">
        <v>6</v>
      </c>
    </row>
    <row r="902" spans="1:21" ht="13.15" customHeight="1">
      <c r="A902" s="239" t="s">
        <v>525</v>
      </c>
      <c r="B902" s="216">
        <v>1847.5409999999997</v>
      </c>
      <c r="C902" s="204">
        <v>1847.5409999999997</v>
      </c>
      <c r="D902" s="204">
        <v>2395.92</v>
      </c>
      <c r="E902" s="216">
        <v>10141.526</v>
      </c>
      <c r="F902" s="204">
        <v>10141.526</v>
      </c>
      <c r="G902" s="204">
        <v>45173.775600000001</v>
      </c>
      <c r="H902" s="202">
        <v>94068.072814285712</v>
      </c>
      <c r="I902" s="216">
        <v>39</v>
      </c>
    </row>
    <row r="903" spans="1:21" ht="13.15" customHeight="1">
      <c r="A903" s="305" t="s">
        <v>267</v>
      </c>
      <c r="B903" s="449">
        <v>657.11</v>
      </c>
      <c r="C903" s="450">
        <v>657.11</v>
      </c>
      <c r="D903" s="450">
        <v>2745.4</v>
      </c>
      <c r="E903" s="449">
        <v>3296.1108363064009</v>
      </c>
      <c r="F903" s="450">
        <v>3296.1108363064009</v>
      </c>
      <c r="G903" s="450">
        <v>50815.562400000003</v>
      </c>
      <c r="H903" s="450">
        <v>77346.111523141604</v>
      </c>
      <c r="I903" s="215">
        <v>29</v>
      </c>
    </row>
    <row r="904" spans="1:21" ht="13.15" customHeight="1">
      <c r="A904" s="312" t="s">
        <v>526</v>
      </c>
      <c r="B904" s="391"/>
      <c r="C904" s="391"/>
      <c r="D904" s="205"/>
      <c r="E904" s="391"/>
      <c r="F904" s="391"/>
      <c r="G904" s="205"/>
      <c r="H904" s="205"/>
      <c r="I904" s="391"/>
    </row>
    <row r="905" spans="1:21" ht="13.15" customHeight="1">
      <c r="A905" s="239" t="s">
        <v>527</v>
      </c>
      <c r="B905" s="216">
        <v>23.5</v>
      </c>
      <c r="C905" s="204">
        <v>23.5</v>
      </c>
      <c r="D905" s="204">
        <v>198</v>
      </c>
      <c r="E905" s="216">
        <v>114.136</v>
      </c>
      <c r="F905" s="204">
        <v>114.136</v>
      </c>
      <c r="G905" s="204">
        <v>2909.1420000000003</v>
      </c>
      <c r="H905" s="202">
        <v>3882.2687999999998</v>
      </c>
      <c r="I905" s="216">
        <v>2</v>
      </c>
    </row>
    <row r="906" spans="1:21" ht="13.15" customHeight="1">
      <c r="A906" s="239" t="s">
        <v>528</v>
      </c>
      <c r="B906" s="204">
        <v>45</v>
      </c>
      <c r="C906" s="204">
        <v>45</v>
      </c>
      <c r="D906" s="204">
        <v>240</v>
      </c>
      <c r="E906" s="204">
        <v>114.268</v>
      </c>
      <c r="F906" s="204">
        <v>114.268</v>
      </c>
      <c r="G906" s="204">
        <v>4170.8123999999998</v>
      </c>
      <c r="H906" s="202">
        <v>5866.8371999999999</v>
      </c>
      <c r="I906" s="204">
        <v>1</v>
      </c>
    </row>
    <row r="907" spans="1:21" ht="13.15" customHeight="1">
      <c r="A907" s="239" t="s">
        <v>529</v>
      </c>
      <c r="B907" s="204">
        <v>25</v>
      </c>
      <c r="C907" s="204">
        <v>25</v>
      </c>
      <c r="D907" s="204">
        <v>190</v>
      </c>
      <c r="E907" s="204">
        <v>165.33199999999999</v>
      </c>
      <c r="F907" s="204">
        <v>165.33199999999999</v>
      </c>
      <c r="G907" s="204">
        <v>2562.0408000000002</v>
      </c>
      <c r="H907" s="202">
        <v>4014.1044000000002</v>
      </c>
      <c r="I907" s="204">
        <v>1</v>
      </c>
    </row>
    <row r="908" spans="1:21" ht="13.15" customHeight="1">
      <c r="A908" s="239" t="s">
        <v>530</v>
      </c>
      <c r="B908" s="204">
        <v>2231.8000000000002</v>
      </c>
      <c r="C908" s="204">
        <v>2231.8000000000002</v>
      </c>
      <c r="D908" s="204">
        <v>7627.6</v>
      </c>
      <c r="E908" s="204">
        <v>10366.810210526315</v>
      </c>
      <c r="F908" s="204">
        <v>10366.810210526315</v>
      </c>
      <c r="G908" s="204">
        <v>138120.19560000001</v>
      </c>
      <c r="H908" s="202">
        <v>215240.14952757992</v>
      </c>
      <c r="I908" s="204">
        <v>47</v>
      </c>
    </row>
    <row r="909" spans="1:21" ht="13.15" customHeight="1">
      <c r="A909" s="282" t="s">
        <v>169</v>
      </c>
      <c r="B909" s="360">
        <f>SUM(B899:B908)</f>
        <v>5811.5509999999995</v>
      </c>
      <c r="C909" s="360">
        <f>SUM(C899:C908)</f>
        <v>5811.5509999999995</v>
      </c>
      <c r="D909" s="360">
        <f t="shared" ref="D909:I909" si="327">SUM(D899:D908)</f>
        <v>15364.720000000001</v>
      </c>
      <c r="E909" s="360">
        <f t="shared" si="327"/>
        <v>28448.298678411658</v>
      </c>
      <c r="F909" s="360">
        <f t="shared" si="327"/>
        <v>28448.298678411658</v>
      </c>
      <c r="G909" s="360">
        <f t="shared" si="327"/>
        <v>274304.32920000004</v>
      </c>
      <c r="H909" s="360">
        <f t="shared" si="327"/>
        <v>452936.42747717071</v>
      </c>
      <c r="I909" s="360">
        <f t="shared" si="327"/>
        <v>137</v>
      </c>
    </row>
    <row r="910" spans="1:21" ht="13.15" customHeight="1">
      <c r="A910" s="451"/>
      <c r="B910" s="357"/>
      <c r="C910" s="357"/>
      <c r="D910" s="357"/>
      <c r="E910" s="357"/>
      <c r="F910" s="359"/>
    </row>
    <row r="911" spans="1:21" ht="13.15" customHeight="1">
      <c r="A911" s="451"/>
      <c r="B911" s="357"/>
      <c r="C911" s="357"/>
      <c r="D911" s="357"/>
      <c r="E911" s="357"/>
      <c r="F911" s="359"/>
    </row>
    <row r="912" spans="1:21" ht="13.15" customHeight="1">
      <c r="A912" s="221" t="s">
        <v>199</v>
      </c>
      <c r="D912" s="220"/>
      <c r="I912" s="221">
        <v>2002</v>
      </c>
      <c r="K912" s="221" t="str">
        <f>+A912</f>
        <v>Sweden</v>
      </c>
      <c r="M912" s="220"/>
      <c r="S912" s="221">
        <v>2002</v>
      </c>
    </row>
    <row r="913" spans="1:27" ht="13.15" customHeight="1" thickBot="1">
      <c r="A913" s="223"/>
      <c r="B913" s="223"/>
      <c r="C913" s="223"/>
      <c r="D913" s="223"/>
    </row>
    <row r="914" spans="1:27" ht="13.15" customHeight="1">
      <c r="A914" s="224" t="s">
        <v>475</v>
      </c>
      <c r="B914" s="225" t="s">
        <v>476</v>
      </c>
      <c r="C914" s="225"/>
      <c r="D914" s="226"/>
      <c r="E914" s="227" t="s">
        <v>477</v>
      </c>
      <c r="F914" s="228"/>
      <c r="G914" s="229"/>
      <c r="H914" s="200" t="s">
        <v>138</v>
      </c>
      <c r="I914" s="200" t="s">
        <v>478</v>
      </c>
      <c r="J914" s="230"/>
      <c r="K914" s="231" t="s">
        <v>475</v>
      </c>
      <c r="L914" s="232" t="s">
        <v>479</v>
      </c>
      <c r="M914" s="233"/>
      <c r="N914" s="234"/>
      <c r="O914" s="235" t="s">
        <v>480</v>
      </c>
      <c r="P914" s="233"/>
      <c r="Q914" s="233"/>
      <c r="R914" s="236"/>
      <c r="S914" s="237"/>
      <c r="T914" s="238"/>
    </row>
    <row r="915" spans="1:27" ht="13.15" customHeight="1">
      <c r="A915" s="239"/>
      <c r="B915" s="240" t="s">
        <v>481</v>
      </c>
      <c r="C915" s="240"/>
      <c r="D915" s="241" t="s">
        <v>34</v>
      </c>
      <c r="E915" s="242" t="s">
        <v>482</v>
      </c>
      <c r="F915" s="243"/>
      <c r="G915" s="244" t="s">
        <v>34</v>
      </c>
      <c r="H915" s="241" t="s">
        <v>170</v>
      </c>
      <c r="I915" s="241" t="s">
        <v>483</v>
      </c>
      <c r="J915" s="230"/>
      <c r="K915" s="245"/>
      <c r="L915" s="246" t="s">
        <v>484</v>
      </c>
      <c r="M915" s="247"/>
      <c r="N915" s="248" t="s">
        <v>485</v>
      </c>
      <c r="O915" s="248" t="s">
        <v>486</v>
      </c>
      <c r="P915" s="248" t="s">
        <v>486</v>
      </c>
      <c r="Q915" s="247" t="s">
        <v>487</v>
      </c>
      <c r="R915" s="249"/>
      <c r="S915" s="250" t="s">
        <v>485</v>
      </c>
      <c r="T915" s="230"/>
      <c r="U915" s="214" t="str">
        <f>A912</f>
        <v>Sweden</v>
      </c>
    </row>
    <row r="916" spans="1:27" ht="13.15" customHeight="1">
      <c r="A916" s="251" t="s">
        <v>488</v>
      </c>
      <c r="B916" s="252" t="s">
        <v>0</v>
      </c>
      <c r="C916" s="252" t="s">
        <v>489</v>
      </c>
      <c r="D916" s="252" t="s">
        <v>490</v>
      </c>
      <c r="E916" s="252" t="s">
        <v>491</v>
      </c>
      <c r="F916" s="252" t="s">
        <v>489</v>
      </c>
      <c r="G916" s="230" t="s">
        <v>490</v>
      </c>
      <c r="H916" s="248"/>
      <c r="I916" s="241" t="s">
        <v>492</v>
      </c>
      <c r="J916" s="230"/>
      <c r="K916" s="253" t="s">
        <v>488</v>
      </c>
      <c r="L916" s="254" t="s">
        <v>88</v>
      </c>
      <c r="M916" s="252" t="s">
        <v>34</v>
      </c>
      <c r="N916" s="252" t="s">
        <v>493</v>
      </c>
      <c r="O916" s="248" t="s">
        <v>494</v>
      </c>
      <c r="P916" s="248" t="s">
        <v>495</v>
      </c>
      <c r="Q916" s="230" t="s">
        <v>88</v>
      </c>
      <c r="R916" s="248" t="s">
        <v>34</v>
      </c>
      <c r="S916" s="255" t="s">
        <v>88</v>
      </c>
      <c r="T916" s="230"/>
      <c r="U916" s="214" t="s">
        <v>547</v>
      </c>
      <c r="V916" s="214">
        <f>G944/1000</f>
        <v>62.612000000000002</v>
      </c>
    </row>
    <row r="917" spans="1:27" ht="13.15" customHeight="1">
      <c r="A917" s="239"/>
      <c r="B917" s="252" t="s">
        <v>496</v>
      </c>
      <c r="C917" s="252" t="s">
        <v>496</v>
      </c>
      <c r="D917" s="252" t="s">
        <v>496</v>
      </c>
      <c r="E917" s="256" t="s">
        <v>473</v>
      </c>
      <c r="F917" s="256" t="s">
        <v>473</v>
      </c>
      <c r="G917" s="230" t="s">
        <v>451</v>
      </c>
      <c r="H917" s="257" t="s">
        <v>497</v>
      </c>
      <c r="I917" s="257" t="s">
        <v>498</v>
      </c>
      <c r="J917" s="230"/>
      <c r="K917" s="245"/>
      <c r="L917" s="258" t="s">
        <v>496</v>
      </c>
      <c r="M917" s="256" t="s">
        <v>496</v>
      </c>
      <c r="N917" s="256"/>
      <c r="O917" s="257" t="s">
        <v>79</v>
      </c>
      <c r="P917" s="257" t="s">
        <v>79</v>
      </c>
      <c r="Q917" s="259"/>
      <c r="R917" s="257"/>
      <c r="S917" s="260"/>
      <c r="T917" s="230"/>
      <c r="U917" s="214" t="s">
        <v>548</v>
      </c>
      <c r="V917" s="214">
        <f>G950/1000</f>
        <v>0</v>
      </c>
    </row>
    <row r="918" spans="1:27" ht="13.15" customHeight="1">
      <c r="A918" s="261" t="s">
        <v>262</v>
      </c>
      <c r="B918" s="365">
        <v>36</v>
      </c>
      <c r="C918" s="365">
        <v>36</v>
      </c>
      <c r="D918" s="365">
        <v>43</v>
      </c>
      <c r="E918" s="320">
        <v>94</v>
      </c>
      <c r="F918" s="320">
        <v>94</v>
      </c>
      <c r="G918" s="368">
        <v>908</v>
      </c>
      <c r="H918" s="369">
        <v>1456</v>
      </c>
      <c r="I918" s="320">
        <v>2</v>
      </c>
      <c r="J918" s="230"/>
      <c r="K918" s="265" t="s">
        <v>262</v>
      </c>
      <c r="L918" s="266">
        <f>C918/I918</f>
        <v>18</v>
      </c>
      <c r="M918" s="267">
        <f>D918/I918</f>
        <v>21.5</v>
      </c>
      <c r="N918" s="267">
        <f>D918/C918</f>
        <v>1.1944444444444444</v>
      </c>
      <c r="O918" s="239">
        <f>(F918*3.6+G918)*100/H918</f>
        <v>85.60439560439562</v>
      </c>
      <c r="P918" s="239">
        <f>(F918*3.6+G918)*100/H918</f>
        <v>85.60439560439562</v>
      </c>
      <c r="Q918" s="267">
        <f>F918/(C918*8760)*1000</f>
        <v>0.29807204464738712</v>
      </c>
      <c r="R918" s="267">
        <f>G918/(D918*8761)*1000/3.6</f>
        <v>0.66951638796203639</v>
      </c>
      <c r="S918" s="268">
        <f>G918/(F918*3.6)</f>
        <v>2.6832151300236404</v>
      </c>
      <c r="T918" s="269"/>
      <c r="U918" s="214" t="s">
        <v>549</v>
      </c>
      <c r="V918" s="214">
        <f>G952/1000</f>
        <v>0.83799999999999997</v>
      </c>
      <c r="Z918" s="214">
        <f t="shared" ref="Z918:Z923" si="328">C918-B918</f>
        <v>0</v>
      </c>
      <c r="AA918" s="214">
        <f t="shared" ref="AA918:AA923" si="329">F918-E918</f>
        <v>0</v>
      </c>
    </row>
    <row r="919" spans="1:27" ht="13.15" customHeight="1">
      <c r="A919" s="239" t="s">
        <v>263</v>
      </c>
      <c r="B919" s="320">
        <v>2127</v>
      </c>
      <c r="C919" s="320">
        <v>2127</v>
      </c>
      <c r="D919" s="320">
        <v>4960.067760376256</v>
      </c>
      <c r="E919" s="320">
        <v>7294</v>
      </c>
      <c r="F919" s="320">
        <v>7294</v>
      </c>
      <c r="G919" s="321">
        <v>84788</v>
      </c>
      <c r="H919" s="319">
        <v>129726</v>
      </c>
      <c r="I919" s="320">
        <v>62</v>
      </c>
      <c r="J919" s="230"/>
      <c r="K919" s="245" t="s">
        <v>263</v>
      </c>
      <c r="L919" s="266">
        <f>C919/I919</f>
        <v>34.306451612903224</v>
      </c>
      <c r="M919" s="267">
        <f>D919/I919</f>
        <v>80.001092909294456</v>
      </c>
      <c r="N919" s="267">
        <f>D919/C919</f>
        <v>2.3319547533503791</v>
      </c>
      <c r="O919" s="239">
        <f>(F919*3.6+G919)*100/H919</f>
        <v>85.600727687587678</v>
      </c>
      <c r="P919" s="239">
        <f>(F919*3.6+G919)*100/H919</f>
        <v>85.600727687587678</v>
      </c>
      <c r="Q919" s="267">
        <f>F919/(C919*8760)*1000</f>
        <v>0.39146610335048615</v>
      </c>
      <c r="R919" s="267">
        <f>G919/(D919*8761)*1000/3.6</f>
        <v>0.54198915996585029</v>
      </c>
      <c r="S919" s="268">
        <f>G919/(F919*3.6)</f>
        <v>3.2289857721719524</v>
      </c>
      <c r="T919" s="269"/>
      <c r="U919" s="214" t="s">
        <v>550</v>
      </c>
      <c r="V919" s="214">
        <f>G957/1000</f>
        <v>61.067</v>
      </c>
      <c r="Z919" s="214">
        <f t="shared" si="328"/>
        <v>0</v>
      </c>
      <c r="AA919" s="214">
        <f t="shared" si="329"/>
        <v>0</v>
      </c>
    </row>
    <row r="920" spans="1:27" ht="13.15" customHeight="1">
      <c r="A920" s="239" t="s">
        <v>499</v>
      </c>
      <c r="B920" s="320">
        <v>316</v>
      </c>
      <c r="C920" s="320">
        <v>316</v>
      </c>
      <c r="D920" s="320">
        <v>776</v>
      </c>
      <c r="E920" s="320">
        <v>626</v>
      </c>
      <c r="F920" s="320">
        <v>626</v>
      </c>
      <c r="G920" s="321">
        <v>4496</v>
      </c>
      <c r="H920" s="319">
        <v>7755</v>
      </c>
      <c r="I920" s="320">
        <v>1</v>
      </c>
      <c r="J920" s="230"/>
      <c r="K920" s="245" t="s">
        <v>499</v>
      </c>
      <c r="L920" s="266">
        <f>C920/I920</f>
        <v>316</v>
      </c>
      <c r="M920" s="267">
        <f>D920/I920</f>
        <v>776</v>
      </c>
      <c r="N920" s="267">
        <f>D920/C920</f>
        <v>2.4556962025316458</v>
      </c>
      <c r="O920" s="239">
        <f>(F920*3.6+G920)*100/H920</f>
        <v>87.035460992907801</v>
      </c>
      <c r="P920" s="239">
        <f>(F920*3.6+G920)*100/H920</f>
        <v>87.035460992907801</v>
      </c>
      <c r="Q920" s="267">
        <f>F920/(C920*8760)*1000</f>
        <v>0.22614299751459452</v>
      </c>
      <c r="R920" s="267">
        <f>G920/(D920*8761)*1000/3.6</f>
        <v>0.18369968017951052</v>
      </c>
      <c r="S920" s="268">
        <f>G920/(F920*3.6)</f>
        <v>1.995030173943912</v>
      </c>
      <c r="T920" s="269"/>
      <c r="U920" s="214" t="s">
        <v>551</v>
      </c>
      <c r="V920" s="214">
        <f>G948/1000</f>
        <v>1.0999999999999999E-2</v>
      </c>
      <c r="Z920" s="214">
        <f t="shared" si="328"/>
        <v>0</v>
      </c>
      <c r="AA920" s="214">
        <f t="shared" si="329"/>
        <v>0</v>
      </c>
    </row>
    <row r="921" spans="1:27" ht="13.15" customHeight="1">
      <c r="A921" s="239" t="s">
        <v>265</v>
      </c>
      <c r="B921" s="320">
        <v>41</v>
      </c>
      <c r="C921" s="320">
        <v>41</v>
      </c>
      <c r="D921" s="320">
        <v>64.717171717171723</v>
      </c>
      <c r="E921" s="320">
        <v>110</v>
      </c>
      <c r="F921" s="320">
        <v>110</v>
      </c>
      <c r="G921" s="321">
        <v>1876</v>
      </c>
      <c r="H921" s="319">
        <v>2778</v>
      </c>
      <c r="I921" s="320">
        <v>3</v>
      </c>
      <c r="J921" s="230"/>
      <c r="K921" s="245" t="s">
        <v>265</v>
      </c>
      <c r="L921" s="266">
        <f>C921/I921</f>
        <v>13.666666666666666</v>
      </c>
      <c r="M921" s="267">
        <f>D921/I921</f>
        <v>21.572390572390574</v>
      </c>
      <c r="N921" s="267">
        <f>D921/C921</f>
        <v>1.5784676028578468</v>
      </c>
      <c r="O921" s="239">
        <f>(F921*3.6+G921)*100/H921</f>
        <v>81.785457163426926</v>
      </c>
      <c r="P921" s="239">
        <f>(F921*3.6+G921)*100/H921</f>
        <v>81.785457163426926</v>
      </c>
      <c r="Q921" s="267">
        <f>F921/(C921*8760)*1000</f>
        <v>0.3062701859895311</v>
      </c>
      <c r="R921" s="267">
        <f>G921/(D921*8761)*1000/3.6</f>
        <v>0.91908805870163202</v>
      </c>
      <c r="S921" s="268">
        <f>G921/(F921*3.6)</f>
        <v>4.737373737373737</v>
      </c>
      <c r="T921" s="269"/>
      <c r="U921" s="214" t="s">
        <v>552</v>
      </c>
      <c r="V921" s="214">
        <f>(G945+G946+G947+G949+G951+G953+G954+G955+G956+G958+G959+G960+G961+G962)/1000</f>
        <v>0.69599999999999995</v>
      </c>
      <c r="Z921" s="214">
        <f t="shared" si="328"/>
        <v>0</v>
      </c>
      <c r="AA921" s="214">
        <f t="shared" si="329"/>
        <v>0</v>
      </c>
    </row>
    <row r="922" spans="1:27" ht="13.15" customHeight="1">
      <c r="A922" s="239" t="s">
        <v>266</v>
      </c>
      <c r="B922" s="320">
        <v>25</v>
      </c>
      <c r="C922" s="320">
        <v>25</v>
      </c>
      <c r="D922" s="320">
        <v>27.752882539682542</v>
      </c>
      <c r="E922" s="320">
        <v>43</v>
      </c>
      <c r="F922" s="320">
        <v>43</v>
      </c>
      <c r="G922" s="321">
        <v>199</v>
      </c>
      <c r="H922" s="319">
        <v>413</v>
      </c>
      <c r="I922" s="320">
        <v>7</v>
      </c>
      <c r="J922" s="230"/>
      <c r="K922" s="245" t="s">
        <v>266</v>
      </c>
      <c r="L922" s="266">
        <f>C922/I922</f>
        <v>3.5714285714285716</v>
      </c>
      <c r="M922" s="267">
        <f>D922/I922</f>
        <v>3.9646975056689344</v>
      </c>
      <c r="N922" s="267">
        <f>D922/C922</f>
        <v>1.1101153015873018</v>
      </c>
      <c r="O922" s="239">
        <f>(F922*3.6+G922)*100/H922</f>
        <v>85.665859564164649</v>
      </c>
      <c r="P922" s="239">
        <f>(F922*3.6+G922)*100/H922</f>
        <v>85.665859564164649</v>
      </c>
      <c r="Q922" s="267">
        <f>F922/(C922*8760)*1000</f>
        <v>0.19634703196347031</v>
      </c>
      <c r="R922" s="267">
        <f>G922/(D922*8761)*1000/3.6</f>
        <v>0.22734677487844132</v>
      </c>
      <c r="S922" s="268">
        <f>G922/(F922*3.6)</f>
        <v>1.2855297157622738</v>
      </c>
      <c r="T922" s="269"/>
      <c r="Z922" s="214">
        <f t="shared" si="328"/>
        <v>0</v>
      </c>
      <c r="AA922" s="214">
        <f t="shared" si="329"/>
        <v>0</v>
      </c>
    </row>
    <row r="923" spans="1:27" ht="13.15" customHeight="1">
      <c r="A923" s="272" t="s">
        <v>267</v>
      </c>
      <c r="B923" s="395">
        <v>14</v>
      </c>
      <c r="C923" s="395">
        <v>14</v>
      </c>
      <c r="D923" s="395">
        <v>13.681818181818182</v>
      </c>
      <c r="E923" s="320">
        <v>14</v>
      </c>
      <c r="F923" s="320">
        <v>14</v>
      </c>
      <c r="G923" s="396">
        <v>35</v>
      </c>
      <c r="H923" s="397">
        <v>107</v>
      </c>
      <c r="I923" s="395">
        <v>1</v>
      </c>
      <c r="J923" s="230"/>
      <c r="K923" s="245" t="s">
        <v>267</v>
      </c>
      <c r="L923" s="266"/>
      <c r="M923" s="267"/>
      <c r="N923" s="267"/>
      <c r="O923" s="239"/>
      <c r="P923" s="272"/>
      <c r="Q923" s="272"/>
      <c r="R923" s="274"/>
      <c r="S923" s="275"/>
      <c r="T923" s="269"/>
      <c r="U923" s="214" t="s">
        <v>553</v>
      </c>
      <c r="V923" s="214">
        <f>H944/1000</f>
        <v>100.087</v>
      </c>
      <c r="Z923" s="214">
        <f t="shared" si="328"/>
        <v>0</v>
      </c>
      <c r="AA923" s="214">
        <f t="shared" si="329"/>
        <v>0</v>
      </c>
    </row>
    <row r="924" spans="1:27" ht="13.15" customHeight="1">
      <c r="A924" s="276" t="s">
        <v>500</v>
      </c>
      <c r="B924" s="277">
        <f t="shared" ref="B924:I924" si="330">SUM(B918:B923)</f>
        <v>2559</v>
      </c>
      <c r="C924" s="277">
        <f t="shared" si="330"/>
        <v>2559</v>
      </c>
      <c r="D924" s="277">
        <f t="shared" si="330"/>
        <v>5885.2196328149275</v>
      </c>
      <c r="E924" s="277">
        <f t="shared" si="330"/>
        <v>8181</v>
      </c>
      <c r="F924" s="277">
        <f t="shared" si="330"/>
        <v>8181</v>
      </c>
      <c r="G924" s="277">
        <f t="shared" si="330"/>
        <v>92302</v>
      </c>
      <c r="H924" s="277">
        <f t="shared" si="330"/>
        <v>142235</v>
      </c>
      <c r="I924" s="278">
        <f t="shared" si="330"/>
        <v>76</v>
      </c>
      <c r="J924" s="244"/>
      <c r="K924" s="279" t="s">
        <v>169</v>
      </c>
      <c r="L924" s="280">
        <f>C924/I924</f>
        <v>33.671052631578945</v>
      </c>
      <c r="M924" s="281">
        <f>D924/I924</f>
        <v>77.437100431775363</v>
      </c>
      <c r="N924" s="281">
        <f>D924/C924</f>
        <v>2.2998122832414722</v>
      </c>
      <c r="O924" s="282">
        <f>(F924*3.6+G924)*100/H924</f>
        <v>85.600309347207087</v>
      </c>
      <c r="P924" s="282">
        <f>(F924*3.6+G924)*100/H924</f>
        <v>85.600309347207087</v>
      </c>
      <c r="Q924" s="283">
        <f>F924/(C924*8760)*1000</f>
        <v>0.36494885095312274</v>
      </c>
      <c r="R924" s="283">
        <f>G924/(D924*8761)*1000/3.6</f>
        <v>0.49726999534571376</v>
      </c>
      <c r="S924" s="284">
        <f>G924/(F924*3.6)</f>
        <v>3.1340232788710969</v>
      </c>
      <c r="U924" s="214" t="s">
        <v>554</v>
      </c>
      <c r="V924" s="214">
        <f>H950/1000</f>
        <v>0</v>
      </c>
    </row>
    <row r="925" spans="1:27" ht="13.15" customHeight="1">
      <c r="A925" s="285" t="s">
        <v>501</v>
      </c>
      <c r="B925" s="228" t="s">
        <v>476</v>
      </c>
      <c r="C925" s="228"/>
      <c r="D925" s="286"/>
      <c r="E925" s="227" t="s">
        <v>477</v>
      </c>
      <c r="F925" s="228"/>
      <c r="G925" s="229"/>
      <c r="H925" s="200" t="s">
        <v>138</v>
      </c>
      <c r="I925" s="200" t="s">
        <v>478</v>
      </c>
      <c r="J925" s="244"/>
      <c r="K925" s="287" t="s">
        <v>501</v>
      </c>
      <c r="L925" s="288" t="s">
        <v>479</v>
      </c>
      <c r="M925" s="228"/>
      <c r="N925" s="286"/>
      <c r="O925" s="227" t="s">
        <v>480</v>
      </c>
      <c r="P925" s="228"/>
      <c r="Q925" s="228"/>
      <c r="R925" s="229"/>
      <c r="S925" s="289"/>
      <c r="T925" s="269"/>
      <c r="U925" s="214" t="s">
        <v>555</v>
      </c>
      <c r="V925" s="214">
        <f>H952/1000</f>
        <v>1.38</v>
      </c>
    </row>
    <row r="926" spans="1:27" ht="13.15" customHeight="1">
      <c r="A926" s="239"/>
      <c r="B926" s="240" t="s">
        <v>481</v>
      </c>
      <c r="C926" s="240"/>
      <c r="D926" s="241" t="s">
        <v>34</v>
      </c>
      <c r="E926" s="242" t="s">
        <v>482</v>
      </c>
      <c r="F926" s="243"/>
      <c r="G926" s="244" t="s">
        <v>34</v>
      </c>
      <c r="H926" s="241" t="s">
        <v>170</v>
      </c>
      <c r="I926" s="241" t="s">
        <v>483</v>
      </c>
      <c r="J926" s="244"/>
      <c r="K926" s="245"/>
      <c r="L926" s="246" t="s">
        <v>484</v>
      </c>
      <c r="M926" s="247"/>
      <c r="N926" s="248" t="s">
        <v>485</v>
      </c>
      <c r="O926" s="248" t="s">
        <v>486</v>
      </c>
      <c r="P926" s="248" t="s">
        <v>486</v>
      </c>
      <c r="Q926" s="247" t="s">
        <v>487</v>
      </c>
      <c r="R926" s="249"/>
      <c r="S926" s="250" t="s">
        <v>485</v>
      </c>
      <c r="T926" s="269"/>
      <c r="U926" s="214" t="s">
        <v>556</v>
      </c>
      <c r="V926" s="214">
        <f>H957/1000</f>
        <v>97.641000000000005</v>
      </c>
    </row>
    <row r="927" spans="1:27" ht="13.15" customHeight="1">
      <c r="A927" s="251" t="s">
        <v>488</v>
      </c>
      <c r="B927" s="252" t="s">
        <v>0</v>
      </c>
      <c r="C927" s="252" t="s">
        <v>489</v>
      </c>
      <c r="D927" s="252" t="s">
        <v>490</v>
      </c>
      <c r="E927" s="252" t="s">
        <v>491</v>
      </c>
      <c r="F927" s="252" t="s">
        <v>489</v>
      </c>
      <c r="G927" s="230" t="s">
        <v>490</v>
      </c>
      <c r="H927" s="248"/>
      <c r="I927" s="241" t="s">
        <v>492</v>
      </c>
      <c r="J927" s="244"/>
      <c r="K927" s="253" t="s">
        <v>488</v>
      </c>
      <c r="L927" s="254" t="s">
        <v>88</v>
      </c>
      <c r="M927" s="252" t="s">
        <v>34</v>
      </c>
      <c r="N927" s="252" t="s">
        <v>493</v>
      </c>
      <c r="O927" s="248" t="s">
        <v>494</v>
      </c>
      <c r="P927" s="248" t="s">
        <v>495</v>
      </c>
      <c r="Q927" s="230" t="s">
        <v>88</v>
      </c>
      <c r="R927" s="248" t="s">
        <v>34</v>
      </c>
      <c r="S927" s="255" t="s">
        <v>88</v>
      </c>
      <c r="T927" s="269"/>
      <c r="U927" s="214" t="s">
        <v>557</v>
      </c>
      <c r="V927" s="214">
        <f>H948/1000</f>
        <v>1.7000000000000001E-2</v>
      </c>
    </row>
    <row r="928" spans="1:27" ht="13.15" customHeight="1">
      <c r="A928" s="239"/>
      <c r="B928" s="252" t="s">
        <v>496</v>
      </c>
      <c r="C928" s="252" t="s">
        <v>496</v>
      </c>
      <c r="D928" s="252" t="s">
        <v>496</v>
      </c>
      <c r="E928" s="256" t="s">
        <v>473</v>
      </c>
      <c r="F928" s="256" t="s">
        <v>473</v>
      </c>
      <c r="G928" s="230" t="s">
        <v>451</v>
      </c>
      <c r="H928" s="257" t="s">
        <v>497</v>
      </c>
      <c r="I928" s="257" t="s">
        <v>498</v>
      </c>
      <c r="J928" s="244"/>
      <c r="K928" s="245"/>
      <c r="L928" s="258" t="s">
        <v>496</v>
      </c>
      <c r="M928" s="256" t="s">
        <v>496</v>
      </c>
      <c r="N928" s="256"/>
      <c r="O928" s="257" t="s">
        <v>79</v>
      </c>
      <c r="P928" s="257" t="s">
        <v>79</v>
      </c>
      <c r="Q928" s="259"/>
      <c r="R928" s="257"/>
      <c r="S928" s="260"/>
      <c r="T928" s="269"/>
      <c r="U928" s="214" t="s">
        <v>558</v>
      </c>
      <c r="V928" s="214">
        <f>(H945+H946+H947+H949+H951+H953+H954+H955+H956+H958+H959+H960+H961+H962)/1000</f>
        <v>1.0489999999999999</v>
      </c>
    </row>
    <row r="929" spans="1:27" ht="13.15" customHeight="1">
      <c r="A929" s="261" t="s">
        <v>262</v>
      </c>
      <c r="B929" s="365">
        <v>85</v>
      </c>
      <c r="C929" s="365">
        <v>100</v>
      </c>
      <c r="D929" s="365">
        <v>110</v>
      </c>
      <c r="E929" s="320">
        <v>104</v>
      </c>
      <c r="F929" s="319">
        <v>142</v>
      </c>
      <c r="G929" s="368">
        <v>1290</v>
      </c>
      <c r="H929" s="369">
        <v>2115</v>
      </c>
      <c r="I929" s="320">
        <v>2</v>
      </c>
      <c r="J929" s="244"/>
      <c r="K929" s="265" t="s">
        <v>262</v>
      </c>
      <c r="L929" s="266">
        <f>B929/I929</f>
        <v>42.5</v>
      </c>
      <c r="M929" s="267">
        <f>D929/I929</f>
        <v>55</v>
      </c>
      <c r="N929" s="267">
        <f>D929/B929</f>
        <v>1.2941176470588236</v>
      </c>
      <c r="O929" s="239">
        <f>(F929*3.6+G929)*100/H929</f>
        <v>85.163120567375884</v>
      </c>
      <c r="P929" s="267">
        <f>(E929*3.6+G929)*100/H929</f>
        <v>78.695035460992912</v>
      </c>
      <c r="Q929" s="267">
        <f>E929/(B929*8760)*1000</f>
        <v>0.13967230727907601</v>
      </c>
      <c r="R929" s="267">
        <f>G929/(D929*8761)*1000/3.6</f>
        <v>0.37182693272180772</v>
      </c>
      <c r="S929" s="268">
        <f>G929/(E929*3.6)</f>
        <v>3.4455128205128203</v>
      </c>
      <c r="T929" s="269"/>
      <c r="Z929" s="214">
        <f t="shared" ref="Z929:Z936" si="331">C929-B929</f>
        <v>15</v>
      </c>
      <c r="AA929" s="214">
        <f t="shared" ref="AA929:AA936" si="332">F929-E929</f>
        <v>38</v>
      </c>
    </row>
    <row r="930" spans="1:27" ht="13.15" customHeight="1">
      <c r="A930" s="239" t="s">
        <v>263</v>
      </c>
      <c r="B930" s="320">
        <v>279</v>
      </c>
      <c r="C930" s="320">
        <v>305</v>
      </c>
      <c r="D930" s="320">
        <v>751</v>
      </c>
      <c r="E930" s="320">
        <v>1228</v>
      </c>
      <c r="F930" s="319">
        <v>1241</v>
      </c>
      <c r="G930" s="321">
        <v>17645</v>
      </c>
      <c r="H930" s="319">
        <v>33488</v>
      </c>
      <c r="I930" s="320">
        <v>13</v>
      </c>
      <c r="J930" s="244"/>
      <c r="K930" s="245" t="s">
        <v>263</v>
      </c>
      <c r="L930" s="266">
        <f>B930/I930</f>
        <v>21.46153846153846</v>
      </c>
      <c r="M930" s="267">
        <f>D930/I930</f>
        <v>57.769230769230766</v>
      </c>
      <c r="N930" s="267">
        <f>D930/B930</f>
        <v>2.6917562724014337</v>
      </c>
      <c r="O930" s="239">
        <f>(F930*3.6+G930)*100/H930</f>
        <v>66.031414237935977</v>
      </c>
      <c r="P930" s="267">
        <f>(E930*3.6+G930)*100/H930</f>
        <v>65.891662685140943</v>
      </c>
      <c r="Q930" s="267">
        <f>E930/(B930*8760)*1000</f>
        <v>0.50244676846532788</v>
      </c>
      <c r="R930" s="267">
        <f>G930/(D930*8761)*1000/3.6</f>
        <v>0.74494728998688342</v>
      </c>
      <c r="S930" s="268">
        <f>G930/(E930*3.6)</f>
        <v>3.9913590300398116</v>
      </c>
      <c r="T930" s="269"/>
      <c r="U930" s="239" t="s">
        <v>152</v>
      </c>
      <c r="V930" s="492">
        <f>B945/1000</f>
        <v>0</v>
      </c>
      <c r="Z930" s="214">
        <f t="shared" si="331"/>
        <v>26</v>
      </c>
      <c r="AA930" s="214">
        <f t="shared" si="332"/>
        <v>13</v>
      </c>
    </row>
    <row r="931" spans="1:27" ht="13.15" customHeight="1">
      <c r="A931" s="239" t="s">
        <v>499</v>
      </c>
      <c r="B931" s="320">
        <v>292</v>
      </c>
      <c r="C931" s="320">
        <v>340</v>
      </c>
      <c r="D931" s="320">
        <v>780</v>
      </c>
      <c r="E931" s="320">
        <v>475</v>
      </c>
      <c r="F931" s="319">
        <v>606</v>
      </c>
      <c r="G931" s="321">
        <v>5702</v>
      </c>
      <c r="H931" s="319">
        <v>9657</v>
      </c>
      <c r="I931" s="320">
        <v>3</v>
      </c>
      <c r="J931" s="244"/>
      <c r="K931" s="245" t="s">
        <v>499</v>
      </c>
      <c r="L931" s="266">
        <f>B931/I931</f>
        <v>97.333333333333329</v>
      </c>
      <c r="M931" s="267">
        <f>D931/I931</f>
        <v>260</v>
      </c>
      <c r="N931" s="267">
        <f>D931/B931</f>
        <v>2.6712328767123288</v>
      </c>
      <c r="O931" s="239">
        <f>(F931*3.6+G931)*100/H931</f>
        <v>81.636118877498191</v>
      </c>
      <c r="P931" s="267">
        <f>(E931*3.6+G931)*100/H931</f>
        <v>76.752614683649171</v>
      </c>
      <c r="Q931" s="267">
        <f>E931/(B931*8760)*1000</f>
        <v>0.18569775442547068</v>
      </c>
      <c r="R931" s="267">
        <f>G931/(D931*8761)*1000/3.6</f>
        <v>0.2317802511844288</v>
      </c>
      <c r="S931" s="268">
        <f>G931/(E931*3.6)</f>
        <v>3.3345029239766082</v>
      </c>
      <c r="T931" s="269"/>
      <c r="U931" s="239" t="s">
        <v>504</v>
      </c>
      <c r="V931" s="492">
        <f t="shared" ref="V931:V947" si="333">B946/1000</f>
        <v>0</v>
      </c>
      <c r="Z931" s="214">
        <f t="shared" si="331"/>
        <v>48</v>
      </c>
      <c r="AA931" s="214">
        <f t="shared" si="332"/>
        <v>131</v>
      </c>
    </row>
    <row r="932" spans="1:27" ht="13.15" customHeight="1">
      <c r="A932" s="239" t="s">
        <v>265</v>
      </c>
      <c r="B932" s="320"/>
      <c r="C932" s="320"/>
      <c r="D932" s="320"/>
      <c r="E932" s="320"/>
      <c r="F932" s="319"/>
      <c r="G932" s="321"/>
      <c r="H932" s="319"/>
      <c r="I932" s="320"/>
      <c r="J932" s="244"/>
      <c r="K932" s="245" t="s">
        <v>265</v>
      </c>
      <c r="L932" s="266" t="e">
        <f>B932/I932</f>
        <v>#DIV/0!</v>
      </c>
      <c r="M932" s="267" t="e">
        <f>D932/I932</f>
        <v>#DIV/0!</v>
      </c>
      <c r="N932" s="267" t="e">
        <f>D932/B932</f>
        <v>#DIV/0!</v>
      </c>
      <c r="O932" s="239" t="e">
        <f>(F932*3.6+G932)*100/H932</f>
        <v>#DIV/0!</v>
      </c>
      <c r="P932" s="267" t="e">
        <f>(E932*3.6+G932)*100/H932</f>
        <v>#DIV/0!</v>
      </c>
      <c r="Q932" s="267" t="e">
        <f>E932/(B932*8760)*1000</f>
        <v>#DIV/0!</v>
      </c>
      <c r="R932" s="267" t="e">
        <f>G932/(D932*8761)*1000/3.6</f>
        <v>#DIV/0!</v>
      </c>
      <c r="S932" s="268" t="e">
        <f>G932/(E932*3.6)</f>
        <v>#DIV/0!</v>
      </c>
      <c r="T932" s="269"/>
      <c r="U932" s="239" t="s">
        <v>505</v>
      </c>
      <c r="V932" s="492">
        <f t="shared" si="333"/>
        <v>0</v>
      </c>
      <c r="Z932" s="214">
        <f t="shared" si="331"/>
        <v>0</v>
      </c>
      <c r="AA932" s="214">
        <f t="shared" si="332"/>
        <v>0</v>
      </c>
    </row>
    <row r="933" spans="1:27" ht="13.15" customHeight="1">
      <c r="A933" s="239" t="s">
        <v>266</v>
      </c>
      <c r="B933" s="320">
        <v>1</v>
      </c>
      <c r="C933" s="320">
        <v>1</v>
      </c>
      <c r="D933" s="320">
        <v>1</v>
      </c>
      <c r="E933" s="320">
        <v>2</v>
      </c>
      <c r="F933" s="319">
        <v>2</v>
      </c>
      <c r="G933" s="321">
        <v>7</v>
      </c>
      <c r="H933" s="319">
        <v>25</v>
      </c>
      <c r="I933" s="320">
        <v>1</v>
      </c>
      <c r="J933" s="244"/>
      <c r="K933" s="245" t="s">
        <v>266</v>
      </c>
      <c r="L933" s="266">
        <f>B933/I933</f>
        <v>1</v>
      </c>
      <c r="M933" s="267">
        <f>D933/I933</f>
        <v>1</v>
      </c>
      <c r="N933" s="267">
        <f>D933/B933</f>
        <v>1</v>
      </c>
      <c r="O933" s="239">
        <f>(F933*3.6+G933)*100/H933</f>
        <v>56.8</v>
      </c>
      <c r="P933" s="267">
        <f>(E933*3.6+G933)*100/H933</f>
        <v>56.8</v>
      </c>
      <c r="Q933" s="267">
        <f>E933/(B933*8760)*1000</f>
        <v>0.22831050228310501</v>
      </c>
      <c r="R933" s="267">
        <f>G933/(D933*8761)*1000/3.6</f>
        <v>0.22194320790371469</v>
      </c>
      <c r="S933" s="268">
        <f>G933/(E933*3.6)</f>
        <v>0.97222222222222221</v>
      </c>
      <c r="T933" s="269"/>
      <c r="U933" s="239" t="s">
        <v>506</v>
      </c>
      <c r="V933" s="492">
        <f t="shared" si="333"/>
        <v>1.4E-2</v>
      </c>
      <c r="Z933" s="214">
        <f t="shared" si="331"/>
        <v>0</v>
      </c>
      <c r="AA933" s="214">
        <f t="shared" si="332"/>
        <v>0</v>
      </c>
    </row>
    <row r="934" spans="1:27" ht="13.15" customHeight="1">
      <c r="A934" s="272" t="s">
        <v>267</v>
      </c>
      <c r="B934" s="395"/>
      <c r="C934" s="395"/>
      <c r="D934" s="395"/>
      <c r="E934" s="320"/>
      <c r="F934" s="319"/>
      <c r="G934" s="396"/>
      <c r="H934" s="397"/>
      <c r="I934" s="395"/>
      <c r="J934" s="244"/>
      <c r="K934" s="245" t="s">
        <v>267</v>
      </c>
      <c r="L934" s="266"/>
      <c r="M934" s="267"/>
      <c r="N934" s="267"/>
      <c r="O934" s="239"/>
      <c r="P934" s="267"/>
      <c r="Q934" s="272"/>
      <c r="R934" s="274"/>
      <c r="S934" s="275"/>
      <c r="T934" s="269"/>
      <c r="U934" s="239" t="s">
        <v>507</v>
      </c>
      <c r="V934" s="492">
        <f t="shared" si="333"/>
        <v>0</v>
      </c>
      <c r="Z934" s="214">
        <f t="shared" si="331"/>
        <v>0</v>
      </c>
      <c r="AA934" s="214">
        <f t="shared" si="332"/>
        <v>0</v>
      </c>
    </row>
    <row r="935" spans="1:27" ht="13.15" customHeight="1">
      <c r="A935" s="276" t="s">
        <v>500</v>
      </c>
      <c r="B935" s="291">
        <f t="shared" ref="B935:I935" si="334">SUM(B929:B934)</f>
        <v>657</v>
      </c>
      <c r="C935" s="291">
        <f t="shared" si="334"/>
        <v>746</v>
      </c>
      <c r="D935" s="291">
        <f t="shared" si="334"/>
        <v>1642</v>
      </c>
      <c r="E935" s="291">
        <f t="shared" si="334"/>
        <v>1809</v>
      </c>
      <c r="F935" s="291">
        <f t="shared" si="334"/>
        <v>1991</v>
      </c>
      <c r="G935" s="292">
        <f t="shared" si="334"/>
        <v>24644</v>
      </c>
      <c r="H935" s="291">
        <f t="shared" si="334"/>
        <v>45285</v>
      </c>
      <c r="I935" s="293">
        <f t="shared" si="334"/>
        <v>19</v>
      </c>
      <c r="J935" s="244"/>
      <c r="K935" s="279" t="s">
        <v>169</v>
      </c>
      <c r="L935" s="280">
        <f>B935/I935</f>
        <v>34.578947368421055</v>
      </c>
      <c r="M935" s="281">
        <f>D935/I935</f>
        <v>86.421052631578945</v>
      </c>
      <c r="N935" s="281">
        <f>D935/B935</f>
        <v>2.4992389649923896</v>
      </c>
      <c r="O935" s="294">
        <f>(F935*3.6+G935)*100/H935</f>
        <v>70.247543336645691</v>
      </c>
      <c r="P935" s="295">
        <f>(E935*3.6+G935)*100/H935</f>
        <v>68.800706635751354</v>
      </c>
      <c r="Q935" s="283">
        <f>E935/(B935*8760)*1000</f>
        <v>0.31431788328016513</v>
      </c>
      <c r="R935" s="283">
        <f>G935/(D935*8761)*1000/3.6</f>
        <v>0.47586292113965062</v>
      </c>
      <c r="S935" s="284">
        <f>G935/(E935*3.6)</f>
        <v>3.7841655917941157</v>
      </c>
      <c r="U935" s="239" t="s">
        <v>156</v>
      </c>
      <c r="V935" s="492">
        <f t="shared" si="333"/>
        <v>0</v>
      </c>
      <c r="Z935" s="214">
        <f t="shared" si="331"/>
        <v>89</v>
      </c>
      <c r="AA935" s="214">
        <f t="shared" si="332"/>
        <v>182</v>
      </c>
    </row>
    <row r="936" spans="1:27" ht="13.15" customHeight="1" thickBot="1">
      <c r="A936" s="296" t="s">
        <v>502</v>
      </c>
      <c r="B936" s="297">
        <f t="shared" ref="B936:I936" si="335">B924+B935</f>
        <v>3216</v>
      </c>
      <c r="C936" s="297">
        <f>C935+B924</f>
        <v>3305</v>
      </c>
      <c r="D936" s="297">
        <f t="shared" si="335"/>
        <v>7527.2196328149275</v>
      </c>
      <c r="E936" s="297">
        <f t="shared" si="335"/>
        <v>9990</v>
      </c>
      <c r="F936" s="297">
        <f>F935+E924</f>
        <v>10172</v>
      </c>
      <c r="G936" s="297">
        <f t="shared" si="335"/>
        <v>116946</v>
      </c>
      <c r="H936" s="297">
        <f t="shared" si="335"/>
        <v>187520</v>
      </c>
      <c r="I936" s="298">
        <f t="shared" si="335"/>
        <v>95</v>
      </c>
      <c r="J936" s="244"/>
      <c r="K936" s="296" t="s">
        <v>502</v>
      </c>
      <c r="L936" s="299">
        <f>B936/I936</f>
        <v>33.852631578947367</v>
      </c>
      <c r="M936" s="300">
        <f>D936/I936</f>
        <v>79.233890871736079</v>
      </c>
      <c r="N936" s="300">
        <f>D936/B936</f>
        <v>2.3405533684126016</v>
      </c>
      <c r="O936" s="301">
        <f>(F936*3.6+G936)*100/H936</f>
        <v>81.892704778157011</v>
      </c>
      <c r="P936" s="301">
        <f>(E936*3.6+G936)*100/H936</f>
        <v>81.543302047781566</v>
      </c>
      <c r="Q936" s="301">
        <f>E936/(B936*8760)*1000</f>
        <v>0.3546053976691883</v>
      </c>
      <c r="R936" s="301">
        <f>G936/(D936*8761)*1000/3.6</f>
        <v>0.49260022117131375</v>
      </c>
      <c r="S936" s="302">
        <f>G936/(E936*3.6)</f>
        <v>3.2517517517517516</v>
      </c>
      <c r="T936" s="269"/>
      <c r="U936" s="239" t="s">
        <v>508</v>
      </c>
      <c r="V936" s="492">
        <f t="shared" si="333"/>
        <v>0</v>
      </c>
      <c r="Z936" s="214">
        <f t="shared" si="331"/>
        <v>89</v>
      </c>
      <c r="AA936" s="214">
        <f t="shared" si="332"/>
        <v>182</v>
      </c>
    </row>
    <row r="937" spans="1:27" ht="13.15" customHeight="1">
      <c r="U937" s="239" t="s">
        <v>509</v>
      </c>
      <c r="V937" s="492">
        <f t="shared" si="333"/>
        <v>1.4999999999999999E-2</v>
      </c>
    </row>
    <row r="938" spans="1:27" ht="13.15" customHeight="1">
      <c r="A938" s="251" t="s">
        <v>139</v>
      </c>
      <c r="B938" s="227" t="s">
        <v>476</v>
      </c>
      <c r="C938" s="228"/>
      <c r="D938" s="286"/>
      <c r="E938" s="227" t="s">
        <v>477</v>
      </c>
      <c r="F938" s="228"/>
      <c r="G938" s="229"/>
      <c r="H938" s="200" t="s">
        <v>138</v>
      </c>
      <c r="I938" s="200" t="s">
        <v>478</v>
      </c>
      <c r="J938" s="230"/>
      <c r="K938" s="303" t="s">
        <v>503</v>
      </c>
      <c r="L938" s="227" t="s">
        <v>479</v>
      </c>
      <c r="M938" s="228"/>
      <c r="N938" s="286"/>
      <c r="O938" s="227" t="s">
        <v>480</v>
      </c>
      <c r="P938" s="228"/>
      <c r="Q938" s="228"/>
      <c r="R938" s="229"/>
      <c r="S938" s="286"/>
      <c r="T938" s="304"/>
      <c r="U938" s="239" t="s">
        <v>510</v>
      </c>
      <c r="V938" s="492">
        <f t="shared" si="333"/>
        <v>0</v>
      </c>
    </row>
    <row r="939" spans="1:27" ht="13.15" customHeight="1">
      <c r="A939" s="239"/>
      <c r="B939" s="240" t="s">
        <v>9</v>
      </c>
      <c r="C939" s="240"/>
      <c r="D939" s="241" t="s">
        <v>34</v>
      </c>
      <c r="E939" s="242" t="s">
        <v>88</v>
      </c>
      <c r="F939" s="243"/>
      <c r="G939" s="244" t="s">
        <v>34</v>
      </c>
      <c r="H939" s="241" t="s">
        <v>170</v>
      </c>
      <c r="I939" s="241" t="s">
        <v>483</v>
      </c>
      <c r="J939" s="230"/>
      <c r="K939" s="305"/>
      <c r="L939" s="306" t="s">
        <v>484</v>
      </c>
      <c r="M939" s="247"/>
      <c r="N939" s="248" t="s">
        <v>485</v>
      </c>
      <c r="O939" s="248" t="s">
        <v>486</v>
      </c>
      <c r="P939" s="248" t="s">
        <v>486</v>
      </c>
      <c r="Q939" s="247" t="s">
        <v>487</v>
      </c>
      <c r="R939" s="249"/>
      <c r="S939" s="307" t="s">
        <v>485</v>
      </c>
      <c r="T939" s="230"/>
      <c r="U939" s="239" t="s">
        <v>511</v>
      </c>
      <c r="V939" s="492">
        <f t="shared" si="333"/>
        <v>0</v>
      </c>
    </row>
    <row r="940" spans="1:27" ht="13.15" customHeight="1">
      <c r="A940" s="239"/>
      <c r="B940" s="252" t="s">
        <v>0</v>
      </c>
      <c r="C940" s="252" t="s">
        <v>489</v>
      </c>
      <c r="D940" s="252" t="s">
        <v>490</v>
      </c>
      <c r="E940" s="252" t="s">
        <v>491</v>
      </c>
      <c r="F940" s="252" t="s">
        <v>489</v>
      </c>
      <c r="G940" s="230" t="s">
        <v>490</v>
      </c>
      <c r="H940" s="248"/>
      <c r="I940" s="241" t="s">
        <v>492</v>
      </c>
      <c r="J940" s="230"/>
      <c r="K940" s="305"/>
      <c r="L940" s="248" t="s">
        <v>88</v>
      </c>
      <c r="M940" s="252" t="s">
        <v>34</v>
      </c>
      <c r="N940" s="252" t="s">
        <v>493</v>
      </c>
      <c r="O940" s="248" t="s">
        <v>494</v>
      </c>
      <c r="P940" s="248" t="s">
        <v>495</v>
      </c>
      <c r="Q940" s="230" t="s">
        <v>88</v>
      </c>
      <c r="R940" s="248" t="s">
        <v>34</v>
      </c>
      <c r="S940" s="252" t="s">
        <v>88</v>
      </c>
      <c r="T940" s="230"/>
      <c r="U940" s="239" t="s">
        <v>512</v>
      </c>
      <c r="V940" s="492">
        <f t="shared" si="333"/>
        <v>3.7999999999999999E-2</v>
      </c>
    </row>
    <row r="941" spans="1:27" ht="13.15" customHeight="1">
      <c r="A941" s="239"/>
      <c r="B941" s="257" t="s">
        <v>496</v>
      </c>
      <c r="C941" s="256" t="s">
        <v>496</v>
      </c>
      <c r="D941" s="256" t="s">
        <v>496</v>
      </c>
      <c r="E941" s="256" t="s">
        <v>473</v>
      </c>
      <c r="F941" s="256" t="s">
        <v>473</v>
      </c>
      <c r="G941" s="257" t="s">
        <v>451</v>
      </c>
      <c r="H941" s="257" t="s">
        <v>497</v>
      </c>
      <c r="I941" s="257" t="s">
        <v>498</v>
      </c>
      <c r="J941" s="230"/>
      <c r="K941" s="305"/>
      <c r="L941" s="257" t="s">
        <v>496</v>
      </c>
      <c r="M941" s="256" t="s">
        <v>496</v>
      </c>
      <c r="N941" s="256"/>
      <c r="O941" s="257" t="s">
        <v>79</v>
      </c>
      <c r="P941" s="257" t="s">
        <v>79</v>
      </c>
      <c r="Q941" s="259"/>
      <c r="R941" s="257"/>
      <c r="S941" s="256"/>
      <c r="T941" s="230"/>
      <c r="U941" s="239" t="s">
        <v>513</v>
      </c>
      <c r="V941" s="492">
        <f t="shared" si="333"/>
        <v>0</v>
      </c>
    </row>
    <row r="942" spans="1:27" ht="13.15" customHeight="1">
      <c r="A942" s="251" t="s">
        <v>150</v>
      </c>
      <c r="B942" s="422">
        <v>2306</v>
      </c>
      <c r="C942" s="422">
        <v>2375</v>
      </c>
      <c r="D942" s="422">
        <v>4870</v>
      </c>
      <c r="E942" s="422">
        <v>5664</v>
      </c>
      <c r="F942" s="422">
        <v>5824</v>
      </c>
      <c r="G942" s="422">
        <v>54334</v>
      </c>
      <c r="H942" s="422">
        <v>87433</v>
      </c>
      <c r="I942" s="423">
        <v>58</v>
      </c>
      <c r="J942" s="244"/>
      <c r="K942" s="303" t="s">
        <v>150</v>
      </c>
      <c r="L942" s="312">
        <f>B942/I942</f>
        <v>39.758620689655174</v>
      </c>
      <c r="M942" s="313">
        <f>D942/I942</f>
        <v>83.965517241379317</v>
      </c>
      <c r="N942" s="313">
        <f>D942/B942</f>
        <v>2.1118820468343453</v>
      </c>
      <c r="O942" s="312">
        <f>(F942*3.6+G942)*100/H942</f>
        <v>86.12354602953117</v>
      </c>
      <c r="P942" s="313">
        <f>(E942*3.6+G942)*100/H942</f>
        <v>85.464755870209174</v>
      </c>
      <c r="Q942" s="313">
        <f>E942/(B942*8760)*1000</f>
        <v>0.28038826646390003</v>
      </c>
      <c r="R942" s="313">
        <f>G942/(D942*8761)*1000/3.6</f>
        <v>0.35374192602641341</v>
      </c>
      <c r="S942" s="313">
        <f>G942/(E942*3.6)</f>
        <v>2.6646853421217824</v>
      </c>
      <c r="T942" s="269"/>
      <c r="U942" s="239" t="s">
        <v>514</v>
      </c>
      <c r="V942" s="492">
        <f t="shared" si="333"/>
        <v>0.84299999999999997</v>
      </c>
      <c r="Z942" s="214">
        <f>C942-B942</f>
        <v>69</v>
      </c>
      <c r="AA942" s="214">
        <f>F942-E942</f>
        <v>160</v>
      </c>
    </row>
    <row r="943" spans="1:27" ht="13.15" customHeight="1">
      <c r="A943" s="239"/>
      <c r="B943" s="314"/>
      <c r="C943" s="315"/>
      <c r="D943" s="315"/>
      <c r="E943" s="316"/>
      <c r="F943" s="316"/>
      <c r="G943" s="317"/>
      <c r="H943" s="314"/>
      <c r="I943" s="314"/>
      <c r="J943" s="230"/>
      <c r="K943" s="239"/>
      <c r="L943" s="312"/>
      <c r="M943" s="267"/>
      <c r="N943" s="267"/>
      <c r="O943" s="239"/>
      <c r="P943" s="313"/>
      <c r="Q943" s="267"/>
      <c r="R943" s="267"/>
      <c r="S943" s="239"/>
      <c r="T943" s="269"/>
      <c r="U943" s="239" t="s">
        <v>515</v>
      </c>
      <c r="V943" s="492">
        <f t="shared" si="333"/>
        <v>0</v>
      </c>
      <c r="Z943" s="214">
        <f t="shared" ref="Z943:Z963" si="336">C943-B943</f>
        <v>0</v>
      </c>
      <c r="AA943" s="214">
        <f t="shared" ref="AA943:AA963" si="337">F943-E943</f>
        <v>0</v>
      </c>
    </row>
    <row r="944" spans="1:27" ht="13.15" customHeight="1">
      <c r="A944" s="312" t="s">
        <v>7</v>
      </c>
      <c r="B944" s="310">
        <f>SUM(B945:B962)</f>
        <v>910</v>
      </c>
      <c r="C944" s="310">
        <f t="shared" ref="C944:I944" si="338">SUM(C945:C962)</f>
        <v>930</v>
      </c>
      <c r="D944" s="310">
        <f t="shared" si="338"/>
        <v>2657</v>
      </c>
      <c r="E944" s="310">
        <f t="shared" si="338"/>
        <v>4326</v>
      </c>
      <c r="F944" s="310">
        <f t="shared" si="338"/>
        <v>4348</v>
      </c>
      <c r="G944" s="310">
        <f t="shared" si="338"/>
        <v>62612</v>
      </c>
      <c r="H944" s="310">
        <f t="shared" si="338"/>
        <v>100087</v>
      </c>
      <c r="I944" s="310">
        <f t="shared" si="338"/>
        <v>37</v>
      </c>
      <c r="J944" s="244"/>
      <c r="K944" s="318" t="s">
        <v>7</v>
      </c>
      <c r="L944" s="312">
        <f>B944/I944</f>
        <v>24.594594594594593</v>
      </c>
      <c r="M944" s="313">
        <f>D944/I944</f>
        <v>71.810810810810807</v>
      </c>
      <c r="N944" s="313">
        <f>D944/B944</f>
        <v>2.9197802197802196</v>
      </c>
      <c r="O944" s="312">
        <f t="shared" ref="O944:O961" si="339">(F944*3.6+G944)*100/H944</f>
        <v>78.196768811134319</v>
      </c>
      <c r="P944" s="313">
        <f>(E944*3.6+G944)*100/H944</f>
        <v>78.117637655239946</v>
      </c>
      <c r="Q944" s="313">
        <f>E944/(B944*8760)*1000</f>
        <v>0.5426765015806112</v>
      </c>
      <c r="R944" s="313">
        <f>G944/(D944*8761)*1000/3.6</f>
        <v>0.74715351004179709</v>
      </c>
      <c r="S944" s="313">
        <f>G944/(E944*3.6)</f>
        <v>4.0203934864129041</v>
      </c>
      <c r="T944" s="269"/>
      <c r="U944" s="239" t="s">
        <v>516</v>
      </c>
      <c r="V944" s="492">
        <f t="shared" si="333"/>
        <v>0</v>
      </c>
      <c r="Z944" s="214">
        <f t="shared" si="336"/>
        <v>20</v>
      </c>
      <c r="AA944" s="214">
        <f t="shared" si="337"/>
        <v>22</v>
      </c>
    </row>
    <row r="945" spans="1:27" ht="13.15" customHeight="1">
      <c r="A945" s="239" t="s">
        <v>152</v>
      </c>
      <c r="B945" s="319"/>
      <c r="C945" s="320"/>
      <c r="D945" s="320"/>
      <c r="E945" s="316"/>
      <c r="F945" s="316"/>
      <c r="G945" s="321"/>
      <c r="H945" s="319"/>
      <c r="I945" s="319"/>
      <c r="J945" s="230"/>
      <c r="K945" s="305" t="s">
        <v>152</v>
      </c>
      <c r="L945" s="239" t="e">
        <f t="shared" ref="L945:L961" si="340">B945/I945</f>
        <v>#DIV/0!</v>
      </c>
      <c r="M945" s="267" t="e">
        <f t="shared" ref="M945:M961" si="341">D945/I945</f>
        <v>#DIV/0!</v>
      </c>
      <c r="N945" s="267" t="e">
        <f t="shared" ref="N945:N961" si="342">D945/B945</f>
        <v>#DIV/0!</v>
      </c>
      <c r="O945" s="239" t="e">
        <f t="shared" si="339"/>
        <v>#DIV/0!</v>
      </c>
      <c r="P945" s="267" t="e">
        <f t="shared" ref="P945:P961" si="343">(E945*3.6+G945)*100/H945</f>
        <v>#DIV/0!</v>
      </c>
      <c r="Q945" s="267" t="e">
        <f t="shared" ref="Q945:Q961" si="344">E945/(B945*8760)*1000</f>
        <v>#DIV/0!</v>
      </c>
      <c r="R945" s="267" t="e">
        <f t="shared" ref="R945:R961" si="345">G945/(D945*8761)*1000/3.6</f>
        <v>#DIV/0!</v>
      </c>
      <c r="S945" s="267" t="e">
        <f t="shared" ref="S945:S961" si="346">G945/(E945*3.6)</f>
        <v>#DIV/0!</v>
      </c>
      <c r="T945" s="269"/>
      <c r="U945" s="239" t="s">
        <v>517</v>
      </c>
      <c r="V945" s="492">
        <f t="shared" si="333"/>
        <v>0</v>
      </c>
      <c r="Z945" s="214">
        <f t="shared" si="336"/>
        <v>0</v>
      </c>
      <c r="AA945" s="214">
        <f t="shared" si="337"/>
        <v>0</v>
      </c>
    </row>
    <row r="946" spans="1:27" ht="13.15" customHeight="1">
      <c r="A946" s="239" t="s">
        <v>504</v>
      </c>
      <c r="B946" s="319"/>
      <c r="C946" s="320"/>
      <c r="D946" s="320"/>
      <c r="E946" s="316"/>
      <c r="F946" s="316"/>
      <c r="G946" s="321"/>
      <c r="H946" s="319"/>
      <c r="I946" s="319"/>
      <c r="J946" s="230"/>
      <c r="K946" s="305" t="s">
        <v>504</v>
      </c>
      <c r="L946" s="239" t="e">
        <f t="shared" si="340"/>
        <v>#DIV/0!</v>
      </c>
      <c r="M946" s="267" t="e">
        <f t="shared" si="341"/>
        <v>#DIV/0!</v>
      </c>
      <c r="N946" s="267" t="e">
        <f t="shared" si="342"/>
        <v>#DIV/0!</v>
      </c>
      <c r="O946" s="239" t="e">
        <f t="shared" si="339"/>
        <v>#DIV/0!</v>
      </c>
      <c r="P946" s="267" t="e">
        <f t="shared" si="343"/>
        <v>#DIV/0!</v>
      </c>
      <c r="Q946" s="267" t="e">
        <f t="shared" si="344"/>
        <v>#DIV/0!</v>
      </c>
      <c r="R946" s="267" t="e">
        <f t="shared" si="345"/>
        <v>#DIV/0!</v>
      </c>
      <c r="S946" s="267" t="e">
        <f t="shared" si="346"/>
        <v>#DIV/0!</v>
      </c>
      <c r="T946" s="269"/>
      <c r="U946" s="239" t="s">
        <v>518</v>
      </c>
      <c r="V946" s="492">
        <f t="shared" si="333"/>
        <v>0</v>
      </c>
      <c r="Z946" s="214">
        <f t="shared" si="336"/>
        <v>0</v>
      </c>
      <c r="AA946" s="214">
        <f t="shared" si="337"/>
        <v>0</v>
      </c>
    </row>
    <row r="947" spans="1:27" ht="13.15" customHeight="1">
      <c r="A947" s="239" t="s">
        <v>505</v>
      </c>
      <c r="B947" s="319"/>
      <c r="C947" s="320"/>
      <c r="D947" s="320"/>
      <c r="E947" s="316"/>
      <c r="F947" s="316"/>
      <c r="G947" s="321"/>
      <c r="H947" s="319"/>
      <c r="I947" s="319"/>
      <c r="J947" s="230"/>
      <c r="K947" s="305" t="s">
        <v>505</v>
      </c>
      <c r="L947" s="239" t="e">
        <f t="shared" si="340"/>
        <v>#DIV/0!</v>
      </c>
      <c r="M947" s="267" t="e">
        <f t="shared" si="341"/>
        <v>#DIV/0!</v>
      </c>
      <c r="N947" s="267" t="e">
        <f t="shared" si="342"/>
        <v>#DIV/0!</v>
      </c>
      <c r="O947" s="239" t="e">
        <f t="shared" si="339"/>
        <v>#DIV/0!</v>
      </c>
      <c r="P947" s="267" t="e">
        <f t="shared" si="343"/>
        <v>#DIV/0!</v>
      </c>
      <c r="Q947" s="267" t="e">
        <f t="shared" si="344"/>
        <v>#DIV/0!</v>
      </c>
      <c r="R947" s="267" t="e">
        <f t="shared" si="345"/>
        <v>#DIV/0!</v>
      </c>
      <c r="S947" s="267" t="e">
        <f t="shared" si="346"/>
        <v>#DIV/0!</v>
      </c>
      <c r="T947" s="269"/>
      <c r="U947" s="239" t="s">
        <v>519</v>
      </c>
      <c r="V947" s="492">
        <f t="shared" si="333"/>
        <v>0</v>
      </c>
      <c r="Z947" s="214">
        <f t="shared" si="336"/>
        <v>0</v>
      </c>
      <c r="AA947" s="214">
        <f t="shared" si="337"/>
        <v>0</v>
      </c>
    </row>
    <row r="948" spans="1:27" ht="13.15" customHeight="1">
      <c r="A948" s="239" t="s">
        <v>506</v>
      </c>
      <c r="B948" s="319">
        <v>14</v>
      </c>
      <c r="C948" s="320">
        <v>14</v>
      </c>
      <c r="D948" s="320">
        <v>39</v>
      </c>
      <c r="E948" s="316">
        <v>1</v>
      </c>
      <c r="F948" s="316">
        <v>1</v>
      </c>
      <c r="G948" s="321">
        <v>11</v>
      </c>
      <c r="H948" s="319">
        <v>17</v>
      </c>
      <c r="I948" s="319">
        <v>1</v>
      </c>
      <c r="J948" s="230"/>
      <c r="K948" s="305" t="s">
        <v>506</v>
      </c>
      <c r="L948" s="239">
        <f t="shared" si="340"/>
        <v>14</v>
      </c>
      <c r="M948" s="267">
        <f t="shared" si="341"/>
        <v>39</v>
      </c>
      <c r="N948" s="267">
        <f t="shared" si="342"/>
        <v>2.7857142857142856</v>
      </c>
      <c r="O948" s="239">
        <f t="shared" si="339"/>
        <v>85.882352941176464</v>
      </c>
      <c r="P948" s="267">
        <f t="shared" si="343"/>
        <v>85.882352941176464</v>
      </c>
      <c r="Q948" s="267">
        <f t="shared" si="344"/>
        <v>8.1539465101108932E-3</v>
      </c>
      <c r="R948" s="267">
        <f t="shared" si="345"/>
        <v>8.9427666188309947E-3</v>
      </c>
      <c r="S948" s="267">
        <f t="shared" si="346"/>
        <v>3.0555555555555554</v>
      </c>
      <c r="T948" s="269"/>
      <c r="Z948" s="214">
        <f t="shared" si="336"/>
        <v>0</v>
      </c>
      <c r="AA948" s="214">
        <f t="shared" si="337"/>
        <v>0</v>
      </c>
    </row>
    <row r="949" spans="1:27" ht="13.15" customHeight="1">
      <c r="A949" s="239" t="s">
        <v>507</v>
      </c>
      <c r="B949" s="319"/>
      <c r="C949" s="320"/>
      <c r="D949" s="320"/>
      <c r="E949" s="316"/>
      <c r="F949" s="316"/>
      <c r="G949" s="321"/>
      <c r="H949" s="319"/>
      <c r="I949" s="319"/>
      <c r="J949" s="230"/>
      <c r="K949" s="305" t="s">
        <v>507</v>
      </c>
      <c r="L949" s="239" t="e">
        <f t="shared" si="340"/>
        <v>#DIV/0!</v>
      </c>
      <c r="M949" s="267" t="e">
        <f t="shared" si="341"/>
        <v>#DIV/0!</v>
      </c>
      <c r="N949" s="267" t="e">
        <f t="shared" si="342"/>
        <v>#DIV/0!</v>
      </c>
      <c r="O949" s="239" t="e">
        <f t="shared" si="339"/>
        <v>#DIV/0!</v>
      </c>
      <c r="P949" s="267" t="e">
        <f t="shared" si="343"/>
        <v>#DIV/0!</v>
      </c>
      <c r="Q949" s="267" t="e">
        <f t="shared" si="344"/>
        <v>#DIV/0!</v>
      </c>
      <c r="R949" s="267" t="e">
        <f t="shared" si="345"/>
        <v>#DIV/0!</v>
      </c>
      <c r="S949" s="267" t="e">
        <f t="shared" si="346"/>
        <v>#DIV/0!</v>
      </c>
      <c r="T949" s="269"/>
      <c r="Z949" s="214">
        <f t="shared" si="336"/>
        <v>0</v>
      </c>
      <c r="AA949" s="214">
        <f t="shared" si="337"/>
        <v>0</v>
      </c>
    </row>
    <row r="950" spans="1:27" ht="13.15" customHeight="1">
      <c r="A950" s="239" t="s">
        <v>156</v>
      </c>
      <c r="B950" s="319"/>
      <c r="C950" s="320"/>
      <c r="D950" s="320"/>
      <c r="E950" s="316"/>
      <c r="F950" s="316"/>
      <c r="G950" s="321"/>
      <c r="H950" s="319"/>
      <c r="I950" s="319"/>
      <c r="J950" s="230"/>
      <c r="K950" s="305" t="s">
        <v>156</v>
      </c>
      <c r="L950" s="239" t="e">
        <f t="shared" si="340"/>
        <v>#DIV/0!</v>
      </c>
      <c r="M950" s="267" t="e">
        <f t="shared" si="341"/>
        <v>#DIV/0!</v>
      </c>
      <c r="N950" s="267" t="e">
        <f t="shared" si="342"/>
        <v>#DIV/0!</v>
      </c>
      <c r="O950" s="322" t="e">
        <f t="shared" si="339"/>
        <v>#DIV/0!</v>
      </c>
      <c r="P950" s="323" t="e">
        <f t="shared" si="343"/>
        <v>#DIV/0!</v>
      </c>
      <c r="Q950" s="267" t="e">
        <f t="shared" si="344"/>
        <v>#DIV/0!</v>
      </c>
      <c r="R950" s="267" t="e">
        <f t="shared" si="345"/>
        <v>#DIV/0!</v>
      </c>
      <c r="S950" s="267" t="e">
        <f t="shared" si="346"/>
        <v>#DIV/0!</v>
      </c>
      <c r="T950" s="269"/>
      <c r="Z950" s="214">
        <f t="shared" si="336"/>
        <v>0</v>
      </c>
      <c r="AA950" s="214">
        <f t="shared" si="337"/>
        <v>0</v>
      </c>
    </row>
    <row r="951" spans="1:27" ht="13.15" customHeight="1">
      <c r="A951" s="239" t="s">
        <v>508</v>
      </c>
      <c r="B951" s="319"/>
      <c r="C951" s="320"/>
      <c r="D951" s="320"/>
      <c r="E951" s="316"/>
      <c r="F951" s="316"/>
      <c r="G951" s="321"/>
      <c r="H951" s="319"/>
      <c r="I951" s="319"/>
      <c r="J951" s="230"/>
      <c r="K951" s="305" t="s">
        <v>508</v>
      </c>
      <c r="L951" s="239" t="e">
        <f t="shared" si="340"/>
        <v>#DIV/0!</v>
      </c>
      <c r="M951" s="267" t="e">
        <f t="shared" si="341"/>
        <v>#DIV/0!</v>
      </c>
      <c r="N951" s="267" t="e">
        <f t="shared" si="342"/>
        <v>#DIV/0!</v>
      </c>
      <c r="O951" s="239" t="e">
        <f t="shared" si="339"/>
        <v>#DIV/0!</v>
      </c>
      <c r="P951" s="267" t="e">
        <f t="shared" si="343"/>
        <v>#DIV/0!</v>
      </c>
      <c r="Q951" s="267" t="e">
        <f t="shared" si="344"/>
        <v>#DIV/0!</v>
      </c>
      <c r="R951" s="267" t="e">
        <f t="shared" si="345"/>
        <v>#DIV/0!</v>
      </c>
      <c r="S951" s="267" t="e">
        <f t="shared" si="346"/>
        <v>#DIV/0!</v>
      </c>
      <c r="T951" s="269"/>
      <c r="Z951" s="214">
        <f t="shared" si="336"/>
        <v>0</v>
      </c>
      <c r="AA951" s="214">
        <f t="shared" si="337"/>
        <v>0</v>
      </c>
    </row>
    <row r="952" spans="1:27" ht="13.15" customHeight="1">
      <c r="A952" s="239" t="s">
        <v>509</v>
      </c>
      <c r="B952" s="319">
        <v>15</v>
      </c>
      <c r="C952" s="320">
        <v>15</v>
      </c>
      <c r="D952" s="320">
        <v>43</v>
      </c>
      <c r="E952" s="316">
        <v>58</v>
      </c>
      <c r="F952" s="316">
        <v>58</v>
      </c>
      <c r="G952" s="321">
        <v>838</v>
      </c>
      <c r="H952" s="319">
        <v>1380</v>
      </c>
      <c r="I952" s="319">
        <v>2</v>
      </c>
      <c r="J952" s="230"/>
      <c r="K952" s="305" t="s">
        <v>509</v>
      </c>
      <c r="L952" s="239">
        <f t="shared" si="340"/>
        <v>7.5</v>
      </c>
      <c r="M952" s="267">
        <f t="shared" si="341"/>
        <v>21.5</v>
      </c>
      <c r="N952" s="267">
        <f t="shared" si="342"/>
        <v>2.8666666666666667</v>
      </c>
      <c r="O952" s="239">
        <f t="shared" si="339"/>
        <v>75.85507246376811</v>
      </c>
      <c r="P952" s="267">
        <f t="shared" si="343"/>
        <v>75.85507246376811</v>
      </c>
      <c r="Q952" s="267">
        <f t="shared" si="344"/>
        <v>0.44140030441400308</v>
      </c>
      <c r="R952" s="267">
        <f t="shared" si="345"/>
        <v>0.61790168844954463</v>
      </c>
      <c r="S952" s="267">
        <f t="shared" si="346"/>
        <v>4.0134099616858236</v>
      </c>
      <c r="T952" s="269"/>
      <c r="Z952" s="214">
        <f t="shared" si="336"/>
        <v>0</v>
      </c>
      <c r="AA952" s="214">
        <f t="shared" si="337"/>
        <v>0</v>
      </c>
    </row>
    <row r="953" spans="1:27" ht="13.15" customHeight="1">
      <c r="A953" s="239" t="s">
        <v>510</v>
      </c>
      <c r="B953" s="319"/>
      <c r="C953" s="320"/>
      <c r="D953" s="320"/>
      <c r="E953" s="316"/>
      <c r="F953" s="316"/>
      <c r="G953" s="321"/>
      <c r="H953" s="319"/>
      <c r="I953" s="319"/>
      <c r="J953" s="230"/>
      <c r="K953" s="305" t="s">
        <v>510</v>
      </c>
      <c r="L953" s="239" t="e">
        <f t="shared" si="340"/>
        <v>#DIV/0!</v>
      </c>
      <c r="M953" s="267" t="e">
        <f t="shared" si="341"/>
        <v>#DIV/0!</v>
      </c>
      <c r="N953" s="267" t="e">
        <f t="shared" si="342"/>
        <v>#DIV/0!</v>
      </c>
      <c r="O953" s="322" t="e">
        <f t="shared" si="339"/>
        <v>#DIV/0!</v>
      </c>
      <c r="P953" s="323" t="e">
        <f t="shared" si="343"/>
        <v>#DIV/0!</v>
      </c>
      <c r="Q953" s="267" t="e">
        <f t="shared" si="344"/>
        <v>#DIV/0!</v>
      </c>
      <c r="R953" s="267" t="e">
        <f t="shared" si="345"/>
        <v>#DIV/0!</v>
      </c>
      <c r="S953" s="267" t="e">
        <f t="shared" si="346"/>
        <v>#DIV/0!</v>
      </c>
      <c r="T953" s="269"/>
      <c r="Z953" s="214">
        <f t="shared" si="336"/>
        <v>0</v>
      </c>
      <c r="AA953" s="214">
        <f t="shared" si="337"/>
        <v>0</v>
      </c>
    </row>
    <row r="954" spans="1:27" ht="13.15" customHeight="1">
      <c r="A954" s="239" t="s">
        <v>511</v>
      </c>
      <c r="B954" s="324"/>
      <c r="C954" s="325"/>
      <c r="D954" s="320"/>
      <c r="E954" s="316"/>
      <c r="F954" s="316"/>
      <c r="G954" s="321"/>
      <c r="H954" s="319"/>
      <c r="I954" s="319"/>
      <c r="J954" s="230"/>
      <c r="K954" s="305" t="s">
        <v>511</v>
      </c>
      <c r="L954" s="239" t="e">
        <f t="shared" si="340"/>
        <v>#DIV/0!</v>
      </c>
      <c r="M954" s="267" t="e">
        <f t="shared" si="341"/>
        <v>#DIV/0!</v>
      </c>
      <c r="N954" s="267" t="e">
        <f t="shared" si="342"/>
        <v>#DIV/0!</v>
      </c>
      <c r="O954" s="239" t="e">
        <f t="shared" si="339"/>
        <v>#DIV/0!</v>
      </c>
      <c r="P954" s="267" t="e">
        <f t="shared" si="343"/>
        <v>#DIV/0!</v>
      </c>
      <c r="Q954" s="267" t="e">
        <f t="shared" si="344"/>
        <v>#DIV/0!</v>
      </c>
      <c r="R954" s="267" t="e">
        <f t="shared" si="345"/>
        <v>#DIV/0!</v>
      </c>
      <c r="S954" s="267" t="e">
        <f t="shared" si="346"/>
        <v>#DIV/0!</v>
      </c>
      <c r="T954" s="269"/>
      <c r="Z954" s="214">
        <f t="shared" si="336"/>
        <v>0</v>
      </c>
      <c r="AA954" s="214">
        <f t="shared" si="337"/>
        <v>0</v>
      </c>
    </row>
    <row r="955" spans="1:27" ht="13.15" customHeight="1">
      <c r="A955" s="239" t="s">
        <v>512</v>
      </c>
      <c r="B955" s="324">
        <v>38</v>
      </c>
      <c r="C955" s="325">
        <v>38</v>
      </c>
      <c r="D955" s="320">
        <v>110</v>
      </c>
      <c r="E955" s="316">
        <v>48</v>
      </c>
      <c r="F955" s="316">
        <v>48</v>
      </c>
      <c r="G955" s="321">
        <v>696</v>
      </c>
      <c r="H955" s="319">
        <v>1049</v>
      </c>
      <c r="I955" s="319">
        <v>3</v>
      </c>
      <c r="J955" s="230"/>
      <c r="K955" s="305" t="s">
        <v>512</v>
      </c>
      <c r="L955" s="239">
        <f t="shared" si="340"/>
        <v>12.666666666666666</v>
      </c>
      <c r="M955" s="267">
        <f t="shared" si="341"/>
        <v>36.666666666666664</v>
      </c>
      <c r="N955" s="267">
        <f t="shared" si="342"/>
        <v>2.8947368421052633</v>
      </c>
      <c r="O955" s="239">
        <f t="shared" si="339"/>
        <v>82.821734985700672</v>
      </c>
      <c r="P955" s="267">
        <f t="shared" si="343"/>
        <v>82.821734985700672</v>
      </c>
      <c r="Q955" s="267">
        <f t="shared" si="344"/>
        <v>0.14419610670511898</v>
      </c>
      <c r="R955" s="267">
        <f t="shared" si="345"/>
        <v>0.20061360091037067</v>
      </c>
      <c r="S955" s="267">
        <f t="shared" si="346"/>
        <v>4.0277777777777777</v>
      </c>
      <c r="T955" s="269"/>
      <c r="Z955" s="214">
        <f t="shared" si="336"/>
        <v>0</v>
      </c>
      <c r="AA955" s="214">
        <f t="shared" si="337"/>
        <v>0</v>
      </c>
    </row>
    <row r="956" spans="1:27" ht="13.15" customHeight="1">
      <c r="A956" s="239" t="s">
        <v>513</v>
      </c>
      <c r="B956" s="324"/>
      <c r="C956" s="325"/>
      <c r="D956" s="320"/>
      <c r="E956" s="316"/>
      <c r="F956" s="316"/>
      <c r="G956" s="321"/>
      <c r="H956" s="319"/>
      <c r="I956" s="319"/>
      <c r="J956" s="230"/>
      <c r="K956" s="305" t="s">
        <v>513</v>
      </c>
      <c r="L956" s="239" t="e">
        <f t="shared" si="340"/>
        <v>#DIV/0!</v>
      </c>
      <c r="M956" s="267" t="e">
        <f t="shared" si="341"/>
        <v>#DIV/0!</v>
      </c>
      <c r="N956" s="267" t="e">
        <f t="shared" si="342"/>
        <v>#DIV/0!</v>
      </c>
      <c r="O956" s="239" t="e">
        <f t="shared" si="339"/>
        <v>#DIV/0!</v>
      </c>
      <c r="P956" s="267" t="e">
        <f t="shared" si="343"/>
        <v>#DIV/0!</v>
      </c>
      <c r="Q956" s="267" t="e">
        <f t="shared" si="344"/>
        <v>#DIV/0!</v>
      </c>
      <c r="R956" s="267" t="e">
        <f t="shared" si="345"/>
        <v>#DIV/0!</v>
      </c>
      <c r="S956" s="267" t="e">
        <f t="shared" si="346"/>
        <v>#DIV/0!</v>
      </c>
      <c r="T956" s="269"/>
      <c r="Z956" s="214">
        <f t="shared" si="336"/>
        <v>0</v>
      </c>
      <c r="AA956" s="214">
        <f t="shared" si="337"/>
        <v>0</v>
      </c>
    </row>
    <row r="957" spans="1:27" ht="13.15" customHeight="1">
      <c r="A957" s="239" t="s">
        <v>514</v>
      </c>
      <c r="B957" s="324">
        <v>843</v>
      </c>
      <c r="C957" s="325">
        <v>863</v>
      </c>
      <c r="D957" s="320">
        <v>2465</v>
      </c>
      <c r="E957" s="316">
        <v>4219</v>
      </c>
      <c r="F957" s="316">
        <v>4241</v>
      </c>
      <c r="G957" s="321">
        <v>61067</v>
      </c>
      <c r="H957" s="319">
        <v>97641</v>
      </c>
      <c r="I957" s="319">
        <v>31</v>
      </c>
      <c r="J957" s="230"/>
      <c r="K957" s="305" t="s">
        <v>514</v>
      </c>
      <c r="L957" s="239">
        <f t="shared" si="340"/>
        <v>27.193548387096776</v>
      </c>
      <c r="M957" s="267">
        <f t="shared" si="341"/>
        <v>79.516129032258064</v>
      </c>
      <c r="N957" s="267">
        <f t="shared" si="342"/>
        <v>2.9240806642941872</v>
      </c>
      <c r="O957" s="239">
        <f t="shared" si="339"/>
        <v>78.178838807468182</v>
      </c>
      <c r="P957" s="267">
        <f t="shared" si="343"/>
        <v>78.097725340789211</v>
      </c>
      <c r="Q957" s="267">
        <f t="shared" si="344"/>
        <v>0.57131791763488737</v>
      </c>
      <c r="R957" s="267">
        <f t="shared" si="345"/>
        <v>0.78547701402817416</v>
      </c>
      <c r="S957" s="267">
        <f t="shared" si="346"/>
        <v>4.0206341681809805</v>
      </c>
      <c r="T957" s="269"/>
      <c r="Z957" s="214">
        <f t="shared" si="336"/>
        <v>20</v>
      </c>
      <c r="AA957" s="214">
        <f t="shared" si="337"/>
        <v>22</v>
      </c>
    </row>
    <row r="958" spans="1:27" ht="13.15" customHeight="1">
      <c r="A958" s="239" t="s">
        <v>515</v>
      </c>
      <c r="B958" s="324"/>
      <c r="C958" s="325"/>
      <c r="D958" s="320"/>
      <c r="E958" s="316"/>
      <c r="F958" s="316"/>
      <c r="G958" s="321"/>
      <c r="H958" s="319"/>
      <c r="I958" s="319"/>
      <c r="J958" s="230"/>
      <c r="K958" s="305" t="s">
        <v>515</v>
      </c>
      <c r="L958" s="239" t="e">
        <f t="shared" si="340"/>
        <v>#DIV/0!</v>
      </c>
      <c r="M958" s="267" t="e">
        <f t="shared" si="341"/>
        <v>#DIV/0!</v>
      </c>
      <c r="N958" s="267" t="e">
        <f t="shared" si="342"/>
        <v>#DIV/0!</v>
      </c>
      <c r="O958" s="239" t="e">
        <f t="shared" si="339"/>
        <v>#DIV/0!</v>
      </c>
      <c r="P958" s="267" t="e">
        <f t="shared" si="343"/>
        <v>#DIV/0!</v>
      </c>
      <c r="Q958" s="267" t="e">
        <f t="shared" si="344"/>
        <v>#DIV/0!</v>
      </c>
      <c r="R958" s="267" t="e">
        <f t="shared" si="345"/>
        <v>#DIV/0!</v>
      </c>
      <c r="S958" s="267" t="e">
        <f t="shared" si="346"/>
        <v>#DIV/0!</v>
      </c>
      <c r="T958" s="269"/>
      <c r="Z958" s="214">
        <f t="shared" si="336"/>
        <v>0</v>
      </c>
      <c r="AA958" s="214">
        <f t="shared" si="337"/>
        <v>0</v>
      </c>
    </row>
    <row r="959" spans="1:27" ht="13.15" customHeight="1">
      <c r="A959" s="239" t="s">
        <v>516</v>
      </c>
      <c r="B959" s="319"/>
      <c r="C959" s="320"/>
      <c r="D959" s="319"/>
      <c r="E959" s="316"/>
      <c r="F959" s="316"/>
      <c r="G959" s="321"/>
      <c r="H959" s="319"/>
      <c r="I959" s="319"/>
      <c r="J959" s="244"/>
      <c r="K959" s="239" t="s">
        <v>516</v>
      </c>
      <c r="L959" s="239" t="e">
        <f t="shared" si="340"/>
        <v>#DIV/0!</v>
      </c>
      <c r="M959" s="267" t="e">
        <f t="shared" si="341"/>
        <v>#DIV/0!</v>
      </c>
      <c r="N959" s="267" t="e">
        <f t="shared" si="342"/>
        <v>#DIV/0!</v>
      </c>
      <c r="O959" s="239" t="e">
        <f t="shared" si="339"/>
        <v>#DIV/0!</v>
      </c>
      <c r="P959" s="267" t="e">
        <f t="shared" si="343"/>
        <v>#DIV/0!</v>
      </c>
      <c r="Q959" s="267" t="e">
        <f t="shared" si="344"/>
        <v>#DIV/0!</v>
      </c>
      <c r="R959" s="267" t="e">
        <f t="shared" si="345"/>
        <v>#DIV/0!</v>
      </c>
      <c r="S959" s="267" t="e">
        <f t="shared" si="346"/>
        <v>#DIV/0!</v>
      </c>
      <c r="Z959" s="214">
        <f t="shared" si="336"/>
        <v>0</v>
      </c>
      <c r="AA959" s="214">
        <f t="shared" si="337"/>
        <v>0</v>
      </c>
    </row>
    <row r="960" spans="1:27" ht="13.15" customHeight="1">
      <c r="A960" s="239" t="s">
        <v>517</v>
      </c>
      <c r="B960" s="319"/>
      <c r="C960" s="320"/>
      <c r="D960" s="320"/>
      <c r="E960" s="316"/>
      <c r="F960" s="316"/>
      <c r="G960" s="321"/>
      <c r="H960" s="319"/>
      <c r="I960" s="319"/>
      <c r="K960" s="239" t="s">
        <v>517</v>
      </c>
      <c r="L960" s="239" t="e">
        <f t="shared" si="340"/>
        <v>#DIV/0!</v>
      </c>
      <c r="M960" s="267" t="e">
        <f t="shared" si="341"/>
        <v>#DIV/0!</v>
      </c>
      <c r="N960" s="267" t="e">
        <f t="shared" si="342"/>
        <v>#DIV/0!</v>
      </c>
      <c r="O960" s="239" t="e">
        <f t="shared" si="339"/>
        <v>#DIV/0!</v>
      </c>
      <c r="P960" s="267" t="e">
        <f t="shared" si="343"/>
        <v>#DIV/0!</v>
      </c>
      <c r="Q960" s="267" t="e">
        <f t="shared" si="344"/>
        <v>#DIV/0!</v>
      </c>
      <c r="R960" s="267" t="e">
        <f t="shared" si="345"/>
        <v>#DIV/0!</v>
      </c>
      <c r="S960" s="267" t="e">
        <f t="shared" si="346"/>
        <v>#DIV/0!</v>
      </c>
      <c r="Z960" s="214">
        <f t="shared" si="336"/>
        <v>0</v>
      </c>
      <c r="AA960" s="214">
        <f t="shared" si="337"/>
        <v>0</v>
      </c>
    </row>
    <row r="961" spans="1:27" ht="13.15" customHeight="1">
      <c r="A961" s="239" t="s">
        <v>518</v>
      </c>
      <c r="B961" s="319"/>
      <c r="C961" s="320"/>
      <c r="D961" s="320"/>
      <c r="E961" s="316"/>
      <c r="F961" s="316"/>
      <c r="G961" s="321"/>
      <c r="H961" s="319"/>
      <c r="I961" s="319"/>
      <c r="K961" s="239" t="s">
        <v>518</v>
      </c>
      <c r="L961" s="239" t="e">
        <f t="shared" si="340"/>
        <v>#DIV/0!</v>
      </c>
      <c r="M961" s="267" t="e">
        <f t="shared" si="341"/>
        <v>#DIV/0!</v>
      </c>
      <c r="N961" s="267" t="e">
        <f t="shared" si="342"/>
        <v>#DIV/0!</v>
      </c>
      <c r="O961" s="239" t="e">
        <f t="shared" si="339"/>
        <v>#DIV/0!</v>
      </c>
      <c r="P961" s="267" t="e">
        <f t="shared" si="343"/>
        <v>#DIV/0!</v>
      </c>
      <c r="Q961" s="267" t="e">
        <f t="shared" si="344"/>
        <v>#DIV/0!</v>
      </c>
      <c r="R961" s="267" t="e">
        <f t="shared" si="345"/>
        <v>#DIV/0!</v>
      </c>
      <c r="S961" s="267" t="e">
        <f t="shared" si="346"/>
        <v>#DIV/0!</v>
      </c>
      <c r="Z961" s="214">
        <f t="shared" si="336"/>
        <v>0</v>
      </c>
      <c r="AA961" s="214">
        <f t="shared" si="337"/>
        <v>0</v>
      </c>
    </row>
    <row r="962" spans="1:27" ht="13.15" customHeight="1">
      <c r="A962" s="239" t="s">
        <v>519</v>
      </c>
      <c r="B962" s="319"/>
      <c r="C962" s="320"/>
      <c r="D962" s="320"/>
      <c r="E962" s="316"/>
      <c r="F962" s="316"/>
      <c r="G962" s="321"/>
      <c r="H962" s="319"/>
      <c r="I962" s="319"/>
      <c r="K962" s="239" t="s">
        <v>519</v>
      </c>
      <c r="L962" s="239"/>
      <c r="M962" s="267"/>
      <c r="N962" s="267"/>
      <c r="O962" s="239"/>
      <c r="P962" s="267"/>
      <c r="Q962" s="267"/>
      <c r="R962" s="267"/>
      <c r="S962" s="267"/>
      <c r="Z962" s="214">
        <f t="shared" si="336"/>
        <v>0</v>
      </c>
      <c r="AA962" s="214">
        <f t="shared" si="337"/>
        <v>0</v>
      </c>
    </row>
    <row r="963" spans="1:27" ht="13.15" customHeight="1">
      <c r="A963" s="282" t="s">
        <v>169</v>
      </c>
      <c r="B963" s="326">
        <f>(B942+B944)</f>
        <v>3216</v>
      </c>
      <c r="C963" s="326">
        <f t="shared" ref="C963:I963" si="347">(C942+C944)</f>
        <v>3305</v>
      </c>
      <c r="D963" s="326">
        <f t="shared" si="347"/>
        <v>7527</v>
      </c>
      <c r="E963" s="326">
        <f t="shared" si="347"/>
        <v>9990</v>
      </c>
      <c r="F963" s="326">
        <f t="shared" si="347"/>
        <v>10172</v>
      </c>
      <c r="G963" s="327">
        <f t="shared" si="347"/>
        <v>116946</v>
      </c>
      <c r="H963" s="326">
        <f t="shared" si="347"/>
        <v>187520</v>
      </c>
      <c r="I963" s="326">
        <f t="shared" si="347"/>
        <v>95</v>
      </c>
      <c r="K963" s="328" t="s">
        <v>169</v>
      </c>
      <c r="L963" s="282">
        <f>B963/I963</f>
        <v>33.852631578947367</v>
      </c>
      <c r="M963" s="281">
        <f>D963/I963</f>
        <v>79.231578947368419</v>
      </c>
      <c r="N963" s="281">
        <f>D963/B963</f>
        <v>2.3404850746268657</v>
      </c>
      <c r="O963" s="282">
        <f>(F963*3.6+G963)*100/H963</f>
        <v>81.892704778157011</v>
      </c>
      <c r="P963" s="282">
        <f>(E963*3.6+G963)*100/H963</f>
        <v>81.543302047781566</v>
      </c>
      <c r="Q963" s="281">
        <f>E963/(B963*8760)*1000</f>
        <v>0.3546053976691883</v>
      </c>
      <c r="R963" s="281">
        <f>G963/(D963*8761)*1000/3.6</f>
        <v>0.49261459491559567</v>
      </c>
      <c r="S963" s="281">
        <f>G963/(E963*3.6)</f>
        <v>3.2517517517517516</v>
      </c>
      <c r="Z963" s="214">
        <f t="shared" si="336"/>
        <v>89</v>
      </c>
      <c r="AA963" s="214">
        <f t="shared" si="337"/>
        <v>182</v>
      </c>
    </row>
    <row r="964" spans="1:27" ht="13.15" customHeight="1"/>
    <row r="965" spans="1:27" ht="13.15" customHeight="1">
      <c r="A965" s="251" t="s">
        <v>520</v>
      </c>
      <c r="B965" s="227" t="s">
        <v>476</v>
      </c>
      <c r="C965" s="228"/>
      <c r="D965" s="286"/>
      <c r="E965" s="227" t="s">
        <v>521</v>
      </c>
      <c r="F965" s="228"/>
      <c r="G965" s="286"/>
      <c r="H965" s="200" t="s">
        <v>138</v>
      </c>
      <c r="I965" s="200" t="s">
        <v>478</v>
      </c>
    </row>
    <row r="966" spans="1:27" ht="13.15" customHeight="1">
      <c r="A966" s="239"/>
      <c r="B966" s="243" t="s">
        <v>88</v>
      </c>
      <c r="C966" s="243"/>
      <c r="D966" s="241" t="s">
        <v>34</v>
      </c>
      <c r="E966" s="243" t="s">
        <v>88</v>
      </c>
      <c r="F966" s="243"/>
      <c r="G966" s="241" t="s">
        <v>34</v>
      </c>
      <c r="H966" s="241" t="s">
        <v>170</v>
      </c>
      <c r="I966" s="241" t="s">
        <v>483</v>
      </c>
    </row>
    <row r="967" spans="1:27" ht="13.15" customHeight="1">
      <c r="A967" s="239"/>
      <c r="B967" s="252" t="s">
        <v>0</v>
      </c>
      <c r="C967" s="252" t="s">
        <v>489</v>
      </c>
      <c r="D967" s="252" t="s">
        <v>490</v>
      </c>
      <c r="E967" s="252" t="s">
        <v>491</v>
      </c>
      <c r="F967" s="252" t="s">
        <v>489</v>
      </c>
      <c r="G967" s="252" t="s">
        <v>490</v>
      </c>
      <c r="H967" s="248"/>
      <c r="I967" s="241" t="s">
        <v>492</v>
      </c>
    </row>
    <row r="968" spans="1:27" ht="13.15" customHeight="1">
      <c r="A968" s="239"/>
      <c r="B968" s="257" t="s">
        <v>496</v>
      </c>
      <c r="C968" s="256" t="s">
        <v>496</v>
      </c>
      <c r="D968" s="252" t="s">
        <v>496</v>
      </c>
      <c r="E968" s="329" t="s">
        <v>473</v>
      </c>
      <c r="F968" s="329" t="s">
        <v>473</v>
      </c>
      <c r="G968" s="252" t="s">
        <v>496</v>
      </c>
      <c r="H968" s="257" t="s">
        <v>497</v>
      </c>
      <c r="I968" s="257" t="s">
        <v>498</v>
      </c>
    </row>
    <row r="969" spans="1:27" ht="13.15" customHeight="1">
      <c r="A969" s="251" t="s">
        <v>522</v>
      </c>
      <c r="B969" s="389"/>
      <c r="C969" s="389"/>
      <c r="D969" s="200"/>
      <c r="E969" s="389"/>
      <c r="F969" s="389"/>
      <c r="G969" s="200"/>
      <c r="H969" s="200"/>
      <c r="I969" s="200"/>
    </row>
    <row r="970" spans="1:27" ht="13.15" customHeight="1">
      <c r="A970" s="239" t="s">
        <v>523</v>
      </c>
      <c r="B970" s="216">
        <v>34</v>
      </c>
      <c r="C970" s="204">
        <v>34</v>
      </c>
      <c r="D970" s="204">
        <v>97</v>
      </c>
      <c r="E970" s="216">
        <v>59</v>
      </c>
      <c r="F970" s="204">
        <v>60</v>
      </c>
      <c r="G970" s="204">
        <v>870</v>
      </c>
      <c r="H970" s="202">
        <v>1678</v>
      </c>
      <c r="I970" s="216">
        <v>1</v>
      </c>
    </row>
    <row r="971" spans="1:27" ht="13.15" customHeight="1">
      <c r="A971" s="239" t="s">
        <v>524</v>
      </c>
      <c r="B971" s="216">
        <v>206</v>
      </c>
      <c r="C971" s="204">
        <v>207</v>
      </c>
      <c r="D971" s="204">
        <v>520</v>
      </c>
      <c r="E971" s="216">
        <v>379</v>
      </c>
      <c r="F971" s="204">
        <v>380</v>
      </c>
      <c r="G971" s="204">
        <v>5663</v>
      </c>
      <c r="H971" s="202">
        <v>8724</v>
      </c>
      <c r="I971" s="216">
        <v>13</v>
      </c>
    </row>
    <row r="972" spans="1:27" ht="13.15" customHeight="1">
      <c r="A972" s="239" t="s">
        <v>525</v>
      </c>
      <c r="B972" s="216">
        <v>109</v>
      </c>
      <c r="C972" s="204">
        <v>115</v>
      </c>
      <c r="D972" s="204">
        <v>225</v>
      </c>
      <c r="E972" s="216">
        <v>239</v>
      </c>
      <c r="F972" s="204">
        <v>240</v>
      </c>
      <c r="G972" s="204">
        <v>2373</v>
      </c>
      <c r="H972" s="202">
        <v>3861</v>
      </c>
      <c r="I972" s="216">
        <v>8</v>
      </c>
    </row>
    <row r="973" spans="1:27" ht="13.15" customHeight="1">
      <c r="A973" s="239" t="s">
        <v>267</v>
      </c>
      <c r="B973" s="216">
        <v>123</v>
      </c>
      <c r="C973" s="204">
        <v>123</v>
      </c>
      <c r="D973" s="204">
        <v>303</v>
      </c>
      <c r="E973" s="216">
        <v>469</v>
      </c>
      <c r="F973" s="204">
        <v>470</v>
      </c>
      <c r="G973" s="204">
        <v>7309</v>
      </c>
      <c r="H973" s="202">
        <v>10952</v>
      </c>
      <c r="I973" s="216">
        <v>14</v>
      </c>
    </row>
    <row r="974" spans="1:27" ht="13.15" customHeight="1">
      <c r="A974" s="312" t="s">
        <v>526</v>
      </c>
      <c r="B974" s="391"/>
      <c r="C974" s="391"/>
      <c r="D974" s="205"/>
      <c r="E974" s="391"/>
      <c r="F974" s="391"/>
      <c r="G974" s="205"/>
      <c r="H974" s="205"/>
      <c r="I974" s="391"/>
    </row>
    <row r="975" spans="1:27" ht="13.15" customHeight="1">
      <c r="A975" s="239" t="s">
        <v>527</v>
      </c>
      <c r="B975" s="216">
        <v>86</v>
      </c>
      <c r="C975" s="204">
        <v>100</v>
      </c>
      <c r="D975" s="204">
        <v>287</v>
      </c>
      <c r="E975" s="216">
        <v>220</v>
      </c>
      <c r="F975" s="204">
        <v>309</v>
      </c>
      <c r="G975" s="204">
        <v>2642</v>
      </c>
      <c r="H975" s="202">
        <v>4503</v>
      </c>
      <c r="I975" s="216">
        <v>1</v>
      </c>
    </row>
    <row r="976" spans="1:27" ht="13.15" customHeight="1">
      <c r="A976" s="239" t="s">
        <v>528</v>
      </c>
      <c r="B976" s="204">
        <v>159</v>
      </c>
      <c r="C976" s="204">
        <v>159</v>
      </c>
      <c r="D976" s="204">
        <v>403</v>
      </c>
      <c r="E976" s="204">
        <v>492</v>
      </c>
      <c r="F976" s="204">
        <v>492</v>
      </c>
      <c r="G976" s="204">
        <v>4320</v>
      </c>
      <c r="H976" s="202">
        <v>6696</v>
      </c>
      <c r="I976" s="204">
        <v>2</v>
      </c>
    </row>
    <row r="977" spans="1:27" ht="13.15" customHeight="1">
      <c r="A977" s="239" t="s">
        <v>529</v>
      </c>
      <c r="B977" s="204">
        <v>28</v>
      </c>
      <c r="C977" s="204">
        <v>28</v>
      </c>
      <c r="D977" s="204">
        <v>80</v>
      </c>
      <c r="E977" s="204">
        <v>91</v>
      </c>
      <c r="F977" s="204">
        <v>91</v>
      </c>
      <c r="G977" s="204">
        <v>1311</v>
      </c>
      <c r="H977" s="202">
        <v>1976</v>
      </c>
      <c r="I977" s="204">
        <v>1</v>
      </c>
    </row>
    <row r="978" spans="1:27" ht="13.15" customHeight="1">
      <c r="A978" s="239" t="s">
        <v>530</v>
      </c>
      <c r="B978" s="204">
        <v>2471</v>
      </c>
      <c r="C978" s="204">
        <v>2539</v>
      </c>
      <c r="D978" s="204">
        <v>5612</v>
      </c>
      <c r="E978" s="204">
        <v>8041</v>
      </c>
      <c r="F978" s="204">
        <v>8130</v>
      </c>
      <c r="G978" s="204">
        <v>92458</v>
      </c>
      <c r="H978" s="202">
        <v>149130</v>
      </c>
      <c r="I978" s="204">
        <v>55</v>
      </c>
    </row>
    <row r="979" spans="1:27" ht="13.15" customHeight="1">
      <c r="A979" s="282" t="s">
        <v>169</v>
      </c>
      <c r="B979" s="360">
        <f t="shared" ref="B979:I979" si="348">SUM(B970:B978)</f>
        <v>3216</v>
      </c>
      <c r="C979" s="360">
        <f t="shared" si="348"/>
        <v>3305</v>
      </c>
      <c r="D979" s="360">
        <f t="shared" si="348"/>
        <v>7527</v>
      </c>
      <c r="E979" s="360">
        <f t="shared" si="348"/>
        <v>9990</v>
      </c>
      <c r="F979" s="360">
        <f t="shared" si="348"/>
        <v>10172</v>
      </c>
      <c r="G979" s="360">
        <f t="shared" si="348"/>
        <v>116946</v>
      </c>
      <c r="H979" s="360">
        <f t="shared" si="348"/>
        <v>187520</v>
      </c>
      <c r="I979" s="360">
        <f t="shared" si="348"/>
        <v>95</v>
      </c>
    </row>
    <row r="980" spans="1:27" ht="13.15" customHeight="1">
      <c r="D980" s="220"/>
    </row>
    <row r="981" spans="1:27" ht="13.15" customHeight="1">
      <c r="D981" s="220"/>
    </row>
    <row r="982" spans="1:27" ht="13.15" customHeight="1">
      <c r="A982" s="221" t="s">
        <v>221</v>
      </c>
      <c r="D982" s="220"/>
      <c r="I982" s="221">
        <v>2002</v>
      </c>
      <c r="K982" s="221" t="str">
        <f>+A982</f>
        <v>United Kingdom</v>
      </c>
      <c r="M982" s="220"/>
      <c r="S982" s="221">
        <v>2002</v>
      </c>
    </row>
    <row r="983" spans="1:27" ht="13.15" customHeight="1" thickBot="1">
      <c r="B983" s="223"/>
      <c r="C983" s="223"/>
      <c r="D983" s="223"/>
    </row>
    <row r="984" spans="1:27" ht="13.15" customHeight="1">
      <c r="A984" s="224" t="s">
        <v>475</v>
      </c>
      <c r="B984" s="225" t="s">
        <v>476</v>
      </c>
      <c r="C984" s="225"/>
      <c r="D984" s="226"/>
      <c r="E984" s="227" t="s">
        <v>477</v>
      </c>
      <c r="F984" s="228"/>
      <c r="G984" s="229"/>
      <c r="H984" s="200" t="s">
        <v>138</v>
      </c>
      <c r="I984" s="200" t="s">
        <v>478</v>
      </c>
      <c r="J984" s="230"/>
      <c r="K984" s="231" t="s">
        <v>475</v>
      </c>
      <c r="L984" s="232" t="s">
        <v>479</v>
      </c>
      <c r="M984" s="233"/>
      <c r="N984" s="234"/>
      <c r="O984" s="235" t="s">
        <v>480</v>
      </c>
      <c r="P984" s="233"/>
      <c r="Q984" s="233"/>
      <c r="R984" s="236"/>
      <c r="S984" s="237"/>
      <c r="T984" s="238"/>
    </row>
    <row r="985" spans="1:27" ht="13.15" customHeight="1">
      <c r="A985" s="239"/>
      <c r="B985" s="240" t="s">
        <v>481</v>
      </c>
      <c r="C985" s="240"/>
      <c r="D985" s="241" t="s">
        <v>34</v>
      </c>
      <c r="E985" s="242" t="s">
        <v>482</v>
      </c>
      <c r="F985" s="243"/>
      <c r="G985" s="244" t="s">
        <v>34</v>
      </c>
      <c r="H985" s="241" t="s">
        <v>170</v>
      </c>
      <c r="I985" s="241" t="s">
        <v>483</v>
      </c>
      <c r="J985" s="230"/>
      <c r="K985" s="245"/>
      <c r="L985" s="246" t="s">
        <v>484</v>
      </c>
      <c r="M985" s="247"/>
      <c r="N985" s="248" t="s">
        <v>485</v>
      </c>
      <c r="O985" s="248" t="s">
        <v>486</v>
      </c>
      <c r="P985" s="248" t="s">
        <v>486</v>
      </c>
      <c r="Q985" s="247" t="s">
        <v>487</v>
      </c>
      <c r="R985" s="249"/>
      <c r="S985" s="250" t="s">
        <v>485</v>
      </c>
      <c r="T985" s="230"/>
      <c r="U985" s="214" t="str">
        <f>A982</f>
        <v>United Kingdom</v>
      </c>
    </row>
    <row r="986" spans="1:27" ht="13.15" customHeight="1">
      <c r="A986" s="251" t="s">
        <v>488</v>
      </c>
      <c r="B986" s="252" t="s">
        <v>0</v>
      </c>
      <c r="C986" s="252" t="s">
        <v>489</v>
      </c>
      <c r="D986" s="252" t="s">
        <v>490</v>
      </c>
      <c r="E986" s="252" t="s">
        <v>491</v>
      </c>
      <c r="F986" s="252" t="s">
        <v>489</v>
      </c>
      <c r="G986" s="230" t="s">
        <v>490</v>
      </c>
      <c r="H986" s="248"/>
      <c r="I986" s="241" t="s">
        <v>492</v>
      </c>
      <c r="J986" s="230"/>
      <c r="K986" s="253" t="s">
        <v>488</v>
      </c>
      <c r="L986" s="254" t="s">
        <v>88</v>
      </c>
      <c r="M986" s="252" t="s">
        <v>34</v>
      </c>
      <c r="N986" s="252" t="s">
        <v>493</v>
      </c>
      <c r="O986" s="248" t="s">
        <v>494</v>
      </c>
      <c r="P986" s="248" t="s">
        <v>495</v>
      </c>
      <c r="Q986" s="230" t="s">
        <v>88</v>
      </c>
      <c r="R986" s="248" t="s">
        <v>34</v>
      </c>
      <c r="S986" s="255" t="s">
        <v>88</v>
      </c>
      <c r="T986" s="230"/>
      <c r="U986" s="214" t="s">
        <v>547</v>
      </c>
      <c r="V986" s="214">
        <f>G1014/1000</f>
        <v>140.40950000000004</v>
      </c>
    </row>
    <row r="987" spans="1:27" ht="13.15" customHeight="1">
      <c r="A987" s="239"/>
      <c r="B987" s="252" t="s">
        <v>496</v>
      </c>
      <c r="C987" s="252" t="s">
        <v>496</v>
      </c>
      <c r="D987" s="252" t="s">
        <v>496</v>
      </c>
      <c r="E987" s="256" t="s">
        <v>473</v>
      </c>
      <c r="F987" s="256" t="s">
        <v>473</v>
      </c>
      <c r="G987" s="230" t="s">
        <v>451</v>
      </c>
      <c r="H987" s="257" t="s">
        <v>497</v>
      </c>
      <c r="I987" s="257" t="s">
        <v>498</v>
      </c>
      <c r="J987" s="230"/>
      <c r="K987" s="245"/>
      <c r="L987" s="258" t="s">
        <v>496</v>
      </c>
      <c r="M987" s="256" t="s">
        <v>496</v>
      </c>
      <c r="N987" s="256"/>
      <c r="O987" s="257" t="s">
        <v>79</v>
      </c>
      <c r="P987" s="257" t="s">
        <v>79</v>
      </c>
      <c r="Q987" s="259"/>
      <c r="R987" s="257"/>
      <c r="S987" s="260"/>
      <c r="T987" s="230"/>
      <c r="U987" s="214" t="s">
        <v>548</v>
      </c>
      <c r="V987" s="214">
        <f>G1020/1000</f>
        <v>0</v>
      </c>
    </row>
    <row r="988" spans="1:27" ht="13.15" customHeight="1">
      <c r="A988" s="261" t="s">
        <v>262</v>
      </c>
      <c r="B988" s="365">
        <v>1238</v>
      </c>
      <c r="C988" s="365">
        <v>1238</v>
      </c>
      <c r="D988" s="365">
        <v>1402</v>
      </c>
      <c r="E988" s="320">
        <v>6835.2</v>
      </c>
      <c r="F988" s="320">
        <v>6835.2</v>
      </c>
      <c r="G988" s="368">
        <v>28030</v>
      </c>
      <c r="H988" s="369">
        <v>59549</v>
      </c>
      <c r="I988" s="320">
        <v>24</v>
      </c>
      <c r="J988" s="230"/>
      <c r="K988" s="265" t="s">
        <v>262</v>
      </c>
      <c r="L988" s="266">
        <f>C988/I988</f>
        <v>51.583333333333336</v>
      </c>
      <c r="M988" s="267">
        <f>D988/I988</f>
        <v>58.416666666666664</v>
      </c>
      <c r="N988" s="267">
        <f>D988/C988</f>
        <v>1.1324717285945072</v>
      </c>
      <c r="O988" s="239">
        <f>(F988*3.6+G988)*100/H988</f>
        <v>88.392281986263413</v>
      </c>
      <c r="P988" s="239">
        <f>(F988*3.6+G988)*100/H988</f>
        <v>88.392281986263413</v>
      </c>
      <c r="Q988" s="267">
        <f>F988/(C988*8760)*1000</f>
        <v>0.63026976785358624</v>
      </c>
      <c r="R988" s="267">
        <f>G988/(D988*8761)*1000/3.6</f>
        <v>0.63389730156318758</v>
      </c>
      <c r="S988" s="268">
        <f>G988/(F988*3.6)</f>
        <v>1.1391197201414898</v>
      </c>
      <c r="T988" s="269"/>
      <c r="U988" s="214" t="s">
        <v>549</v>
      </c>
      <c r="V988" s="214">
        <f>G1022/1000</f>
        <v>56.918999999999997</v>
      </c>
      <c r="Z988" s="214">
        <f t="shared" ref="Z988:Z993" si="349">C988-B988</f>
        <v>0</v>
      </c>
      <c r="AA988" s="214">
        <f t="shared" ref="AA988:AA993" si="350">F988-E988</f>
        <v>0</v>
      </c>
    </row>
    <row r="989" spans="1:27" ht="13.15" customHeight="1">
      <c r="A989" s="239" t="s">
        <v>263</v>
      </c>
      <c r="B989" s="320">
        <v>318</v>
      </c>
      <c r="C989" s="320">
        <v>318</v>
      </c>
      <c r="D989" s="320">
        <v>1362</v>
      </c>
      <c r="E989" s="320">
        <v>1358.9</v>
      </c>
      <c r="F989" s="320">
        <v>1358.9</v>
      </c>
      <c r="G989" s="321">
        <v>23668</v>
      </c>
      <c r="H989" s="319">
        <v>37099</v>
      </c>
      <c r="I989" s="320">
        <v>33</v>
      </c>
      <c r="J989" s="230"/>
      <c r="K989" s="245" t="s">
        <v>263</v>
      </c>
      <c r="L989" s="266">
        <f>C989/I989</f>
        <v>9.6363636363636367</v>
      </c>
      <c r="M989" s="267">
        <f>D989/I989</f>
        <v>41.272727272727273</v>
      </c>
      <c r="N989" s="267">
        <f>D989/C989</f>
        <v>4.283018867924528</v>
      </c>
      <c r="O989" s="239">
        <f>(F989*3.6+G989)*100/H989</f>
        <v>76.983314914148636</v>
      </c>
      <c r="P989" s="239">
        <f>(F989*3.6+G989)*100/H989</f>
        <v>76.983314914148636</v>
      </c>
      <c r="Q989" s="267">
        <f>F989/(C989*8760)*1000</f>
        <v>0.48781626030269093</v>
      </c>
      <c r="R989" s="267">
        <f>G989/(D989*8761)*1000/3.6</f>
        <v>0.55097040535610642</v>
      </c>
      <c r="S989" s="268">
        <f>G989/(F989*3.6)</f>
        <v>4.8380634663657691</v>
      </c>
      <c r="T989" s="269"/>
      <c r="U989" s="214" t="s">
        <v>550</v>
      </c>
      <c r="V989" s="214">
        <f>G1027/1000</f>
        <v>15.9268</v>
      </c>
      <c r="Z989" s="214">
        <f t="shared" si="349"/>
        <v>0</v>
      </c>
      <c r="AA989" s="214">
        <f t="shared" si="350"/>
        <v>0</v>
      </c>
    </row>
    <row r="990" spans="1:27" ht="13.15" customHeight="1">
      <c r="A990" s="239" t="s">
        <v>499</v>
      </c>
      <c r="B990" s="320"/>
      <c r="C990" s="320">
        <v>0</v>
      </c>
      <c r="D990" s="320"/>
      <c r="E990" s="320"/>
      <c r="F990" s="320">
        <v>0</v>
      </c>
      <c r="G990" s="321"/>
      <c r="H990" s="319"/>
      <c r="I990" s="320"/>
      <c r="J990" s="230"/>
      <c r="K990" s="245" t="s">
        <v>499</v>
      </c>
      <c r="L990" s="266" t="e">
        <f>C990/I990</f>
        <v>#DIV/0!</v>
      </c>
      <c r="M990" s="267" t="e">
        <f>D990/I990</f>
        <v>#DIV/0!</v>
      </c>
      <c r="N990" s="267" t="e">
        <f>D990/C990</f>
        <v>#DIV/0!</v>
      </c>
      <c r="O990" s="239" t="e">
        <f>(F990*3.6+G990)*100/H990</f>
        <v>#DIV/0!</v>
      </c>
      <c r="P990" s="239" t="e">
        <f>(F990*3.6+G990)*100/H990</f>
        <v>#DIV/0!</v>
      </c>
      <c r="Q990" s="267" t="e">
        <f>F990/(C990*8760)*1000</f>
        <v>#DIV/0!</v>
      </c>
      <c r="R990" s="267" t="e">
        <f>G990/(D990*8761)*1000/3.6</f>
        <v>#DIV/0!</v>
      </c>
      <c r="S990" s="268" t="e">
        <f>G990/(F990*3.6)</f>
        <v>#DIV/0!</v>
      </c>
      <c r="T990" s="269"/>
      <c r="U990" s="214" t="s">
        <v>551</v>
      </c>
      <c r="V990" s="214">
        <f>G1018/1000</f>
        <v>35.392099999999999</v>
      </c>
      <c r="Z990" s="214">
        <f t="shared" si="349"/>
        <v>0</v>
      </c>
      <c r="AA990" s="214">
        <f t="shared" si="350"/>
        <v>0</v>
      </c>
    </row>
    <row r="991" spans="1:27" ht="13.15" customHeight="1">
      <c r="A991" s="239" t="s">
        <v>265</v>
      </c>
      <c r="B991" s="320">
        <v>397.3</v>
      </c>
      <c r="C991" s="320">
        <v>397.3</v>
      </c>
      <c r="D991" s="320">
        <v>859</v>
      </c>
      <c r="E991" s="320">
        <v>2228.6</v>
      </c>
      <c r="F991" s="320">
        <v>2228.6</v>
      </c>
      <c r="G991" s="321">
        <v>16102</v>
      </c>
      <c r="H991" s="319">
        <v>31146</v>
      </c>
      <c r="I991" s="320">
        <v>41</v>
      </c>
      <c r="J991" s="230"/>
      <c r="K991" s="245" t="s">
        <v>265</v>
      </c>
      <c r="L991" s="266">
        <f>C991/I991</f>
        <v>9.6902439024390254</v>
      </c>
      <c r="M991" s="267">
        <f>D991/I991</f>
        <v>20.951219512195124</v>
      </c>
      <c r="N991" s="267">
        <f>D991/C991</f>
        <v>2.1620941354140446</v>
      </c>
      <c r="O991" s="239">
        <f>(F991*3.6+G991)*100/H991</f>
        <v>77.457651062736787</v>
      </c>
      <c r="P991" s="239">
        <f>(F991*3.6+G991)*100/H991</f>
        <v>77.457651062736787</v>
      </c>
      <c r="Q991" s="267">
        <f>F991/(C991*8760)*1000</f>
        <v>0.64033826502407232</v>
      </c>
      <c r="R991" s="267">
        <f>G991/(D991*8761)*1000/3.6</f>
        <v>0.5943338655688698</v>
      </c>
      <c r="S991" s="268">
        <f>G991/(F991*3.6)</f>
        <v>2.0069899388754275</v>
      </c>
      <c r="T991" s="269"/>
      <c r="U991" s="214" t="s">
        <v>552</v>
      </c>
      <c r="V991" s="214">
        <f>(G1015+G1016+G1017+G1019+G1021+G1023+G1024+G1025+G1026+G1028+G1029+G1030+G1031+G1032)/1000</f>
        <v>32.171600000000005</v>
      </c>
      <c r="Z991" s="214">
        <f t="shared" si="349"/>
        <v>0</v>
      </c>
      <c r="AA991" s="214">
        <f t="shared" si="350"/>
        <v>0</v>
      </c>
    </row>
    <row r="992" spans="1:27" ht="13.15" customHeight="1">
      <c r="A992" s="239" t="s">
        <v>266</v>
      </c>
      <c r="B992" s="320">
        <v>395.3</v>
      </c>
      <c r="C992" s="320">
        <v>395.3</v>
      </c>
      <c r="D992" s="320">
        <v>553</v>
      </c>
      <c r="E992" s="320">
        <v>1604.6</v>
      </c>
      <c r="F992" s="320">
        <v>1604.6</v>
      </c>
      <c r="G992" s="321">
        <v>8517</v>
      </c>
      <c r="H992" s="319">
        <v>18545</v>
      </c>
      <c r="I992" s="320">
        <v>576</v>
      </c>
      <c r="J992" s="230"/>
      <c r="K992" s="245" t="s">
        <v>266</v>
      </c>
      <c r="L992" s="266">
        <f>C992/I992</f>
        <v>0.68628472222222225</v>
      </c>
      <c r="M992" s="267">
        <f>D992/I992</f>
        <v>0.96006944444444442</v>
      </c>
      <c r="N992" s="267">
        <f>D992/C992</f>
        <v>1.3989375158107766</v>
      </c>
      <c r="O992" s="239">
        <f>(F992*3.6+G992)*100/H992</f>
        <v>77.075006740361289</v>
      </c>
      <c r="P992" s="239">
        <f>(F992*3.6+G992)*100/H992</f>
        <v>77.075006740361289</v>
      </c>
      <c r="Q992" s="267">
        <f>F992/(C992*8760)*1000</f>
        <v>0.46337848717868746</v>
      </c>
      <c r="R992" s="267">
        <f>G992/(D992*8761)*1000/3.6</f>
        <v>0.4883209252689068</v>
      </c>
      <c r="S992" s="268">
        <f>G992/(F992*3.6)</f>
        <v>1.4744069134571443</v>
      </c>
      <c r="T992" s="269"/>
      <c r="Z992" s="214">
        <f t="shared" si="349"/>
        <v>0</v>
      </c>
      <c r="AA992" s="214">
        <f t="shared" si="350"/>
        <v>0</v>
      </c>
    </row>
    <row r="993" spans="1:27" ht="13.15" customHeight="1">
      <c r="A993" s="272" t="s">
        <v>267</v>
      </c>
      <c r="B993" s="395"/>
      <c r="C993" s="395"/>
      <c r="D993" s="395"/>
      <c r="E993" s="320"/>
      <c r="F993" s="319"/>
      <c r="G993" s="396"/>
      <c r="H993" s="397"/>
      <c r="I993" s="395"/>
      <c r="J993" s="230"/>
      <c r="K993" s="245" t="s">
        <v>267</v>
      </c>
      <c r="L993" s="266"/>
      <c r="M993" s="267"/>
      <c r="N993" s="267"/>
      <c r="O993" s="239"/>
      <c r="P993" s="272"/>
      <c r="Q993" s="272"/>
      <c r="R993" s="274"/>
      <c r="S993" s="275"/>
      <c r="T993" s="269"/>
      <c r="U993" s="214" t="s">
        <v>553</v>
      </c>
      <c r="V993" s="214">
        <f>H1014/1000</f>
        <v>343.62979999999999</v>
      </c>
      <c r="Z993" s="214">
        <f t="shared" si="349"/>
        <v>0</v>
      </c>
      <c r="AA993" s="214">
        <f t="shared" si="350"/>
        <v>0</v>
      </c>
    </row>
    <row r="994" spans="1:27" ht="13.15" customHeight="1">
      <c r="A994" s="276" t="s">
        <v>500</v>
      </c>
      <c r="B994" s="277">
        <f t="shared" ref="B994:I994" si="351">SUM(B988:B993)</f>
        <v>2348.6</v>
      </c>
      <c r="C994" s="277">
        <f t="shared" si="351"/>
        <v>2348.6</v>
      </c>
      <c r="D994" s="277">
        <f t="shared" si="351"/>
        <v>4176</v>
      </c>
      <c r="E994" s="277">
        <f t="shared" si="351"/>
        <v>12027.300000000001</v>
      </c>
      <c r="F994" s="277">
        <f t="shared" si="351"/>
        <v>12027.300000000001</v>
      </c>
      <c r="G994" s="277">
        <f t="shared" si="351"/>
        <v>76317</v>
      </c>
      <c r="H994" s="277">
        <f t="shared" si="351"/>
        <v>146339</v>
      </c>
      <c r="I994" s="278">
        <f t="shared" si="351"/>
        <v>674</v>
      </c>
      <c r="J994" s="244"/>
      <c r="K994" s="279" t="s">
        <v>169</v>
      </c>
      <c r="L994" s="280">
        <f>C994/I994</f>
        <v>3.4845697329376852</v>
      </c>
      <c r="M994" s="281">
        <f>D994/I994</f>
        <v>6.1958456973293767</v>
      </c>
      <c r="N994" s="281">
        <f>D994/C994</f>
        <v>1.7780805586306736</v>
      </c>
      <c r="O994" s="282">
        <f>(F994*3.6+G994)*100/H994</f>
        <v>81.738483931146177</v>
      </c>
      <c r="P994" s="282">
        <f>(F994*3.6+G994)*100/H994</f>
        <v>81.738483931146177</v>
      </c>
      <c r="Q994" s="283">
        <f>F994/(C994*8760)*1000</f>
        <v>0.58459484461159605</v>
      </c>
      <c r="R994" s="283">
        <f>G994/(D994*8761)*1000/3.6</f>
        <v>0.57943485897604663</v>
      </c>
      <c r="S994" s="284">
        <f>G994/(F994*3.6)</f>
        <v>1.7625873360327475</v>
      </c>
      <c r="U994" s="214" t="s">
        <v>554</v>
      </c>
      <c r="V994" s="214">
        <f>H1020/1000</f>
        <v>0</v>
      </c>
    </row>
    <row r="995" spans="1:27" ht="13.15" customHeight="1">
      <c r="A995" s="285" t="s">
        <v>501</v>
      </c>
      <c r="B995" s="228" t="s">
        <v>476</v>
      </c>
      <c r="C995" s="228"/>
      <c r="D995" s="286"/>
      <c r="E995" s="227" t="s">
        <v>477</v>
      </c>
      <c r="F995" s="228"/>
      <c r="G995" s="229"/>
      <c r="H995" s="200" t="s">
        <v>138</v>
      </c>
      <c r="I995" s="200" t="s">
        <v>478</v>
      </c>
      <c r="J995" s="244"/>
      <c r="K995" s="287" t="s">
        <v>501</v>
      </c>
      <c r="L995" s="288" t="s">
        <v>479</v>
      </c>
      <c r="M995" s="228"/>
      <c r="N995" s="286"/>
      <c r="O995" s="227" t="s">
        <v>480</v>
      </c>
      <c r="P995" s="228"/>
      <c r="Q995" s="228"/>
      <c r="R995" s="229"/>
      <c r="S995" s="289"/>
      <c r="T995" s="269"/>
      <c r="U995" s="214" t="s">
        <v>555</v>
      </c>
      <c r="V995" s="214">
        <f>H1022/1000</f>
        <v>163.77860000000001</v>
      </c>
    </row>
    <row r="996" spans="1:27" ht="13.15" customHeight="1">
      <c r="A996" s="239"/>
      <c r="B996" s="240" t="s">
        <v>481</v>
      </c>
      <c r="C996" s="240"/>
      <c r="D996" s="241" t="s">
        <v>34</v>
      </c>
      <c r="E996" s="242" t="s">
        <v>482</v>
      </c>
      <c r="F996" s="243"/>
      <c r="G996" s="244" t="s">
        <v>34</v>
      </c>
      <c r="H996" s="241" t="s">
        <v>170</v>
      </c>
      <c r="I996" s="241" t="s">
        <v>483</v>
      </c>
      <c r="J996" s="244"/>
      <c r="K996" s="245"/>
      <c r="L996" s="246" t="s">
        <v>484</v>
      </c>
      <c r="M996" s="247"/>
      <c r="N996" s="248" t="s">
        <v>485</v>
      </c>
      <c r="O996" s="248" t="s">
        <v>486</v>
      </c>
      <c r="P996" s="248" t="s">
        <v>486</v>
      </c>
      <c r="Q996" s="247" t="s">
        <v>487</v>
      </c>
      <c r="R996" s="249"/>
      <c r="S996" s="250" t="s">
        <v>485</v>
      </c>
      <c r="T996" s="269"/>
      <c r="U996" s="214" t="s">
        <v>556</v>
      </c>
      <c r="V996" s="214">
        <f>H1027/1000</f>
        <v>38.045699999999997</v>
      </c>
    </row>
    <row r="997" spans="1:27" ht="13.15" customHeight="1">
      <c r="A997" s="251" t="s">
        <v>488</v>
      </c>
      <c r="B997" s="252" t="s">
        <v>0</v>
      </c>
      <c r="C997" s="252" t="s">
        <v>489</v>
      </c>
      <c r="D997" s="252" t="s">
        <v>490</v>
      </c>
      <c r="E997" s="252" t="s">
        <v>491</v>
      </c>
      <c r="F997" s="252" t="s">
        <v>489</v>
      </c>
      <c r="G997" s="230" t="s">
        <v>490</v>
      </c>
      <c r="H997" s="248"/>
      <c r="I997" s="241" t="s">
        <v>492</v>
      </c>
      <c r="J997" s="244"/>
      <c r="K997" s="253" t="s">
        <v>488</v>
      </c>
      <c r="L997" s="254" t="s">
        <v>88</v>
      </c>
      <c r="M997" s="252" t="s">
        <v>34</v>
      </c>
      <c r="N997" s="252" t="s">
        <v>493</v>
      </c>
      <c r="O997" s="248" t="s">
        <v>494</v>
      </c>
      <c r="P997" s="248" t="s">
        <v>495</v>
      </c>
      <c r="Q997" s="230" t="s">
        <v>88</v>
      </c>
      <c r="R997" s="248" t="s">
        <v>34</v>
      </c>
      <c r="S997" s="255" t="s">
        <v>88</v>
      </c>
      <c r="T997" s="269"/>
      <c r="U997" s="214" t="s">
        <v>557</v>
      </c>
      <c r="V997" s="214">
        <f>H1018/1000</f>
        <v>68.081199999999995</v>
      </c>
    </row>
    <row r="998" spans="1:27" ht="13.15" customHeight="1">
      <c r="A998" s="239"/>
      <c r="B998" s="252" t="s">
        <v>496</v>
      </c>
      <c r="C998" s="252" t="s">
        <v>496</v>
      </c>
      <c r="D998" s="252" t="s">
        <v>496</v>
      </c>
      <c r="E998" s="256" t="s">
        <v>473</v>
      </c>
      <c r="F998" s="256" t="s">
        <v>473</v>
      </c>
      <c r="G998" s="230" t="s">
        <v>451</v>
      </c>
      <c r="H998" s="257" t="s">
        <v>497</v>
      </c>
      <c r="I998" s="257" t="s">
        <v>498</v>
      </c>
      <c r="J998" s="244"/>
      <c r="K998" s="245"/>
      <c r="L998" s="258" t="s">
        <v>496</v>
      </c>
      <c r="M998" s="256" t="s">
        <v>496</v>
      </c>
      <c r="N998" s="256"/>
      <c r="O998" s="257" t="s">
        <v>79</v>
      </c>
      <c r="P998" s="257" t="s">
        <v>79</v>
      </c>
      <c r="Q998" s="259"/>
      <c r="R998" s="257"/>
      <c r="S998" s="260"/>
      <c r="T998" s="269"/>
      <c r="U998" s="214" t="s">
        <v>558</v>
      </c>
      <c r="V998" s="214">
        <f>(H1015+H1016+H1017+H1019+H1021+H1023+H1024+H1025+H1026+H1028+H1029+H1030+H1031+H1032)/1000</f>
        <v>73.724299999999999</v>
      </c>
    </row>
    <row r="999" spans="1:27" ht="13.15" customHeight="1">
      <c r="A999" s="261" t="s">
        <v>262</v>
      </c>
      <c r="B999" s="365">
        <v>744</v>
      </c>
      <c r="C999" s="365">
        <v>4116</v>
      </c>
      <c r="D999" s="365">
        <v>1153</v>
      </c>
      <c r="E999" s="320">
        <v>4877.5</v>
      </c>
      <c r="F999" s="319">
        <v>26204</v>
      </c>
      <c r="G999" s="368">
        <v>28157</v>
      </c>
      <c r="H999" s="369">
        <v>198163</v>
      </c>
      <c r="I999" s="320">
        <v>13</v>
      </c>
      <c r="J999" s="244"/>
      <c r="K999" s="265" t="s">
        <v>262</v>
      </c>
      <c r="L999" s="266">
        <f>B999/I999</f>
        <v>57.230769230769234</v>
      </c>
      <c r="M999" s="267">
        <f>D999/I999</f>
        <v>88.692307692307693</v>
      </c>
      <c r="N999" s="267">
        <f>D999/B999</f>
        <v>1.549731182795699</v>
      </c>
      <c r="O999" s="239">
        <f>(F999*3.6+G999)*100/H999</f>
        <v>61.813456598860533</v>
      </c>
      <c r="P999" s="267">
        <f>(E999*3.6+G999)*100/H999</f>
        <v>23.06989700398157</v>
      </c>
      <c r="Q999" s="267">
        <f>E999/(B999*8760)*1000</f>
        <v>0.7483766632297344</v>
      </c>
      <c r="R999" s="267">
        <f>G999/(D999*8761)*1000/3.6</f>
        <v>0.77428508300642973</v>
      </c>
      <c r="S999" s="268">
        <f>G999/(E999*3.6)</f>
        <v>1.6035651232985932</v>
      </c>
      <c r="T999" s="269"/>
      <c r="Z999" s="214">
        <f t="shared" ref="Z999:Z1006" si="352">C999-B999</f>
        <v>3372</v>
      </c>
      <c r="AA999" s="214">
        <f t="shared" ref="AA999:AA1006" si="353">F999-E999</f>
        <v>21326.5</v>
      </c>
    </row>
    <row r="1000" spans="1:27" ht="13.15" customHeight="1">
      <c r="A1000" s="239" t="s">
        <v>263</v>
      </c>
      <c r="B1000" s="320">
        <v>0</v>
      </c>
      <c r="C1000" s="320">
        <v>0</v>
      </c>
      <c r="D1000" s="320">
        <v>0</v>
      </c>
      <c r="E1000" s="320">
        <v>0</v>
      </c>
      <c r="F1000" s="319">
        <v>0</v>
      </c>
      <c r="G1000" s="321">
        <v>0</v>
      </c>
      <c r="H1000" s="319">
        <v>0</v>
      </c>
      <c r="I1000" s="320">
        <v>0</v>
      </c>
      <c r="J1000" s="244"/>
      <c r="K1000" s="245" t="s">
        <v>263</v>
      </c>
      <c r="L1000" s="266" t="e">
        <f>B1000/I1000</f>
        <v>#DIV/0!</v>
      </c>
      <c r="M1000" s="267" t="e">
        <f>D1000/I1000</f>
        <v>#DIV/0!</v>
      </c>
      <c r="N1000" s="267" t="e">
        <f>D1000/B1000</f>
        <v>#DIV/0!</v>
      </c>
      <c r="O1000" s="239" t="e">
        <f>(F1000*3.6+G1000)*100/H1000</f>
        <v>#DIV/0!</v>
      </c>
      <c r="P1000" s="267" t="e">
        <f>(E1000*3.6+G1000)*100/H1000</f>
        <v>#DIV/0!</v>
      </c>
      <c r="Q1000" s="267" t="e">
        <f>E1000/(B1000*8760)*1000</f>
        <v>#DIV/0!</v>
      </c>
      <c r="R1000" s="267" t="e">
        <f>G1000/(D1000*8761)*1000/3.6</f>
        <v>#DIV/0!</v>
      </c>
      <c r="S1000" s="268" t="e">
        <f>G1000/(E1000*3.6)</f>
        <v>#DIV/0!</v>
      </c>
      <c r="T1000" s="269"/>
      <c r="U1000" s="239" t="s">
        <v>152</v>
      </c>
      <c r="V1000" s="492">
        <f>B1015/1000</f>
        <v>0</v>
      </c>
      <c r="Z1000" s="214">
        <f t="shared" si="352"/>
        <v>0</v>
      </c>
      <c r="AA1000" s="214">
        <f t="shared" si="353"/>
        <v>0</v>
      </c>
    </row>
    <row r="1001" spans="1:27" ht="13.15" customHeight="1">
      <c r="A1001" s="239" t="s">
        <v>499</v>
      </c>
      <c r="B1001" s="320">
        <v>2998</v>
      </c>
      <c r="C1001" s="320">
        <v>3592</v>
      </c>
      <c r="D1001" s="320">
        <v>2046</v>
      </c>
      <c r="E1001" s="320">
        <v>2797.1</v>
      </c>
      <c r="F1001" s="319">
        <v>4737</v>
      </c>
      <c r="G1001" s="321">
        <v>36520</v>
      </c>
      <c r="H1001" s="319">
        <v>77694</v>
      </c>
      <c r="I1001" s="320">
        <v>21</v>
      </c>
      <c r="J1001" s="244"/>
      <c r="K1001" s="245" t="s">
        <v>499</v>
      </c>
      <c r="L1001" s="266">
        <f>B1001/I1001</f>
        <v>142.76190476190476</v>
      </c>
      <c r="M1001" s="267">
        <f>D1001/I1001</f>
        <v>97.428571428571431</v>
      </c>
      <c r="N1001" s="267">
        <f>D1001/B1001</f>
        <v>0.68245496997998667</v>
      </c>
      <c r="O1001" s="239">
        <f>(F1001*3.6+G1001)*100/H1001</f>
        <v>68.954101989857648</v>
      </c>
      <c r="P1001" s="267">
        <f>(E1001*3.6+G1001)*100/H1001</f>
        <v>59.96545421782892</v>
      </c>
      <c r="Q1001" s="267">
        <f>E1001/(B1001*8760)*1000</f>
        <v>0.10650555469247382</v>
      </c>
      <c r="R1001" s="267">
        <f>G1001/(D1001*8761)*1000/3.6</f>
        <v>0.56593813382514035</v>
      </c>
      <c r="S1001" s="268">
        <f>G1001/(E1001*3.6)</f>
        <v>3.6267721727662381</v>
      </c>
      <c r="T1001" s="269"/>
      <c r="U1001" s="239" t="s">
        <v>504</v>
      </c>
      <c r="V1001" s="492">
        <f t="shared" ref="V1001:V1017" si="354">B1016/1000</f>
        <v>0</v>
      </c>
      <c r="Z1001" s="214">
        <f t="shared" si="352"/>
        <v>594</v>
      </c>
      <c r="AA1001" s="214">
        <f t="shared" si="353"/>
        <v>1939.9</v>
      </c>
    </row>
    <row r="1002" spans="1:27" ht="13.15" customHeight="1">
      <c r="A1002" s="239" t="s">
        <v>265</v>
      </c>
      <c r="B1002" s="320">
        <v>94</v>
      </c>
      <c r="C1002" s="320">
        <v>257</v>
      </c>
      <c r="D1002" s="320">
        <v>236</v>
      </c>
      <c r="E1002" s="320">
        <v>758.9</v>
      </c>
      <c r="F1002" s="319">
        <v>1368</v>
      </c>
      <c r="G1002" s="321">
        <v>5112</v>
      </c>
      <c r="H1002" s="319">
        <v>15922</v>
      </c>
      <c r="I1002" s="320">
        <v>25</v>
      </c>
      <c r="J1002" s="244"/>
      <c r="K1002" s="245" t="s">
        <v>265</v>
      </c>
      <c r="L1002" s="266">
        <f>B1002/I1002</f>
        <v>3.76</v>
      </c>
      <c r="M1002" s="267">
        <f>D1002/I1002</f>
        <v>9.44</v>
      </c>
      <c r="N1002" s="267">
        <f>D1002/B1002</f>
        <v>2.5106382978723403</v>
      </c>
      <c r="O1002" s="239">
        <f>(F1002*3.6+G1002)*100/H1002</f>
        <v>63.037306870996098</v>
      </c>
      <c r="P1002" s="267">
        <f>(E1002*3.6+G1002)*100/H1002</f>
        <v>49.265418917221453</v>
      </c>
      <c r="Q1002" s="267">
        <f>E1002/(B1002*8760)*1000</f>
        <v>0.92162149033323615</v>
      </c>
      <c r="R1002" s="267">
        <f>G1002/(D1002*8761)*1000/3.6</f>
        <v>0.68678794116452158</v>
      </c>
      <c r="S1002" s="268">
        <f>G1002/(E1002*3.6)</f>
        <v>1.871129266042957</v>
      </c>
      <c r="T1002" s="269"/>
      <c r="U1002" s="239" t="s">
        <v>505</v>
      </c>
      <c r="V1002" s="492">
        <f t="shared" si="354"/>
        <v>0</v>
      </c>
      <c r="Z1002" s="214">
        <f t="shared" si="352"/>
        <v>163</v>
      </c>
      <c r="AA1002" s="214">
        <f t="shared" si="353"/>
        <v>609.1</v>
      </c>
    </row>
    <row r="1003" spans="1:27" ht="13.15" customHeight="1">
      <c r="A1003" s="239" t="s">
        <v>266</v>
      </c>
      <c r="B1003" s="320">
        <v>75</v>
      </c>
      <c r="C1003" s="320">
        <v>177</v>
      </c>
      <c r="D1003" s="320">
        <v>125</v>
      </c>
      <c r="E1003" s="320">
        <v>415.8</v>
      </c>
      <c r="F1003" s="319">
        <v>670</v>
      </c>
      <c r="G1003" s="321">
        <v>1908</v>
      </c>
      <c r="H1003" s="319">
        <v>8355</v>
      </c>
      <c r="I1003" s="320">
        <v>123</v>
      </c>
      <c r="J1003" s="244"/>
      <c r="K1003" s="245" t="s">
        <v>266</v>
      </c>
      <c r="L1003" s="266">
        <f>B1003/I1003</f>
        <v>0.6097560975609756</v>
      </c>
      <c r="M1003" s="267">
        <f>D1003/I1003</f>
        <v>1.0162601626016261</v>
      </c>
      <c r="N1003" s="267">
        <f>D1003/B1003</f>
        <v>1.6666666666666667</v>
      </c>
      <c r="O1003" s="239">
        <f>(F1003*3.6+G1003)*100/H1003</f>
        <v>51.70556552962298</v>
      </c>
      <c r="P1003" s="267">
        <f>(E1003*3.6+G1003)*100/H1003</f>
        <v>40.752603231597845</v>
      </c>
      <c r="Q1003" s="267">
        <f>E1003/(B1003*8760)*1000</f>
        <v>0.63287671232876719</v>
      </c>
      <c r="R1003" s="267">
        <f>G1003/(D1003*8761)*1000/3.6</f>
        <v>0.4839630179203287</v>
      </c>
      <c r="S1003" s="268">
        <f>G1003/(E1003*3.6)</f>
        <v>1.2746512746512746</v>
      </c>
      <c r="T1003" s="269"/>
      <c r="U1003" s="239" t="s">
        <v>506</v>
      </c>
      <c r="V1003" s="492">
        <f t="shared" si="354"/>
        <v>0.92320000000000002</v>
      </c>
      <c r="Z1003" s="214">
        <f t="shared" si="352"/>
        <v>102</v>
      </c>
      <c r="AA1003" s="214">
        <f t="shared" si="353"/>
        <v>254.2</v>
      </c>
    </row>
    <row r="1004" spans="1:27" ht="13.15" customHeight="1">
      <c r="A1004" s="272" t="s">
        <v>267</v>
      </c>
      <c r="B1004" s="395"/>
      <c r="C1004" s="395"/>
      <c r="D1004" s="395"/>
      <c r="E1004" s="320"/>
      <c r="F1004" s="319"/>
      <c r="G1004" s="396"/>
      <c r="H1004" s="397"/>
      <c r="I1004" s="395"/>
      <c r="J1004" s="244"/>
      <c r="K1004" s="245" t="s">
        <v>267</v>
      </c>
      <c r="L1004" s="266"/>
      <c r="M1004" s="267"/>
      <c r="N1004" s="267"/>
      <c r="O1004" s="239"/>
      <c r="P1004" s="267"/>
      <c r="Q1004" s="272"/>
      <c r="R1004" s="274"/>
      <c r="S1004" s="275"/>
      <c r="T1004" s="269"/>
      <c r="U1004" s="239" t="s">
        <v>507</v>
      </c>
      <c r="V1004" s="492">
        <f t="shared" si="354"/>
        <v>0</v>
      </c>
      <c r="Z1004" s="214">
        <f t="shared" si="352"/>
        <v>0</v>
      </c>
      <c r="AA1004" s="214">
        <f t="shared" si="353"/>
        <v>0</v>
      </c>
    </row>
    <row r="1005" spans="1:27" ht="13.15" customHeight="1">
      <c r="A1005" s="276" t="s">
        <v>500</v>
      </c>
      <c r="B1005" s="291">
        <f t="shared" ref="B1005:I1005" si="355">SUM(B999:B1004)</f>
        <v>3911</v>
      </c>
      <c r="C1005" s="291">
        <f t="shared" si="355"/>
        <v>8142</v>
      </c>
      <c r="D1005" s="291">
        <f t="shared" si="355"/>
        <v>3560</v>
      </c>
      <c r="E1005" s="291">
        <f t="shared" si="355"/>
        <v>8849.2999999999993</v>
      </c>
      <c r="F1005" s="291">
        <f t="shared" si="355"/>
        <v>32979</v>
      </c>
      <c r="G1005" s="292">
        <f t="shared" si="355"/>
        <v>71697</v>
      </c>
      <c r="H1005" s="291">
        <f t="shared" si="355"/>
        <v>300134</v>
      </c>
      <c r="I1005" s="293">
        <f t="shared" si="355"/>
        <v>182</v>
      </c>
      <c r="J1005" s="244"/>
      <c r="K1005" s="279" t="s">
        <v>169</v>
      </c>
      <c r="L1005" s="280">
        <f>B1005/I1005</f>
        <v>21.489010989010989</v>
      </c>
      <c r="M1005" s="281">
        <f>D1005/I1005</f>
        <v>19.560439560439562</v>
      </c>
      <c r="N1005" s="281">
        <f>D1005/B1005</f>
        <v>0.91025313219125548</v>
      </c>
      <c r="O1005" s="294">
        <f>(F1005*3.6+G1005)*100/H1005</f>
        <v>63.445461027407774</v>
      </c>
      <c r="P1005" s="295">
        <f>(E1005*3.6+G1005)*100/H1005</f>
        <v>34.502748772215078</v>
      </c>
      <c r="Q1005" s="283">
        <f>E1005/(B1005*8760)*1000</f>
        <v>0.25829559292430082</v>
      </c>
      <c r="R1005" s="283">
        <f>G1005/(D1005*8761)*1000/3.6</f>
        <v>0.63854984659199965</v>
      </c>
      <c r="S1005" s="284">
        <f>G1005/(E1005*3.6)</f>
        <v>2.2505546578072089</v>
      </c>
      <c r="U1005" s="239" t="s">
        <v>156</v>
      </c>
      <c r="V1005" s="492">
        <f t="shared" si="354"/>
        <v>0</v>
      </c>
      <c r="Z1005" s="214">
        <f t="shared" si="352"/>
        <v>4231</v>
      </c>
      <c r="AA1005" s="214">
        <f t="shared" si="353"/>
        <v>24129.7</v>
      </c>
    </row>
    <row r="1006" spans="1:27" ht="13.15" customHeight="1" thickBot="1">
      <c r="A1006" s="296" t="s">
        <v>502</v>
      </c>
      <c r="B1006" s="297">
        <f t="shared" ref="B1006:I1006" si="356">B994+B1005</f>
        <v>6259.6</v>
      </c>
      <c r="C1006" s="297">
        <f t="shared" si="356"/>
        <v>10490.6</v>
      </c>
      <c r="D1006" s="297">
        <f t="shared" si="356"/>
        <v>7736</v>
      </c>
      <c r="E1006" s="297">
        <f t="shared" si="356"/>
        <v>20876.599999999999</v>
      </c>
      <c r="F1006" s="297">
        <f t="shared" si="356"/>
        <v>45006.3</v>
      </c>
      <c r="G1006" s="297">
        <f t="shared" si="356"/>
        <v>148014</v>
      </c>
      <c r="H1006" s="297">
        <f t="shared" si="356"/>
        <v>446473</v>
      </c>
      <c r="I1006" s="298">
        <f t="shared" si="356"/>
        <v>856</v>
      </c>
      <c r="J1006" s="244"/>
      <c r="K1006" s="296" t="s">
        <v>502</v>
      </c>
      <c r="L1006" s="299">
        <f>B1006/I1006</f>
        <v>7.3126168224299066</v>
      </c>
      <c r="M1006" s="300">
        <f>D1006/I1006</f>
        <v>9.0373831775700939</v>
      </c>
      <c r="N1006" s="300">
        <f>D1006/B1006</f>
        <v>1.2358617164036041</v>
      </c>
      <c r="O1006" s="301">
        <f>(F1006*3.6+G1006)*100/H1006</f>
        <v>69.441305521274529</v>
      </c>
      <c r="P1006" s="301">
        <f>(E1006*3.6+G1006)*100/H1006</f>
        <v>49.985051727652063</v>
      </c>
      <c r="Q1006" s="301">
        <f>E1006/(B1006*8760)*1000</f>
        <v>0.38072297207197503</v>
      </c>
      <c r="R1006" s="301">
        <f>G1006/(D1006*8761)*1000/3.6</f>
        <v>0.60663875710334647</v>
      </c>
      <c r="S1006" s="302">
        <f>G1006/(E1006*3.6)</f>
        <v>1.9694298880085839</v>
      </c>
      <c r="T1006" s="269"/>
      <c r="U1006" s="239" t="s">
        <v>508</v>
      </c>
      <c r="V1006" s="492">
        <f t="shared" si="354"/>
        <v>0</v>
      </c>
      <c r="Z1006" s="214">
        <f t="shared" si="352"/>
        <v>4231</v>
      </c>
      <c r="AA1006" s="214">
        <f t="shared" si="353"/>
        <v>24129.700000000004</v>
      </c>
    </row>
    <row r="1007" spans="1:27" ht="13.15" customHeight="1">
      <c r="U1007" s="239" t="s">
        <v>509</v>
      </c>
      <c r="V1007" s="492">
        <f t="shared" si="354"/>
        <v>1.2879</v>
      </c>
    </row>
    <row r="1008" spans="1:27" ht="13.15" customHeight="1">
      <c r="A1008" s="251" t="s">
        <v>139</v>
      </c>
      <c r="B1008" s="227" t="s">
        <v>476</v>
      </c>
      <c r="C1008" s="228"/>
      <c r="D1008" s="286"/>
      <c r="E1008" s="227" t="s">
        <v>477</v>
      </c>
      <c r="F1008" s="228"/>
      <c r="G1008" s="229"/>
      <c r="H1008" s="200" t="s">
        <v>138</v>
      </c>
      <c r="I1008" s="200" t="s">
        <v>478</v>
      </c>
      <c r="J1008" s="230"/>
      <c r="K1008" s="303" t="s">
        <v>503</v>
      </c>
      <c r="L1008" s="227" t="s">
        <v>479</v>
      </c>
      <c r="M1008" s="228"/>
      <c r="N1008" s="286"/>
      <c r="O1008" s="227" t="s">
        <v>480</v>
      </c>
      <c r="P1008" s="228"/>
      <c r="Q1008" s="228"/>
      <c r="R1008" s="229"/>
      <c r="S1008" s="286"/>
      <c r="T1008" s="304"/>
      <c r="U1008" s="239" t="s">
        <v>510</v>
      </c>
      <c r="V1008" s="492">
        <f t="shared" si="354"/>
        <v>0</v>
      </c>
    </row>
    <row r="1009" spans="1:27" ht="13.15" customHeight="1">
      <c r="A1009" s="239"/>
      <c r="B1009" s="240" t="s">
        <v>9</v>
      </c>
      <c r="C1009" s="240"/>
      <c r="D1009" s="241" t="s">
        <v>34</v>
      </c>
      <c r="E1009" s="242" t="s">
        <v>88</v>
      </c>
      <c r="F1009" s="243"/>
      <c r="G1009" s="244" t="s">
        <v>34</v>
      </c>
      <c r="H1009" s="241" t="s">
        <v>170</v>
      </c>
      <c r="I1009" s="241" t="s">
        <v>483</v>
      </c>
      <c r="J1009" s="230"/>
      <c r="K1009" s="305"/>
      <c r="L1009" s="306" t="s">
        <v>484</v>
      </c>
      <c r="M1009" s="247"/>
      <c r="N1009" s="248" t="s">
        <v>485</v>
      </c>
      <c r="O1009" s="248" t="s">
        <v>486</v>
      </c>
      <c r="P1009" s="248" t="s">
        <v>486</v>
      </c>
      <c r="Q1009" s="247" t="s">
        <v>487</v>
      </c>
      <c r="R1009" s="249"/>
      <c r="S1009" s="307" t="s">
        <v>485</v>
      </c>
      <c r="T1009" s="230"/>
      <c r="U1009" s="239" t="s">
        <v>511</v>
      </c>
      <c r="V1009" s="492">
        <f t="shared" si="354"/>
        <v>2.92E-2</v>
      </c>
    </row>
    <row r="1010" spans="1:27" ht="13.15" customHeight="1">
      <c r="A1010" s="239"/>
      <c r="B1010" s="252" t="s">
        <v>0</v>
      </c>
      <c r="C1010" s="252" t="s">
        <v>489</v>
      </c>
      <c r="D1010" s="252" t="s">
        <v>490</v>
      </c>
      <c r="E1010" s="252" t="s">
        <v>491</v>
      </c>
      <c r="F1010" s="252" t="s">
        <v>489</v>
      </c>
      <c r="G1010" s="230" t="s">
        <v>490</v>
      </c>
      <c r="H1010" s="248"/>
      <c r="I1010" s="241" t="s">
        <v>492</v>
      </c>
      <c r="J1010" s="230"/>
      <c r="K1010" s="305"/>
      <c r="L1010" s="248" t="s">
        <v>88</v>
      </c>
      <c r="M1010" s="252" t="s">
        <v>34</v>
      </c>
      <c r="N1010" s="252" t="s">
        <v>493</v>
      </c>
      <c r="O1010" s="248" t="s">
        <v>494</v>
      </c>
      <c r="P1010" s="248" t="s">
        <v>495</v>
      </c>
      <c r="Q1010" s="230" t="s">
        <v>88</v>
      </c>
      <c r="R1010" s="248" t="s">
        <v>34</v>
      </c>
      <c r="S1010" s="252" t="s">
        <v>88</v>
      </c>
      <c r="T1010" s="230"/>
      <c r="U1010" s="239" t="s">
        <v>512</v>
      </c>
      <c r="V1010" s="492">
        <f t="shared" si="354"/>
        <v>0.37789999999999996</v>
      </c>
    </row>
    <row r="1011" spans="1:27" ht="13.15" customHeight="1">
      <c r="A1011" s="239"/>
      <c r="B1011" s="257" t="s">
        <v>496</v>
      </c>
      <c r="C1011" s="256" t="s">
        <v>496</v>
      </c>
      <c r="D1011" s="256" t="s">
        <v>496</v>
      </c>
      <c r="E1011" s="256" t="s">
        <v>473</v>
      </c>
      <c r="F1011" s="256" t="s">
        <v>473</v>
      </c>
      <c r="G1011" s="257" t="s">
        <v>451</v>
      </c>
      <c r="H1011" s="257" t="s">
        <v>497</v>
      </c>
      <c r="I1011" s="257" t="s">
        <v>498</v>
      </c>
      <c r="J1011" s="230"/>
      <c r="K1011" s="305"/>
      <c r="L1011" s="257" t="s">
        <v>496</v>
      </c>
      <c r="M1011" s="256" t="s">
        <v>496</v>
      </c>
      <c r="N1011" s="256"/>
      <c r="O1011" s="257" t="s">
        <v>79</v>
      </c>
      <c r="P1011" s="257" t="s">
        <v>79</v>
      </c>
      <c r="Q1011" s="259"/>
      <c r="R1011" s="257"/>
      <c r="S1011" s="256"/>
      <c r="T1011" s="230"/>
      <c r="U1011" s="239" t="s">
        <v>513</v>
      </c>
      <c r="V1011" s="492">
        <f t="shared" si="354"/>
        <v>0</v>
      </c>
    </row>
    <row r="1012" spans="1:27" ht="13.15" customHeight="1">
      <c r="A1012" s="251" t="s">
        <v>150</v>
      </c>
      <c r="B1012" s="422">
        <v>2648.9</v>
      </c>
      <c r="C1012" s="422">
        <v>4817.2</v>
      </c>
      <c r="D1012" s="422">
        <v>398.5</v>
      </c>
      <c r="E1012" s="422">
        <v>1725.1</v>
      </c>
      <c r="F1012" s="422">
        <v>13265.1</v>
      </c>
      <c r="G1012" s="422">
        <v>7604.4</v>
      </c>
      <c r="H1012" s="422">
        <v>102843.7</v>
      </c>
      <c r="I1012" s="423">
        <v>46</v>
      </c>
      <c r="J1012" s="244"/>
      <c r="K1012" s="303" t="s">
        <v>150</v>
      </c>
      <c r="L1012" s="312">
        <f>B1012/I1012</f>
        <v>57.584782608695654</v>
      </c>
      <c r="M1012" s="313">
        <f>D1012/I1012</f>
        <v>8.6630434782608692</v>
      </c>
      <c r="N1012" s="313">
        <f>D1012/B1012</f>
        <v>0.15043980520215938</v>
      </c>
      <c r="O1012" s="312">
        <f>(F1012*3.6+G1012)*100/H1012</f>
        <v>53.828051693978338</v>
      </c>
      <c r="P1012" s="313">
        <f>(E1012*3.6+G1012)*100/H1012</f>
        <v>13.43277225537393</v>
      </c>
      <c r="Q1012" s="313">
        <f>E1012/(B1012*8760)*1000</f>
        <v>7.4343774300385912E-2</v>
      </c>
      <c r="R1012" s="313">
        <f>G1012/(D1012*8761)*1000/3.6</f>
        <v>0.6050349274719512</v>
      </c>
      <c r="S1012" s="313">
        <f>G1012/(E1012*3.6)</f>
        <v>1.2244700790292351</v>
      </c>
      <c r="T1012" s="269"/>
      <c r="U1012" s="239" t="s">
        <v>514</v>
      </c>
      <c r="V1012" s="492">
        <f t="shared" si="354"/>
        <v>0.46500000000000002</v>
      </c>
      <c r="Z1012" s="214">
        <f>C1012-B1012</f>
        <v>2168.2999999999997</v>
      </c>
      <c r="AA1012" s="214">
        <f>F1012-E1012</f>
        <v>11540</v>
      </c>
    </row>
    <row r="1013" spans="1:27" ht="13.15" customHeight="1">
      <c r="A1013" s="239"/>
      <c r="B1013" s="314"/>
      <c r="C1013" s="315"/>
      <c r="D1013" s="315"/>
      <c r="E1013" s="316"/>
      <c r="F1013" s="316"/>
      <c r="G1013" s="317"/>
      <c r="H1013" s="314"/>
      <c r="I1013" s="314"/>
      <c r="J1013" s="230"/>
      <c r="K1013" s="239"/>
      <c r="L1013" s="312"/>
      <c r="M1013" s="267"/>
      <c r="N1013" s="267"/>
      <c r="O1013" s="239"/>
      <c r="P1013" s="313"/>
      <c r="Q1013" s="267"/>
      <c r="R1013" s="267"/>
      <c r="S1013" s="239"/>
      <c r="T1013" s="269"/>
      <c r="U1013" s="239" t="s">
        <v>515</v>
      </c>
      <c r="V1013" s="492">
        <f t="shared" si="354"/>
        <v>2.8500000000000001E-2</v>
      </c>
      <c r="Z1013" s="214">
        <f t="shared" ref="Z1013:Z1033" si="357">C1013-B1013</f>
        <v>0</v>
      </c>
      <c r="AA1013" s="214">
        <f t="shared" ref="AA1013:AA1033" si="358">F1013-E1013</f>
        <v>0</v>
      </c>
    </row>
    <row r="1014" spans="1:27" ht="13.15" customHeight="1">
      <c r="A1014" s="312" t="s">
        <v>7</v>
      </c>
      <c r="B1014" s="310">
        <f>SUM(B1015:B1032)</f>
        <v>3611.5000000000005</v>
      </c>
      <c r="C1014" s="310">
        <f t="shared" ref="C1014:I1014" si="359">SUM(C1015:C1032)</f>
        <v>5674.7999999999993</v>
      </c>
      <c r="D1014" s="310">
        <f t="shared" si="359"/>
        <v>7337.7</v>
      </c>
      <c r="E1014" s="310">
        <f t="shared" si="359"/>
        <v>19151.599999999999</v>
      </c>
      <c r="F1014" s="310">
        <f t="shared" si="359"/>
        <v>31742</v>
      </c>
      <c r="G1014" s="310">
        <f t="shared" si="359"/>
        <v>140409.50000000003</v>
      </c>
      <c r="H1014" s="310">
        <f t="shared" si="359"/>
        <v>343629.8</v>
      </c>
      <c r="I1014" s="310">
        <f t="shared" si="359"/>
        <v>810</v>
      </c>
      <c r="J1014" s="244"/>
      <c r="K1014" s="318" t="s">
        <v>7</v>
      </c>
      <c r="L1014" s="312">
        <f>B1014/I1014</f>
        <v>4.4586419753086428</v>
      </c>
      <c r="M1014" s="313">
        <f>D1014/I1014</f>
        <v>9.0588888888888892</v>
      </c>
      <c r="N1014" s="313">
        <f>D1014/B1014</f>
        <v>2.0317596566523601</v>
      </c>
      <c r="O1014" s="312">
        <f t="shared" ref="O1014:O1031" si="360">(F1014*3.6+G1014)*100/H1014</f>
        <v>74.114846849720251</v>
      </c>
      <c r="P1014" s="313">
        <f>(E1014*3.6+G1014)*100/H1014</f>
        <v>60.924652052877839</v>
      </c>
      <c r="Q1014" s="313">
        <f>E1014/(B1014*8760)*1000</f>
        <v>0.60535946497647974</v>
      </c>
      <c r="R1014" s="313">
        <f>G1014/(D1014*8761)*1000/3.6</f>
        <v>0.60670889185121535</v>
      </c>
      <c r="S1014" s="313">
        <f>G1014/(E1014*3.6)</f>
        <v>2.0365211725855228</v>
      </c>
      <c r="T1014" s="269"/>
      <c r="U1014" s="239" t="s">
        <v>516</v>
      </c>
      <c r="V1014" s="492">
        <f t="shared" si="354"/>
        <v>2.7100000000000003E-2</v>
      </c>
      <c r="Z1014" s="214">
        <f t="shared" si="357"/>
        <v>2063.2999999999988</v>
      </c>
      <c r="AA1014" s="214">
        <f t="shared" si="358"/>
        <v>12590.400000000001</v>
      </c>
    </row>
    <row r="1015" spans="1:27" ht="13.15" customHeight="1">
      <c r="A1015" s="239" t="s">
        <v>152</v>
      </c>
      <c r="B1015" s="319"/>
      <c r="C1015" s="320"/>
      <c r="D1015" s="320"/>
      <c r="E1015" s="316"/>
      <c r="F1015" s="316"/>
      <c r="G1015" s="321"/>
      <c r="H1015" s="319"/>
      <c r="I1015" s="319"/>
      <c r="J1015" s="230"/>
      <c r="K1015" s="305" t="s">
        <v>152</v>
      </c>
      <c r="L1015" s="239" t="e">
        <f t="shared" ref="L1015:L1031" si="361">B1015/I1015</f>
        <v>#DIV/0!</v>
      </c>
      <c r="M1015" s="267" t="e">
        <f t="shared" ref="M1015:M1031" si="362">D1015/I1015</f>
        <v>#DIV/0!</v>
      </c>
      <c r="N1015" s="267" t="e">
        <f t="shared" ref="N1015:N1031" si="363">D1015/B1015</f>
        <v>#DIV/0!</v>
      </c>
      <c r="O1015" s="239" t="e">
        <f t="shared" si="360"/>
        <v>#DIV/0!</v>
      </c>
      <c r="P1015" s="267" t="e">
        <f t="shared" ref="P1015:P1031" si="364">(E1015*3.6+G1015)*100/H1015</f>
        <v>#DIV/0!</v>
      </c>
      <c r="Q1015" s="267" t="e">
        <f t="shared" ref="Q1015:Q1031" si="365">E1015/(B1015*8760)*1000</f>
        <v>#DIV/0!</v>
      </c>
      <c r="R1015" s="267" t="e">
        <f t="shared" ref="R1015:R1031" si="366">G1015/(D1015*8761)*1000/3.6</f>
        <v>#DIV/0!</v>
      </c>
      <c r="S1015" s="267" t="e">
        <f t="shared" ref="S1015:S1031" si="367">G1015/(E1015*3.6)</f>
        <v>#DIV/0!</v>
      </c>
      <c r="T1015" s="269"/>
      <c r="U1015" s="239" t="s">
        <v>517</v>
      </c>
      <c r="V1015" s="492">
        <f t="shared" si="354"/>
        <v>8.8000000000000005E-3</v>
      </c>
      <c r="Z1015" s="214">
        <f t="shared" si="357"/>
        <v>0</v>
      </c>
      <c r="AA1015" s="214">
        <f t="shared" si="358"/>
        <v>0</v>
      </c>
    </row>
    <row r="1016" spans="1:27" ht="13.15" customHeight="1">
      <c r="A1016" s="239" t="s">
        <v>504</v>
      </c>
      <c r="B1016" s="319"/>
      <c r="C1016" s="320"/>
      <c r="D1016" s="320"/>
      <c r="E1016" s="316"/>
      <c r="F1016" s="316"/>
      <c r="G1016" s="321"/>
      <c r="H1016" s="319"/>
      <c r="I1016" s="319"/>
      <c r="J1016" s="230"/>
      <c r="K1016" s="305" t="s">
        <v>504</v>
      </c>
      <c r="L1016" s="239" t="e">
        <f t="shared" si="361"/>
        <v>#DIV/0!</v>
      </c>
      <c r="M1016" s="267" t="e">
        <f t="shared" si="362"/>
        <v>#DIV/0!</v>
      </c>
      <c r="N1016" s="267" t="e">
        <f t="shared" si="363"/>
        <v>#DIV/0!</v>
      </c>
      <c r="O1016" s="239" t="e">
        <f t="shared" si="360"/>
        <v>#DIV/0!</v>
      </c>
      <c r="P1016" s="267" t="e">
        <f t="shared" si="364"/>
        <v>#DIV/0!</v>
      </c>
      <c r="Q1016" s="267" t="e">
        <f t="shared" si="365"/>
        <v>#DIV/0!</v>
      </c>
      <c r="R1016" s="267" t="e">
        <f t="shared" si="366"/>
        <v>#DIV/0!</v>
      </c>
      <c r="S1016" s="267" t="e">
        <f t="shared" si="367"/>
        <v>#DIV/0!</v>
      </c>
      <c r="T1016" s="269"/>
      <c r="U1016" s="239" t="s">
        <v>518</v>
      </c>
      <c r="V1016" s="492">
        <f t="shared" si="354"/>
        <v>0.38739999999999997</v>
      </c>
      <c r="Z1016" s="214">
        <f t="shared" si="357"/>
        <v>0</v>
      </c>
      <c r="AA1016" s="214">
        <f t="shared" si="358"/>
        <v>0</v>
      </c>
    </row>
    <row r="1017" spans="1:27" ht="13.15" customHeight="1">
      <c r="A1017" s="239" t="s">
        <v>505</v>
      </c>
      <c r="B1017" s="319"/>
      <c r="C1017" s="320"/>
      <c r="D1017" s="320"/>
      <c r="E1017" s="316"/>
      <c r="F1017" s="316"/>
      <c r="G1017" s="321"/>
      <c r="H1017" s="319"/>
      <c r="I1017" s="319"/>
      <c r="J1017" s="230"/>
      <c r="K1017" s="305" t="s">
        <v>505</v>
      </c>
      <c r="L1017" s="239" t="e">
        <f t="shared" si="361"/>
        <v>#DIV/0!</v>
      </c>
      <c r="M1017" s="267" t="e">
        <f t="shared" si="362"/>
        <v>#DIV/0!</v>
      </c>
      <c r="N1017" s="267" t="e">
        <f t="shared" si="363"/>
        <v>#DIV/0!</v>
      </c>
      <c r="O1017" s="239" t="e">
        <f t="shared" si="360"/>
        <v>#DIV/0!</v>
      </c>
      <c r="P1017" s="267" t="e">
        <f t="shared" si="364"/>
        <v>#DIV/0!</v>
      </c>
      <c r="Q1017" s="267" t="e">
        <f t="shared" si="365"/>
        <v>#DIV/0!</v>
      </c>
      <c r="R1017" s="267" t="e">
        <f t="shared" si="366"/>
        <v>#DIV/0!</v>
      </c>
      <c r="S1017" s="267" t="e">
        <f t="shared" si="367"/>
        <v>#DIV/0!</v>
      </c>
      <c r="T1017" s="269"/>
      <c r="U1017" s="239" t="s">
        <v>519</v>
      </c>
      <c r="V1017" s="492">
        <f t="shared" si="354"/>
        <v>7.6499999999999999E-2</v>
      </c>
      <c r="Z1017" s="214">
        <f t="shared" si="357"/>
        <v>0</v>
      </c>
      <c r="AA1017" s="214">
        <f t="shared" si="358"/>
        <v>0</v>
      </c>
    </row>
    <row r="1018" spans="1:27" ht="13.15" customHeight="1">
      <c r="A1018" s="239" t="s">
        <v>506</v>
      </c>
      <c r="B1018" s="319">
        <v>923.2</v>
      </c>
      <c r="C1018" s="320">
        <v>946</v>
      </c>
      <c r="D1018" s="320">
        <v>1784.7</v>
      </c>
      <c r="E1018" s="316">
        <v>3962</v>
      </c>
      <c r="F1018" s="316">
        <v>5175.8</v>
      </c>
      <c r="G1018" s="321">
        <v>35392.1</v>
      </c>
      <c r="H1018" s="319">
        <v>68081.2</v>
      </c>
      <c r="I1018" s="319">
        <v>7</v>
      </c>
      <c r="J1018" s="230"/>
      <c r="K1018" s="305" t="s">
        <v>506</v>
      </c>
      <c r="L1018" s="239">
        <f t="shared" si="361"/>
        <v>131.8857142857143</v>
      </c>
      <c r="M1018" s="267">
        <f t="shared" si="362"/>
        <v>254.95714285714286</v>
      </c>
      <c r="N1018" s="267">
        <f t="shared" si="363"/>
        <v>1.9331672443674177</v>
      </c>
      <c r="O1018" s="239">
        <f t="shared" si="360"/>
        <v>79.353742295964238</v>
      </c>
      <c r="P1018" s="267">
        <f t="shared" si="364"/>
        <v>72.935406543950464</v>
      </c>
      <c r="Q1018" s="267">
        <f t="shared" si="365"/>
        <v>0.48990804270237337</v>
      </c>
      <c r="R1018" s="267">
        <f t="shared" si="366"/>
        <v>0.62876003237431344</v>
      </c>
      <c r="S1018" s="267">
        <f t="shared" si="367"/>
        <v>2.4813576196085028</v>
      </c>
      <c r="T1018" s="269"/>
      <c r="Z1018" s="214">
        <f t="shared" si="357"/>
        <v>22.799999999999955</v>
      </c>
      <c r="AA1018" s="214">
        <f t="shared" si="358"/>
        <v>1213.8000000000002</v>
      </c>
    </row>
    <row r="1019" spans="1:27" ht="13.15" customHeight="1">
      <c r="A1019" s="239" t="s">
        <v>507</v>
      </c>
      <c r="B1019" s="319"/>
      <c r="C1019" s="320"/>
      <c r="D1019" s="320"/>
      <c r="E1019" s="316"/>
      <c r="F1019" s="316"/>
      <c r="G1019" s="321"/>
      <c r="H1019" s="319"/>
      <c r="I1019" s="319"/>
      <c r="J1019" s="230"/>
      <c r="K1019" s="305" t="s">
        <v>507</v>
      </c>
      <c r="L1019" s="239" t="e">
        <f t="shared" si="361"/>
        <v>#DIV/0!</v>
      </c>
      <c r="M1019" s="267" t="e">
        <f t="shared" si="362"/>
        <v>#DIV/0!</v>
      </c>
      <c r="N1019" s="267" t="e">
        <f t="shared" si="363"/>
        <v>#DIV/0!</v>
      </c>
      <c r="O1019" s="239" t="e">
        <f t="shared" si="360"/>
        <v>#DIV/0!</v>
      </c>
      <c r="P1019" s="267" t="e">
        <f t="shared" si="364"/>
        <v>#DIV/0!</v>
      </c>
      <c r="Q1019" s="267" t="e">
        <f t="shared" si="365"/>
        <v>#DIV/0!</v>
      </c>
      <c r="R1019" s="267" t="e">
        <f t="shared" si="366"/>
        <v>#DIV/0!</v>
      </c>
      <c r="S1019" s="267" t="e">
        <f t="shared" si="367"/>
        <v>#DIV/0!</v>
      </c>
      <c r="T1019" s="269"/>
      <c r="Z1019" s="214">
        <f t="shared" si="357"/>
        <v>0</v>
      </c>
      <c r="AA1019" s="214">
        <f t="shared" si="358"/>
        <v>0</v>
      </c>
    </row>
    <row r="1020" spans="1:27" ht="13.15" customHeight="1">
      <c r="A1020" s="239" t="s">
        <v>156</v>
      </c>
      <c r="B1020" s="319"/>
      <c r="C1020" s="320"/>
      <c r="D1020" s="320"/>
      <c r="E1020" s="316"/>
      <c r="F1020" s="316"/>
      <c r="G1020" s="321"/>
      <c r="H1020" s="319"/>
      <c r="I1020" s="319"/>
      <c r="J1020" s="230"/>
      <c r="K1020" s="305" t="s">
        <v>156</v>
      </c>
      <c r="L1020" s="239" t="e">
        <f t="shared" si="361"/>
        <v>#DIV/0!</v>
      </c>
      <c r="M1020" s="267" t="e">
        <f t="shared" si="362"/>
        <v>#DIV/0!</v>
      </c>
      <c r="N1020" s="267" t="e">
        <f t="shared" si="363"/>
        <v>#DIV/0!</v>
      </c>
      <c r="O1020" s="322" t="e">
        <f t="shared" si="360"/>
        <v>#DIV/0!</v>
      </c>
      <c r="P1020" s="323" t="e">
        <f t="shared" si="364"/>
        <v>#DIV/0!</v>
      </c>
      <c r="Q1020" s="267" t="e">
        <f t="shared" si="365"/>
        <v>#DIV/0!</v>
      </c>
      <c r="R1020" s="267" t="e">
        <f t="shared" si="366"/>
        <v>#DIV/0!</v>
      </c>
      <c r="S1020" s="267" t="e">
        <f t="shared" si="367"/>
        <v>#DIV/0!</v>
      </c>
      <c r="T1020" s="269"/>
      <c r="Z1020" s="214">
        <f t="shared" si="357"/>
        <v>0</v>
      </c>
      <c r="AA1020" s="214">
        <f t="shared" si="358"/>
        <v>0</v>
      </c>
    </row>
    <row r="1021" spans="1:27" ht="13.15" customHeight="1">
      <c r="A1021" s="239" t="s">
        <v>508</v>
      </c>
      <c r="B1021" s="319"/>
      <c r="C1021" s="320"/>
      <c r="D1021" s="320"/>
      <c r="E1021" s="316"/>
      <c r="F1021" s="316"/>
      <c r="G1021" s="321"/>
      <c r="H1021" s="319"/>
      <c r="I1021" s="319"/>
      <c r="J1021" s="230"/>
      <c r="K1021" s="305" t="s">
        <v>508</v>
      </c>
      <c r="L1021" s="239" t="e">
        <f t="shared" si="361"/>
        <v>#DIV/0!</v>
      </c>
      <c r="M1021" s="267" t="e">
        <f t="shared" si="362"/>
        <v>#DIV/0!</v>
      </c>
      <c r="N1021" s="267" t="e">
        <f t="shared" si="363"/>
        <v>#DIV/0!</v>
      </c>
      <c r="O1021" s="239" t="e">
        <f t="shared" si="360"/>
        <v>#DIV/0!</v>
      </c>
      <c r="P1021" s="267" t="e">
        <f t="shared" si="364"/>
        <v>#DIV/0!</v>
      </c>
      <c r="Q1021" s="267" t="e">
        <f t="shared" si="365"/>
        <v>#DIV/0!</v>
      </c>
      <c r="R1021" s="267" t="e">
        <f t="shared" si="366"/>
        <v>#DIV/0!</v>
      </c>
      <c r="S1021" s="267" t="e">
        <f t="shared" si="367"/>
        <v>#DIV/0!</v>
      </c>
      <c r="T1021" s="269"/>
      <c r="Z1021" s="214">
        <f t="shared" si="357"/>
        <v>0</v>
      </c>
      <c r="AA1021" s="214">
        <f t="shared" si="358"/>
        <v>0</v>
      </c>
    </row>
    <row r="1022" spans="1:27" ht="13.15" customHeight="1">
      <c r="A1022" s="239" t="s">
        <v>509</v>
      </c>
      <c r="B1022" s="319">
        <v>1287.9000000000001</v>
      </c>
      <c r="C1022" s="320">
        <v>2731.1</v>
      </c>
      <c r="D1022" s="320">
        <v>2991.2</v>
      </c>
      <c r="E1022" s="316">
        <v>7209.3</v>
      </c>
      <c r="F1022" s="316">
        <v>16043.9</v>
      </c>
      <c r="G1022" s="321">
        <v>56919</v>
      </c>
      <c r="H1022" s="319">
        <v>163778.6</v>
      </c>
      <c r="I1022" s="319">
        <v>50</v>
      </c>
      <c r="J1022" s="230"/>
      <c r="K1022" s="305" t="s">
        <v>509</v>
      </c>
      <c r="L1022" s="239">
        <f t="shared" si="361"/>
        <v>25.758000000000003</v>
      </c>
      <c r="M1022" s="267">
        <f t="shared" si="362"/>
        <v>59.823999999999998</v>
      </c>
      <c r="N1022" s="267">
        <f t="shared" si="363"/>
        <v>2.3225405699200246</v>
      </c>
      <c r="O1022" s="239">
        <f t="shared" si="360"/>
        <v>70.019550783802032</v>
      </c>
      <c r="P1022" s="267">
        <f t="shared" si="364"/>
        <v>50.600310419065735</v>
      </c>
      <c r="Q1022" s="267">
        <f t="shared" si="365"/>
        <v>0.63900881439148582</v>
      </c>
      <c r="R1022" s="267">
        <f t="shared" si="366"/>
        <v>0.60333098281967756</v>
      </c>
      <c r="S1022" s="267">
        <f t="shared" si="367"/>
        <v>2.1931162988547199</v>
      </c>
      <c r="T1022" s="269"/>
      <c r="Z1022" s="214">
        <f t="shared" si="357"/>
        <v>1443.1999999999998</v>
      </c>
      <c r="AA1022" s="214">
        <f t="shared" si="358"/>
        <v>8834.5999999999985</v>
      </c>
    </row>
    <row r="1023" spans="1:27" ht="13.15" customHeight="1">
      <c r="A1023" s="239" t="s">
        <v>510</v>
      </c>
      <c r="B1023" s="319"/>
      <c r="C1023" s="320"/>
      <c r="D1023" s="320"/>
      <c r="E1023" s="316"/>
      <c r="F1023" s="316"/>
      <c r="G1023" s="321"/>
      <c r="H1023" s="319"/>
      <c r="I1023" s="319"/>
      <c r="J1023" s="230"/>
      <c r="K1023" s="305" t="s">
        <v>510</v>
      </c>
      <c r="L1023" s="239" t="e">
        <f t="shared" si="361"/>
        <v>#DIV/0!</v>
      </c>
      <c r="M1023" s="267" t="e">
        <f t="shared" si="362"/>
        <v>#DIV/0!</v>
      </c>
      <c r="N1023" s="267" t="e">
        <f t="shared" si="363"/>
        <v>#DIV/0!</v>
      </c>
      <c r="O1023" s="322" t="e">
        <f t="shared" si="360"/>
        <v>#DIV/0!</v>
      </c>
      <c r="P1023" s="323" t="e">
        <f t="shared" si="364"/>
        <v>#DIV/0!</v>
      </c>
      <c r="Q1023" s="267" t="e">
        <f t="shared" si="365"/>
        <v>#DIV/0!</v>
      </c>
      <c r="R1023" s="267" t="e">
        <f t="shared" si="366"/>
        <v>#DIV/0!</v>
      </c>
      <c r="S1023" s="267" t="e">
        <f t="shared" si="367"/>
        <v>#DIV/0!</v>
      </c>
      <c r="T1023" s="269"/>
      <c r="Z1023" s="214">
        <f t="shared" si="357"/>
        <v>0</v>
      </c>
      <c r="AA1023" s="214">
        <f t="shared" si="358"/>
        <v>0</v>
      </c>
    </row>
    <row r="1024" spans="1:27" ht="13.15" customHeight="1">
      <c r="A1024" s="239" t="s">
        <v>511</v>
      </c>
      <c r="B1024" s="324">
        <v>29.2</v>
      </c>
      <c r="C1024" s="325">
        <v>29.2</v>
      </c>
      <c r="D1024" s="320">
        <v>110.4</v>
      </c>
      <c r="E1024" s="316">
        <v>182.5</v>
      </c>
      <c r="F1024" s="316">
        <v>182.5</v>
      </c>
      <c r="G1024" s="321">
        <v>2112.5</v>
      </c>
      <c r="H1024" s="319">
        <v>2866.3</v>
      </c>
      <c r="I1024" s="319">
        <v>6</v>
      </c>
      <c r="J1024" s="230"/>
      <c r="K1024" s="305" t="s">
        <v>511</v>
      </c>
      <c r="L1024" s="239">
        <f t="shared" si="361"/>
        <v>4.8666666666666663</v>
      </c>
      <c r="M1024" s="267">
        <f t="shared" si="362"/>
        <v>18.400000000000002</v>
      </c>
      <c r="N1024" s="267">
        <f t="shared" si="363"/>
        <v>3.7808219178082196</v>
      </c>
      <c r="O1024" s="239">
        <f t="shared" si="360"/>
        <v>96.622823849562153</v>
      </c>
      <c r="P1024" s="267">
        <f t="shared" si="364"/>
        <v>96.622823849562153</v>
      </c>
      <c r="Q1024" s="267">
        <f t="shared" si="365"/>
        <v>0.7134703196347032</v>
      </c>
      <c r="R1024" s="267">
        <f t="shared" si="366"/>
        <v>0.60669646311671488</v>
      </c>
      <c r="S1024" s="267">
        <f t="shared" si="367"/>
        <v>3.2153729071537289</v>
      </c>
      <c r="T1024" s="269"/>
      <c r="Z1024" s="214">
        <f t="shared" si="357"/>
        <v>0</v>
      </c>
      <c r="AA1024" s="214">
        <f t="shared" si="358"/>
        <v>0</v>
      </c>
    </row>
    <row r="1025" spans="1:27" ht="13.15" customHeight="1">
      <c r="A1025" s="239" t="s">
        <v>512</v>
      </c>
      <c r="B1025" s="324">
        <v>377.9</v>
      </c>
      <c r="C1025" s="325">
        <v>394.3</v>
      </c>
      <c r="D1025" s="320">
        <v>787</v>
      </c>
      <c r="E1025" s="316">
        <v>1885.1</v>
      </c>
      <c r="F1025" s="316">
        <v>1927.1</v>
      </c>
      <c r="G1025" s="321">
        <v>13408.7</v>
      </c>
      <c r="H1025" s="319">
        <v>22763.5</v>
      </c>
      <c r="I1025" s="319">
        <v>42</v>
      </c>
      <c r="J1025" s="230"/>
      <c r="K1025" s="305" t="s">
        <v>512</v>
      </c>
      <c r="L1025" s="239">
        <f t="shared" si="361"/>
        <v>8.9976190476190467</v>
      </c>
      <c r="M1025" s="267">
        <f t="shared" si="362"/>
        <v>18.738095238095237</v>
      </c>
      <c r="N1025" s="267">
        <f t="shared" si="363"/>
        <v>2.0825615242127546</v>
      </c>
      <c r="O1025" s="239">
        <f t="shared" si="360"/>
        <v>89.381070573505838</v>
      </c>
      <c r="P1025" s="267">
        <f t="shared" si="364"/>
        <v>88.71684934214862</v>
      </c>
      <c r="Q1025" s="267">
        <f t="shared" si="365"/>
        <v>0.56944711279952531</v>
      </c>
      <c r="R1025" s="267">
        <f t="shared" si="366"/>
        <v>0.54020146883618425</v>
      </c>
      <c r="S1025" s="267">
        <f t="shared" si="367"/>
        <v>1.9758309314566278</v>
      </c>
      <c r="T1025" s="269"/>
      <c r="Z1025" s="214">
        <f t="shared" si="357"/>
        <v>16.400000000000034</v>
      </c>
      <c r="AA1025" s="214">
        <f t="shared" si="358"/>
        <v>42</v>
      </c>
    </row>
    <row r="1026" spans="1:27" ht="13.15" customHeight="1">
      <c r="A1026" s="239" t="s">
        <v>513</v>
      </c>
      <c r="B1026" s="324"/>
      <c r="C1026" s="325"/>
      <c r="D1026" s="320"/>
      <c r="E1026" s="316"/>
      <c r="F1026" s="316"/>
      <c r="G1026" s="321"/>
      <c r="H1026" s="319"/>
      <c r="I1026" s="319"/>
      <c r="J1026" s="230"/>
      <c r="K1026" s="305" t="s">
        <v>513</v>
      </c>
      <c r="L1026" s="239" t="e">
        <f t="shared" si="361"/>
        <v>#DIV/0!</v>
      </c>
      <c r="M1026" s="267" t="e">
        <f t="shared" si="362"/>
        <v>#DIV/0!</v>
      </c>
      <c r="N1026" s="267" t="e">
        <f t="shared" si="363"/>
        <v>#DIV/0!</v>
      </c>
      <c r="O1026" s="239" t="e">
        <f t="shared" si="360"/>
        <v>#DIV/0!</v>
      </c>
      <c r="P1026" s="267" t="e">
        <f t="shared" si="364"/>
        <v>#DIV/0!</v>
      </c>
      <c r="Q1026" s="267" t="e">
        <f t="shared" si="365"/>
        <v>#DIV/0!</v>
      </c>
      <c r="R1026" s="267" t="e">
        <f t="shared" si="366"/>
        <v>#DIV/0!</v>
      </c>
      <c r="S1026" s="267" t="e">
        <f t="shared" si="367"/>
        <v>#DIV/0!</v>
      </c>
      <c r="T1026" s="269"/>
      <c r="Z1026" s="214">
        <f t="shared" si="357"/>
        <v>0</v>
      </c>
      <c r="AA1026" s="214">
        <f t="shared" si="358"/>
        <v>0</v>
      </c>
    </row>
    <row r="1027" spans="1:27" ht="13.15" customHeight="1">
      <c r="A1027" s="239" t="s">
        <v>514</v>
      </c>
      <c r="B1027" s="324">
        <v>465</v>
      </c>
      <c r="C1027" s="325">
        <v>600.29999999999995</v>
      </c>
      <c r="D1027" s="320">
        <v>772.1</v>
      </c>
      <c r="E1027" s="316">
        <v>3276.6</v>
      </c>
      <c r="F1027" s="316">
        <v>3701.6</v>
      </c>
      <c r="G1027" s="321">
        <v>15926.8</v>
      </c>
      <c r="H1027" s="319">
        <v>38045.699999999997</v>
      </c>
      <c r="I1027" s="319">
        <v>34</v>
      </c>
      <c r="J1027" s="230"/>
      <c r="K1027" s="305" t="s">
        <v>514</v>
      </c>
      <c r="L1027" s="239">
        <f t="shared" si="361"/>
        <v>13.676470588235293</v>
      </c>
      <c r="M1027" s="267">
        <f t="shared" si="362"/>
        <v>22.708823529411767</v>
      </c>
      <c r="N1027" s="267">
        <f t="shared" si="363"/>
        <v>1.6604301075268817</v>
      </c>
      <c r="O1027" s="239">
        <f t="shared" si="360"/>
        <v>76.88795317210618</v>
      </c>
      <c r="P1027" s="267">
        <f t="shared" si="364"/>
        <v>72.866473740790681</v>
      </c>
      <c r="Q1027" s="267">
        <f t="shared" si="365"/>
        <v>0.80438945352776547</v>
      </c>
      <c r="R1027" s="267">
        <f t="shared" si="366"/>
        <v>0.65403169160931829</v>
      </c>
      <c r="S1027" s="267">
        <f t="shared" si="367"/>
        <v>1.3502139751910855</v>
      </c>
      <c r="T1027" s="269"/>
      <c r="Z1027" s="214">
        <f t="shared" si="357"/>
        <v>135.29999999999995</v>
      </c>
      <c r="AA1027" s="214">
        <f t="shared" si="358"/>
        <v>425</v>
      </c>
    </row>
    <row r="1028" spans="1:27" ht="13.15" customHeight="1">
      <c r="A1028" s="239" t="s">
        <v>515</v>
      </c>
      <c r="B1028" s="324">
        <v>28.5</v>
      </c>
      <c r="C1028" s="325">
        <v>94.7</v>
      </c>
      <c r="D1028" s="320">
        <v>37.700000000000003</v>
      </c>
      <c r="E1028" s="316">
        <v>173.6</v>
      </c>
      <c r="F1028" s="316">
        <v>435.4</v>
      </c>
      <c r="G1028" s="321">
        <v>807.9</v>
      </c>
      <c r="H1028" s="319">
        <v>3919.9</v>
      </c>
      <c r="I1028" s="319">
        <v>12</v>
      </c>
      <c r="J1028" s="230"/>
      <c r="K1028" s="305" t="s">
        <v>515</v>
      </c>
      <c r="L1028" s="239">
        <f t="shared" si="361"/>
        <v>2.375</v>
      </c>
      <c r="M1028" s="267">
        <f t="shared" si="362"/>
        <v>3.1416666666666671</v>
      </c>
      <c r="N1028" s="267">
        <f t="shared" si="363"/>
        <v>1.3228070175438598</v>
      </c>
      <c r="O1028" s="239">
        <f t="shared" si="360"/>
        <v>60.596954003928673</v>
      </c>
      <c r="P1028" s="267">
        <f t="shared" si="364"/>
        <v>36.553483507232329</v>
      </c>
      <c r="Q1028" s="267">
        <f t="shared" si="365"/>
        <v>0.6953456701113514</v>
      </c>
      <c r="R1028" s="267">
        <f t="shared" si="366"/>
        <v>0.6794540267730621</v>
      </c>
      <c r="S1028" s="267">
        <f t="shared" si="367"/>
        <v>1.2927227342549923</v>
      </c>
      <c r="T1028" s="269"/>
      <c r="Z1028" s="214">
        <f t="shared" si="357"/>
        <v>66.2</v>
      </c>
      <c r="AA1028" s="214">
        <f t="shared" si="358"/>
        <v>261.79999999999995</v>
      </c>
    </row>
    <row r="1029" spans="1:27" ht="13.15" customHeight="1">
      <c r="A1029" s="239" t="s">
        <v>516</v>
      </c>
      <c r="B1029" s="319">
        <v>27.1</v>
      </c>
      <c r="C1029" s="320">
        <v>30.7</v>
      </c>
      <c r="D1029" s="319">
        <v>58.5</v>
      </c>
      <c r="E1029" s="316">
        <v>155.4</v>
      </c>
      <c r="F1029" s="316">
        <v>173.8</v>
      </c>
      <c r="G1029" s="321">
        <v>1213.8</v>
      </c>
      <c r="H1029" s="319">
        <v>2336.8000000000002</v>
      </c>
      <c r="I1029" s="319">
        <v>6</v>
      </c>
      <c r="J1029" s="244"/>
      <c r="K1029" s="239" t="s">
        <v>516</v>
      </c>
      <c r="L1029" s="239">
        <f t="shared" si="361"/>
        <v>4.5166666666666666</v>
      </c>
      <c r="M1029" s="267">
        <f t="shared" si="362"/>
        <v>9.75</v>
      </c>
      <c r="N1029" s="267">
        <f t="shared" si="363"/>
        <v>2.158671586715867</v>
      </c>
      <c r="O1029" s="239">
        <f t="shared" si="360"/>
        <v>78.717904827113998</v>
      </c>
      <c r="P1029" s="267">
        <f t="shared" si="364"/>
        <v>75.883259157822664</v>
      </c>
      <c r="Q1029" s="267">
        <f t="shared" si="365"/>
        <v>0.65460243643532334</v>
      </c>
      <c r="R1029" s="267">
        <f t="shared" si="366"/>
        <v>0.6578624316325492</v>
      </c>
      <c r="S1029" s="267">
        <f t="shared" si="367"/>
        <v>2.1696696696696693</v>
      </c>
      <c r="Z1029" s="214">
        <f t="shared" si="357"/>
        <v>3.5999999999999979</v>
      </c>
      <c r="AA1029" s="214">
        <f t="shared" si="358"/>
        <v>18.400000000000006</v>
      </c>
    </row>
    <row r="1030" spans="1:27" ht="13.15" customHeight="1">
      <c r="A1030" s="239" t="s">
        <v>517</v>
      </c>
      <c r="B1030" s="319">
        <v>8.8000000000000007</v>
      </c>
      <c r="C1030" s="320">
        <v>26.9</v>
      </c>
      <c r="D1030" s="320">
        <v>7</v>
      </c>
      <c r="E1030" s="316">
        <v>41.1</v>
      </c>
      <c r="F1030" s="316">
        <v>144.30000000000001</v>
      </c>
      <c r="G1030" s="321">
        <v>121.6</v>
      </c>
      <c r="H1030" s="319">
        <v>1401.3</v>
      </c>
      <c r="I1030" s="319">
        <v>8</v>
      </c>
      <c r="K1030" s="239" t="s">
        <v>517</v>
      </c>
      <c r="L1030" s="239">
        <f t="shared" si="361"/>
        <v>1.1000000000000001</v>
      </c>
      <c r="M1030" s="267">
        <f t="shared" si="362"/>
        <v>0.875</v>
      </c>
      <c r="N1030" s="267">
        <f t="shared" si="363"/>
        <v>0.79545454545454541</v>
      </c>
      <c r="O1030" s="239">
        <f t="shared" si="360"/>
        <v>45.748947405980168</v>
      </c>
      <c r="P1030" s="267">
        <f t="shared" si="364"/>
        <v>19.236423321201741</v>
      </c>
      <c r="Q1030" s="267">
        <f t="shared" si="365"/>
        <v>0.53315691158156919</v>
      </c>
      <c r="R1030" s="267">
        <f t="shared" si="366"/>
        <v>0.55078151185901436</v>
      </c>
      <c r="S1030" s="267">
        <f t="shared" si="367"/>
        <v>0.82184374155177065</v>
      </c>
      <c r="Z1030" s="214">
        <f t="shared" si="357"/>
        <v>18.099999999999998</v>
      </c>
      <c r="AA1030" s="214">
        <f t="shared" si="358"/>
        <v>103.20000000000002</v>
      </c>
    </row>
    <row r="1031" spans="1:27" ht="13.15" customHeight="1">
      <c r="A1031" s="239" t="s">
        <v>518</v>
      </c>
      <c r="B1031" s="319">
        <v>387.4</v>
      </c>
      <c r="C1031" s="320">
        <v>469.3</v>
      </c>
      <c r="D1031" s="320">
        <v>575.79999999999995</v>
      </c>
      <c r="E1031" s="316">
        <v>1773.3</v>
      </c>
      <c r="F1031" s="316">
        <v>2053.4</v>
      </c>
      <c r="G1031" s="321">
        <v>9975.9</v>
      </c>
      <c r="H1031" s="319">
        <v>24727.9</v>
      </c>
      <c r="I1031" s="319">
        <v>635</v>
      </c>
      <c r="K1031" s="239" t="s">
        <v>518</v>
      </c>
      <c r="L1031" s="239">
        <f t="shared" si="361"/>
        <v>0.61007874015748031</v>
      </c>
      <c r="M1031" s="267">
        <f t="shared" si="362"/>
        <v>0.90677165354330702</v>
      </c>
      <c r="N1031" s="267">
        <f t="shared" si="363"/>
        <v>1.4863190500774393</v>
      </c>
      <c r="O1031" s="239">
        <f t="shared" si="360"/>
        <v>70.237019722661444</v>
      </c>
      <c r="P1031" s="267">
        <f t="shared" si="364"/>
        <v>66.159196696848497</v>
      </c>
      <c r="Q1031" s="267">
        <f t="shared" si="365"/>
        <v>0.5225387373498066</v>
      </c>
      <c r="R1031" s="267">
        <f t="shared" si="366"/>
        <v>0.54931852521378144</v>
      </c>
      <c r="S1031" s="267">
        <f t="shared" si="367"/>
        <v>1.5626703509464464</v>
      </c>
      <c r="Z1031" s="214">
        <f t="shared" si="357"/>
        <v>81.900000000000034</v>
      </c>
      <c r="AA1031" s="214">
        <f t="shared" si="358"/>
        <v>280.10000000000014</v>
      </c>
    </row>
    <row r="1032" spans="1:27" ht="13.15" customHeight="1" thickBot="1">
      <c r="A1032" s="239" t="s">
        <v>539</v>
      </c>
      <c r="B1032" s="212">
        <v>76.5</v>
      </c>
      <c r="C1032" s="212">
        <v>352.3</v>
      </c>
      <c r="D1032" s="212">
        <v>213.3</v>
      </c>
      <c r="E1032" s="212">
        <v>492.7</v>
      </c>
      <c r="F1032" s="212">
        <v>1904.2</v>
      </c>
      <c r="G1032" s="212">
        <v>4531.2</v>
      </c>
      <c r="H1032" s="212">
        <v>15708.6</v>
      </c>
      <c r="I1032" s="426">
        <v>10</v>
      </c>
      <c r="K1032" s="239" t="s">
        <v>519</v>
      </c>
      <c r="L1032" s="239"/>
      <c r="M1032" s="267"/>
      <c r="N1032" s="267"/>
      <c r="O1032" s="239"/>
      <c r="P1032" s="267"/>
      <c r="Q1032" s="267"/>
      <c r="R1032" s="267"/>
      <c r="S1032" s="267"/>
      <c r="Z1032" s="214">
        <f t="shared" si="357"/>
        <v>275.8</v>
      </c>
      <c r="AA1032" s="214">
        <f t="shared" si="358"/>
        <v>1411.5</v>
      </c>
    </row>
    <row r="1033" spans="1:27" ht="13.15" customHeight="1">
      <c r="A1033" s="282" t="s">
        <v>169</v>
      </c>
      <c r="B1033" s="326">
        <f>(B1012+B1014)</f>
        <v>6260.4000000000005</v>
      </c>
      <c r="C1033" s="326">
        <f t="shared" ref="C1033:I1033" si="368">(C1012+C1014)</f>
        <v>10492</v>
      </c>
      <c r="D1033" s="326">
        <f t="shared" si="368"/>
        <v>7736.2</v>
      </c>
      <c r="E1033" s="326">
        <f t="shared" si="368"/>
        <v>20876.699999999997</v>
      </c>
      <c r="F1033" s="326">
        <f t="shared" si="368"/>
        <v>45007.1</v>
      </c>
      <c r="G1033" s="327">
        <f t="shared" si="368"/>
        <v>148013.90000000002</v>
      </c>
      <c r="H1033" s="326">
        <f t="shared" si="368"/>
        <v>446473.5</v>
      </c>
      <c r="I1033" s="326">
        <f t="shared" si="368"/>
        <v>856</v>
      </c>
      <c r="K1033" s="328" t="s">
        <v>169</v>
      </c>
      <c r="L1033" s="282">
        <f>B1033/I1033</f>
        <v>7.3135514018691596</v>
      </c>
      <c r="M1033" s="281">
        <f>D1033/I1033</f>
        <v>9.0376168224299072</v>
      </c>
      <c r="N1033" s="281">
        <f>D1033/B1033</f>
        <v>1.2357357357357357</v>
      </c>
      <c r="O1033" s="282">
        <f>(F1033*3.6+G1033)*100/H1033</f>
        <v>69.441850412174531</v>
      </c>
      <c r="P1033" s="282">
        <f>(E1033*3.6+G1033)*100/H1033</f>
        <v>49.985053984167031</v>
      </c>
      <c r="Q1033" s="281">
        <f>E1033/(B1033*8760)*1000</f>
        <v>0.38067614393758364</v>
      </c>
      <c r="R1033" s="281">
        <f>G1033/(D1033*8761)*1000/3.6</f>
        <v>0.60662266414185695</v>
      </c>
      <c r="S1033" s="281">
        <f>G1033/(E1033*3.6)</f>
        <v>1.9694191238185264</v>
      </c>
      <c r="Z1033" s="214">
        <f t="shared" si="357"/>
        <v>4231.5999999999995</v>
      </c>
      <c r="AA1033" s="214">
        <f t="shared" si="358"/>
        <v>24130.400000000001</v>
      </c>
    </row>
    <row r="1034" spans="1:27" ht="13.15" customHeight="1">
      <c r="A1034" s="214" t="s">
        <v>540</v>
      </c>
    </row>
    <row r="1035" spans="1:27" ht="13.15" customHeight="1">
      <c r="A1035" s="251" t="s">
        <v>520</v>
      </c>
      <c r="B1035" s="227" t="s">
        <v>476</v>
      </c>
      <c r="C1035" s="228"/>
      <c r="D1035" s="286"/>
      <c r="E1035" s="227" t="s">
        <v>521</v>
      </c>
      <c r="F1035" s="228"/>
      <c r="G1035" s="286"/>
      <c r="H1035" s="200" t="s">
        <v>138</v>
      </c>
      <c r="I1035" s="200" t="s">
        <v>478</v>
      </c>
    </row>
    <row r="1036" spans="1:27" ht="13.15" customHeight="1">
      <c r="A1036" s="239"/>
      <c r="B1036" s="243" t="s">
        <v>88</v>
      </c>
      <c r="C1036" s="243"/>
      <c r="D1036" s="241" t="s">
        <v>34</v>
      </c>
      <c r="E1036" s="243" t="s">
        <v>88</v>
      </c>
      <c r="F1036" s="243"/>
      <c r="G1036" s="241" t="s">
        <v>34</v>
      </c>
      <c r="H1036" s="241" t="s">
        <v>170</v>
      </c>
      <c r="I1036" s="241" t="s">
        <v>483</v>
      </c>
    </row>
    <row r="1037" spans="1:27" ht="13.15" customHeight="1">
      <c r="A1037" s="239"/>
      <c r="B1037" s="252" t="s">
        <v>0</v>
      </c>
      <c r="C1037" s="252" t="s">
        <v>489</v>
      </c>
      <c r="D1037" s="252" t="s">
        <v>490</v>
      </c>
      <c r="E1037" s="252" t="s">
        <v>491</v>
      </c>
      <c r="F1037" s="252" t="s">
        <v>489</v>
      </c>
      <c r="G1037" s="252" t="s">
        <v>490</v>
      </c>
      <c r="H1037" s="248"/>
      <c r="I1037" s="241" t="s">
        <v>492</v>
      </c>
    </row>
    <row r="1038" spans="1:27" ht="13.15" customHeight="1">
      <c r="A1038" s="239"/>
      <c r="B1038" s="257" t="s">
        <v>496</v>
      </c>
      <c r="C1038" s="256" t="s">
        <v>496</v>
      </c>
      <c r="D1038" s="252" t="s">
        <v>496</v>
      </c>
      <c r="E1038" s="329" t="s">
        <v>473</v>
      </c>
      <c r="F1038" s="329" t="s">
        <v>473</v>
      </c>
      <c r="G1038" s="252" t="s">
        <v>496</v>
      </c>
      <c r="H1038" s="257" t="s">
        <v>497</v>
      </c>
      <c r="I1038" s="257" t="s">
        <v>498</v>
      </c>
    </row>
    <row r="1039" spans="1:27" ht="13.15" customHeight="1">
      <c r="A1039" s="251" t="s">
        <v>522</v>
      </c>
      <c r="B1039" s="389"/>
      <c r="C1039" s="389"/>
      <c r="D1039" s="200"/>
      <c r="E1039" s="389"/>
      <c r="F1039" s="389"/>
      <c r="G1039" s="200"/>
      <c r="H1039" s="200"/>
      <c r="I1039" s="200"/>
    </row>
    <row r="1040" spans="1:27" ht="13.15" customHeight="1">
      <c r="A1040" s="239" t="s">
        <v>523</v>
      </c>
      <c r="B1040" s="216">
        <v>84.7</v>
      </c>
      <c r="C1040" s="204">
        <v>306.2</v>
      </c>
      <c r="D1040" s="204">
        <v>393.9</v>
      </c>
      <c r="E1040" s="216">
        <v>241.65452999999999</v>
      </c>
      <c r="F1040" s="204">
        <v>443.55180999999999</v>
      </c>
      <c r="G1040" s="204">
        <v>5207.8222582486205</v>
      </c>
      <c r="H1040" s="202">
        <v>10706.00148955123</v>
      </c>
      <c r="I1040" s="216">
        <v>16</v>
      </c>
    </row>
    <row r="1041" spans="1:22" ht="13.15" customHeight="1">
      <c r="A1041" s="239" t="s">
        <v>524</v>
      </c>
      <c r="B1041" s="216">
        <v>12.5</v>
      </c>
      <c r="C1041" s="204">
        <v>13</v>
      </c>
      <c r="D1041" s="204">
        <v>40.299999999999997</v>
      </c>
      <c r="E1041" s="216">
        <v>41.797849999999997</v>
      </c>
      <c r="F1041" s="204">
        <v>43.770139999999998</v>
      </c>
      <c r="G1041" s="204">
        <v>651.81162299388109</v>
      </c>
      <c r="H1041" s="202">
        <v>1012.3605252331199</v>
      </c>
      <c r="I1041" s="216">
        <v>11</v>
      </c>
    </row>
    <row r="1042" spans="1:22" ht="13.15" customHeight="1">
      <c r="A1042" s="239" t="s">
        <v>525</v>
      </c>
      <c r="B1042" s="216">
        <v>680.5</v>
      </c>
      <c r="C1042" s="204">
        <v>2066.8000000000002</v>
      </c>
      <c r="D1042" s="204">
        <v>1272.4000000000001</v>
      </c>
      <c r="E1042" s="216">
        <v>3859.3164999999999</v>
      </c>
      <c r="F1042" s="204">
        <v>12346.583859999999</v>
      </c>
      <c r="G1042" s="204">
        <v>24269.558634303012</v>
      </c>
      <c r="H1042" s="202">
        <v>105049.39101489109</v>
      </c>
      <c r="I1042" s="216">
        <v>696</v>
      </c>
    </row>
    <row r="1043" spans="1:22" ht="13.15" customHeight="1">
      <c r="A1043" s="239" t="s">
        <v>267</v>
      </c>
      <c r="B1043" s="216"/>
      <c r="C1043" s="204"/>
      <c r="D1043" s="204"/>
      <c r="E1043" s="216"/>
      <c r="F1043" s="204"/>
      <c r="G1043" s="204"/>
      <c r="H1043" s="202"/>
      <c r="I1043" s="216"/>
    </row>
    <row r="1044" spans="1:22" ht="13.15" customHeight="1">
      <c r="A1044" s="312" t="s">
        <v>526</v>
      </c>
      <c r="B1044" s="391"/>
      <c r="C1044" s="391"/>
      <c r="D1044" s="205"/>
      <c r="E1044" s="391"/>
      <c r="F1044" s="391"/>
      <c r="G1044" s="205"/>
      <c r="H1044" s="205"/>
      <c r="I1044" s="391"/>
    </row>
    <row r="1045" spans="1:22" ht="13.15" customHeight="1">
      <c r="A1045" s="239" t="s">
        <v>527</v>
      </c>
      <c r="B1045" s="216">
        <v>2424.4</v>
      </c>
      <c r="C1045" s="204">
        <v>2424.4</v>
      </c>
      <c r="D1045" s="204">
        <v>134.69999999999999</v>
      </c>
      <c r="E1045" s="216">
        <v>90.185000000000002</v>
      </c>
      <c r="F1045" s="204">
        <v>90.185000000000002</v>
      </c>
      <c r="G1045" s="204">
        <v>1792.4029601429447</v>
      </c>
      <c r="H1045" s="202">
        <v>2314.0149850643975</v>
      </c>
      <c r="I1045" s="216">
        <v>4</v>
      </c>
    </row>
    <row r="1046" spans="1:22" ht="13.15" customHeight="1">
      <c r="A1046" s="239" t="s">
        <v>528</v>
      </c>
      <c r="B1046" s="204">
        <v>2778.6</v>
      </c>
      <c r="C1046" s="204">
        <v>5113.2</v>
      </c>
      <c r="D1046" s="204">
        <v>5101</v>
      </c>
      <c r="E1046" s="204">
        <v>14685.624240000001</v>
      </c>
      <c r="F1046" s="204">
        <v>29399.753219999999</v>
      </c>
      <c r="G1046" s="204">
        <v>104030.43158206873</v>
      </c>
      <c r="H1046" s="202">
        <v>291907.81138486677</v>
      </c>
      <c r="I1046" s="204">
        <v>109</v>
      </c>
    </row>
    <row r="1047" spans="1:22" ht="13.15" customHeight="1">
      <c r="A1047" s="239" t="s">
        <v>529</v>
      </c>
      <c r="B1047" s="204">
        <v>189.5</v>
      </c>
      <c r="C1047" s="204">
        <v>464.9</v>
      </c>
      <c r="D1047" s="204">
        <v>517.1</v>
      </c>
      <c r="E1047" s="204">
        <v>1578.0063799999998</v>
      </c>
      <c r="F1047" s="204">
        <v>2154.8992400000002</v>
      </c>
      <c r="G1047" s="204">
        <v>7071.9791928322675</v>
      </c>
      <c r="H1047" s="202">
        <v>25707.165862055474</v>
      </c>
      <c r="I1047" s="204">
        <v>7</v>
      </c>
    </row>
    <row r="1048" spans="1:22" ht="13.15" customHeight="1">
      <c r="A1048" s="239" t="s">
        <v>530</v>
      </c>
      <c r="B1048" s="204">
        <v>90</v>
      </c>
      <c r="C1048" s="204">
        <v>103.8</v>
      </c>
      <c r="D1048" s="204">
        <v>277</v>
      </c>
      <c r="E1048" s="204">
        <v>380.09550000000002</v>
      </c>
      <c r="F1048" s="204">
        <v>528.33693999999991</v>
      </c>
      <c r="G1048" s="204">
        <v>4989.6709034943324</v>
      </c>
      <c r="H1048" s="202">
        <v>9776.8768128000138</v>
      </c>
      <c r="I1048" s="204">
        <v>13</v>
      </c>
    </row>
    <row r="1049" spans="1:22" ht="13.15" customHeight="1">
      <c r="A1049" s="282" t="s">
        <v>169</v>
      </c>
      <c r="B1049" s="360">
        <f t="shared" ref="B1049:I1049" si="369">SUM(B1040:B1048)</f>
        <v>6260.2000000000007</v>
      </c>
      <c r="C1049" s="360">
        <f t="shared" si="369"/>
        <v>10492.299999999997</v>
      </c>
      <c r="D1049" s="360">
        <f t="shared" si="369"/>
        <v>7736.4000000000005</v>
      </c>
      <c r="E1049" s="360">
        <f t="shared" si="369"/>
        <v>20876.68</v>
      </c>
      <c r="F1049" s="360">
        <f t="shared" si="369"/>
        <v>45007.080209999993</v>
      </c>
      <c r="G1049" s="360">
        <f t="shared" si="369"/>
        <v>148013.67715408379</v>
      </c>
      <c r="H1049" s="360">
        <f t="shared" si="369"/>
        <v>446473.62207446212</v>
      </c>
      <c r="I1049" s="360">
        <f t="shared" si="369"/>
        <v>856</v>
      </c>
    </row>
    <row r="1050" spans="1:22" ht="13.15" customHeight="1"/>
    <row r="1051" spans="1:22" ht="13.15" customHeight="1"/>
    <row r="1052" spans="1:22" ht="13.15" customHeight="1">
      <c r="A1052" s="221" t="s">
        <v>38</v>
      </c>
      <c r="D1052" s="220"/>
      <c r="I1052" s="221">
        <v>2002</v>
      </c>
      <c r="K1052" s="221" t="str">
        <f>+A1052</f>
        <v>EU-15</v>
      </c>
      <c r="N1052" s="220"/>
      <c r="S1052" s="221">
        <v>2002</v>
      </c>
    </row>
    <row r="1053" spans="1:22" ht="13.15" customHeight="1" thickBot="1">
      <c r="B1053" s="223"/>
      <c r="C1053" s="223"/>
      <c r="D1053" s="223"/>
    </row>
    <row r="1054" spans="1:22" ht="13.15" customHeight="1">
      <c r="A1054" s="224" t="s">
        <v>475</v>
      </c>
      <c r="B1054" s="225" t="s">
        <v>476</v>
      </c>
      <c r="C1054" s="225"/>
      <c r="D1054" s="226"/>
      <c r="E1054" s="227" t="s">
        <v>477</v>
      </c>
      <c r="F1054" s="228"/>
      <c r="G1054" s="229"/>
      <c r="H1054" s="200" t="s">
        <v>138</v>
      </c>
      <c r="I1054" s="200" t="s">
        <v>478</v>
      </c>
      <c r="J1054" s="230"/>
      <c r="K1054" s="231" t="s">
        <v>475</v>
      </c>
      <c r="L1054" s="232" t="s">
        <v>479</v>
      </c>
      <c r="M1054" s="233"/>
      <c r="N1054" s="234"/>
      <c r="O1054" s="235" t="s">
        <v>480</v>
      </c>
      <c r="P1054" s="233"/>
      <c r="Q1054" s="233"/>
      <c r="R1054" s="236"/>
      <c r="S1054" s="237"/>
      <c r="T1054" s="238"/>
    </row>
    <row r="1055" spans="1:22" ht="13.15" customHeight="1">
      <c r="A1055" s="239"/>
      <c r="B1055" s="240" t="s">
        <v>481</v>
      </c>
      <c r="C1055" s="240"/>
      <c r="D1055" s="241" t="s">
        <v>34</v>
      </c>
      <c r="E1055" s="242" t="s">
        <v>482</v>
      </c>
      <c r="F1055" s="243"/>
      <c r="G1055" s="244" t="s">
        <v>34</v>
      </c>
      <c r="H1055" s="241" t="s">
        <v>170</v>
      </c>
      <c r="I1055" s="241" t="s">
        <v>483</v>
      </c>
      <c r="J1055" s="230"/>
      <c r="K1055" s="245"/>
      <c r="L1055" s="246" t="s">
        <v>484</v>
      </c>
      <c r="M1055" s="247"/>
      <c r="N1055" s="248" t="s">
        <v>485</v>
      </c>
      <c r="O1055" s="248" t="s">
        <v>486</v>
      </c>
      <c r="P1055" s="248" t="s">
        <v>486</v>
      </c>
      <c r="Q1055" s="247" t="s">
        <v>487</v>
      </c>
      <c r="R1055" s="249"/>
      <c r="S1055" s="250" t="s">
        <v>485</v>
      </c>
      <c r="T1055" s="230"/>
      <c r="U1055" s="214" t="str">
        <f>A1052</f>
        <v>EU-15</v>
      </c>
    </row>
    <row r="1056" spans="1:22" ht="13.15" customHeight="1">
      <c r="A1056" s="251" t="s">
        <v>488</v>
      </c>
      <c r="B1056" s="252" t="s">
        <v>0</v>
      </c>
      <c r="C1056" s="252" t="s">
        <v>489</v>
      </c>
      <c r="D1056" s="252" t="s">
        <v>490</v>
      </c>
      <c r="E1056" s="252" t="s">
        <v>491</v>
      </c>
      <c r="F1056" s="252" t="s">
        <v>489</v>
      </c>
      <c r="G1056" s="230" t="s">
        <v>490</v>
      </c>
      <c r="H1056" s="248"/>
      <c r="I1056" s="241" t="s">
        <v>492</v>
      </c>
      <c r="J1056" s="230"/>
      <c r="K1056" s="253" t="s">
        <v>488</v>
      </c>
      <c r="L1056" s="254" t="s">
        <v>88</v>
      </c>
      <c r="M1056" s="252" t="s">
        <v>34</v>
      </c>
      <c r="N1056" s="252" t="s">
        <v>493</v>
      </c>
      <c r="O1056" s="248" t="s">
        <v>494</v>
      </c>
      <c r="P1056" s="248" t="s">
        <v>495</v>
      </c>
      <c r="Q1056" s="230" t="s">
        <v>88</v>
      </c>
      <c r="R1056" s="248" t="s">
        <v>34</v>
      </c>
      <c r="S1056" s="255" t="s">
        <v>88</v>
      </c>
      <c r="T1056" s="230"/>
      <c r="U1056" s="214" t="s">
        <v>547</v>
      </c>
      <c r="V1056" s="214">
        <f>G1084/1000</f>
        <v>1402.0110148286058</v>
      </c>
    </row>
    <row r="1057" spans="1:27" ht="13.15" customHeight="1">
      <c r="A1057" s="239"/>
      <c r="B1057" s="252" t="s">
        <v>496</v>
      </c>
      <c r="C1057" s="252" t="s">
        <v>496</v>
      </c>
      <c r="D1057" s="252" t="s">
        <v>496</v>
      </c>
      <c r="E1057" s="256" t="s">
        <v>473</v>
      </c>
      <c r="F1057" s="256" t="s">
        <v>473</v>
      </c>
      <c r="G1057" s="230" t="s">
        <v>451</v>
      </c>
      <c r="H1057" s="257" t="s">
        <v>497</v>
      </c>
      <c r="I1057" s="257" t="s">
        <v>498</v>
      </c>
      <c r="J1057" s="230"/>
      <c r="K1057" s="245"/>
      <c r="L1057" s="258" t="s">
        <v>496</v>
      </c>
      <c r="M1057" s="256" t="s">
        <v>496</v>
      </c>
      <c r="N1057" s="256"/>
      <c r="O1057" s="257" t="s">
        <v>79</v>
      </c>
      <c r="P1057" s="257" t="s">
        <v>79</v>
      </c>
      <c r="Q1057" s="259"/>
      <c r="R1057" s="257"/>
      <c r="S1057" s="260"/>
      <c r="T1057" s="230"/>
      <c r="U1057" s="214" t="s">
        <v>548</v>
      </c>
      <c r="V1057" s="214">
        <f>G1090/1000</f>
        <v>15.881704191199997</v>
      </c>
    </row>
    <row r="1058" spans="1:27" ht="13.15" customHeight="1">
      <c r="A1058" s="261" t="s">
        <v>262</v>
      </c>
      <c r="B1058" s="365">
        <f>B8+B78+B148+B218+B288+B358+B428+B498+B568+B638+B708+B778+B848+B918+B988</f>
        <v>5750.48</v>
      </c>
      <c r="C1058" s="365">
        <f t="shared" ref="B1058:I1063" si="370">C8+C78+C148+C218+C288+C358+C428+C498+C568+C638+C708+C778+C848+C918+C988</f>
        <v>5750.1799999999994</v>
      </c>
      <c r="D1058" s="365">
        <f t="shared" si="370"/>
        <v>8994.7303961588841</v>
      </c>
      <c r="E1058" s="320">
        <f>E8+E78+E148+E218+E288+E358+E428+E498+E568+E638+E708+E778+E848+E918+E988</f>
        <v>27952.396187134505</v>
      </c>
      <c r="F1058" s="320">
        <f>F8+F78+F148+F218+F288+F358+F428+F498+F568+F638+F708+F778+F848+F918+F988</f>
        <v>27951.996187134511</v>
      </c>
      <c r="G1058" s="368">
        <f t="shared" si="370"/>
        <v>134564.00144359958</v>
      </c>
      <c r="H1058" s="369">
        <f t="shared" si="370"/>
        <v>267173.85944246181</v>
      </c>
      <c r="I1058" s="320">
        <f t="shared" si="370"/>
        <v>116</v>
      </c>
      <c r="J1058" s="230"/>
      <c r="K1058" s="265" t="s">
        <v>262</v>
      </c>
      <c r="L1058" s="266">
        <f>C1058/I1058</f>
        <v>49.570517241379306</v>
      </c>
      <c r="M1058" s="267">
        <f>D1058/I1058</f>
        <v>77.540779277231763</v>
      </c>
      <c r="N1058" s="267">
        <f>D1058/C1058</f>
        <v>1.5642519705746403</v>
      </c>
      <c r="O1058" s="239">
        <f>(F1058*3.6+G1058)*100/H1058</f>
        <v>88.0292661146119</v>
      </c>
      <c r="P1058" s="239">
        <f>(F1058*3.6+G1058)*100/H1058</f>
        <v>88.0292661146119</v>
      </c>
      <c r="Q1058" s="267">
        <f>F1058/(C1058*8760)*1000</f>
        <v>0.55491604517598736</v>
      </c>
      <c r="R1058" s="267">
        <f>G1058/(D1058*8761)*1000/3.6</f>
        <v>0.47433433376099537</v>
      </c>
      <c r="S1058" s="268">
        <f>G1058/(F1058*3.6)</f>
        <v>1.3372529475048076</v>
      </c>
      <c r="T1058" s="269"/>
      <c r="U1058" s="214" t="s">
        <v>549</v>
      </c>
      <c r="V1058" s="214">
        <f>G1092/1000</f>
        <v>331.58978068639959</v>
      </c>
      <c r="Z1058" s="214">
        <f t="shared" ref="Z1058:Z1063" si="371">C1058-B1058</f>
        <v>-0.3000000000001819</v>
      </c>
      <c r="AA1058" s="214">
        <f t="shared" ref="AA1058:AA1063" si="372">F1058-E1058</f>
        <v>-0.39999999999417923</v>
      </c>
    </row>
    <row r="1059" spans="1:27" ht="13.15" customHeight="1">
      <c r="A1059" s="239" t="s">
        <v>263</v>
      </c>
      <c r="B1059" s="320">
        <f t="shared" si="370"/>
        <v>29531.053348499998</v>
      </c>
      <c r="C1059" s="320">
        <f t="shared" si="370"/>
        <v>29531.053348499998</v>
      </c>
      <c r="D1059" s="320">
        <f t="shared" si="370"/>
        <v>85874.394636130964</v>
      </c>
      <c r="E1059" s="320">
        <f t="shared" si="370"/>
        <v>71006.479197266046</v>
      </c>
      <c r="F1059" s="320">
        <f>F9+F79+F149+F219+F289+F359+F429+F499+F569+F639+F709+F779+F849+F919+F989</f>
        <v>71006.479197266046</v>
      </c>
      <c r="G1059" s="321">
        <f t="shared" si="370"/>
        <v>1064682.6902363126</v>
      </c>
      <c r="H1059" s="319">
        <f t="shared" si="370"/>
        <v>1623330.1473480973</v>
      </c>
      <c r="I1059" s="320">
        <f t="shared" si="370"/>
        <v>1373</v>
      </c>
      <c r="J1059" s="230"/>
      <c r="K1059" s="245" t="s">
        <v>263</v>
      </c>
      <c r="L1059" s="266">
        <f>C1059/I1059</f>
        <v>21.508414674799706</v>
      </c>
      <c r="M1059" s="267">
        <f>D1059/I1059</f>
        <v>62.545079851515631</v>
      </c>
      <c r="N1059" s="267">
        <f>D1059/C1059</f>
        <v>2.9079353730703574</v>
      </c>
      <c r="O1059" s="239">
        <f>(F1059*3.6+G1059)*100/H1059</f>
        <v>81.333179051922812</v>
      </c>
      <c r="P1059" s="239">
        <f>(F1059*3.6+G1059)*100/H1059</f>
        <v>81.333179051922812</v>
      </c>
      <c r="Q1059" s="267">
        <f>F1059/(C1059*8760)*1000</f>
        <v>0.27448267319773928</v>
      </c>
      <c r="R1059" s="267">
        <f>G1059/(D1059*8761)*1000/3.6</f>
        <v>0.39309753784974694</v>
      </c>
      <c r="S1059" s="268">
        <f>G1059/(F1059*3.6)</f>
        <v>4.1650451490586802</v>
      </c>
      <c r="T1059" s="269"/>
      <c r="U1059" s="214" t="s">
        <v>550</v>
      </c>
      <c r="V1059" s="214">
        <f>G1097/1000</f>
        <v>493.59562098680044</v>
      </c>
      <c r="Z1059" s="214">
        <f t="shared" si="371"/>
        <v>0</v>
      </c>
      <c r="AA1059" s="214">
        <f t="shared" si="372"/>
        <v>0</v>
      </c>
    </row>
    <row r="1060" spans="1:27" ht="13.15" customHeight="1">
      <c r="A1060" s="239" t="s">
        <v>499</v>
      </c>
      <c r="B1060" s="320">
        <f t="shared" si="370"/>
        <v>1016.9291515</v>
      </c>
      <c r="C1060" s="320">
        <f t="shared" si="370"/>
        <v>1016.9291515</v>
      </c>
      <c r="D1060" s="320">
        <f t="shared" si="370"/>
        <v>3655.3014993333336</v>
      </c>
      <c r="E1060" s="320">
        <f t="shared" si="370"/>
        <v>3333.9290623954334</v>
      </c>
      <c r="F1060" s="320">
        <f>F10+F80+F150+F220+F290+F360+F430+F500+F570+F640+F710+F780+F850+F920+F990</f>
        <v>3333.9290623954334</v>
      </c>
      <c r="G1060" s="321">
        <f t="shared" si="370"/>
        <v>45228.531129508687</v>
      </c>
      <c r="H1060" s="319">
        <f t="shared" si="370"/>
        <v>66958.469935400863</v>
      </c>
      <c r="I1060" s="320">
        <f t="shared" si="370"/>
        <v>30</v>
      </c>
      <c r="J1060" s="230"/>
      <c r="K1060" s="245" t="s">
        <v>499</v>
      </c>
      <c r="L1060" s="266">
        <f>C1060/I1060</f>
        <v>33.89763838333333</v>
      </c>
      <c r="M1060" s="267">
        <f>D1060/I1060</f>
        <v>121.84338331111113</v>
      </c>
      <c r="N1060" s="267">
        <f>D1060/C1060</f>
        <v>3.5944505022219668</v>
      </c>
      <c r="O1060" s="239">
        <f>(F1060*3.6+G1060)*100/H1060</f>
        <v>85.471898938769584</v>
      </c>
      <c r="P1060" s="239">
        <f>(F1060*3.6+G1060)*100/H1060</f>
        <v>85.471898938769584</v>
      </c>
      <c r="Q1060" s="267">
        <f>F1060/(C1060*8760)*1000</f>
        <v>0.37424977821168437</v>
      </c>
      <c r="R1060" s="267">
        <f>G1060/(D1060*8761)*1000/3.6</f>
        <v>0.39231335986480276</v>
      </c>
      <c r="S1060" s="268">
        <f>G1060/(F1060*3.6)</f>
        <v>3.7683707823948378</v>
      </c>
      <c r="T1060" s="269"/>
      <c r="U1060" s="214" t="s">
        <v>551</v>
      </c>
      <c r="V1060" s="214">
        <f>G1088/1000</f>
        <v>230.8071728814239</v>
      </c>
      <c r="Z1060" s="214">
        <f t="shared" si="371"/>
        <v>0</v>
      </c>
      <c r="AA1060" s="214">
        <f t="shared" si="372"/>
        <v>0</v>
      </c>
    </row>
    <row r="1061" spans="1:27" ht="13.15" customHeight="1">
      <c r="A1061" s="239" t="s">
        <v>265</v>
      </c>
      <c r="B1061" s="320">
        <f t="shared" si="370"/>
        <v>7445.1900000000005</v>
      </c>
      <c r="C1061" s="320">
        <f t="shared" si="370"/>
        <v>7445.1900000000005</v>
      </c>
      <c r="D1061" s="320">
        <f t="shared" si="370"/>
        <v>15182.990883201248</v>
      </c>
      <c r="E1061" s="320">
        <f t="shared" si="370"/>
        <v>35752.642468111109</v>
      </c>
      <c r="F1061" s="320">
        <f>F11+F81+F151+F221+F291+F361+F431+F501+F571+F641+F711+F781+F851+F921+F991</f>
        <v>35752.642468111109</v>
      </c>
      <c r="G1061" s="321">
        <f t="shared" si="370"/>
        <v>250346.62037119918</v>
      </c>
      <c r="H1061" s="319">
        <f t="shared" si="370"/>
        <v>455857.49067786615</v>
      </c>
      <c r="I1061" s="320">
        <f t="shared" si="370"/>
        <v>611</v>
      </c>
      <c r="J1061" s="230"/>
      <c r="K1061" s="245" t="s">
        <v>265</v>
      </c>
      <c r="L1061" s="266">
        <f>C1061/I1061</f>
        <v>12.185253682487726</v>
      </c>
      <c r="M1061" s="267">
        <f>D1061/I1061</f>
        <v>24.849412247465217</v>
      </c>
      <c r="N1061" s="267">
        <f>D1061/C1061</f>
        <v>2.0393020034681784</v>
      </c>
      <c r="O1061" s="239">
        <f>(F1061*3.6+G1061)*100/H1061</f>
        <v>83.152331815966804</v>
      </c>
      <c r="P1061" s="239">
        <f>(F1061*3.6+G1061)*100/H1061</f>
        <v>83.152331815966804</v>
      </c>
      <c r="Q1061" s="267">
        <f>F1061/(C1061*8760)*1000</f>
        <v>0.54818639684431958</v>
      </c>
      <c r="R1061" s="267">
        <f>G1061/(D1061*8761)*1000/3.6</f>
        <v>0.52279114212614497</v>
      </c>
      <c r="S1061" s="268">
        <f>G1061/(F1061*3.6)</f>
        <v>1.9450514166306503</v>
      </c>
      <c r="T1061" s="269"/>
      <c r="U1061" s="214" t="s">
        <v>552</v>
      </c>
      <c r="V1061" s="214">
        <f>(G1085+G1086+G1087+G1089+G1091+G1093+G1094+G1095+G1096+G1098+G1099+G1100+G1101+G1102)/1000</f>
        <v>330.13673608278185</v>
      </c>
      <c r="Z1061" s="214">
        <f t="shared" si="371"/>
        <v>0</v>
      </c>
      <c r="AA1061" s="214">
        <f t="shared" si="372"/>
        <v>0</v>
      </c>
    </row>
    <row r="1062" spans="1:27" ht="13.15" customHeight="1">
      <c r="A1062" s="239" t="s">
        <v>266</v>
      </c>
      <c r="B1062" s="320">
        <f t="shared" si="370"/>
        <v>5043.153238999982</v>
      </c>
      <c r="C1062" s="320">
        <f t="shared" si="370"/>
        <v>5043.4532389999822</v>
      </c>
      <c r="D1062" s="320">
        <f t="shared" si="370"/>
        <v>7798.9455624283537</v>
      </c>
      <c r="E1062" s="320">
        <f t="shared" si="370"/>
        <v>17939.546026733606</v>
      </c>
      <c r="F1062" s="320">
        <f>F12+F82+F152+F222+F292+F362+F432+F502+F572+F642+F712+F782+F852+F922+F992</f>
        <v>17939.146026733608</v>
      </c>
      <c r="G1062" s="321">
        <f t="shared" si="370"/>
        <v>91860.259149619727</v>
      </c>
      <c r="H1062" s="319">
        <f t="shared" si="370"/>
        <v>189579.38694715855</v>
      </c>
      <c r="I1062" s="320">
        <f t="shared" si="370"/>
        <v>6235</v>
      </c>
      <c r="J1062" s="230"/>
      <c r="K1062" s="245" t="s">
        <v>266</v>
      </c>
      <c r="L1062" s="266">
        <f>C1062/I1062</f>
        <v>0.80889386351242698</v>
      </c>
      <c r="M1062" s="267">
        <f>D1062/I1062</f>
        <v>1.2508332898842589</v>
      </c>
      <c r="N1062" s="267">
        <f>D1062/C1062</f>
        <v>1.5463503264233163</v>
      </c>
      <c r="O1062" s="239">
        <f>(F1062*3.6+G1062)*100/H1062</f>
        <v>82.520144919270976</v>
      </c>
      <c r="P1062" s="239">
        <f>(F1062*3.6+G1062)*100/H1062</f>
        <v>82.520144919270976</v>
      </c>
      <c r="Q1062" s="267">
        <f>F1062/(C1062*8760)*1000</f>
        <v>0.40604078652126196</v>
      </c>
      <c r="R1062" s="267">
        <f>G1062/(D1062*8761)*1000/3.6</f>
        <v>0.37345269363357064</v>
      </c>
      <c r="S1062" s="268">
        <f>G1062/(F1062*3.6)</f>
        <v>1.4224054263589869</v>
      </c>
      <c r="T1062" s="269"/>
      <c r="Z1062" s="214">
        <f t="shared" si="371"/>
        <v>0.3000000000001819</v>
      </c>
      <c r="AA1062" s="214">
        <f t="shared" si="372"/>
        <v>-0.39999999999781721</v>
      </c>
    </row>
    <row r="1063" spans="1:27" ht="13.15" customHeight="1">
      <c r="A1063" s="272" t="s">
        <v>267</v>
      </c>
      <c r="B1063" s="395">
        <f t="shared" si="370"/>
        <v>1889</v>
      </c>
      <c r="C1063" s="395">
        <f t="shared" si="370"/>
        <v>1889</v>
      </c>
      <c r="D1063" s="395">
        <f t="shared" si="370"/>
        <v>4155.681818181818</v>
      </c>
      <c r="E1063" s="320">
        <f t="shared" si="370"/>
        <v>4677</v>
      </c>
      <c r="F1063" s="320">
        <f>F13+F83+F153+F223+F293+F363+F433+F503+F573+F643+F713+F783+F853+F923+F993</f>
        <v>4677</v>
      </c>
      <c r="G1063" s="396">
        <f t="shared" si="370"/>
        <v>36879</v>
      </c>
      <c r="H1063" s="397">
        <f t="shared" si="370"/>
        <v>64605.425668385578</v>
      </c>
      <c r="I1063" s="395">
        <f t="shared" si="370"/>
        <v>14</v>
      </c>
      <c r="J1063" s="230"/>
      <c r="K1063" s="245" t="s">
        <v>267</v>
      </c>
      <c r="L1063" s="266"/>
      <c r="M1063" s="267"/>
      <c r="N1063" s="267"/>
      <c r="O1063" s="239"/>
      <c r="P1063" s="272"/>
      <c r="Q1063" s="272"/>
      <c r="R1063" s="274"/>
      <c r="S1063" s="275"/>
      <c r="T1063" s="269"/>
      <c r="U1063" s="214" t="s">
        <v>553</v>
      </c>
      <c r="V1063" s="214">
        <f>H1084/1000</f>
        <v>2524.1702396844057</v>
      </c>
      <c r="Z1063" s="214">
        <f t="shared" si="371"/>
        <v>0</v>
      </c>
      <c r="AA1063" s="214">
        <f t="shared" si="372"/>
        <v>0</v>
      </c>
    </row>
    <row r="1064" spans="1:27" ht="13.15" customHeight="1">
      <c r="A1064" s="276" t="s">
        <v>500</v>
      </c>
      <c r="B1064" s="277">
        <f t="shared" ref="B1064:I1064" si="373">SUM(B1058:B1063)</f>
        <v>50675.805738999989</v>
      </c>
      <c r="C1064" s="277">
        <f t="shared" si="373"/>
        <v>50675.805738999981</v>
      </c>
      <c r="D1064" s="277">
        <f t="shared" si="373"/>
        <v>125662.04479543462</v>
      </c>
      <c r="E1064" s="277">
        <f t="shared" si="373"/>
        <v>160661.9929416407</v>
      </c>
      <c r="F1064" s="277">
        <f t="shared" si="373"/>
        <v>160661.19294164074</v>
      </c>
      <c r="G1064" s="277">
        <f t="shared" si="373"/>
        <v>1623561.10233024</v>
      </c>
      <c r="H1064" s="277">
        <f t="shared" si="373"/>
        <v>2667504.7800193708</v>
      </c>
      <c r="I1064" s="278">
        <f t="shared" si="373"/>
        <v>8379</v>
      </c>
      <c r="J1064" s="244"/>
      <c r="K1064" s="279" t="s">
        <v>169</v>
      </c>
      <c r="L1064" s="280">
        <f>C1064/I1064</f>
        <v>6.0479539013008692</v>
      </c>
      <c r="M1064" s="281">
        <f>D1064/I1064</f>
        <v>14.997260388523047</v>
      </c>
      <c r="N1064" s="281">
        <f>D1064/C1064</f>
        <v>2.479724652877604</v>
      </c>
      <c r="O1064" s="282">
        <f>(F1064*3.6+G1064)*100/H1064</f>
        <v>82.54685852537277</v>
      </c>
      <c r="P1064" s="282">
        <f>(F1064*3.6+G1064)*100/H1064</f>
        <v>82.54685852537277</v>
      </c>
      <c r="Q1064" s="283">
        <f>F1064/(C1064*8760)*1000</f>
        <v>0.36191469600728532</v>
      </c>
      <c r="R1064" s="283">
        <f>G1064/(D1064*8761)*1000/3.6</f>
        <v>0.40964563764825374</v>
      </c>
      <c r="S1064" s="284">
        <f>G1064/(F1064*3.6)</f>
        <v>2.8070823254471446</v>
      </c>
      <c r="U1064" s="214" t="s">
        <v>554</v>
      </c>
      <c r="V1064" s="214">
        <f>H1090/1000</f>
        <v>38.400270493951204</v>
      </c>
    </row>
    <row r="1065" spans="1:27" ht="13.15" customHeight="1">
      <c r="A1065" s="285" t="s">
        <v>501</v>
      </c>
      <c r="B1065" s="228" t="s">
        <v>476</v>
      </c>
      <c r="C1065" s="228"/>
      <c r="D1065" s="286"/>
      <c r="E1065" s="227" t="s">
        <v>477</v>
      </c>
      <c r="F1065" s="228"/>
      <c r="G1065" s="229"/>
      <c r="H1065" s="200" t="s">
        <v>138</v>
      </c>
      <c r="I1065" s="200" t="s">
        <v>478</v>
      </c>
      <c r="J1065" s="244"/>
      <c r="K1065" s="287" t="s">
        <v>501</v>
      </c>
      <c r="L1065" s="288" t="s">
        <v>479</v>
      </c>
      <c r="M1065" s="228"/>
      <c r="N1065" s="286"/>
      <c r="O1065" s="227" t="s">
        <v>480</v>
      </c>
      <c r="P1065" s="228"/>
      <c r="Q1065" s="228"/>
      <c r="R1065" s="229"/>
      <c r="S1065" s="289"/>
      <c r="T1065" s="269"/>
      <c r="U1065" s="214" t="s">
        <v>555</v>
      </c>
      <c r="V1065" s="214">
        <f>H1092/1000</f>
        <v>620.24526741363752</v>
      </c>
    </row>
    <row r="1066" spans="1:27" ht="13.15" customHeight="1">
      <c r="A1066" s="239"/>
      <c r="B1066" s="240" t="s">
        <v>481</v>
      </c>
      <c r="C1066" s="240"/>
      <c r="D1066" s="241" t="s">
        <v>34</v>
      </c>
      <c r="E1066" s="242" t="s">
        <v>482</v>
      </c>
      <c r="F1066" s="243"/>
      <c r="G1066" s="244" t="s">
        <v>34</v>
      </c>
      <c r="H1066" s="241" t="s">
        <v>170</v>
      </c>
      <c r="I1066" s="241" t="s">
        <v>483</v>
      </c>
      <c r="J1066" s="244"/>
      <c r="K1066" s="245"/>
      <c r="L1066" s="246" t="s">
        <v>484</v>
      </c>
      <c r="M1066" s="247"/>
      <c r="N1066" s="248" t="s">
        <v>485</v>
      </c>
      <c r="O1066" s="248" t="s">
        <v>486</v>
      </c>
      <c r="P1066" s="248" t="s">
        <v>486</v>
      </c>
      <c r="Q1066" s="247" t="s">
        <v>487</v>
      </c>
      <c r="R1066" s="249"/>
      <c r="S1066" s="250" t="s">
        <v>485</v>
      </c>
      <c r="T1066" s="269"/>
      <c r="U1066" s="214" t="s">
        <v>556</v>
      </c>
      <c r="V1066" s="214">
        <f>H1097/1000</f>
        <v>820.42396028345479</v>
      </c>
    </row>
    <row r="1067" spans="1:27" ht="13.15" customHeight="1">
      <c r="A1067" s="251" t="s">
        <v>488</v>
      </c>
      <c r="B1067" s="252" t="s">
        <v>0</v>
      </c>
      <c r="C1067" s="252" t="s">
        <v>489</v>
      </c>
      <c r="D1067" s="252" t="s">
        <v>490</v>
      </c>
      <c r="E1067" s="252" t="s">
        <v>491</v>
      </c>
      <c r="F1067" s="252" t="s">
        <v>489</v>
      </c>
      <c r="G1067" s="230" t="s">
        <v>490</v>
      </c>
      <c r="H1067" s="248"/>
      <c r="I1067" s="241" t="s">
        <v>492</v>
      </c>
      <c r="J1067" s="244"/>
      <c r="K1067" s="253" t="s">
        <v>488</v>
      </c>
      <c r="L1067" s="254" t="s">
        <v>88</v>
      </c>
      <c r="M1067" s="252" t="s">
        <v>34</v>
      </c>
      <c r="N1067" s="252" t="s">
        <v>493</v>
      </c>
      <c r="O1067" s="248" t="s">
        <v>494</v>
      </c>
      <c r="P1067" s="248" t="s">
        <v>495</v>
      </c>
      <c r="Q1067" s="230" t="s">
        <v>88</v>
      </c>
      <c r="R1067" s="248" t="s">
        <v>34</v>
      </c>
      <c r="S1067" s="255" t="s">
        <v>88</v>
      </c>
      <c r="T1067" s="269"/>
      <c r="U1067" s="214" t="s">
        <v>557</v>
      </c>
      <c r="V1067" s="214">
        <f>H1088/1000</f>
        <v>410.41028949052281</v>
      </c>
    </row>
    <row r="1068" spans="1:27" ht="13.15" customHeight="1">
      <c r="A1068" s="239"/>
      <c r="B1068" s="252" t="s">
        <v>496</v>
      </c>
      <c r="C1068" s="252" t="s">
        <v>496</v>
      </c>
      <c r="D1068" s="252" t="s">
        <v>496</v>
      </c>
      <c r="E1068" s="256" t="s">
        <v>473</v>
      </c>
      <c r="F1068" s="256" t="s">
        <v>473</v>
      </c>
      <c r="G1068" s="230" t="s">
        <v>451</v>
      </c>
      <c r="H1068" s="257" t="s">
        <v>497</v>
      </c>
      <c r="I1068" s="257" t="s">
        <v>498</v>
      </c>
      <c r="J1068" s="244"/>
      <c r="K1068" s="245"/>
      <c r="L1068" s="258" t="s">
        <v>496</v>
      </c>
      <c r="M1068" s="256" t="s">
        <v>496</v>
      </c>
      <c r="N1068" s="256"/>
      <c r="O1068" s="257" t="s">
        <v>79</v>
      </c>
      <c r="P1068" s="257" t="s">
        <v>79</v>
      </c>
      <c r="Q1068" s="259"/>
      <c r="R1068" s="257"/>
      <c r="S1068" s="260"/>
      <c r="T1068" s="269"/>
      <c r="U1068" s="214" t="s">
        <v>558</v>
      </c>
      <c r="V1068" s="214">
        <f>(H1085+H1086+H1087+H1089+H1091+H1093+H1094+H1095+H1096+H1098+H1099+H1100+H1101+H1102)/1000</f>
        <v>634.69045200283927</v>
      </c>
    </row>
    <row r="1069" spans="1:27" ht="13.15" customHeight="1">
      <c r="A1069" s="261" t="s">
        <v>262</v>
      </c>
      <c r="B1069" s="365">
        <f t="shared" ref="B1069:I1074" si="374">B19+B89+B159+B229+B299+B369+B439+B509+B579+B649+B719+B789+B859+B929+B999</f>
        <v>8049.2427927846802</v>
      </c>
      <c r="C1069" s="365">
        <f t="shared" si="374"/>
        <v>18666.032999999999</v>
      </c>
      <c r="D1069" s="365">
        <f t="shared" si="374"/>
        <v>13492.910252183126</v>
      </c>
      <c r="E1069" s="320">
        <f t="shared" si="374"/>
        <v>38784.056284196849</v>
      </c>
      <c r="F1069" s="319">
        <f t="shared" si="374"/>
        <v>114048.24983333332</v>
      </c>
      <c r="G1069" s="368">
        <f t="shared" si="374"/>
        <v>197580.34692399966</v>
      </c>
      <c r="H1069" s="369">
        <f t="shared" si="374"/>
        <v>983181.59100138233</v>
      </c>
      <c r="I1069" s="320">
        <f t="shared" si="374"/>
        <v>216</v>
      </c>
      <c r="J1069" s="244"/>
      <c r="K1069" s="265" t="s">
        <v>262</v>
      </c>
      <c r="L1069" s="266">
        <f>B1069/I1069</f>
        <v>37.265012929558708</v>
      </c>
      <c r="M1069" s="267">
        <f>D1069/I1069</f>
        <v>62.467177093440398</v>
      </c>
      <c r="N1069" s="267">
        <f>D1069/B1069</f>
        <v>1.6762955969321904</v>
      </c>
      <c r="O1069" s="239">
        <f>(F1069*3.6+G1069)*100/H1069</f>
        <v>61.855719420517971</v>
      </c>
      <c r="P1069" s="267">
        <f>(E1069*3.6+G1069)*100/H1069</f>
        <v>34.297117911215473</v>
      </c>
      <c r="Q1069" s="267">
        <f>E1069/(B1069*8760)*1000</f>
        <v>0.55003977385044367</v>
      </c>
      <c r="R1069" s="267">
        <f>G1069/(D1069*8761)*1000/3.6</f>
        <v>0.46428209011200877</v>
      </c>
      <c r="S1069" s="268">
        <f>G1069/(E1069*3.6)</f>
        <v>1.4151028788464837</v>
      </c>
      <c r="T1069" s="269"/>
      <c r="Z1069" s="214">
        <f t="shared" ref="Z1069:Z1076" si="375">C1069-B1069</f>
        <v>10616.790207215319</v>
      </c>
      <c r="AA1069" s="214">
        <f t="shared" ref="AA1069:AA1076" si="376">F1069-E1069</f>
        <v>75264.193549136471</v>
      </c>
    </row>
    <row r="1070" spans="1:27" ht="13.15" customHeight="1">
      <c r="A1070" s="239" t="s">
        <v>263</v>
      </c>
      <c r="B1070" s="320">
        <f t="shared" si="374"/>
        <v>1588.079293361086</v>
      </c>
      <c r="C1070" s="320">
        <f t="shared" si="374"/>
        <v>2652.61402</v>
      </c>
      <c r="D1070" s="320">
        <f t="shared" si="374"/>
        <v>6722.1804293211708</v>
      </c>
      <c r="E1070" s="320">
        <f>E20+E90+E160+E230+E300+E370+E440+E510+E580+E650+E720+E790+E860+E930+E1000</f>
        <v>7031.5232236638112</v>
      </c>
      <c r="F1070" s="319">
        <f t="shared" si="374"/>
        <v>10523.00037973524</v>
      </c>
      <c r="G1070" s="321">
        <f t="shared" si="374"/>
        <v>100692.28035734865</v>
      </c>
      <c r="H1070" s="319">
        <f t="shared" si="374"/>
        <v>220070.05318919552</v>
      </c>
      <c r="I1070" s="320">
        <f t="shared" si="374"/>
        <v>233</v>
      </c>
      <c r="J1070" s="244"/>
      <c r="K1070" s="245" t="s">
        <v>263</v>
      </c>
      <c r="L1070" s="266">
        <f>B1070/I1070</f>
        <v>6.8157909586312702</v>
      </c>
      <c r="M1070" s="267">
        <f>D1070/I1070</f>
        <v>28.850559782494294</v>
      </c>
      <c r="N1070" s="267">
        <f>D1070/B1070</f>
        <v>4.2328997408523792</v>
      </c>
      <c r="O1070" s="239">
        <f>(F1070*3.6+G1070)*100/H1070</f>
        <v>62.968622816327354</v>
      </c>
      <c r="P1070" s="267">
        <f>(E1070*3.6+G1070)*100/H1070</f>
        <v>57.257115239668913</v>
      </c>
      <c r="Q1070" s="267">
        <f>E1070/(B1070*8760)*1000</f>
        <v>0.50544409391936607</v>
      </c>
      <c r="R1070" s="267">
        <f>G1070/(D1070*8761)*1000/3.6</f>
        <v>0.47493024767830183</v>
      </c>
      <c r="S1070" s="268">
        <f>G1070/(E1070*3.6)</f>
        <v>3.9778120596844642</v>
      </c>
      <c r="T1070" s="269"/>
      <c r="U1070" s="239" t="s">
        <v>152</v>
      </c>
      <c r="V1070" s="492">
        <f>B1085/1000</f>
        <v>1.3523313868613138</v>
      </c>
      <c r="Z1070" s="214">
        <f t="shared" si="375"/>
        <v>1064.534726638914</v>
      </c>
      <c r="AA1070" s="214">
        <f t="shared" si="376"/>
        <v>3491.4771560714289</v>
      </c>
    </row>
    <row r="1071" spans="1:27" ht="13.15" customHeight="1">
      <c r="A1071" s="239" t="s">
        <v>499</v>
      </c>
      <c r="B1071" s="320">
        <f t="shared" si="374"/>
        <v>9496.3456788041403</v>
      </c>
      <c r="C1071" s="320">
        <f t="shared" si="374"/>
        <v>19441.680529999998</v>
      </c>
      <c r="D1071" s="320">
        <f t="shared" si="374"/>
        <v>18153.61728668047</v>
      </c>
      <c r="E1071" s="320">
        <f t="shared" si="374"/>
        <v>23774.51077143685</v>
      </c>
      <c r="F1071" s="319">
        <f t="shared" si="374"/>
        <v>70135.607620108087</v>
      </c>
      <c r="G1071" s="321">
        <f t="shared" si="374"/>
        <v>220238.08110982977</v>
      </c>
      <c r="H1071" s="319">
        <f t="shared" si="374"/>
        <v>793686.54559481749</v>
      </c>
      <c r="I1071" s="320">
        <f t="shared" si="374"/>
        <v>237</v>
      </c>
      <c r="J1071" s="244"/>
      <c r="K1071" s="245" t="s">
        <v>499</v>
      </c>
      <c r="L1071" s="266">
        <f>B1071/I1071</f>
        <v>40.068969108878228</v>
      </c>
      <c r="M1071" s="267">
        <f>D1071/I1071</f>
        <v>76.597541294010426</v>
      </c>
      <c r="N1071" s="267">
        <f>D1071/B1071</f>
        <v>1.9116424254857713</v>
      </c>
      <c r="O1071" s="239">
        <f>(F1071*3.6+G1071)*100/H1071</f>
        <v>59.560826772985131</v>
      </c>
      <c r="P1071" s="267">
        <f>(E1071*3.6+G1071)*100/H1071</f>
        <v>38.532380520297863</v>
      </c>
      <c r="Q1071" s="267">
        <f>E1071/(B1071*8760)*1000</f>
        <v>0.28579259219033476</v>
      </c>
      <c r="R1071" s="267">
        <f>G1071/(D1071*8761)*1000/3.6</f>
        <v>0.38465648433398475</v>
      </c>
      <c r="S1071" s="268">
        <f>G1071/(E1071*3.6)</f>
        <v>2.5732283343651385</v>
      </c>
      <c r="T1071" s="269"/>
      <c r="U1071" s="239" t="s">
        <v>504</v>
      </c>
      <c r="V1071" s="492">
        <f t="shared" ref="V1071:V1087" si="377">B1086/1000</f>
        <v>8.8450000000000001E-2</v>
      </c>
      <c r="Z1071" s="214">
        <f t="shared" si="375"/>
        <v>9945.3348511958575</v>
      </c>
      <c r="AA1071" s="214">
        <f t="shared" si="376"/>
        <v>46361.096848671237</v>
      </c>
    </row>
    <row r="1072" spans="1:27" ht="13.15" customHeight="1">
      <c r="A1072" s="239" t="s">
        <v>265</v>
      </c>
      <c r="B1072" s="320">
        <f t="shared" si="374"/>
        <v>1707.9553227239085</v>
      </c>
      <c r="C1072" s="320">
        <f t="shared" si="374"/>
        <v>2813.1759999999999</v>
      </c>
      <c r="D1072" s="320">
        <f t="shared" si="374"/>
        <v>3761.7449519726629</v>
      </c>
      <c r="E1072" s="320">
        <f t="shared" si="374"/>
        <v>8069.8726897229772</v>
      </c>
      <c r="F1072" s="319">
        <f t="shared" si="374"/>
        <v>13488.411166333333</v>
      </c>
      <c r="G1072" s="321">
        <f t="shared" si="374"/>
        <v>60152.959641599904</v>
      </c>
      <c r="H1072" s="319">
        <f t="shared" si="374"/>
        <v>157494.97971328438</v>
      </c>
      <c r="I1072" s="320">
        <f t="shared" si="374"/>
        <v>257</v>
      </c>
      <c r="J1072" s="244"/>
      <c r="K1072" s="245" t="s">
        <v>265</v>
      </c>
      <c r="L1072" s="266">
        <f>B1072/I1072</f>
        <v>6.645740555345947</v>
      </c>
      <c r="M1072" s="267">
        <f>D1072/I1072</f>
        <v>14.637139890944214</v>
      </c>
      <c r="N1072" s="267">
        <f>D1072/B1072</f>
        <v>2.2024843986980276</v>
      </c>
      <c r="O1072" s="239">
        <f>(F1072*3.6+G1072)*100/H1072</f>
        <v>69.025209589731659</v>
      </c>
      <c r="P1072" s="267">
        <f>(E1072*3.6+G1072)*100/H1072</f>
        <v>56.639583996262715</v>
      </c>
      <c r="Q1072" s="267">
        <f>E1072/(B1072*8760)*1000</f>
        <v>0.53936911072503368</v>
      </c>
      <c r="R1072" s="267">
        <f>G1072/(D1072*8761)*1000/3.6</f>
        <v>0.50700410118213624</v>
      </c>
      <c r="S1072" s="268">
        <f>G1072/(E1072*3.6)</f>
        <v>2.0705599825978873</v>
      </c>
      <c r="T1072" s="269"/>
      <c r="U1072" s="239" t="s">
        <v>505</v>
      </c>
      <c r="V1072" s="492">
        <f t="shared" si="377"/>
        <v>1.8476454941519196E-2</v>
      </c>
      <c r="Z1072" s="214">
        <f t="shared" si="375"/>
        <v>1105.2206772760915</v>
      </c>
      <c r="AA1072" s="214">
        <f t="shared" si="376"/>
        <v>5418.5384766103562</v>
      </c>
    </row>
    <row r="1073" spans="1:27" ht="13.15" customHeight="1">
      <c r="A1073" s="239" t="s">
        <v>266</v>
      </c>
      <c r="B1073" s="320">
        <f t="shared" si="374"/>
        <v>2319.6035120485585</v>
      </c>
      <c r="C1073" s="320">
        <f t="shared" si="374"/>
        <v>3923.6441401000016</v>
      </c>
      <c r="D1073" s="320">
        <f t="shared" si="374"/>
        <v>3246.0965004970208</v>
      </c>
      <c r="E1073" s="320">
        <f t="shared" si="374"/>
        <v>9240.8606945516112</v>
      </c>
      <c r="F1073" s="319">
        <f t="shared" si="374"/>
        <v>14589.164425315093</v>
      </c>
      <c r="G1073" s="321">
        <f t="shared" si="374"/>
        <v>44959.016988731957</v>
      </c>
      <c r="H1073" s="319">
        <f t="shared" si="374"/>
        <v>149318.2807493032</v>
      </c>
      <c r="I1073" s="320">
        <f t="shared" si="374"/>
        <v>1776</v>
      </c>
      <c r="J1073" s="244"/>
      <c r="K1073" s="245" t="s">
        <v>266</v>
      </c>
      <c r="L1073" s="266">
        <f>B1073/I1073</f>
        <v>1.3060830585859</v>
      </c>
      <c r="M1073" s="267">
        <f>D1073/I1073</f>
        <v>1.8277570385681423</v>
      </c>
      <c r="N1073" s="267">
        <f>D1073/B1073</f>
        <v>1.3994186867005689</v>
      </c>
      <c r="O1073" s="239">
        <f>(F1073*3.6+G1073)*100/H1073</f>
        <v>65.283372156909323</v>
      </c>
      <c r="P1073" s="267">
        <f>(E1073*3.6+G1073)*100/H1073</f>
        <v>52.388840198645802</v>
      </c>
      <c r="Q1073" s="267">
        <f>E1073/(B1073*8760)*1000</f>
        <v>0.45477288160294765</v>
      </c>
      <c r="R1073" s="267">
        <f>G1073/(D1073*8761)*1000/3.6</f>
        <v>0.43913615952263008</v>
      </c>
      <c r="S1073" s="268">
        <f>G1073/(E1073*3.6)</f>
        <v>1.3514559133616828</v>
      </c>
      <c r="T1073" s="269"/>
      <c r="U1073" s="239" t="s">
        <v>506</v>
      </c>
      <c r="V1073" s="492">
        <f t="shared" si="377"/>
        <v>4.0428076011859559</v>
      </c>
      <c r="Z1073" s="214">
        <f t="shared" si="375"/>
        <v>1604.040628051443</v>
      </c>
      <c r="AA1073" s="214">
        <f t="shared" si="376"/>
        <v>5348.3037307634822</v>
      </c>
    </row>
    <row r="1074" spans="1:27" ht="13.15" customHeight="1">
      <c r="A1074" s="272" t="s">
        <v>267</v>
      </c>
      <c r="B1074" s="395">
        <f t="shared" si="374"/>
        <v>40.686800000000005</v>
      </c>
      <c r="C1074" s="395">
        <f t="shared" si="374"/>
        <v>40.686800000000005</v>
      </c>
      <c r="D1074" s="395">
        <f t="shared" si="374"/>
        <v>204.36622399999999</v>
      </c>
      <c r="E1074" s="320">
        <f t="shared" si="374"/>
        <v>104.4855518</v>
      </c>
      <c r="F1074" s="319">
        <f t="shared" si="374"/>
        <v>104.4855518</v>
      </c>
      <c r="G1074" s="396">
        <f t="shared" si="374"/>
        <v>3104.4170692836001</v>
      </c>
      <c r="H1074" s="397">
        <f t="shared" si="374"/>
        <v>5181.8220689399996</v>
      </c>
      <c r="I1074" s="395">
        <f t="shared" si="374"/>
        <v>1</v>
      </c>
      <c r="J1074" s="244"/>
      <c r="K1074" s="245" t="s">
        <v>267</v>
      </c>
      <c r="L1074" s="266"/>
      <c r="M1074" s="267"/>
      <c r="N1074" s="267"/>
      <c r="O1074" s="239"/>
      <c r="P1074" s="267"/>
      <c r="Q1074" s="272"/>
      <c r="R1074" s="274"/>
      <c r="S1074" s="275"/>
      <c r="T1074" s="269"/>
      <c r="U1074" s="239" t="s">
        <v>507</v>
      </c>
      <c r="V1074" s="492">
        <f t="shared" si="377"/>
        <v>0</v>
      </c>
      <c r="Z1074" s="214">
        <f t="shared" si="375"/>
        <v>0</v>
      </c>
      <c r="AA1074" s="214">
        <f t="shared" si="376"/>
        <v>0</v>
      </c>
    </row>
    <row r="1075" spans="1:27" ht="13.15" customHeight="1">
      <c r="A1075" s="276" t="s">
        <v>500</v>
      </c>
      <c r="B1075" s="291">
        <f t="shared" ref="B1075:I1075" si="378">SUM(B1069:B1074)</f>
        <v>23201.913399722373</v>
      </c>
      <c r="C1075" s="291">
        <f t="shared" si="378"/>
        <v>47537.834490100009</v>
      </c>
      <c r="D1075" s="291">
        <f t="shared" si="378"/>
        <v>45580.915644654451</v>
      </c>
      <c r="E1075" s="291">
        <f t="shared" si="378"/>
        <v>87005.309215372094</v>
      </c>
      <c r="F1075" s="291">
        <f t="shared" si="378"/>
        <v>222888.91897662508</v>
      </c>
      <c r="G1075" s="292">
        <f t="shared" si="378"/>
        <v>626727.10209079343</v>
      </c>
      <c r="H1075" s="291">
        <f t="shared" si="378"/>
        <v>2308933.2723169229</v>
      </c>
      <c r="I1075" s="293">
        <f t="shared" si="378"/>
        <v>2720</v>
      </c>
      <c r="J1075" s="244"/>
      <c r="K1075" s="279" t="s">
        <v>169</v>
      </c>
      <c r="L1075" s="280">
        <f>B1075/I1075</f>
        <v>8.5301152204861665</v>
      </c>
      <c r="M1075" s="281">
        <f>D1075/I1075</f>
        <v>16.757689575240608</v>
      </c>
      <c r="N1075" s="281">
        <f>D1075/B1075</f>
        <v>1.9645326167453008</v>
      </c>
      <c r="O1075" s="294">
        <f>(F1075*3.6+G1075)*100/H1075</f>
        <v>61.895561363389739</v>
      </c>
      <c r="P1075" s="295">
        <f>(E1075*3.6+G1075)*100/H1075</f>
        <v>40.709111282498618</v>
      </c>
      <c r="Q1075" s="283">
        <f>E1075/(B1075*8760)*1000</f>
        <v>0.42807301074781529</v>
      </c>
      <c r="R1075" s="283">
        <f>G1075/(D1075*8761)*1000/3.6</f>
        <v>0.43595257717890479</v>
      </c>
      <c r="S1075" s="284">
        <f>G1075/(E1075*3.6)</f>
        <v>2.0009222800524076</v>
      </c>
      <c r="U1075" s="239" t="s">
        <v>156</v>
      </c>
      <c r="V1075" s="492">
        <f t="shared" si="377"/>
        <v>0.97020550997208033</v>
      </c>
      <c r="Z1075" s="214">
        <f t="shared" si="375"/>
        <v>24335.921090377637</v>
      </c>
      <c r="AA1075" s="214">
        <f t="shared" si="376"/>
        <v>135883.609761253</v>
      </c>
    </row>
    <row r="1076" spans="1:27" ht="13.15" customHeight="1" thickBot="1">
      <c r="A1076" s="296" t="s">
        <v>502</v>
      </c>
      <c r="B1076" s="297">
        <f t="shared" ref="B1076:I1076" si="379">B1064+B1075</f>
        <v>73877.719138722357</v>
      </c>
      <c r="C1076" s="297">
        <f>B1064+C1075</f>
        <v>98213.640229099998</v>
      </c>
      <c r="D1076" s="297">
        <f t="shared" si="379"/>
        <v>171242.96044008905</v>
      </c>
      <c r="E1076" s="297">
        <f t="shared" si="379"/>
        <v>247667.3021570128</v>
      </c>
      <c r="F1076" s="297">
        <f>E1064+F1075</f>
        <v>383550.91191826575</v>
      </c>
      <c r="G1076" s="297">
        <f t="shared" si="379"/>
        <v>2250288.2044210332</v>
      </c>
      <c r="H1076" s="297">
        <f t="shared" si="379"/>
        <v>4976438.0523362942</v>
      </c>
      <c r="I1076" s="298">
        <f t="shared" si="379"/>
        <v>11099</v>
      </c>
      <c r="J1076" s="244"/>
      <c r="K1076" s="296" t="s">
        <v>502</v>
      </c>
      <c r="L1076" s="299">
        <f>B1076/I1076</f>
        <v>6.656250035023187</v>
      </c>
      <c r="M1076" s="300">
        <f>D1076/I1076</f>
        <v>15.428683704846296</v>
      </c>
      <c r="N1076" s="300">
        <f>D1076/B1076</f>
        <v>2.3179243002689502</v>
      </c>
      <c r="O1076" s="301">
        <f>(F1076*3.6+G1076)*100/H1076</f>
        <v>72.965270523604858</v>
      </c>
      <c r="P1076" s="301">
        <f>(E1076*3.6+G1076)*100/H1076</f>
        <v>63.135328103024456</v>
      </c>
      <c r="Q1076" s="301">
        <f>E1076/(B1076*8760)*1000</f>
        <v>0.3826935022749744</v>
      </c>
      <c r="R1076" s="301">
        <f>G1076/(D1076*8761)*1000/3.6</f>
        <v>0.41664793653711901</v>
      </c>
      <c r="S1076" s="302">
        <f>G1076/(E1076*3.6)</f>
        <v>2.5238699309097345</v>
      </c>
      <c r="T1076" s="269"/>
      <c r="U1076" s="239" t="s">
        <v>508</v>
      </c>
      <c r="V1076" s="492">
        <f t="shared" si="377"/>
        <v>0.10640971515207294</v>
      </c>
      <c r="Z1076" s="214">
        <f t="shared" si="375"/>
        <v>24335.92109037764</v>
      </c>
      <c r="AA1076" s="214">
        <f t="shared" si="376"/>
        <v>135883.60976125294</v>
      </c>
    </row>
    <row r="1077" spans="1:27" ht="13.15" customHeight="1">
      <c r="F1077" s="214">
        <f>F26+F96+F166+F236+F306+F376+F446+F516+F586+F656+F726+F796+F866+F936+F1006</f>
        <v>383550.91191826575</v>
      </c>
      <c r="U1077" s="239" t="s">
        <v>509</v>
      </c>
      <c r="V1077" s="492">
        <f t="shared" si="377"/>
        <v>12.375090162685302</v>
      </c>
    </row>
    <row r="1078" spans="1:27" ht="13.15" customHeight="1">
      <c r="A1078" s="251" t="s">
        <v>139</v>
      </c>
      <c r="B1078" s="227" t="s">
        <v>476</v>
      </c>
      <c r="C1078" s="228"/>
      <c r="D1078" s="286"/>
      <c r="E1078" s="227" t="s">
        <v>477</v>
      </c>
      <c r="F1078" s="228"/>
      <c r="G1078" s="229"/>
      <c r="H1078" s="200" t="s">
        <v>138</v>
      </c>
      <c r="I1078" s="200" t="s">
        <v>478</v>
      </c>
      <c r="J1078" s="230"/>
      <c r="K1078" s="303" t="s">
        <v>503</v>
      </c>
      <c r="L1078" s="227" t="s">
        <v>479</v>
      </c>
      <c r="M1078" s="228"/>
      <c r="N1078" s="286"/>
      <c r="O1078" s="227" t="s">
        <v>480</v>
      </c>
      <c r="P1078" s="228"/>
      <c r="Q1078" s="228"/>
      <c r="R1078" s="229"/>
      <c r="S1078" s="286"/>
      <c r="T1078" s="304"/>
      <c r="U1078" s="239" t="s">
        <v>510</v>
      </c>
      <c r="V1078" s="492">
        <f t="shared" si="377"/>
        <v>0.46826306662463951</v>
      </c>
    </row>
    <row r="1079" spans="1:27" ht="13.15" customHeight="1">
      <c r="A1079" s="239"/>
      <c r="B1079" s="240" t="s">
        <v>9</v>
      </c>
      <c r="C1079" s="240"/>
      <c r="D1079" s="241" t="s">
        <v>34</v>
      </c>
      <c r="E1079" s="242" t="s">
        <v>88</v>
      </c>
      <c r="F1079" s="243"/>
      <c r="G1079" s="244" t="s">
        <v>34</v>
      </c>
      <c r="H1079" s="241" t="s">
        <v>170</v>
      </c>
      <c r="I1079" s="241" t="s">
        <v>483</v>
      </c>
      <c r="J1079" s="230"/>
      <c r="K1079" s="305"/>
      <c r="L1079" s="306" t="s">
        <v>484</v>
      </c>
      <c r="M1079" s="247"/>
      <c r="N1079" s="248" t="s">
        <v>485</v>
      </c>
      <c r="O1079" s="248" t="s">
        <v>486</v>
      </c>
      <c r="P1079" s="248" t="s">
        <v>486</v>
      </c>
      <c r="Q1079" s="247" t="s">
        <v>487</v>
      </c>
      <c r="R1079" s="249"/>
      <c r="S1079" s="307" t="s">
        <v>485</v>
      </c>
      <c r="T1079" s="230"/>
      <c r="U1079" s="239" t="s">
        <v>511</v>
      </c>
      <c r="V1079" s="492">
        <f t="shared" si="377"/>
        <v>0.16190442123647303</v>
      </c>
    </row>
    <row r="1080" spans="1:27" ht="13.15" customHeight="1">
      <c r="A1080" s="239"/>
      <c r="B1080" s="252" t="s">
        <v>0</v>
      </c>
      <c r="C1080" s="252" t="s">
        <v>489</v>
      </c>
      <c r="D1080" s="252" t="s">
        <v>490</v>
      </c>
      <c r="E1080" s="252" t="s">
        <v>491</v>
      </c>
      <c r="F1080" s="252" t="s">
        <v>489</v>
      </c>
      <c r="G1080" s="230" t="s">
        <v>490</v>
      </c>
      <c r="H1080" s="248"/>
      <c r="I1080" s="241" t="s">
        <v>492</v>
      </c>
      <c r="J1080" s="230"/>
      <c r="K1080" s="305"/>
      <c r="L1080" s="248" t="s">
        <v>88</v>
      </c>
      <c r="M1080" s="252" t="s">
        <v>34</v>
      </c>
      <c r="N1080" s="252" t="s">
        <v>493</v>
      </c>
      <c r="O1080" s="248" t="s">
        <v>494</v>
      </c>
      <c r="P1080" s="248" t="s">
        <v>495</v>
      </c>
      <c r="Q1080" s="230" t="s">
        <v>88</v>
      </c>
      <c r="R1080" s="248" t="s">
        <v>34</v>
      </c>
      <c r="S1080" s="252" t="s">
        <v>88</v>
      </c>
      <c r="T1080" s="230"/>
      <c r="U1080" s="239" t="s">
        <v>512</v>
      </c>
      <c r="V1080" s="492">
        <f t="shared" si="377"/>
        <v>3.3987840932686013</v>
      </c>
    </row>
    <row r="1081" spans="1:27" ht="13.15" customHeight="1">
      <c r="A1081" s="239"/>
      <c r="B1081" s="257" t="s">
        <v>496</v>
      </c>
      <c r="C1081" s="256" t="s">
        <v>496</v>
      </c>
      <c r="D1081" s="256" t="s">
        <v>496</v>
      </c>
      <c r="E1081" s="256" t="s">
        <v>473</v>
      </c>
      <c r="F1081" s="256" t="s">
        <v>473</v>
      </c>
      <c r="G1081" s="257" t="s">
        <v>451</v>
      </c>
      <c r="H1081" s="257" t="s">
        <v>497</v>
      </c>
      <c r="I1081" s="257" t="s">
        <v>498</v>
      </c>
      <c r="J1081" s="230"/>
      <c r="K1081" s="305"/>
      <c r="L1081" s="257" t="s">
        <v>496</v>
      </c>
      <c r="M1081" s="256" t="s">
        <v>496</v>
      </c>
      <c r="N1081" s="256"/>
      <c r="O1081" s="257" t="s">
        <v>79</v>
      </c>
      <c r="P1081" s="257" t="s">
        <v>79</v>
      </c>
      <c r="Q1081" s="259"/>
      <c r="R1081" s="257"/>
      <c r="S1081" s="256"/>
      <c r="T1081" s="230"/>
      <c r="U1081" s="239" t="s">
        <v>513</v>
      </c>
      <c r="V1081" s="492">
        <f t="shared" si="377"/>
        <v>0.55423049587304862</v>
      </c>
    </row>
    <row r="1082" spans="1:27" ht="13.15" customHeight="1">
      <c r="A1082" s="251" t="s">
        <v>150</v>
      </c>
      <c r="B1082" s="308">
        <f t="shared" ref="B1082:I1082" si="380">B32+B102+B172+B242+B312+B382+B452+B522+B592+B662+B732+B802+B872+B942+B1012</f>
        <v>39478.985873039834</v>
      </c>
      <c r="C1082" s="309">
        <f t="shared" si="380"/>
        <v>57522.734881899974</v>
      </c>
      <c r="D1082" s="310">
        <f t="shared" si="380"/>
        <v>75088.794480444456</v>
      </c>
      <c r="E1082" s="308">
        <f t="shared" si="380"/>
        <v>126089.95402913523</v>
      </c>
      <c r="F1082" s="308">
        <f>F32+F102+F172+F242+F312+F382+F452+F522+F592+F662+F732+F802+F872+F942+F1012</f>
        <v>232637.73375494668</v>
      </c>
      <c r="G1082" s="309">
        <f t="shared" si="380"/>
        <v>848274.57261842722</v>
      </c>
      <c r="H1082" s="311">
        <f t="shared" si="380"/>
        <v>2452268.481025212</v>
      </c>
      <c r="I1082" s="310">
        <f t="shared" si="380"/>
        <v>5235</v>
      </c>
      <c r="J1082" s="244"/>
      <c r="K1082" s="303" t="s">
        <v>150</v>
      </c>
      <c r="L1082" s="312">
        <f>B1082/I1082</f>
        <v>7.5413535574097104</v>
      </c>
      <c r="M1082" s="312">
        <f>D1082/I1082</f>
        <v>14.343609260829886</v>
      </c>
      <c r="N1082" s="312">
        <f>D1082/B1082</f>
        <v>1.9019940056697995</v>
      </c>
      <c r="O1082" s="312">
        <f>(F1082*3.6+G1082)*100/H1082</f>
        <v>68.743305522218776</v>
      </c>
      <c r="P1082" s="312">
        <f>(E1082*3.6+G1082)*100/H1082</f>
        <v>53.101787883311545</v>
      </c>
      <c r="Q1082" s="312">
        <f>E1082/(B1082*8760)*1000</f>
        <v>0.36459473439646473</v>
      </c>
      <c r="R1082" s="312">
        <f>G1082/(D1082*8761)*1000/3.6</f>
        <v>0.35818313720206391</v>
      </c>
      <c r="S1082" s="312">
        <f>G1082/(E1082*3.6)</f>
        <v>1.8687597084292231</v>
      </c>
      <c r="T1082" s="269"/>
      <c r="U1082" s="239" t="s">
        <v>514</v>
      </c>
      <c r="V1082" s="492">
        <f t="shared" si="377"/>
        <v>7.0551099346110568</v>
      </c>
      <c r="Z1082" s="214">
        <f>C1082-B1082</f>
        <v>18043.749008860141</v>
      </c>
      <c r="AA1082" s="214">
        <f>F1082-E1082</f>
        <v>106547.77972581144</v>
      </c>
    </row>
    <row r="1083" spans="1:27" ht="13.15" customHeight="1">
      <c r="A1083" s="239"/>
      <c r="B1083" s="314"/>
      <c r="C1083" s="315"/>
      <c r="D1083" s="315"/>
      <c r="E1083" s="316"/>
      <c r="F1083" s="316"/>
      <c r="G1083" s="317"/>
      <c r="H1083" s="314"/>
      <c r="I1083" s="314"/>
      <c r="J1083" s="230"/>
      <c r="K1083" s="239"/>
      <c r="L1083" s="312"/>
      <c r="M1083" s="267"/>
      <c r="N1083" s="267"/>
      <c r="O1083" s="239"/>
      <c r="P1083" s="313"/>
      <c r="Q1083" s="267"/>
      <c r="R1083" s="267"/>
      <c r="S1083" s="239"/>
      <c r="T1083" s="269"/>
      <c r="U1083" s="239" t="s">
        <v>515</v>
      </c>
      <c r="V1083" s="492">
        <f t="shared" si="377"/>
        <v>0.60312464598730631</v>
      </c>
      <c r="Z1083" s="214">
        <f t="shared" ref="Z1083:Z1103" si="381">C1083-B1083</f>
        <v>0</v>
      </c>
      <c r="AA1083" s="214">
        <f t="shared" ref="AA1083:AA1103" si="382">F1083-E1083</f>
        <v>0</v>
      </c>
    </row>
    <row r="1084" spans="1:27" ht="13.15" customHeight="1">
      <c r="A1084" s="312" t="s">
        <v>7</v>
      </c>
      <c r="B1084" s="310">
        <f>SUM(B1085:B1102)</f>
        <v>34399.89646561844</v>
      </c>
      <c r="C1084" s="310">
        <f t="shared" ref="C1084:I1084" si="383">SUM(C1085:C1102)</f>
        <v>40691.826347200004</v>
      </c>
      <c r="D1084" s="310">
        <f t="shared" si="383"/>
        <v>96153.783326829638</v>
      </c>
      <c r="E1084" s="310">
        <f t="shared" si="383"/>
        <v>121577.71537322619</v>
      </c>
      <c r="F1084" s="310">
        <f t="shared" si="383"/>
        <v>150913.89782931918</v>
      </c>
      <c r="G1084" s="310">
        <f t="shared" si="383"/>
        <v>1402011.0148286058</v>
      </c>
      <c r="H1084" s="310">
        <f t="shared" si="383"/>
        <v>2524170.2396844057</v>
      </c>
      <c r="I1084" s="310">
        <f t="shared" si="383"/>
        <v>5864</v>
      </c>
      <c r="J1084" s="244"/>
      <c r="K1084" s="318" t="s">
        <v>7</v>
      </c>
      <c r="L1084" s="312">
        <f>B1084/I1084</f>
        <v>5.8662852090072377</v>
      </c>
      <c r="M1084" s="313">
        <f>D1084/I1084</f>
        <v>16.397302750141481</v>
      </c>
      <c r="N1084" s="313">
        <f>D1084/B1084</f>
        <v>2.7951765326657938</v>
      </c>
      <c r="O1084" s="312">
        <f>(F1084*3.6+G1084)*100/H1084</f>
        <v>77.066951207592638</v>
      </c>
      <c r="P1084" s="313">
        <f>(E1084*3.6+G1084)*100/H1084</f>
        <v>72.882991854076948</v>
      </c>
      <c r="Q1084" s="313">
        <f>E1084/(B1084*8760)*1000</f>
        <v>0.40345280240939568</v>
      </c>
      <c r="R1084" s="313">
        <f>G1084/(D1084*8761)*1000/3.6</f>
        <v>0.46230529497544243</v>
      </c>
      <c r="S1084" s="313">
        <f>G1084/(E1084*3.6)</f>
        <v>3.2032803291582597</v>
      </c>
      <c r="T1084" s="269"/>
      <c r="U1084" s="239" t="s">
        <v>516</v>
      </c>
      <c r="V1084" s="492">
        <f t="shared" si="377"/>
        <v>0.98654842170350765</v>
      </c>
      <c r="Z1084" s="214">
        <f t="shared" si="381"/>
        <v>6291.9298815815637</v>
      </c>
      <c r="AA1084" s="214">
        <f t="shared" si="382"/>
        <v>29336.182456092982</v>
      </c>
    </row>
    <row r="1085" spans="1:27" ht="13.15" customHeight="1">
      <c r="A1085" s="239" t="s">
        <v>152</v>
      </c>
      <c r="B1085" s="319">
        <f t="shared" ref="B1085:I1100" si="384">B35+B105+B175+B245+B315+B385+B455+B525+B595+B665+B735+B805+B875+B945+B1015</f>
        <v>1352.3313868613138</v>
      </c>
      <c r="C1085" s="320">
        <f t="shared" si="384"/>
        <v>1353.2</v>
      </c>
      <c r="D1085" s="320">
        <f t="shared" si="384"/>
        <v>454.37522810218979</v>
      </c>
      <c r="E1085" s="316">
        <f t="shared" si="384"/>
        <v>1385.6147679999999</v>
      </c>
      <c r="F1085" s="316">
        <f t="shared" si="384"/>
        <v>1386.2759999999998</v>
      </c>
      <c r="G1085" s="321">
        <f t="shared" si="384"/>
        <v>17334.8960692</v>
      </c>
      <c r="H1085" s="319">
        <f t="shared" si="384"/>
        <v>27057.724431999999</v>
      </c>
      <c r="I1085" s="319">
        <f t="shared" si="384"/>
        <v>24</v>
      </c>
      <c r="J1085" s="230"/>
      <c r="K1085" s="305" t="s">
        <v>152</v>
      </c>
      <c r="L1085" s="239">
        <v>0</v>
      </c>
      <c r="M1085" s="239">
        <v>0</v>
      </c>
      <c r="N1085" s="239">
        <v>0</v>
      </c>
      <c r="O1085" s="239">
        <v>0</v>
      </c>
      <c r="P1085" s="239">
        <v>0</v>
      </c>
      <c r="Q1085" s="239">
        <v>0</v>
      </c>
      <c r="R1085" s="239">
        <v>0</v>
      </c>
      <c r="S1085" s="239">
        <v>0</v>
      </c>
      <c r="T1085" s="269"/>
      <c r="U1085" s="239" t="s">
        <v>517</v>
      </c>
      <c r="V1085" s="492">
        <f t="shared" si="377"/>
        <v>7.1028624931506856E-2</v>
      </c>
      <c r="Z1085" s="214">
        <f t="shared" si="381"/>
        <v>0.86861313868621437</v>
      </c>
      <c r="AA1085" s="214">
        <f t="shared" si="382"/>
        <v>0.66123199999992721</v>
      </c>
    </row>
    <row r="1086" spans="1:27" ht="13.15" customHeight="1">
      <c r="A1086" s="239" t="s">
        <v>504</v>
      </c>
      <c r="B1086" s="319">
        <f t="shared" si="384"/>
        <v>88.45</v>
      </c>
      <c r="C1086" s="320">
        <f t="shared" si="384"/>
        <v>140.44999999999999</v>
      </c>
      <c r="D1086" s="320">
        <f t="shared" si="384"/>
        <v>178.33316666666667</v>
      </c>
      <c r="E1086" s="316">
        <f t="shared" si="384"/>
        <v>493.81680000000006</v>
      </c>
      <c r="F1086" s="316">
        <f t="shared" si="384"/>
        <v>836.13200000000006</v>
      </c>
      <c r="G1086" s="321">
        <f t="shared" si="384"/>
        <v>3837.4898000000003</v>
      </c>
      <c r="H1086" s="319">
        <f t="shared" si="384"/>
        <v>9864.0123359999998</v>
      </c>
      <c r="I1086" s="319">
        <f t="shared" si="384"/>
        <v>13</v>
      </c>
      <c r="J1086" s="230"/>
      <c r="K1086" s="305" t="s">
        <v>504</v>
      </c>
      <c r="L1086" s="239">
        <f t="shared" ref="L1086:L1101" si="385">B1086/I1086</f>
        <v>6.8038461538461537</v>
      </c>
      <c r="M1086" s="267">
        <f t="shared" ref="M1086:M1101" si="386">D1086/I1086</f>
        <v>13.717935897435897</v>
      </c>
      <c r="N1086" s="267">
        <f t="shared" ref="N1086:N1101" si="387">D1086/B1086</f>
        <v>2.0162031279442245</v>
      </c>
      <c r="O1086" s="239">
        <f>(F1086*3.6+G1086)*100/H1086</f>
        <v>69.419671901756629</v>
      </c>
      <c r="P1086" s="267">
        <f t="shared" ref="P1086:P1101" si="388">(E1086*3.6+G1086)*100/H1086</f>
        <v>56.92643205145319</v>
      </c>
      <c r="Q1086" s="267">
        <f t="shared" ref="Q1086:Q1101" si="389">E1086/(B1086*8760)*1000</f>
        <v>0.6373293479018407</v>
      </c>
      <c r="R1086" s="267">
        <f t="shared" ref="R1086:R1101" si="390">G1086/(D1086*8761)*1000/3.6</f>
        <v>0.68227417289424808</v>
      </c>
      <c r="S1086" s="267">
        <f t="shared" ref="S1086:S1101" si="391">G1086/(E1086*3.6)</f>
        <v>2.1586333006266472</v>
      </c>
      <c r="T1086" s="269"/>
      <c r="U1086" s="239" t="s">
        <v>518</v>
      </c>
      <c r="V1086" s="492">
        <f t="shared" si="377"/>
        <v>1.4854311273054428</v>
      </c>
      <c r="Z1086" s="214">
        <f t="shared" si="381"/>
        <v>51.999999999999986</v>
      </c>
      <c r="AA1086" s="214">
        <f t="shared" si="382"/>
        <v>342.3152</v>
      </c>
    </row>
    <row r="1087" spans="1:27" ht="13.15" customHeight="1">
      <c r="A1087" s="239" t="s">
        <v>505</v>
      </c>
      <c r="B1087" s="319">
        <f t="shared" si="384"/>
        <v>18.476454941519197</v>
      </c>
      <c r="C1087" s="320">
        <f t="shared" si="384"/>
        <v>18.527999999999999</v>
      </c>
      <c r="D1087" s="320">
        <f t="shared" si="384"/>
        <v>262.79409156919866</v>
      </c>
      <c r="E1087" s="316">
        <f t="shared" si="384"/>
        <v>92.186319999999995</v>
      </c>
      <c r="F1087" s="316">
        <f t="shared" si="384"/>
        <v>98.774000000000001</v>
      </c>
      <c r="G1087" s="321">
        <f t="shared" si="384"/>
        <v>4591.1531999999997</v>
      </c>
      <c r="H1087" s="319">
        <f t="shared" si="384"/>
        <v>5679.0334511999999</v>
      </c>
      <c r="I1087" s="319">
        <f t="shared" si="384"/>
        <v>2</v>
      </c>
      <c r="J1087" s="230"/>
      <c r="K1087" s="305" t="s">
        <v>505</v>
      </c>
      <c r="L1087" s="239">
        <f t="shared" si="385"/>
        <v>9.2382274707595986</v>
      </c>
      <c r="M1087" s="267">
        <f t="shared" si="386"/>
        <v>131.39704578459933</v>
      </c>
      <c r="N1087" s="267">
        <f t="shared" si="387"/>
        <v>14.223187965493494</v>
      </c>
      <c r="O1087" s="239">
        <f>(F1087*3.6+G1087)*100/H1087</f>
        <v>87.105308368182548</v>
      </c>
      <c r="P1087" s="267">
        <f t="shared" si="388"/>
        <v>86.687708292328281</v>
      </c>
      <c r="Q1087" s="267">
        <f t="shared" si="389"/>
        <v>0.56956556572806727</v>
      </c>
      <c r="R1087" s="267">
        <f t="shared" si="390"/>
        <v>0.55392377632502532</v>
      </c>
      <c r="S1087" s="267">
        <f t="shared" si="391"/>
        <v>13.83416035408869</v>
      </c>
      <c r="T1087" s="269"/>
      <c r="U1087" s="239" t="s">
        <v>519</v>
      </c>
      <c r="V1087" s="492">
        <f t="shared" si="377"/>
        <v>0.66170080327860792</v>
      </c>
      <c r="Z1087" s="214">
        <f t="shared" si="381"/>
        <v>5.1545058480801487E-2</v>
      </c>
      <c r="AA1087" s="214">
        <f t="shared" si="382"/>
        <v>6.587680000000006</v>
      </c>
    </row>
    <row r="1088" spans="1:27" ht="13.15" customHeight="1">
      <c r="A1088" s="239" t="s">
        <v>506</v>
      </c>
      <c r="B1088" s="319">
        <f t="shared" si="384"/>
        <v>4042.8076011859557</v>
      </c>
      <c r="C1088" s="320">
        <f t="shared" si="384"/>
        <v>4420.1414999999997</v>
      </c>
      <c r="D1088" s="320">
        <f t="shared" si="384"/>
        <v>14124.442058119002</v>
      </c>
      <c r="E1088" s="316">
        <f t="shared" si="384"/>
        <v>21485.061377604448</v>
      </c>
      <c r="F1088" s="316">
        <f t="shared" si="384"/>
        <v>25406.042750320001</v>
      </c>
      <c r="G1088" s="321">
        <f t="shared" si="384"/>
        <v>230807.1728814239</v>
      </c>
      <c r="H1088" s="319">
        <f t="shared" si="384"/>
        <v>410410.28949052282</v>
      </c>
      <c r="I1088" s="319">
        <f t="shared" si="384"/>
        <v>167</v>
      </c>
      <c r="J1088" s="230"/>
      <c r="K1088" s="305" t="s">
        <v>506</v>
      </c>
      <c r="L1088" s="239">
        <f t="shared" si="385"/>
        <v>24.208428749616502</v>
      </c>
      <c r="M1088" s="267">
        <f t="shared" si="386"/>
        <v>84.577497354005999</v>
      </c>
      <c r="N1088" s="267">
        <f t="shared" si="387"/>
        <v>3.49372106008102</v>
      </c>
      <c r="O1088" s="239">
        <f>(F1088*3.6+G1088)*100/H1088</f>
        <v>78.52359822231449</v>
      </c>
      <c r="P1088" s="267">
        <f t="shared" si="388"/>
        <v>75.084227109251316</v>
      </c>
      <c r="Q1088" s="267">
        <f t="shared" si="389"/>
        <v>0.60666566883683193</v>
      </c>
      <c r="R1088" s="267">
        <f t="shared" si="390"/>
        <v>0.51810981423656854</v>
      </c>
      <c r="S1088" s="267">
        <f t="shared" si="391"/>
        <v>2.9840782137584854</v>
      </c>
      <c r="T1088" s="269"/>
      <c r="Z1088" s="214">
        <f t="shared" si="381"/>
        <v>377.33389881404401</v>
      </c>
      <c r="AA1088" s="214">
        <f t="shared" si="382"/>
        <v>3920.9813727155524</v>
      </c>
    </row>
    <row r="1089" spans="1:27" ht="13.15" customHeight="1">
      <c r="A1089" s="239" t="s">
        <v>507</v>
      </c>
      <c r="B1089" s="319">
        <f t="shared" si="384"/>
        <v>0</v>
      </c>
      <c r="C1089" s="320">
        <f t="shared" si="384"/>
        <v>0</v>
      </c>
      <c r="D1089" s="320">
        <f t="shared" si="384"/>
        <v>0</v>
      </c>
      <c r="E1089" s="316">
        <f t="shared" si="384"/>
        <v>0</v>
      </c>
      <c r="F1089" s="316">
        <f t="shared" si="384"/>
        <v>0</v>
      </c>
      <c r="G1089" s="321">
        <f t="shared" si="384"/>
        <v>0</v>
      </c>
      <c r="H1089" s="319">
        <f t="shared" si="384"/>
        <v>0</v>
      </c>
      <c r="I1089" s="319">
        <f t="shared" si="384"/>
        <v>0</v>
      </c>
      <c r="J1089" s="230"/>
      <c r="K1089" s="305" t="s">
        <v>507</v>
      </c>
      <c r="L1089" s="239">
        <v>0</v>
      </c>
      <c r="M1089" s="239">
        <v>0</v>
      </c>
      <c r="N1089" s="239">
        <v>0</v>
      </c>
      <c r="O1089" s="239">
        <v>0</v>
      </c>
      <c r="P1089" s="239">
        <v>0</v>
      </c>
      <c r="Q1089" s="239">
        <v>0</v>
      </c>
      <c r="R1089" s="239">
        <v>0</v>
      </c>
      <c r="S1089" s="239">
        <v>0</v>
      </c>
      <c r="T1089" s="269"/>
      <c r="Z1089" s="214">
        <f t="shared" si="381"/>
        <v>0</v>
      </c>
      <c r="AA1089" s="214">
        <f t="shared" si="382"/>
        <v>0</v>
      </c>
    </row>
    <row r="1090" spans="1:27" ht="13.15" customHeight="1">
      <c r="A1090" s="239" t="s">
        <v>156</v>
      </c>
      <c r="B1090" s="319">
        <f t="shared" si="384"/>
        <v>970.20550997208034</v>
      </c>
      <c r="C1090" s="320">
        <f t="shared" si="384"/>
        <v>1157.6100000000001</v>
      </c>
      <c r="D1090" s="320">
        <f t="shared" si="384"/>
        <v>3533.4076691866699</v>
      </c>
      <c r="E1090" s="316">
        <f t="shared" si="384"/>
        <v>1200.6032725600001</v>
      </c>
      <c r="F1090" s="316">
        <f t="shared" si="384"/>
        <v>2493.759</v>
      </c>
      <c r="G1090" s="321">
        <f t="shared" si="384"/>
        <v>15881.704191199997</v>
      </c>
      <c r="H1090" s="319">
        <f t="shared" si="384"/>
        <v>38400.270493951204</v>
      </c>
      <c r="I1090" s="319">
        <f t="shared" si="384"/>
        <v>61</v>
      </c>
      <c r="J1090" s="230"/>
      <c r="K1090" s="305" t="s">
        <v>156</v>
      </c>
      <c r="L1090" s="239">
        <f t="shared" si="385"/>
        <v>15.905008360198039</v>
      </c>
      <c r="M1090" s="267">
        <f t="shared" si="386"/>
        <v>57.924715888306061</v>
      </c>
      <c r="N1090" s="267">
        <f t="shared" si="387"/>
        <v>3.641916720601134</v>
      </c>
      <c r="O1090" s="322">
        <f>(F1090*3.6+G1090)*100/H1090</f>
        <v>64.737139273838736</v>
      </c>
      <c r="P1090" s="323">
        <f t="shared" si="388"/>
        <v>52.61388972663228</v>
      </c>
      <c r="Q1090" s="267">
        <f t="shared" si="389"/>
        <v>0.14126405868835012</v>
      </c>
      <c r="R1090" s="267">
        <f t="shared" si="390"/>
        <v>0.14251060187233425</v>
      </c>
      <c r="S1090" s="267">
        <f t="shared" si="391"/>
        <v>3.6744731572727627</v>
      </c>
      <c r="T1090" s="269"/>
      <c r="Z1090" s="214">
        <f t="shared" si="381"/>
        <v>187.40449002791979</v>
      </c>
      <c r="AA1090" s="214">
        <f t="shared" si="382"/>
        <v>1293.15572744</v>
      </c>
    </row>
    <row r="1091" spans="1:27" ht="13.15" customHeight="1">
      <c r="A1091" s="239" t="s">
        <v>508</v>
      </c>
      <c r="B1091" s="319">
        <f t="shared" si="384"/>
        <v>106.40971515207293</v>
      </c>
      <c r="C1091" s="320">
        <f t="shared" si="384"/>
        <v>146.39600000000002</v>
      </c>
      <c r="D1091" s="320">
        <f t="shared" si="384"/>
        <v>481.65605315629392</v>
      </c>
      <c r="E1091" s="316">
        <f t="shared" si="384"/>
        <v>314.19792960000001</v>
      </c>
      <c r="F1091" s="316">
        <f t="shared" si="384"/>
        <v>352.56434999999999</v>
      </c>
      <c r="G1091" s="321">
        <f t="shared" si="384"/>
        <v>5362.0946960000001</v>
      </c>
      <c r="H1091" s="319">
        <f t="shared" si="384"/>
        <v>8528.3671416400011</v>
      </c>
      <c r="I1091" s="319">
        <f t="shared" si="384"/>
        <v>24</v>
      </c>
      <c r="J1091" s="230"/>
      <c r="K1091" s="305" t="s">
        <v>508</v>
      </c>
      <c r="L1091" s="239">
        <f t="shared" si="385"/>
        <v>4.433738131336372</v>
      </c>
      <c r="M1091" s="267">
        <f t="shared" si="386"/>
        <v>20.069002214845579</v>
      </c>
      <c r="N1091" s="267">
        <f t="shared" si="387"/>
        <v>4.5264293064589687</v>
      </c>
      <c r="O1091" s="239">
        <f>(F1091*3.6+G1091)*100/H1091</f>
        <v>77.756107891068098</v>
      </c>
      <c r="P1091" s="267">
        <f t="shared" si="388"/>
        <v>76.136582005912089</v>
      </c>
      <c r="Q1091" s="267">
        <f t="shared" si="389"/>
        <v>0.33706831665120868</v>
      </c>
      <c r="R1091" s="267">
        <f t="shared" si="390"/>
        <v>0.35297282902991878</v>
      </c>
      <c r="S1091" s="267">
        <f t="shared" si="391"/>
        <v>4.740549216174367</v>
      </c>
      <c r="T1091" s="269"/>
      <c r="Z1091" s="214">
        <f t="shared" si="381"/>
        <v>39.986284847927081</v>
      </c>
      <c r="AA1091" s="214">
        <f t="shared" si="382"/>
        <v>38.366420399999981</v>
      </c>
    </row>
    <row r="1092" spans="1:27" ht="13.15" customHeight="1">
      <c r="A1092" s="239" t="s">
        <v>509</v>
      </c>
      <c r="B1092" s="319">
        <f t="shared" si="384"/>
        <v>12375.090162685301</v>
      </c>
      <c r="C1092" s="320">
        <f t="shared" si="384"/>
        <v>14648.838000000002</v>
      </c>
      <c r="D1092" s="320">
        <f t="shared" si="384"/>
        <v>21410.841066611105</v>
      </c>
      <c r="E1092" s="316">
        <f t="shared" si="384"/>
        <v>29005.490926383183</v>
      </c>
      <c r="F1092" s="316">
        <f t="shared" si="384"/>
        <v>40629.394135222225</v>
      </c>
      <c r="G1092" s="321">
        <f t="shared" si="384"/>
        <v>331589.78068639961</v>
      </c>
      <c r="H1092" s="319">
        <f t="shared" si="384"/>
        <v>620245.26741363748</v>
      </c>
      <c r="I1092" s="319">
        <f t="shared" si="384"/>
        <v>535</v>
      </c>
      <c r="J1092" s="230"/>
      <c r="K1092" s="305" t="s">
        <v>509</v>
      </c>
      <c r="L1092" s="239">
        <f t="shared" si="385"/>
        <v>23.131009649879068</v>
      </c>
      <c r="M1092" s="267">
        <f t="shared" si="386"/>
        <v>40.020263675908609</v>
      </c>
      <c r="N1092" s="267">
        <f t="shared" si="387"/>
        <v>1.7301563693791395</v>
      </c>
      <c r="O1092" s="239">
        <f>(F1092*3.6+G1092)*100/H1092</f>
        <v>77.043006158807316</v>
      </c>
      <c r="P1092" s="267">
        <f t="shared" si="388"/>
        <v>70.296311947610093</v>
      </c>
      <c r="Q1092" s="267">
        <f t="shared" si="389"/>
        <v>0.26756403853681537</v>
      </c>
      <c r="R1092" s="267">
        <f t="shared" si="390"/>
        <v>0.49103362040266496</v>
      </c>
      <c r="S1092" s="267">
        <f t="shared" si="391"/>
        <v>3.1755460594224165</v>
      </c>
      <c r="T1092" s="269"/>
      <c r="Z1092" s="214">
        <f t="shared" si="381"/>
        <v>2273.7478373147005</v>
      </c>
      <c r="AA1092" s="214">
        <f t="shared" si="382"/>
        <v>11623.903208839041</v>
      </c>
    </row>
    <row r="1093" spans="1:27" ht="13.15" customHeight="1">
      <c r="A1093" s="239" t="s">
        <v>510</v>
      </c>
      <c r="B1093" s="319">
        <f t="shared" si="384"/>
        <v>468.26306662463952</v>
      </c>
      <c r="C1093" s="320">
        <f t="shared" si="384"/>
        <v>721.31000000000006</v>
      </c>
      <c r="D1093" s="320">
        <f t="shared" si="384"/>
        <v>989.04307189144981</v>
      </c>
      <c r="E1093" s="316">
        <f t="shared" si="384"/>
        <v>2553.6236594707766</v>
      </c>
      <c r="F1093" s="316">
        <f t="shared" si="384"/>
        <v>3371.1673161111107</v>
      </c>
      <c r="G1093" s="321">
        <f t="shared" si="384"/>
        <v>19802.626859999993</v>
      </c>
      <c r="H1093" s="319">
        <f t="shared" si="384"/>
        <v>42382.286675412914</v>
      </c>
      <c r="I1093" s="319">
        <f t="shared" si="384"/>
        <v>238</v>
      </c>
      <c r="J1093" s="230"/>
      <c r="K1093" s="305" t="s">
        <v>510</v>
      </c>
      <c r="L1093" s="239">
        <f t="shared" si="385"/>
        <v>1.9674918765741156</v>
      </c>
      <c r="M1093" s="267">
        <f t="shared" si="386"/>
        <v>4.1556431592077727</v>
      </c>
      <c r="N1093" s="267">
        <f t="shared" si="387"/>
        <v>2.1121526389444427</v>
      </c>
      <c r="O1093" s="322">
        <f>(F1093*3.6+G1093)*100/H1093</f>
        <v>75.358909826185837</v>
      </c>
      <c r="P1093" s="323">
        <f t="shared" si="388"/>
        <v>68.414600316777964</v>
      </c>
      <c r="Q1093" s="267">
        <f t="shared" si="389"/>
        <v>0.62253372291172271</v>
      </c>
      <c r="R1093" s="267">
        <f t="shared" si="390"/>
        <v>0.63482119450839292</v>
      </c>
      <c r="S1093" s="267">
        <f t="shared" si="391"/>
        <v>2.1540878441239557</v>
      </c>
      <c r="T1093" s="269"/>
      <c r="Z1093" s="214">
        <f t="shared" si="381"/>
        <v>253.04693337536054</v>
      </c>
      <c r="AA1093" s="214">
        <f t="shared" si="382"/>
        <v>817.54365664033412</v>
      </c>
    </row>
    <row r="1094" spans="1:27" ht="13.15" customHeight="1">
      <c r="A1094" s="239" t="s">
        <v>511</v>
      </c>
      <c r="B1094" s="324">
        <f t="shared" si="384"/>
        <v>161.90442123647304</v>
      </c>
      <c r="C1094" s="325">
        <f t="shared" si="384"/>
        <v>187.4</v>
      </c>
      <c r="D1094" s="320">
        <f t="shared" si="384"/>
        <v>284.9539362902151</v>
      </c>
      <c r="E1094" s="316">
        <f t="shared" si="384"/>
        <v>979.34036311111095</v>
      </c>
      <c r="F1094" s="316">
        <f t="shared" si="384"/>
        <v>1041.4215111111109</v>
      </c>
      <c r="G1094" s="321">
        <f t="shared" si="384"/>
        <v>6831.7623935996553</v>
      </c>
      <c r="H1094" s="319">
        <f t="shared" si="384"/>
        <v>13320.213574001602</v>
      </c>
      <c r="I1094" s="319">
        <f t="shared" si="384"/>
        <v>53</v>
      </c>
      <c r="J1094" s="230"/>
      <c r="K1094" s="305" t="s">
        <v>511</v>
      </c>
      <c r="L1094" s="239">
        <v>0</v>
      </c>
      <c r="M1094" s="239">
        <v>0</v>
      </c>
      <c r="N1094" s="239">
        <v>0</v>
      </c>
      <c r="O1094" s="239">
        <v>0</v>
      </c>
      <c r="P1094" s="239">
        <v>0</v>
      </c>
      <c r="Q1094" s="239">
        <v>0</v>
      </c>
      <c r="R1094" s="239">
        <v>0</v>
      </c>
      <c r="S1094" s="239">
        <v>0</v>
      </c>
      <c r="T1094" s="269"/>
      <c r="Z1094" s="214">
        <f t="shared" si="381"/>
        <v>25.495578763526964</v>
      </c>
      <c r="AA1094" s="214">
        <f t="shared" si="382"/>
        <v>62.081147999999985</v>
      </c>
    </row>
    <row r="1095" spans="1:27" ht="13.15" customHeight="1">
      <c r="A1095" s="239" t="s">
        <v>512</v>
      </c>
      <c r="B1095" s="324">
        <f t="shared" si="384"/>
        <v>3398.7840932686013</v>
      </c>
      <c r="C1095" s="325">
        <f t="shared" si="384"/>
        <v>4048.8230000000003</v>
      </c>
      <c r="D1095" s="320">
        <f t="shared" si="384"/>
        <v>14563.69858415909</v>
      </c>
      <c r="E1095" s="316">
        <f t="shared" si="384"/>
        <v>11645.574884872149</v>
      </c>
      <c r="F1095" s="316">
        <f t="shared" si="384"/>
        <v>13674.06727736842</v>
      </c>
      <c r="G1095" s="321">
        <f t="shared" si="384"/>
        <v>141943.35597919961</v>
      </c>
      <c r="H1095" s="319">
        <f t="shared" si="384"/>
        <v>239112.05816909202</v>
      </c>
      <c r="I1095" s="319">
        <f t="shared" si="384"/>
        <v>734</v>
      </c>
      <c r="J1095" s="230"/>
      <c r="K1095" s="305" t="s">
        <v>512</v>
      </c>
      <c r="L1095" s="239">
        <f t="shared" si="385"/>
        <v>4.6304960398754789</v>
      </c>
      <c r="M1095" s="267">
        <f t="shared" si="386"/>
        <v>19.841551204576419</v>
      </c>
      <c r="N1095" s="267">
        <f t="shared" si="387"/>
        <v>4.2849731505460893</v>
      </c>
      <c r="O1095" s="239">
        <f t="shared" ref="O1095:O1101" si="392">(F1095*3.6+G1095)*100/H1095</f>
        <v>79.94996138694809</v>
      </c>
      <c r="P1095" s="267">
        <f t="shared" si="388"/>
        <v>76.895923598597633</v>
      </c>
      <c r="Q1095" s="267">
        <f t="shared" si="389"/>
        <v>0.39114091663052741</v>
      </c>
      <c r="R1095" s="267">
        <f t="shared" si="390"/>
        <v>0.30902043955969732</v>
      </c>
      <c r="S1095" s="267">
        <f t="shared" si="391"/>
        <v>3.3857246537000809</v>
      </c>
      <c r="T1095" s="269"/>
      <c r="Z1095" s="214">
        <f t="shared" si="381"/>
        <v>650.03890673139904</v>
      </c>
      <c r="AA1095" s="214">
        <f t="shared" si="382"/>
        <v>2028.4923924962713</v>
      </c>
    </row>
    <row r="1096" spans="1:27" ht="13.15" customHeight="1">
      <c r="A1096" s="239" t="s">
        <v>513</v>
      </c>
      <c r="B1096" s="324">
        <f t="shared" si="384"/>
        <v>554.23049587304865</v>
      </c>
      <c r="C1096" s="325">
        <f t="shared" si="384"/>
        <v>753.30584499999986</v>
      </c>
      <c r="D1096" s="320">
        <f t="shared" si="384"/>
        <v>2053.759451369192</v>
      </c>
      <c r="E1096" s="316">
        <f t="shared" si="384"/>
        <v>2187.2272070504869</v>
      </c>
      <c r="F1096" s="316">
        <f t="shared" si="384"/>
        <v>2761.9636256663662</v>
      </c>
      <c r="G1096" s="321">
        <f t="shared" si="384"/>
        <v>19622.571057999958</v>
      </c>
      <c r="H1096" s="319">
        <f t="shared" si="384"/>
        <v>39453.315682020795</v>
      </c>
      <c r="I1096" s="319">
        <f t="shared" si="384"/>
        <v>199</v>
      </c>
      <c r="J1096" s="230"/>
      <c r="K1096" s="305" t="s">
        <v>513</v>
      </c>
      <c r="L1096" s="239">
        <f t="shared" si="385"/>
        <v>2.7850778687087874</v>
      </c>
      <c r="M1096" s="267">
        <f t="shared" si="386"/>
        <v>10.320399253111518</v>
      </c>
      <c r="N1096" s="267">
        <f t="shared" si="387"/>
        <v>3.7056052791429641</v>
      </c>
      <c r="O1096" s="239">
        <f t="shared" si="392"/>
        <v>74.938289974629896</v>
      </c>
      <c r="P1096" s="267">
        <f t="shared" si="388"/>
        <v>69.69398776263597</v>
      </c>
      <c r="Q1096" s="267">
        <f t="shared" si="389"/>
        <v>0.45050475025047521</v>
      </c>
      <c r="R1096" s="267">
        <f t="shared" si="390"/>
        <v>0.30293548914668667</v>
      </c>
      <c r="S1096" s="267">
        <f t="shared" si="391"/>
        <v>2.4920658289214255</v>
      </c>
      <c r="T1096" s="269"/>
      <c r="Z1096" s="214">
        <f t="shared" si="381"/>
        <v>199.07534912695121</v>
      </c>
      <c r="AA1096" s="214">
        <f t="shared" si="382"/>
        <v>574.7364186158793</v>
      </c>
    </row>
    <row r="1097" spans="1:27" ht="13.15" customHeight="1">
      <c r="A1097" s="239" t="s">
        <v>514</v>
      </c>
      <c r="B1097" s="324">
        <f t="shared" si="384"/>
        <v>7055.1099346110568</v>
      </c>
      <c r="C1097" s="325">
        <f t="shared" si="384"/>
        <v>7942.7187499999991</v>
      </c>
      <c r="D1097" s="320">
        <f t="shared" si="384"/>
        <v>29368.203843865223</v>
      </c>
      <c r="E1097" s="316">
        <f t="shared" si="384"/>
        <v>35878.288794276152</v>
      </c>
      <c r="F1097" s="316">
        <f t="shared" si="384"/>
        <v>38929.190712628151</v>
      </c>
      <c r="G1097" s="321">
        <f t="shared" si="384"/>
        <v>493595.62098680047</v>
      </c>
      <c r="H1097" s="319">
        <f t="shared" si="384"/>
        <v>820423.96028345474</v>
      </c>
      <c r="I1097" s="319">
        <f t="shared" si="384"/>
        <v>627</v>
      </c>
      <c r="J1097" s="230"/>
      <c r="K1097" s="305" t="s">
        <v>514</v>
      </c>
      <c r="L1097" s="239">
        <f t="shared" si="385"/>
        <v>11.252168954722579</v>
      </c>
      <c r="M1097" s="267">
        <f t="shared" si="386"/>
        <v>46.839240580327314</v>
      </c>
      <c r="N1097" s="267">
        <f t="shared" si="387"/>
        <v>4.1626855025731464</v>
      </c>
      <c r="O1097" s="239">
        <f t="shared" si="392"/>
        <v>77.245514298888324</v>
      </c>
      <c r="P1097" s="267">
        <f t="shared" si="388"/>
        <v>75.906786100083337</v>
      </c>
      <c r="Q1097" s="267">
        <f t="shared" si="389"/>
        <v>0.580528879889883</v>
      </c>
      <c r="R1097" s="267">
        <f t="shared" si="390"/>
        <v>0.53289019702812634</v>
      </c>
      <c r="S1097" s="267">
        <f t="shared" si="391"/>
        <v>3.821528264760206</v>
      </c>
      <c r="T1097" s="269"/>
      <c r="Z1097" s="214">
        <f t="shared" si="381"/>
        <v>887.60881538894228</v>
      </c>
      <c r="AA1097" s="214">
        <f t="shared" si="382"/>
        <v>3050.9019183519995</v>
      </c>
    </row>
    <row r="1098" spans="1:27" ht="13.15" customHeight="1">
      <c r="A1098" s="239" t="s">
        <v>515</v>
      </c>
      <c r="B1098" s="324">
        <f t="shared" si="384"/>
        <v>603.12464598730628</v>
      </c>
      <c r="C1098" s="325">
        <f t="shared" si="384"/>
        <v>751.95300000000009</v>
      </c>
      <c r="D1098" s="320">
        <f t="shared" si="384"/>
        <v>1579.8468570100115</v>
      </c>
      <c r="E1098" s="316">
        <f t="shared" si="384"/>
        <v>2030.245778478165</v>
      </c>
      <c r="F1098" s="316">
        <f t="shared" si="384"/>
        <v>2518.4725645555559</v>
      </c>
      <c r="G1098" s="321">
        <f t="shared" si="384"/>
        <v>15282.603507599895</v>
      </c>
      <c r="H1098" s="319">
        <f t="shared" si="384"/>
        <v>32883.653515032653</v>
      </c>
      <c r="I1098" s="319">
        <f t="shared" si="384"/>
        <v>226</v>
      </c>
      <c r="J1098" s="230"/>
      <c r="K1098" s="305" t="s">
        <v>515</v>
      </c>
      <c r="L1098" s="239">
        <f t="shared" si="385"/>
        <v>2.6686931238376386</v>
      </c>
      <c r="M1098" s="267">
        <f t="shared" si="386"/>
        <v>6.9904728186283691</v>
      </c>
      <c r="N1098" s="267">
        <f t="shared" si="387"/>
        <v>2.6194367408478643</v>
      </c>
      <c r="O1098" s="239">
        <f t="shared" si="392"/>
        <v>74.046227037603302</v>
      </c>
      <c r="P1098" s="267">
        <f t="shared" si="388"/>
        <v>68.701272198339112</v>
      </c>
      <c r="Q1098" s="267">
        <f t="shared" si="389"/>
        <v>0.38427084395110184</v>
      </c>
      <c r="R1098" s="267">
        <f t="shared" si="390"/>
        <v>0.30670875584708551</v>
      </c>
      <c r="S1098" s="267">
        <f t="shared" si="391"/>
        <v>2.0909624273087126</v>
      </c>
      <c r="T1098" s="269"/>
      <c r="Z1098" s="214">
        <f t="shared" si="381"/>
        <v>148.82835401269381</v>
      </c>
      <c r="AA1098" s="214">
        <f t="shared" si="382"/>
        <v>488.2267860773909</v>
      </c>
    </row>
    <row r="1099" spans="1:27" ht="13.15" customHeight="1">
      <c r="A1099" s="239" t="s">
        <v>516</v>
      </c>
      <c r="B1099" s="319">
        <f t="shared" si="384"/>
        <v>986.54842170350764</v>
      </c>
      <c r="C1099" s="320">
        <f t="shared" si="384"/>
        <v>1385.9716991999999</v>
      </c>
      <c r="D1099" s="319">
        <f t="shared" si="384"/>
        <v>2352.2986605936121</v>
      </c>
      <c r="E1099" s="316">
        <f t="shared" si="384"/>
        <v>3698.9570258468825</v>
      </c>
      <c r="F1099" s="316">
        <f t="shared" si="384"/>
        <v>5397.2565898885887</v>
      </c>
      <c r="G1099" s="321">
        <f t="shared" si="384"/>
        <v>33474.436457199947</v>
      </c>
      <c r="H1099" s="319">
        <f t="shared" si="384"/>
        <v>71404.202503640932</v>
      </c>
      <c r="I1099" s="319">
        <f t="shared" si="384"/>
        <v>296</v>
      </c>
      <c r="J1099" s="244"/>
      <c r="K1099" s="239" t="s">
        <v>516</v>
      </c>
      <c r="L1099" s="239">
        <f t="shared" si="385"/>
        <v>3.3329338571064446</v>
      </c>
      <c r="M1099" s="267">
        <f t="shared" si="386"/>
        <v>7.9469549344378789</v>
      </c>
      <c r="N1099" s="267">
        <f t="shared" si="387"/>
        <v>2.3843722303379855</v>
      </c>
      <c r="O1099" s="239">
        <f t="shared" si="392"/>
        <v>74.091661731116233</v>
      </c>
      <c r="P1099" s="267">
        <f t="shared" si="388"/>
        <v>65.529310754311481</v>
      </c>
      <c r="Q1099" s="267">
        <f t="shared" si="389"/>
        <v>0.42801281615578274</v>
      </c>
      <c r="R1099" s="267">
        <f t="shared" si="390"/>
        <v>0.45119536747728461</v>
      </c>
      <c r="S1099" s="267">
        <f t="shared" si="391"/>
        <v>2.5138044336472203</v>
      </c>
      <c r="Z1099" s="214">
        <f t="shared" si="381"/>
        <v>399.42327749649223</v>
      </c>
      <c r="AA1099" s="214">
        <f t="shared" si="382"/>
        <v>1698.2995640417062</v>
      </c>
    </row>
    <row r="1100" spans="1:27" ht="13.15" customHeight="1">
      <c r="A1100" s="239" t="s">
        <v>517</v>
      </c>
      <c r="B1100" s="319">
        <f t="shared" si="384"/>
        <v>71.028624931506855</v>
      </c>
      <c r="C1100" s="320">
        <f t="shared" si="384"/>
        <v>93.544000000000011</v>
      </c>
      <c r="D1100" s="320">
        <f t="shared" si="384"/>
        <v>78.153586996955852</v>
      </c>
      <c r="E1100" s="316">
        <f t="shared" si="384"/>
        <v>251.59635760888887</v>
      </c>
      <c r="F1100" s="316">
        <f t="shared" si="384"/>
        <v>373.1026668888889</v>
      </c>
      <c r="G1100" s="321">
        <f t="shared" si="384"/>
        <v>1019.4633015999964</v>
      </c>
      <c r="H1100" s="319">
        <f t="shared" si="384"/>
        <v>3686.5092372064</v>
      </c>
      <c r="I1100" s="319">
        <f t="shared" si="384"/>
        <v>23</v>
      </c>
      <c r="K1100" s="239" t="s">
        <v>517</v>
      </c>
      <c r="L1100" s="239">
        <f t="shared" si="385"/>
        <v>3.088201083978559</v>
      </c>
      <c r="M1100" s="267">
        <f t="shared" si="386"/>
        <v>3.3979820433459067</v>
      </c>
      <c r="N1100" s="267">
        <f t="shared" si="387"/>
        <v>1.100311136141515</v>
      </c>
      <c r="O1100" s="239">
        <f t="shared" si="392"/>
        <v>64.088620165519401</v>
      </c>
      <c r="P1100" s="267">
        <f t="shared" si="388"/>
        <v>52.223121254156993</v>
      </c>
      <c r="Q1100" s="267">
        <f t="shared" si="389"/>
        <v>0.40435874151918838</v>
      </c>
      <c r="R1100" s="267">
        <f>G1100/(1*8761)*1000/3.6</f>
        <v>32.323279356745054</v>
      </c>
      <c r="S1100" s="267">
        <f t="shared" si="391"/>
        <v>1.1255498813089277</v>
      </c>
      <c r="Z1100" s="214">
        <f t="shared" si="381"/>
        <v>22.515375068493157</v>
      </c>
      <c r="AA1100" s="214">
        <f t="shared" si="382"/>
        <v>121.50630928000004</v>
      </c>
    </row>
    <row r="1101" spans="1:27" ht="13.15" customHeight="1">
      <c r="A1101" s="239" t="s">
        <v>518</v>
      </c>
      <c r="B1101" s="319">
        <f t="shared" ref="B1101:I1102" si="393">B51+B121+B191+B261+B331+B401+B471+B541+B611+B681+B751+B821+B891+B961+B1031</f>
        <v>1485.4311273054427</v>
      </c>
      <c r="C1101" s="320">
        <f t="shared" si="393"/>
        <v>1846.5705529999998</v>
      </c>
      <c r="D1101" s="320">
        <f t="shared" si="393"/>
        <v>3152.2793484630738</v>
      </c>
      <c r="E1101" s="316">
        <f t="shared" si="393"/>
        <v>5859.4325319906229</v>
      </c>
      <c r="F1101" s="316">
        <f t="shared" si="393"/>
        <v>7408.7463295587386</v>
      </c>
      <c r="G1101" s="321">
        <f t="shared" si="393"/>
        <v>45024.25061798274</v>
      </c>
      <c r="H1101" s="319">
        <f t="shared" si="393"/>
        <v>99614.568627511995</v>
      </c>
      <c r="I1101" s="319">
        <f t="shared" si="393"/>
        <v>1474</v>
      </c>
      <c r="K1101" s="239" t="s">
        <v>518</v>
      </c>
      <c r="L1101" s="239">
        <f t="shared" si="385"/>
        <v>1.0077551745627156</v>
      </c>
      <c r="M1101" s="267">
        <f t="shared" si="386"/>
        <v>2.1385884317931301</v>
      </c>
      <c r="N1101" s="267">
        <f t="shared" si="387"/>
        <v>2.1221309359399765</v>
      </c>
      <c r="O1101" s="239">
        <f t="shared" si="392"/>
        <v>71.973144482997796</v>
      </c>
      <c r="P1101" s="267">
        <f t="shared" si="388"/>
        <v>66.374034083693431</v>
      </c>
      <c r="Q1101" s="267">
        <f t="shared" si="389"/>
        <v>0.45029687337286595</v>
      </c>
      <c r="R1101" s="267">
        <f t="shared" si="390"/>
        <v>0.45286172371421163</v>
      </c>
      <c r="S1101" s="267">
        <f t="shared" si="391"/>
        <v>2.1344620344188985</v>
      </c>
      <c r="Z1101" s="214">
        <f t="shared" si="381"/>
        <v>361.13942569455708</v>
      </c>
      <c r="AA1101" s="214">
        <f t="shared" si="382"/>
        <v>1549.3137975681157</v>
      </c>
    </row>
    <row r="1102" spans="1:27" ht="13.15" customHeight="1">
      <c r="A1102" s="239" t="s">
        <v>519</v>
      </c>
      <c r="B1102" s="319">
        <f t="shared" si="393"/>
        <v>661.70080327860796</v>
      </c>
      <c r="C1102" s="320">
        <f t="shared" si="393"/>
        <v>1075.066</v>
      </c>
      <c r="D1102" s="320">
        <f t="shared" si="393"/>
        <v>1285.6966527797085</v>
      </c>
      <c r="E1102" s="316">
        <f t="shared" si="393"/>
        <v>2516.457376373332</v>
      </c>
      <c r="F1102" s="316">
        <f t="shared" si="393"/>
        <v>4235.567</v>
      </c>
      <c r="G1102" s="321">
        <f t="shared" si="393"/>
        <v>16010.032142399999</v>
      </c>
      <c r="H1102" s="319">
        <f t="shared" si="393"/>
        <v>41704.506658080005</v>
      </c>
      <c r="I1102" s="319">
        <f t="shared" si="393"/>
        <v>1168</v>
      </c>
      <c r="K1102" s="239" t="s">
        <v>519</v>
      </c>
      <c r="L1102" s="239"/>
      <c r="M1102" s="267"/>
      <c r="N1102" s="267"/>
      <c r="O1102" s="239"/>
      <c r="P1102" s="267"/>
      <c r="Q1102" s="267"/>
      <c r="R1102" s="267"/>
      <c r="S1102" s="267"/>
      <c r="Z1102" s="214">
        <f t="shared" si="381"/>
        <v>413.36519672139207</v>
      </c>
      <c r="AA1102" s="214">
        <f t="shared" si="382"/>
        <v>1719.1096236266681</v>
      </c>
    </row>
    <row r="1103" spans="1:27" ht="13.15" customHeight="1">
      <c r="A1103" s="282" t="s">
        <v>169</v>
      </c>
      <c r="B1103" s="326">
        <f>(B1082+B1084)</f>
        <v>73878.882338658266</v>
      </c>
      <c r="C1103" s="326">
        <f t="shared" ref="C1103:I1103" si="394">(C1082+C1084)</f>
        <v>98214.561229099985</v>
      </c>
      <c r="D1103" s="326">
        <f t="shared" si="394"/>
        <v>171242.57780727409</v>
      </c>
      <c r="E1103" s="326">
        <f t="shared" si="394"/>
        <v>247667.66940236144</v>
      </c>
      <c r="F1103" s="326">
        <f t="shared" si="394"/>
        <v>383551.63158426585</v>
      </c>
      <c r="G1103" s="327">
        <f t="shared" si="394"/>
        <v>2250285.5874470333</v>
      </c>
      <c r="H1103" s="326">
        <f t="shared" si="394"/>
        <v>4976438.7207096182</v>
      </c>
      <c r="I1103" s="326">
        <f t="shared" si="394"/>
        <v>11099</v>
      </c>
      <c r="K1103" s="328" t="s">
        <v>169</v>
      </c>
      <c r="L1103" s="282">
        <f>B1103/I1103</f>
        <v>6.6563548372518486</v>
      </c>
      <c r="M1103" s="281">
        <f>D1103/I1103</f>
        <v>15.428649230315713</v>
      </c>
      <c r="N1103" s="281">
        <f>D1103/B1103</f>
        <v>2.3178826260839189</v>
      </c>
      <c r="O1103" s="282">
        <f>(F1103*3.6+G1103)*100/H1103</f>
        <v>72.965260197811006</v>
      </c>
      <c r="P1103" s="282">
        <f>(E1103*3.6+G1103)*100/H1103</f>
        <v>63.135293603043003</v>
      </c>
      <c r="Q1103" s="281">
        <f>E1103/(B1103*8760)*1000</f>
        <v>0.38268804434085918</v>
      </c>
      <c r="R1103" s="281">
        <f>G1103/(D1103*8761)*1000/3.6</f>
        <v>0.41664838297365697</v>
      </c>
      <c r="S1103" s="281">
        <f>G1103/(E1103*3.6)</f>
        <v>2.5238632533457279</v>
      </c>
      <c r="Z1103" s="214">
        <f t="shared" si="381"/>
        <v>24335.678890441719</v>
      </c>
      <c r="AA1103" s="214">
        <f t="shared" si="382"/>
        <v>135883.96218190441</v>
      </c>
    </row>
    <row r="1104" spans="1:27" ht="13.15" customHeight="1"/>
    <row r="1105" spans="1:19" ht="13.15" customHeight="1">
      <c r="A1105" s="251" t="s">
        <v>520</v>
      </c>
      <c r="B1105" s="227" t="s">
        <v>476</v>
      </c>
      <c r="C1105" s="228"/>
      <c r="D1105" s="286"/>
      <c r="E1105" s="227" t="s">
        <v>521</v>
      </c>
      <c r="F1105" s="228"/>
      <c r="G1105" s="286"/>
      <c r="H1105" s="200" t="s">
        <v>138</v>
      </c>
      <c r="I1105" s="200" t="s">
        <v>478</v>
      </c>
    </row>
    <row r="1106" spans="1:19" ht="13.15" customHeight="1">
      <c r="A1106" s="239"/>
      <c r="B1106" s="243" t="s">
        <v>88</v>
      </c>
      <c r="C1106" s="243"/>
      <c r="D1106" s="241" t="s">
        <v>34</v>
      </c>
      <c r="E1106" s="243" t="s">
        <v>88</v>
      </c>
      <c r="F1106" s="243"/>
      <c r="G1106" s="241" t="s">
        <v>34</v>
      </c>
      <c r="H1106" s="241" t="s">
        <v>170</v>
      </c>
      <c r="I1106" s="241" t="s">
        <v>483</v>
      </c>
    </row>
    <row r="1107" spans="1:19" ht="13.15" customHeight="1">
      <c r="A1107" s="239"/>
      <c r="B1107" s="252" t="s">
        <v>0</v>
      </c>
      <c r="C1107" s="252" t="s">
        <v>489</v>
      </c>
      <c r="D1107" s="252" t="s">
        <v>490</v>
      </c>
      <c r="E1107" s="252" t="s">
        <v>491</v>
      </c>
      <c r="F1107" s="252" t="s">
        <v>489</v>
      </c>
      <c r="G1107" s="252" t="s">
        <v>490</v>
      </c>
      <c r="H1107" s="248"/>
      <c r="I1107" s="241" t="s">
        <v>492</v>
      </c>
    </row>
    <row r="1108" spans="1:19" ht="13.15" customHeight="1">
      <c r="A1108" s="239"/>
      <c r="B1108" s="257" t="s">
        <v>496</v>
      </c>
      <c r="C1108" s="256" t="s">
        <v>496</v>
      </c>
      <c r="D1108" s="252" t="s">
        <v>496</v>
      </c>
      <c r="E1108" s="329" t="s">
        <v>473</v>
      </c>
      <c r="F1108" s="329" t="s">
        <v>473</v>
      </c>
      <c r="G1108" s="252" t="s">
        <v>496</v>
      </c>
      <c r="H1108" s="257" t="s">
        <v>497</v>
      </c>
      <c r="I1108" s="257" t="s">
        <v>498</v>
      </c>
    </row>
    <row r="1109" spans="1:19" ht="13.15" customHeight="1">
      <c r="A1109" s="251" t="s">
        <v>522</v>
      </c>
      <c r="B1109" s="389"/>
      <c r="C1109" s="389"/>
      <c r="D1109" s="200"/>
      <c r="E1109" s="389"/>
      <c r="F1109" s="389"/>
      <c r="G1109" s="200"/>
      <c r="H1109" s="200"/>
      <c r="I1109" s="200"/>
    </row>
    <row r="1110" spans="1:19" ht="13.15" customHeight="1">
      <c r="A1110" s="239" t="s">
        <v>523</v>
      </c>
      <c r="B1110" s="216">
        <f t="shared" ref="B1110:I1113" si="395">B60+B130+B200+B270+B340+B410+B480+B550+B620+B690+B760+B830+B900+B970+B1040</f>
        <v>10117.47711224645</v>
      </c>
      <c r="C1110" s="204">
        <f t="shared" si="395"/>
        <v>10949.393</v>
      </c>
      <c r="D1110" s="204">
        <f t="shared" si="395"/>
        <v>14234.490084495617</v>
      </c>
      <c r="E1110" s="216">
        <f>E60+E130+E200+E270+E340+E410+E480+E550+E620+E690+E760+E830+E900+E970+E1040</f>
        <v>7065.577036308332</v>
      </c>
      <c r="F1110" s="204">
        <f>F60+F130+F200+F270+F340+F410+F480+F550+F620+F690+F760+F830+F900+F970+F1040</f>
        <v>10236.476706666668</v>
      </c>
      <c r="G1110" s="204">
        <f t="shared" si="395"/>
        <v>80500.762058248612</v>
      </c>
      <c r="H1110" s="202">
        <f t="shared" si="395"/>
        <v>164916.73944963468</v>
      </c>
      <c r="I1110" s="216">
        <f t="shared" si="395"/>
        <v>182</v>
      </c>
    </row>
    <row r="1111" spans="1:19" ht="13.15" customHeight="1">
      <c r="A1111" s="239" t="s">
        <v>524</v>
      </c>
      <c r="B1111" s="216">
        <f t="shared" si="395"/>
        <v>3085.8640129924152</v>
      </c>
      <c r="C1111" s="204">
        <f t="shared" si="395"/>
        <v>6609.5591257999986</v>
      </c>
      <c r="D1111" s="204">
        <f t="shared" si="395"/>
        <v>10268.035725849331</v>
      </c>
      <c r="E1111" s="216">
        <f t="shared" si="395"/>
        <v>10979.721412590912</v>
      </c>
      <c r="F1111" s="204">
        <f>F61+F131+F201+F271+F341+F411+F481+F551+F621+F691+F761+F831+F901+F971+F1041</f>
        <v>29691.853119484287</v>
      </c>
      <c r="G1111" s="204">
        <f t="shared" si="395"/>
        <v>107448.97916736529</v>
      </c>
      <c r="H1111" s="202">
        <f t="shared" si="395"/>
        <v>331279.03484393883</v>
      </c>
      <c r="I1111" s="216">
        <f t="shared" si="395"/>
        <v>676</v>
      </c>
    </row>
    <row r="1112" spans="1:19" ht="13.15" customHeight="1">
      <c r="A1112" s="239" t="s">
        <v>525</v>
      </c>
      <c r="B1112" s="216">
        <f t="shared" si="395"/>
        <v>22530.060750138637</v>
      </c>
      <c r="C1112" s="204">
        <f t="shared" si="395"/>
        <v>31874.451145300041</v>
      </c>
      <c r="D1112" s="204">
        <f t="shared" si="395"/>
        <v>45980.822125627892</v>
      </c>
      <c r="E1112" s="216">
        <f t="shared" si="395"/>
        <v>87114.202335212409</v>
      </c>
      <c r="F1112" s="204">
        <f>F62+F132+F202+F272+F342+F412+F482+F552+F622+F692+F762+F832+F902+F972+F1042</f>
        <v>147243.47255739855</v>
      </c>
      <c r="G1112" s="204">
        <f t="shared" si="395"/>
        <v>564555.61222700134</v>
      </c>
      <c r="H1112" s="202">
        <f t="shared" si="395"/>
        <v>1533499.6362050558</v>
      </c>
      <c r="I1112" s="216">
        <f t="shared" si="395"/>
        <v>8567</v>
      </c>
    </row>
    <row r="1113" spans="1:19" ht="13.15" customHeight="1">
      <c r="A1113" s="239" t="s">
        <v>267</v>
      </c>
      <c r="B1113" s="216">
        <f>B63+B133+B203+B273+B343+B413+B483+B553+B623+B693+B763+B833+B903+B973+B1043</f>
        <v>1023.3719704666667</v>
      </c>
      <c r="C1113" s="204">
        <f>C63+C133+C203+C273+C343+C413+C483+C553+C623+C693+C763+C833+C903+C973+C1043</f>
        <v>1056.180108</v>
      </c>
      <c r="D1113" s="204">
        <f>D63+D133+D203+D273+D343+D413+D483+D553+D623+D693+D763+D833+D903+D973+D1043</f>
        <v>4089.3778331527392</v>
      </c>
      <c r="E1113" s="216">
        <f>E63+E133+E203+E273+E343+E413+E483+E553+E623+E693+E763+E833+E903+E973+E1043</f>
        <v>4981.2949477832826</v>
      </c>
      <c r="F1113" s="204">
        <f>F63+F133+F203+F273+F343+F413+F483+F553+F623+F693+F763+F833+F903+F973+F1043</f>
        <v>5162.9286443068013</v>
      </c>
      <c r="G1113" s="204">
        <f t="shared" si="395"/>
        <v>79106.153592877905</v>
      </c>
      <c r="H1113" s="202">
        <f t="shared" si="395"/>
        <v>123098.66830145402</v>
      </c>
      <c r="I1113" s="216">
        <f t="shared" si="395"/>
        <v>240</v>
      </c>
    </row>
    <row r="1114" spans="1:19" ht="13.15" customHeight="1">
      <c r="A1114" s="312" t="s">
        <v>526</v>
      </c>
      <c r="B1114" s="391"/>
      <c r="C1114" s="391"/>
      <c r="D1114" s="205"/>
      <c r="E1114" s="391"/>
      <c r="F1114" s="391"/>
      <c r="G1114" s="205"/>
      <c r="H1114" s="205"/>
      <c r="I1114" s="391"/>
    </row>
    <row r="1115" spans="1:19" ht="13.15" customHeight="1">
      <c r="A1115" s="239" t="s">
        <v>527</v>
      </c>
      <c r="B1115" s="216">
        <f t="shared" ref="B1115:I1118" si="396">B65+B135+B205+B275+B345+B415+B485+B555+B625+B695+B765+B835+B905+B975+B1045</f>
        <v>8359.1197929048722</v>
      </c>
      <c r="C1115" s="204">
        <f t="shared" si="396"/>
        <v>11128.759</v>
      </c>
      <c r="D1115" s="204">
        <f t="shared" si="396"/>
        <v>14739.615207770739</v>
      </c>
      <c r="E1115" s="216">
        <f t="shared" si="396"/>
        <v>7510.6601287866715</v>
      </c>
      <c r="F1115" s="204">
        <f>F65+F135+F205+F275+F345+F415+F485+F555+F625+F695+F765+F835+F905+F975+F1045</f>
        <v>19228.996777777797</v>
      </c>
      <c r="G1115" s="204">
        <f t="shared" si="396"/>
        <v>54718.962424942947</v>
      </c>
      <c r="H1115" s="202">
        <f t="shared" si="396"/>
        <v>191773.4860915356</v>
      </c>
      <c r="I1115" s="216">
        <f t="shared" si="396"/>
        <v>87</v>
      </c>
    </row>
    <row r="1116" spans="1:19" ht="13.15" customHeight="1">
      <c r="A1116" s="239" t="s">
        <v>528</v>
      </c>
      <c r="B1116" s="204">
        <f t="shared" si="396"/>
        <v>11735.475465031797</v>
      </c>
      <c r="C1116" s="204">
        <f t="shared" si="396"/>
        <v>15775.774000000001</v>
      </c>
      <c r="D1116" s="204">
        <f t="shared" si="396"/>
        <v>31903.850553919907</v>
      </c>
      <c r="E1116" s="204">
        <f t="shared" si="396"/>
        <v>40775.053002654808</v>
      </c>
      <c r="F1116" s="204">
        <f>F66+F136+F206+F276+F346+F416+F486+F556+F626+F696+F766+F836+F906+F976+F1046</f>
        <v>61012.635746111104</v>
      </c>
      <c r="G1116" s="204">
        <f t="shared" si="396"/>
        <v>362304.84933086822</v>
      </c>
      <c r="H1116" s="202">
        <f t="shared" si="396"/>
        <v>768120.65255473182</v>
      </c>
      <c r="I1116" s="204">
        <f t="shared" si="396"/>
        <v>578</v>
      </c>
    </row>
    <row r="1117" spans="1:19" ht="13.15" customHeight="1">
      <c r="A1117" s="239" t="s">
        <v>529</v>
      </c>
      <c r="B1117" s="204">
        <f t="shared" si="396"/>
        <v>3977.4110000000005</v>
      </c>
      <c r="C1117" s="204">
        <f t="shared" si="396"/>
        <v>4451.1109999999999</v>
      </c>
      <c r="D1117" s="204">
        <f t="shared" si="396"/>
        <v>10221.975715221994</v>
      </c>
      <c r="E1117" s="204">
        <f t="shared" si="396"/>
        <v>3354.099802222222</v>
      </c>
      <c r="F1117" s="204">
        <f>F67+F137+F207+F277+F347+F417+F487+F557+F627+F697+F767+F837+F907+F977+F1047</f>
        <v>4218.7097955555564</v>
      </c>
      <c r="G1117" s="204">
        <f t="shared" si="396"/>
        <v>30238.768868832263</v>
      </c>
      <c r="H1117" s="202">
        <f t="shared" si="396"/>
        <v>66815.338022980286</v>
      </c>
      <c r="I1117" s="204">
        <f t="shared" si="396"/>
        <v>117</v>
      </c>
    </row>
    <row r="1118" spans="1:19" ht="13.15" customHeight="1">
      <c r="A1118" s="239" t="s">
        <v>530</v>
      </c>
      <c r="B1118" s="204">
        <f t="shared" si="396"/>
        <v>13049.60963494152</v>
      </c>
      <c r="C1118" s="204">
        <f t="shared" si="396"/>
        <v>15003.717850000001</v>
      </c>
      <c r="D1118" s="204">
        <f t="shared" si="396"/>
        <v>39804.675561235868</v>
      </c>
      <c r="E1118" s="204">
        <f>E68+E138+E208+E278+E348+E418+E488+E558+E628+E698+E768+E838+E908+E978+E1048</f>
        <v>29657.717783114666</v>
      </c>
      <c r="F1118" s="204">
        <f>F68+F138+F208+F278+F348+F418+F488+F558+F628+F698+F768+F838+F908+F978+F1048</f>
        <v>44275.396083822998</v>
      </c>
      <c r="G1118" s="204">
        <f t="shared" si="396"/>
        <v>426666.79392498021</v>
      </c>
      <c r="H1118" s="202">
        <f t="shared" si="396"/>
        <v>798525.99677772925</v>
      </c>
      <c r="I1118" s="204">
        <f t="shared" si="396"/>
        <v>652</v>
      </c>
    </row>
    <row r="1119" spans="1:19" ht="13.15" customHeight="1">
      <c r="A1119" s="282" t="s">
        <v>169</v>
      </c>
      <c r="B1119" s="360">
        <f t="shared" ref="B1119:I1119" si="397">SUM(B1110:B1118)</f>
        <v>73878.389738722355</v>
      </c>
      <c r="C1119" s="360">
        <f t="shared" si="397"/>
        <v>96848.945229100049</v>
      </c>
      <c r="D1119" s="360">
        <f t="shared" si="397"/>
        <v>171242.84280727408</v>
      </c>
      <c r="E1119" s="360">
        <f>E69+E139+E209+E279+E349+E419+E489+E559+E629+E699+E769+E839+E909+E979+E1049</f>
        <v>247666.3264486733</v>
      </c>
      <c r="F1119" s="360">
        <f>F69+F139+F209+F279+F349+F419+F489+F559+F629+F699+F769+F839+F909+F979+F1049</f>
        <v>377298.46943112375</v>
      </c>
      <c r="G1119" s="360">
        <f>G69+G139+G209+G279+G349+G419+G489+G559+G629+G699+G769+G839+G909+G979+G1049</f>
        <v>2250284.881595117</v>
      </c>
      <c r="H1119" s="360">
        <f>H69+H139+H209+H279+H349+H419+H489+H559+H629+H699+H769+H839+H909+H979+H1049</f>
        <v>4918162.5522470614</v>
      </c>
      <c r="I1119" s="360">
        <f t="shared" si="397"/>
        <v>11099</v>
      </c>
    </row>
    <row r="1120" spans="1:19" ht="13.15" customHeight="1">
      <c r="K1120" s="362"/>
      <c r="L1120" s="362"/>
      <c r="M1120" s="362"/>
      <c r="N1120" s="362"/>
      <c r="O1120" s="362"/>
      <c r="P1120" s="362"/>
      <c r="Q1120" s="362"/>
      <c r="R1120" s="362"/>
      <c r="S1120" s="362"/>
    </row>
    <row r="1121" spans="1:27" ht="13.15" customHeight="1">
      <c r="K1121" s="362"/>
      <c r="L1121" s="362"/>
      <c r="M1121" s="362"/>
      <c r="N1121" s="362"/>
      <c r="O1121" s="362"/>
      <c r="P1121" s="362"/>
      <c r="Q1121" s="362"/>
      <c r="R1121" s="362"/>
      <c r="S1121" s="362"/>
    </row>
    <row r="1122" spans="1:27" ht="13.15" customHeight="1">
      <c r="A1122" s="221" t="s">
        <v>178</v>
      </c>
      <c r="D1122" s="220"/>
      <c r="I1122" s="221">
        <v>2002</v>
      </c>
      <c r="K1122" s="221" t="str">
        <f>+A1122</f>
        <v>Norway</v>
      </c>
      <c r="L1122" s="362"/>
      <c r="M1122" s="452"/>
      <c r="N1122" s="362"/>
      <c r="O1122" s="362"/>
      <c r="P1122" s="362"/>
      <c r="Q1122" s="362"/>
      <c r="R1122" s="362"/>
      <c r="S1122" s="221">
        <v>2002</v>
      </c>
    </row>
    <row r="1123" spans="1:27" ht="13.15" customHeight="1" thickBot="1">
      <c r="A1123" s="221"/>
      <c r="B1123" s="223"/>
      <c r="C1123" s="223"/>
      <c r="D1123" s="453"/>
      <c r="E1123" s="223"/>
      <c r="F1123" s="223"/>
      <c r="G1123" s="223"/>
      <c r="H1123" s="223"/>
      <c r="I1123" s="454"/>
      <c r="K1123" s="221"/>
      <c r="L1123" s="362"/>
      <c r="M1123" s="452"/>
      <c r="N1123" s="362"/>
      <c r="O1123" s="362"/>
      <c r="P1123" s="362"/>
      <c r="Q1123" s="362"/>
      <c r="R1123" s="362"/>
      <c r="S1123" s="221"/>
    </row>
    <row r="1124" spans="1:27" ht="13.15" customHeight="1">
      <c r="A1124" s="224" t="s">
        <v>475</v>
      </c>
      <c r="B1124" s="225" t="s">
        <v>476</v>
      </c>
      <c r="C1124" s="225"/>
      <c r="D1124" s="226"/>
      <c r="E1124" s="393" t="s">
        <v>477</v>
      </c>
      <c r="F1124" s="225"/>
      <c r="G1124" s="394"/>
      <c r="H1124" s="241" t="s">
        <v>138</v>
      </c>
      <c r="I1124" s="241" t="s">
        <v>478</v>
      </c>
      <c r="J1124" s="230"/>
      <c r="K1124" s="231" t="s">
        <v>475</v>
      </c>
      <c r="L1124" s="232" t="s">
        <v>479</v>
      </c>
      <c r="M1124" s="233"/>
      <c r="N1124" s="234"/>
      <c r="O1124" s="235" t="s">
        <v>480</v>
      </c>
      <c r="P1124" s="233"/>
      <c r="Q1124" s="233"/>
      <c r="R1124" s="236"/>
      <c r="S1124" s="237"/>
      <c r="T1124" s="238"/>
    </row>
    <row r="1125" spans="1:27" ht="13.15" customHeight="1">
      <c r="A1125" s="239"/>
      <c r="B1125" s="240" t="s">
        <v>481</v>
      </c>
      <c r="C1125" s="240"/>
      <c r="D1125" s="241" t="s">
        <v>34</v>
      </c>
      <c r="E1125" s="242" t="s">
        <v>482</v>
      </c>
      <c r="F1125" s="243"/>
      <c r="G1125" s="244" t="s">
        <v>34</v>
      </c>
      <c r="H1125" s="241" t="s">
        <v>170</v>
      </c>
      <c r="I1125" s="241" t="s">
        <v>483</v>
      </c>
      <c r="J1125" s="230"/>
      <c r="K1125" s="245"/>
      <c r="L1125" s="246" t="s">
        <v>484</v>
      </c>
      <c r="M1125" s="247"/>
      <c r="N1125" s="248" t="s">
        <v>485</v>
      </c>
      <c r="O1125" s="248" t="s">
        <v>486</v>
      </c>
      <c r="P1125" s="248" t="s">
        <v>486</v>
      </c>
      <c r="Q1125" s="247" t="s">
        <v>487</v>
      </c>
      <c r="R1125" s="249"/>
      <c r="S1125" s="250" t="s">
        <v>485</v>
      </c>
      <c r="T1125" s="230"/>
      <c r="U1125" s="214" t="str">
        <f>A1122</f>
        <v>Norway</v>
      </c>
    </row>
    <row r="1126" spans="1:27" ht="13.15" customHeight="1">
      <c r="A1126" s="251" t="s">
        <v>488</v>
      </c>
      <c r="B1126" s="252" t="s">
        <v>0</v>
      </c>
      <c r="C1126" s="252" t="s">
        <v>489</v>
      </c>
      <c r="D1126" s="252" t="s">
        <v>490</v>
      </c>
      <c r="E1126" s="252" t="s">
        <v>491</v>
      </c>
      <c r="F1126" s="252" t="s">
        <v>489</v>
      </c>
      <c r="G1126" s="230" t="s">
        <v>490</v>
      </c>
      <c r="H1126" s="248"/>
      <c r="I1126" s="241" t="s">
        <v>492</v>
      </c>
      <c r="J1126" s="230"/>
      <c r="K1126" s="253" t="s">
        <v>488</v>
      </c>
      <c r="L1126" s="254" t="s">
        <v>88</v>
      </c>
      <c r="M1126" s="252" t="s">
        <v>34</v>
      </c>
      <c r="N1126" s="252" t="s">
        <v>493</v>
      </c>
      <c r="O1126" s="248" t="s">
        <v>494</v>
      </c>
      <c r="P1126" s="248" t="s">
        <v>495</v>
      </c>
      <c r="Q1126" s="230" t="s">
        <v>88</v>
      </c>
      <c r="R1126" s="248" t="s">
        <v>34</v>
      </c>
      <c r="S1126" s="255" t="s">
        <v>88</v>
      </c>
      <c r="T1126" s="230"/>
      <c r="U1126" s="214" t="s">
        <v>547</v>
      </c>
      <c r="V1126" s="214">
        <f>G1154/1000</f>
        <v>0</v>
      </c>
    </row>
    <row r="1127" spans="1:27" ht="13.15" customHeight="1">
      <c r="A1127" s="239"/>
      <c r="B1127" s="252" t="s">
        <v>496</v>
      </c>
      <c r="C1127" s="252" t="s">
        <v>496</v>
      </c>
      <c r="D1127" s="252" t="s">
        <v>496</v>
      </c>
      <c r="E1127" s="256" t="s">
        <v>473</v>
      </c>
      <c r="F1127" s="256" t="s">
        <v>473</v>
      </c>
      <c r="G1127" s="230" t="s">
        <v>451</v>
      </c>
      <c r="H1127" s="257" t="s">
        <v>497</v>
      </c>
      <c r="I1127" s="257" t="s">
        <v>498</v>
      </c>
      <c r="J1127" s="230"/>
      <c r="K1127" s="245"/>
      <c r="L1127" s="258" t="s">
        <v>496</v>
      </c>
      <c r="M1127" s="256" t="s">
        <v>496</v>
      </c>
      <c r="N1127" s="256"/>
      <c r="O1127" s="257" t="s">
        <v>79</v>
      </c>
      <c r="P1127" s="257" t="s">
        <v>79</v>
      </c>
      <c r="Q1127" s="259"/>
      <c r="R1127" s="257"/>
      <c r="S1127" s="260"/>
      <c r="T1127" s="230"/>
      <c r="U1127" s="214" t="s">
        <v>548</v>
      </c>
      <c r="V1127" s="214">
        <f>G1160/1000</f>
        <v>0</v>
      </c>
    </row>
    <row r="1128" spans="1:27" ht="13.15" customHeight="1">
      <c r="A1128" s="261" t="s">
        <v>262</v>
      </c>
      <c r="B1128" s="365"/>
      <c r="C1128" s="365"/>
      <c r="D1128" s="365"/>
      <c r="E1128" s="320"/>
      <c r="F1128" s="320"/>
      <c r="G1128" s="368"/>
      <c r="H1128" s="369"/>
      <c r="I1128" s="320"/>
      <c r="J1128" s="230"/>
      <c r="K1128" s="265" t="s">
        <v>262</v>
      </c>
      <c r="L1128" s="266" t="e">
        <f>C1128/I1128</f>
        <v>#DIV/0!</v>
      </c>
      <c r="M1128" s="267" t="e">
        <f>D1128/I1128</f>
        <v>#DIV/0!</v>
      </c>
      <c r="N1128" s="267" t="e">
        <f>D1128/C1128</f>
        <v>#DIV/0!</v>
      </c>
      <c r="O1128" s="239" t="e">
        <f>(F1128*3.6+G1128)*100/H1128</f>
        <v>#DIV/0!</v>
      </c>
      <c r="P1128" s="239" t="e">
        <f>(F1128*3.6+G1128)*100/H1128</f>
        <v>#DIV/0!</v>
      </c>
      <c r="Q1128" s="267" t="e">
        <f>F1128/(C1128*8760)*1000</f>
        <v>#DIV/0!</v>
      </c>
      <c r="R1128" s="267" t="e">
        <f>G1128/(D1128*8761)*1000/3.6</f>
        <v>#DIV/0!</v>
      </c>
      <c r="S1128" s="268" t="e">
        <f>G1128/(F1128*3.6)</f>
        <v>#DIV/0!</v>
      </c>
      <c r="T1128" s="269"/>
      <c r="U1128" s="214" t="s">
        <v>549</v>
      </c>
      <c r="V1128" s="214">
        <f>G1162/1000</f>
        <v>0</v>
      </c>
      <c r="Z1128" s="214">
        <f t="shared" ref="Z1128:Z1133" si="398">C1128-B1128</f>
        <v>0</v>
      </c>
      <c r="AA1128" s="214">
        <f t="shared" ref="AA1128:AA1133" si="399">F1128-E1128</f>
        <v>0</v>
      </c>
    </row>
    <row r="1129" spans="1:27" ht="13.15" customHeight="1">
      <c r="A1129" s="239" t="s">
        <v>263</v>
      </c>
      <c r="B1129" s="320"/>
      <c r="C1129" s="320"/>
      <c r="D1129" s="320"/>
      <c r="E1129" s="320"/>
      <c r="F1129" s="320"/>
      <c r="G1129" s="321"/>
      <c r="H1129" s="319"/>
      <c r="I1129" s="320"/>
      <c r="J1129" s="230"/>
      <c r="K1129" s="245" t="s">
        <v>263</v>
      </c>
      <c r="L1129" s="266" t="e">
        <f>C1129/I1129</f>
        <v>#DIV/0!</v>
      </c>
      <c r="M1129" s="267" t="e">
        <f>D1129/I1129</f>
        <v>#DIV/0!</v>
      </c>
      <c r="N1129" s="267" t="e">
        <f>D1129/C1129</f>
        <v>#DIV/0!</v>
      </c>
      <c r="O1129" s="239" t="e">
        <f>(F1129*3.6+G1129)*100/H1129</f>
        <v>#DIV/0!</v>
      </c>
      <c r="P1129" s="239" t="e">
        <f>(F1129*3.6+G1129)*100/H1129</f>
        <v>#DIV/0!</v>
      </c>
      <c r="Q1129" s="267" t="e">
        <f>F1129/(C1129*8760)*1000</f>
        <v>#DIV/0!</v>
      </c>
      <c r="R1129" s="267" t="e">
        <f>G1129/(D1129*8761)*1000/3.6</f>
        <v>#DIV/0!</v>
      </c>
      <c r="S1129" s="268" t="e">
        <f>G1129/(F1129*3.6)</f>
        <v>#DIV/0!</v>
      </c>
      <c r="T1129" s="269"/>
      <c r="U1129" s="214" t="s">
        <v>550</v>
      </c>
      <c r="V1129" s="214">
        <f>G1167/1000</f>
        <v>0</v>
      </c>
      <c r="Z1129" s="214">
        <f t="shared" si="398"/>
        <v>0</v>
      </c>
      <c r="AA1129" s="214">
        <f t="shared" si="399"/>
        <v>0</v>
      </c>
    </row>
    <row r="1130" spans="1:27" ht="13.15" customHeight="1">
      <c r="A1130" s="239" t="s">
        <v>499</v>
      </c>
      <c r="B1130" s="320"/>
      <c r="C1130" s="320"/>
      <c r="D1130" s="320"/>
      <c r="E1130" s="320"/>
      <c r="F1130" s="320"/>
      <c r="G1130" s="321"/>
      <c r="H1130" s="319"/>
      <c r="I1130" s="320"/>
      <c r="J1130" s="230"/>
      <c r="K1130" s="245" t="s">
        <v>499</v>
      </c>
      <c r="L1130" s="266" t="e">
        <f>C1130/I1130</f>
        <v>#DIV/0!</v>
      </c>
      <c r="M1130" s="267" t="e">
        <f>D1130/I1130</f>
        <v>#DIV/0!</v>
      </c>
      <c r="N1130" s="267" t="e">
        <f>D1130/C1130</f>
        <v>#DIV/0!</v>
      </c>
      <c r="O1130" s="239" t="e">
        <f>(F1130*3.6+G1130)*100/H1130</f>
        <v>#DIV/0!</v>
      </c>
      <c r="P1130" s="239" t="e">
        <f>(F1130*3.6+G1130)*100/H1130</f>
        <v>#DIV/0!</v>
      </c>
      <c r="Q1130" s="267" t="e">
        <f>F1130/(C1130*8760)*1000</f>
        <v>#DIV/0!</v>
      </c>
      <c r="R1130" s="267" t="e">
        <f>G1130/(D1130*8761)*1000/3.6</f>
        <v>#DIV/0!</v>
      </c>
      <c r="S1130" s="268" t="e">
        <f>G1130/(F1130*3.6)</f>
        <v>#DIV/0!</v>
      </c>
      <c r="T1130" s="269"/>
      <c r="U1130" s="214" t="s">
        <v>551</v>
      </c>
      <c r="V1130" s="214">
        <f>G1158/1000</f>
        <v>0</v>
      </c>
      <c r="Z1130" s="214">
        <f t="shared" si="398"/>
        <v>0</v>
      </c>
      <c r="AA1130" s="214">
        <f t="shared" si="399"/>
        <v>0</v>
      </c>
    </row>
    <row r="1131" spans="1:27" ht="13.15" customHeight="1">
      <c r="A1131" s="239" t="s">
        <v>265</v>
      </c>
      <c r="B1131" s="320"/>
      <c r="C1131" s="320"/>
      <c r="D1131" s="320"/>
      <c r="E1131" s="320"/>
      <c r="F1131" s="320"/>
      <c r="G1131" s="321"/>
      <c r="H1131" s="319"/>
      <c r="I1131" s="320"/>
      <c r="J1131" s="230"/>
      <c r="K1131" s="245" t="s">
        <v>265</v>
      </c>
      <c r="L1131" s="266" t="e">
        <f>C1131/I1131</f>
        <v>#DIV/0!</v>
      </c>
      <c r="M1131" s="267" t="e">
        <f>D1131/I1131</f>
        <v>#DIV/0!</v>
      </c>
      <c r="N1131" s="267" t="e">
        <f>D1131/C1131</f>
        <v>#DIV/0!</v>
      </c>
      <c r="O1131" s="239" t="e">
        <f>(F1131*3.6+G1131)*100/H1131</f>
        <v>#DIV/0!</v>
      </c>
      <c r="P1131" s="239" t="e">
        <f>(F1131*3.6+G1131)*100/H1131</f>
        <v>#DIV/0!</v>
      </c>
      <c r="Q1131" s="267" t="e">
        <f>F1131/(C1131*8760)*1000</f>
        <v>#DIV/0!</v>
      </c>
      <c r="R1131" s="267" t="e">
        <f>G1131/(D1131*8761)*1000/3.6</f>
        <v>#DIV/0!</v>
      </c>
      <c r="S1131" s="268" t="e">
        <f>G1131/(F1131*3.6)</f>
        <v>#DIV/0!</v>
      </c>
      <c r="T1131" s="269"/>
      <c r="U1131" s="214" t="s">
        <v>552</v>
      </c>
      <c r="V1131" s="214">
        <f>(G1155+G1156+G1157+G1159+G1161+G1163+G1164+G1165+G1166+G1168+G1169+G1170+G1171+G1172)/1000</f>
        <v>0</v>
      </c>
      <c r="Z1131" s="214">
        <f t="shared" si="398"/>
        <v>0</v>
      </c>
      <c r="AA1131" s="214">
        <f t="shared" si="399"/>
        <v>0</v>
      </c>
    </row>
    <row r="1132" spans="1:27" ht="13.15" customHeight="1">
      <c r="A1132" s="239" t="s">
        <v>266</v>
      </c>
      <c r="B1132" s="320"/>
      <c r="C1132" s="320"/>
      <c r="D1132" s="320"/>
      <c r="E1132" s="320"/>
      <c r="F1132" s="320"/>
      <c r="G1132" s="321"/>
      <c r="H1132" s="319"/>
      <c r="I1132" s="320"/>
      <c r="J1132" s="230"/>
      <c r="K1132" s="245" t="s">
        <v>266</v>
      </c>
      <c r="L1132" s="266" t="e">
        <f>C1132/I1132</f>
        <v>#DIV/0!</v>
      </c>
      <c r="M1132" s="267" t="e">
        <f>D1132/I1132</f>
        <v>#DIV/0!</v>
      </c>
      <c r="N1132" s="267" t="e">
        <f>D1132/C1132</f>
        <v>#DIV/0!</v>
      </c>
      <c r="O1132" s="239" t="e">
        <f>(F1132*3.6+G1132)*100/H1132</f>
        <v>#DIV/0!</v>
      </c>
      <c r="P1132" s="239" t="e">
        <f>(F1132*3.6+G1132)*100/H1132</f>
        <v>#DIV/0!</v>
      </c>
      <c r="Q1132" s="267" t="e">
        <f>F1132/(C1132*8760)*1000</f>
        <v>#DIV/0!</v>
      </c>
      <c r="R1132" s="267" t="e">
        <f>G1132/(D1132*8761)*1000/3.6</f>
        <v>#DIV/0!</v>
      </c>
      <c r="S1132" s="268" t="e">
        <f>G1132/(F1132*3.6)</f>
        <v>#DIV/0!</v>
      </c>
      <c r="T1132" s="269"/>
      <c r="Z1132" s="214">
        <f t="shared" si="398"/>
        <v>0</v>
      </c>
      <c r="AA1132" s="214">
        <f t="shared" si="399"/>
        <v>0</v>
      </c>
    </row>
    <row r="1133" spans="1:27" ht="13.15" customHeight="1">
      <c r="A1133" s="272" t="s">
        <v>267</v>
      </c>
      <c r="B1133" s="395"/>
      <c r="C1133" s="395"/>
      <c r="D1133" s="395"/>
      <c r="E1133" s="320"/>
      <c r="F1133" s="319"/>
      <c r="G1133" s="396"/>
      <c r="H1133" s="397"/>
      <c r="I1133" s="395"/>
      <c r="J1133" s="230"/>
      <c r="K1133" s="245" t="s">
        <v>267</v>
      </c>
      <c r="L1133" s="266"/>
      <c r="M1133" s="267"/>
      <c r="N1133" s="267"/>
      <c r="O1133" s="239"/>
      <c r="P1133" s="272"/>
      <c r="Q1133" s="272"/>
      <c r="R1133" s="274"/>
      <c r="S1133" s="275"/>
      <c r="T1133" s="269"/>
      <c r="U1133" s="214" t="s">
        <v>553</v>
      </c>
      <c r="V1133" s="214">
        <f>H1154/1000</f>
        <v>0</v>
      </c>
      <c r="Z1133" s="214">
        <f t="shared" si="398"/>
        <v>0</v>
      </c>
      <c r="AA1133" s="214">
        <f t="shared" si="399"/>
        <v>0</v>
      </c>
    </row>
    <row r="1134" spans="1:27" ht="13.15" customHeight="1">
      <c r="A1134" s="276" t="s">
        <v>500</v>
      </c>
      <c r="B1134" s="277">
        <f t="shared" ref="B1134:I1134" si="400">SUM(B1128:B1133)</f>
        <v>0</v>
      </c>
      <c r="C1134" s="277">
        <f t="shared" si="400"/>
        <v>0</v>
      </c>
      <c r="D1134" s="277">
        <f t="shared" si="400"/>
        <v>0</v>
      </c>
      <c r="E1134" s="277">
        <f t="shared" si="400"/>
        <v>0</v>
      </c>
      <c r="F1134" s="277">
        <f t="shared" si="400"/>
        <v>0</v>
      </c>
      <c r="G1134" s="277">
        <f t="shared" si="400"/>
        <v>0</v>
      </c>
      <c r="H1134" s="277">
        <f t="shared" si="400"/>
        <v>0</v>
      </c>
      <c r="I1134" s="278">
        <f t="shared" si="400"/>
        <v>0</v>
      </c>
      <c r="J1134" s="244"/>
      <c r="K1134" s="279" t="s">
        <v>169</v>
      </c>
      <c r="L1134" s="280" t="e">
        <f>C1134/I1134</f>
        <v>#DIV/0!</v>
      </c>
      <c r="M1134" s="281" t="e">
        <f>D1134/I1134</f>
        <v>#DIV/0!</v>
      </c>
      <c r="N1134" s="281" t="e">
        <f>D1134/C1134</f>
        <v>#DIV/0!</v>
      </c>
      <c r="O1134" s="282" t="e">
        <f>(F1134*3.6+G1134)*100/H1134</f>
        <v>#DIV/0!</v>
      </c>
      <c r="P1134" s="282" t="e">
        <f>(F1134*3.6+G1134)*100/H1134</f>
        <v>#DIV/0!</v>
      </c>
      <c r="Q1134" s="283" t="e">
        <f>F1134/(C1134*8760)*1000</f>
        <v>#DIV/0!</v>
      </c>
      <c r="R1134" s="283" t="e">
        <f>G1134/(D1134*8761)*1000/3.6</f>
        <v>#DIV/0!</v>
      </c>
      <c r="S1134" s="284" t="e">
        <f>G1134/(F1134*3.6)</f>
        <v>#DIV/0!</v>
      </c>
      <c r="U1134" s="214" t="s">
        <v>554</v>
      </c>
      <c r="V1134" s="214">
        <f>H1160/1000</f>
        <v>0</v>
      </c>
    </row>
    <row r="1135" spans="1:27" ht="13.15" customHeight="1">
      <c r="A1135" s="285" t="s">
        <v>501</v>
      </c>
      <c r="B1135" s="228" t="s">
        <v>476</v>
      </c>
      <c r="C1135" s="228"/>
      <c r="D1135" s="286"/>
      <c r="E1135" s="227" t="s">
        <v>477</v>
      </c>
      <c r="F1135" s="228"/>
      <c r="G1135" s="229"/>
      <c r="H1135" s="200" t="s">
        <v>138</v>
      </c>
      <c r="I1135" s="200" t="s">
        <v>478</v>
      </c>
      <c r="J1135" s="244"/>
      <c r="K1135" s="287" t="s">
        <v>501</v>
      </c>
      <c r="L1135" s="288" t="s">
        <v>479</v>
      </c>
      <c r="M1135" s="228"/>
      <c r="N1135" s="286"/>
      <c r="O1135" s="227" t="s">
        <v>480</v>
      </c>
      <c r="P1135" s="228"/>
      <c r="Q1135" s="228"/>
      <c r="R1135" s="229"/>
      <c r="S1135" s="289"/>
      <c r="T1135" s="269"/>
      <c r="U1135" s="214" t="s">
        <v>555</v>
      </c>
      <c r="V1135" s="214">
        <f>H1162/1000</f>
        <v>0</v>
      </c>
    </row>
    <row r="1136" spans="1:27" ht="13.15" customHeight="1">
      <c r="A1136" s="239"/>
      <c r="B1136" s="240" t="s">
        <v>481</v>
      </c>
      <c r="C1136" s="240"/>
      <c r="D1136" s="241" t="s">
        <v>34</v>
      </c>
      <c r="E1136" s="242" t="s">
        <v>482</v>
      </c>
      <c r="F1136" s="243"/>
      <c r="G1136" s="244" t="s">
        <v>34</v>
      </c>
      <c r="H1136" s="241" t="s">
        <v>170</v>
      </c>
      <c r="I1136" s="241" t="s">
        <v>483</v>
      </c>
      <c r="J1136" s="244"/>
      <c r="K1136" s="245"/>
      <c r="L1136" s="246" t="s">
        <v>484</v>
      </c>
      <c r="M1136" s="247"/>
      <c r="N1136" s="248" t="s">
        <v>485</v>
      </c>
      <c r="O1136" s="248" t="s">
        <v>486</v>
      </c>
      <c r="P1136" s="248" t="s">
        <v>486</v>
      </c>
      <c r="Q1136" s="247" t="s">
        <v>487</v>
      </c>
      <c r="R1136" s="249"/>
      <c r="S1136" s="250" t="s">
        <v>485</v>
      </c>
      <c r="T1136" s="269"/>
      <c r="U1136" s="214" t="s">
        <v>556</v>
      </c>
      <c r="V1136" s="214">
        <f>H1167/1000</f>
        <v>0</v>
      </c>
    </row>
    <row r="1137" spans="1:27" ht="13.15" customHeight="1">
      <c r="A1137" s="251" t="s">
        <v>488</v>
      </c>
      <c r="B1137" s="252" t="s">
        <v>0</v>
      </c>
      <c r="C1137" s="252" t="s">
        <v>489</v>
      </c>
      <c r="D1137" s="252" t="s">
        <v>490</v>
      </c>
      <c r="E1137" s="252" t="s">
        <v>491</v>
      </c>
      <c r="F1137" s="252" t="s">
        <v>489</v>
      </c>
      <c r="G1137" s="230" t="s">
        <v>490</v>
      </c>
      <c r="H1137" s="248"/>
      <c r="I1137" s="241" t="s">
        <v>492</v>
      </c>
      <c r="J1137" s="244"/>
      <c r="K1137" s="253" t="s">
        <v>488</v>
      </c>
      <c r="L1137" s="254" t="s">
        <v>88</v>
      </c>
      <c r="M1137" s="252" t="s">
        <v>34</v>
      </c>
      <c r="N1137" s="252" t="s">
        <v>493</v>
      </c>
      <c r="O1137" s="248" t="s">
        <v>494</v>
      </c>
      <c r="P1137" s="248" t="s">
        <v>495</v>
      </c>
      <c r="Q1137" s="230" t="s">
        <v>88</v>
      </c>
      <c r="R1137" s="248" t="s">
        <v>34</v>
      </c>
      <c r="S1137" s="255" t="s">
        <v>88</v>
      </c>
      <c r="T1137" s="269"/>
      <c r="U1137" s="214" t="s">
        <v>557</v>
      </c>
      <c r="V1137" s="214">
        <f>H1158/1000</f>
        <v>0</v>
      </c>
    </row>
    <row r="1138" spans="1:27" ht="13.15" customHeight="1">
      <c r="A1138" s="239"/>
      <c r="B1138" s="252" t="s">
        <v>496</v>
      </c>
      <c r="C1138" s="252" t="s">
        <v>496</v>
      </c>
      <c r="D1138" s="252" t="s">
        <v>496</v>
      </c>
      <c r="E1138" s="256" t="s">
        <v>473</v>
      </c>
      <c r="F1138" s="256" t="s">
        <v>473</v>
      </c>
      <c r="G1138" s="230" t="s">
        <v>451</v>
      </c>
      <c r="H1138" s="257" t="s">
        <v>497</v>
      </c>
      <c r="I1138" s="257" t="s">
        <v>498</v>
      </c>
      <c r="J1138" s="244"/>
      <c r="K1138" s="245"/>
      <c r="L1138" s="258" t="s">
        <v>496</v>
      </c>
      <c r="M1138" s="256" t="s">
        <v>496</v>
      </c>
      <c r="N1138" s="256"/>
      <c r="O1138" s="257" t="s">
        <v>79</v>
      </c>
      <c r="P1138" s="257" t="s">
        <v>79</v>
      </c>
      <c r="Q1138" s="259"/>
      <c r="R1138" s="257"/>
      <c r="S1138" s="260"/>
      <c r="T1138" s="269"/>
      <c r="U1138" s="214" t="s">
        <v>558</v>
      </c>
      <c r="V1138" s="214">
        <f>(H1155+H1156+H1157+H1159+H1161+H1163+H1164+H1165+H1166+H1168+H1169+H1170+H1171+H1172)/1000</f>
        <v>0</v>
      </c>
    </row>
    <row r="1139" spans="1:27" ht="13.15" customHeight="1">
      <c r="A1139" s="261" t="s">
        <v>262</v>
      </c>
      <c r="B1139" s="365"/>
      <c r="C1139" s="365"/>
      <c r="D1139" s="365"/>
      <c r="E1139" s="320"/>
      <c r="F1139" s="319"/>
      <c r="G1139" s="368"/>
      <c r="H1139" s="369"/>
      <c r="I1139" s="320"/>
      <c r="J1139" s="244"/>
      <c r="K1139" s="265" t="s">
        <v>262</v>
      </c>
      <c r="L1139" s="266" t="e">
        <f>B1139/I1139</f>
        <v>#DIV/0!</v>
      </c>
      <c r="M1139" s="267" t="e">
        <f>D1139/I1139</f>
        <v>#DIV/0!</v>
      </c>
      <c r="N1139" s="267" t="e">
        <f>D1139/B1139</f>
        <v>#DIV/0!</v>
      </c>
      <c r="O1139" s="239" t="e">
        <f>(F1139*3.6+G1139)*100/H1139</f>
        <v>#DIV/0!</v>
      </c>
      <c r="P1139" s="267" t="e">
        <f>(E1139*3.6+G1139)*100/H1139</f>
        <v>#DIV/0!</v>
      </c>
      <c r="Q1139" s="267" t="e">
        <f>E1139/(B1139*8760)*1000</f>
        <v>#DIV/0!</v>
      </c>
      <c r="R1139" s="267" t="e">
        <f>G1139/(D1139*8761)*1000/3.6</f>
        <v>#DIV/0!</v>
      </c>
      <c r="S1139" s="268" t="e">
        <f>G1139/(E1139*3.6)</f>
        <v>#DIV/0!</v>
      </c>
      <c r="T1139" s="269"/>
      <c r="Z1139" s="214">
        <f t="shared" ref="Z1139:Z1146" si="401">C1139-B1139</f>
        <v>0</v>
      </c>
      <c r="AA1139" s="214">
        <f t="shared" ref="AA1139:AA1146" si="402">F1139-E1139</f>
        <v>0</v>
      </c>
    </row>
    <row r="1140" spans="1:27" ht="13.15" customHeight="1">
      <c r="A1140" s="239" t="s">
        <v>263</v>
      </c>
      <c r="B1140" s="320"/>
      <c r="C1140" s="320"/>
      <c r="D1140" s="320"/>
      <c r="E1140" s="320"/>
      <c r="F1140" s="319"/>
      <c r="G1140" s="321"/>
      <c r="H1140" s="319"/>
      <c r="I1140" s="320"/>
      <c r="J1140" s="244"/>
      <c r="K1140" s="245" t="s">
        <v>263</v>
      </c>
      <c r="L1140" s="266" t="e">
        <f>B1140/I1140</f>
        <v>#DIV/0!</v>
      </c>
      <c r="M1140" s="267" t="e">
        <f>D1140/I1140</f>
        <v>#DIV/0!</v>
      </c>
      <c r="N1140" s="267" t="e">
        <f>D1140/B1140</f>
        <v>#DIV/0!</v>
      </c>
      <c r="O1140" s="239" t="e">
        <f>(F1140*3.6+G1140)*100/H1140</f>
        <v>#DIV/0!</v>
      </c>
      <c r="P1140" s="267" t="e">
        <f>(E1140*3.6+G1140)*100/H1140</f>
        <v>#DIV/0!</v>
      </c>
      <c r="Q1140" s="267" t="e">
        <f>E1140/(B1140*8760)*1000</f>
        <v>#DIV/0!</v>
      </c>
      <c r="R1140" s="267" t="e">
        <f>G1140/(D1140*8761)*1000/3.6</f>
        <v>#DIV/0!</v>
      </c>
      <c r="S1140" s="268" t="e">
        <f>G1140/(E1140*3.6)</f>
        <v>#DIV/0!</v>
      </c>
      <c r="T1140" s="269"/>
      <c r="U1140" s="239" t="s">
        <v>152</v>
      </c>
      <c r="V1140" s="492">
        <f>B1155/1000</f>
        <v>0</v>
      </c>
      <c r="Z1140" s="214">
        <f t="shared" si="401"/>
        <v>0</v>
      </c>
      <c r="AA1140" s="214">
        <f t="shared" si="402"/>
        <v>0</v>
      </c>
    </row>
    <row r="1141" spans="1:27" ht="13.15" customHeight="1">
      <c r="A1141" s="239" t="s">
        <v>499</v>
      </c>
      <c r="B1141" s="320"/>
      <c r="C1141" s="320"/>
      <c r="D1141" s="320"/>
      <c r="E1141" s="320"/>
      <c r="F1141" s="319"/>
      <c r="G1141" s="321"/>
      <c r="H1141" s="319"/>
      <c r="I1141" s="320"/>
      <c r="J1141" s="244"/>
      <c r="K1141" s="245" t="s">
        <v>499</v>
      </c>
      <c r="L1141" s="266" t="e">
        <f>B1141/I1141</f>
        <v>#DIV/0!</v>
      </c>
      <c r="M1141" s="267" t="e">
        <f>D1141/I1141</f>
        <v>#DIV/0!</v>
      </c>
      <c r="N1141" s="267" t="e">
        <f>D1141/B1141</f>
        <v>#DIV/0!</v>
      </c>
      <c r="O1141" s="239" t="e">
        <f>(F1141*3.6+G1141)*100/H1141</f>
        <v>#DIV/0!</v>
      </c>
      <c r="P1141" s="267" t="e">
        <f>(E1141*3.6+G1141)*100/H1141</f>
        <v>#DIV/0!</v>
      </c>
      <c r="Q1141" s="267" t="e">
        <f>E1141/(B1141*8760)*1000</f>
        <v>#DIV/0!</v>
      </c>
      <c r="R1141" s="267" t="e">
        <f>G1141/(D1141*8761)*1000/3.6</f>
        <v>#DIV/0!</v>
      </c>
      <c r="S1141" s="268" t="e">
        <f>G1141/(E1141*3.6)</f>
        <v>#DIV/0!</v>
      </c>
      <c r="T1141" s="269"/>
      <c r="U1141" s="239" t="s">
        <v>504</v>
      </c>
      <c r="V1141" s="492">
        <f t="shared" ref="V1141:V1157" si="403">B1156/1000</f>
        <v>0</v>
      </c>
      <c r="Z1141" s="214">
        <f t="shared" si="401"/>
        <v>0</v>
      </c>
      <c r="AA1141" s="214">
        <f t="shared" si="402"/>
        <v>0</v>
      </c>
    </row>
    <row r="1142" spans="1:27" ht="13.15" customHeight="1">
      <c r="A1142" s="239" t="s">
        <v>265</v>
      </c>
      <c r="B1142" s="320"/>
      <c r="C1142" s="320"/>
      <c r="D1142" s="320"/>
      <c r="E1142" s="320"/>
      <c r="F1142" s="319"/>
      <c r="G1142" s="321"/>
      <c r="H1142" s="319"/>
      <c r="I1142" s="320"/>
      <c r="J1142" s="244"/>
      <c r="K1142" s="245" t="s">
        <v>265</v>
      </c>
      <c r="L1142" s="266" t="e">
        <f>B1142/I1142</f>
        <v>#DIV/0!</v>
      </c>
      <c r="M1142" s="267" t="e">
        <f>D1142/I1142</f>
        <v>#DIV/0!</v>
      </c>
      <c r="N1142" s="267" t="e">
        <f>D1142/B1142</f>
        <v>#DIV/0!</v>
      </c>
      <c r="O1142" s="239" t="e">
        <f>(F1142*3.6+G1142)*100/H1142</f>
        <v>#DIV/0!</v>
      </c>
      <c r="P1142" s="267" t="e">
        <f>(E1142*3.6+G1142)*100/H1142</f>
        <v>#DIV/0!</v>
      </c>
      <c r="Q1142" s="267" t="e">
        <f>E1142/(B1142*8760)*1000</f>
        <v>#DIV/0!</v>
      </c>
      <c r="R1142" s="267" t="e">
        <f>G1142/(D1142*8761)*1000/3.6</f>
        <v>#DIV/0!</v>
      </c>
      <c r="S1142" s="268" t="e">
        <f>G1142/(E1142*3.6)</f>
        <v>#DIV/0!</v>
      </c>
      <c r="T1142" s="269"/>
      <c r="U1142" s="239" t="s">
        <v>505</v>
      </c>
      <c r="V1142" s="492">
        <f t="shared" si="403"/>
        <v>0</v>
      </c>
      <c r="Z1142" s="214">
        <f t="shared" si="401"/>
        <v>0</v>
      </c>
      <c r="AA1142" s="214">
        <f t="shared" si="402"/>
        <v>0</v>
      </c>
    </row>
    <row r="1143" spans="1:27" ht="13.15" customHeight="1">
      <c r="A1143" s="239" t="s">
        <v>266</v>
      </c>
      <c r="B1143" s="320"/>
      <c r="C1143" s="320"/>
      <c r="D1143" s="320"/>
      <c r="E1143" s="320"/>
      <c r="F1143" s="319"/>
      <c r="G1143" s="321"/>
      <c r="H1143" s="319"/>
      <c r="I1143" s="320"/>
      <c r="J1143" s="244"/>
      <c r="K1143" s="245" t="s">
        <v>266</v>
      </c>
      <c r="L1143" s="266" t="e">
        <f>B1143/I1143</f>
        <v>#DIV/0!</v>
      </c>
      <c r="M1143" s="267" t="e">
        <f>D1143/I1143</f>
        <v>#DIV/0!</v>
      </c>
      <c r="N1143" s="267" t="e">
        <f>D1143/B1143</f>
        <v>#DIV/0!</v>
      </c>
      <c r="O1143" s="239" t="e">
        <f>(F1143*3.6+G1143)*100/H1143</f>
        <v>#DIV/0!</v>
      </c>
      <c r="P1143" s="267" t="e">
        <f>(E1143*3.6+G1143)*100/H1143</f>
        <v>#DIV/0!</v>
      </c>
      <c r="Q1143" s="267" t="e">
        <f>E1143/(B1143*8760)*1000</f>
        <v>#DIV/0!</v>
      </c>
      <c r="R1143" s="267" t="e">
        <f>G1143/(D1143*8761)*1000/3.6</f>
        <v>#DIV/0!</v>
      </c>
      <c r="S1143" s="268" t="e">
        <f>G1143/(E1143*3.6)</f>
        <v>#DIV/0!</v>
      </c>
      <c r="T1143" s="269"/>
      <c r="U1143" s="239" t="s">
        <v>506</v>
      </c>
      <c r="V1143" s="492">
        <f t="shared" si="403"/>
        <v>0</v>
      </c>
      <c r="Z1143" s="214">
        <f t="shared" si="401"/>
        <v>0</v>
      </c>
      <c r="AA1143" s="214">
        <f t="shared" si="402"/>
        <v>0</v>
      </c>
    </row>
    <row r="1144" spans="1:27" ht="13.15" customHeight="1">
      <c r="A1144" s="272" t="s">
        <v>267</v>
      </c>
      <c r="B1144" s="395"/>
      <c r="C1144" s="395"/>
      <c r="D1144" s="395"/>
      <c r="E1144" s="320"/>
      <c r="F1144" s="319"/>
      <c r="G1144" s="396"/>
      <c r="H1144" s="397"/>
      <c r="I1144" s="395"/>
      <c r="J1144" s="244"/>
      <c r="K1144" s="245" t="s">
        <v>267</v>
      </c>
      <c r="L1144" s="266"/>
      <c r="M1144" s="267"/>
      <c r="N1144" s="267"/>
      <c r="O1144" s="239"/>
      <c r="P1144" s="267"/>
      <c r="Q1144" s="272"/>
      <c r="R1144" s="274"/>
      <c r="S1144" s="275"/>
      <c r="T1144" s="269"/>
      <c r="U1144" s="239" t="s">
        <v>507</v>
      </c>
      <c r="V1144" s="492">
        <f t="shared" si="403"/>
        <v>0</v>
      </c>
      <c r="Z1144" s="214">
        <f t="shared" si="401"/>
        <v>0</v>
      </c>
      <c r="AA1144" s="214">
        <f t="shared" si="402"/>
        <v>0</v>
      </c>
    </row>
    <row r="1145" spans="1:27" ht="13.15" customHeight="1">
      <c r="A1145" s="276" t="s">
        <v>500</v>
      </c>
      <c r="B1145" s="291">
        <f t="shared" ref="B1145:I1145" si="404">SUM(B1139:B1144)</f>
        <v>0</v>
      </c>
      <c r="C1145" s="291">
        <f t="shared" si="404"/>
        <v>0</v>
      </c>
      <c r="D1145" s="291">
        <f t="shared" si="404"/>
        <v>0</v>
      </c>
      <c r="E1145" s="291">
        <f t="shared" si="404"/>
        <v>0</v>
      </c>
      <c r="F1145" s="291">
        <f t="shared" si="404"/>
        <v>0</v>
      </c>
      <c r="G1145" s="292">
        <f t="shared" si="404"/>
        <v>0</v>
      </c>
      <c r="H1145" s="291">
        <f t="shared" si="404"/>
        <v>0</v>
      </c>
      <c r="I1145" s="293">
        <f t="shared" si="404"/>
        <v>0</v>
      </c>
      <c r="J1145" s="244"/>
      <c r="K1145" s="279" t="s">
        <v>169</v>
      </c>
      <c r="L1145" s="280" t="e">
        <f>B1145/I1145</f>
        <v>#DIV/0!</v>
      </c>
      <c r="M1145" s="281" t="e">
        <f>D1145/I1145</f>
        <v>#DIV/0!</v>
      </c>
      <c r="N1145" s="281" t="e">
        <f>D1145/B1145</f>
        <v>#DIV/0!</v>
      </c>
      <c r="O1145" s="294" t="e">
        <f>(F1145*3.6+G1145)*100/H1145</f>
        <v>#DIV/0!</v>
      </c>
      <c r="P1145" s="295" t="e">
        <f>(E1145*3.6+G1145)*100/H1145</f>
        <v>#DIV/0!</v>
      </c>
      <c r="Q1145" s="283" t="e">
        <f>E1145/(B1145*8760)*1000</f>
        <v>#DIV/0!</v>
      </c>
      <c r="R1145" s="283" t="e">
        <f>G1145/(D1145*8761)*1000/3.6</f>
        <v>#DIV/0!</v>
      </c>
      <c r="S1145" s="284" t="e">
        <f>G1145/(E1145*3.6)</f>
        <v>#DIV/0!</v>
      </c>
      <c r="U1145" s="239" t="s">
        <v>156</v>
      </c>
      <c r="V1145" s="492">
        <f t="shared" si="403"/>
        <v>0</v>
      </c>
      <c r="Z1145" s="214">
        <f t="shared" si="401"/>
        <v>0</v>
      </c>
      <c r="AA1145" s="214">
        <f t="shared" si="402"/>
        <v>0</v>
      </c>
    </row>
    <row r="1146" spans="1:27" ht="13.15" customHeight="1" thickBot="1">
      <c r="A1146" s="296" t="s">
        <v>502</v>
      </c>
      <c r="B1146" s="297">
        <f t="shared" ref="B1146:I1146" si="405">B1134+B1145</f>
        <v>0</v>
      </c>
      <c r="C1146" s="297">
        <f t="shared" si="405"/>
        <v>0</v>
      </c>
      <c r="D1146" s="297">
        <f t="shared" si="405"/>
        <v>0</v>
      </c>
      <c r="E1146" s="297">
        <f t="shared" si="405"/>
        <v>0</v>
      </c>
      <c r="F1146" s="297">
        <f t="shared" si="405"/>
        <v>0</v>
      </c>
      <c r="G1146" s="297">
        <f t="shared" si="405"/>
        <v>0</v>
      </c>
      <c r="H1146" s="297">
        <f t="shared" si="405"/>
        <v>0</v>
      </c>
      <c r="I1146" s="298">
        <f t="shared" si="405"/>
        <v>0</v>
      </c>
      <c r="J1146" s="244"/>
      <c r="K1146" s="296" t="s">
        <v>502</v>
      </c>
      <c r="L1146" s="299" t="e">
        <f>B1146/I1146</f>
        <v>#DIV/0!</v>
      </c>
      <c r="M1146" s="300" t="e">
        <f>D1146/I1146</f>
        <v>#DIV/0!</v>
      </c>
      <c r="N1146" s="300" t="e">
        <f>D1146/B1146</f>
        <v>#DIV/0!</v>
      </c>
      <c r="O1146" s="301" t="e">
        <f>(F1146*3.6+G1146)*100/H1146</f>
        <v>#DIV/0!</v>
      </c>
      <c r="P1146" s="301" t="e">
        <f>(E1146*3.6+G1146)*100/H1146</f>
        <v>#DIV/0!</v>
      </c>
      <c r="Q1146" s="301" t="e">
        <f>E1146/(B1146*8760)*1000</f>
        <v>#DIV/0!</v>
      </c>
      <c r="R1146" s="301" t="e">
        <f>G1146/(D1146*8761)*1000/3.6</f>
        <v>#DIV/0!</v>
      </c>
      <c r="S1146" s="302" t="e">
        <f>G1146/(E1146*3.6)</f>
        <v>#DIV/0!</v>
      </c>
      <c r="T1146" s="269"/>
      <c r="U1146" s="239" t="s">
        <v>508</v>
      </c>
      <c r="V1146" s="492">
        <f t="shared" si="403"/>
        <v>0</v>
      </c>
      <c r="Z1146" s="214">
        <f t="shared" si="401"/>
        <v>0</v>
      </c>
      <c r="AA1146" s="214">
        <f t="shared" si="402"/>
        <v>0</v>
      </c>
    </row>
    <row r="1147" spans="1:27" ht="13.15" customHeight="1">
      <c r="U1147" s="239" t="s">
        <v>509</v>
      </c>
      <c r="V1147" s="492">
        <f t="shared" si="403"/>
        <v>0</v>
      </c>
    </row>
    <row r="1148" spans="1:27" ht="13.15" customHeight="1">
      <c r="A1148" s="251" t="s">
        <v>139</v>
      </c>
      <c r="B1148" s="227" t="s">
        <v>476</v>
      </c>
      <c r="C1148" s="228"/>
      <c r="D1148" s="286"/>
      <c r="E1148" s="227" t="s">
        <v>477</v>
      </c>
      <c r="F1148" s="228"/>
      <c r="G1148" s="229"/>
      <c r="H1148" s="200" t="s">
        <v>138</v>
      </c>
      <c r="I1148" s="200" t="s">
        <v>478</v>
      </c>
      <c r="J1148" s="230"/>
      <c r="K1148" s="303" t="s">
        <v>503</v>
      </c>
      <c r="L1148" s="227" t="s">
        <v>479</v>
      </c>
      <c r="M1148" s="228"/>
      <c r="N1148" s="286"/>
      <c r="O1148" s="227" t="s">
        <v>480</v>
      </c>
      <c r="P1148" s="228"/>
      <c r="Q1148" s="228"/>
      <c r="R1148" s="229"/>
      <c r="S1148" s="286"/>
      <c r="T1148" s="304"/>
      <c r="U1148" s="239" t="s">
        <v>510</v>
      </c>
      <c r="V1148" s="492">
        <f t="shared" si="403"/>
        <v>0</v>
      </c>
    </row>
    <row r="1149" spans="1:27" ht="13.15" customHeight="1">
      <c r="A1149" s="239"/>
      <c r="B1149" s="240" t="s">
        <v>9</v>
      </c>
      <c r="C1149" s="240"/>
      <c r="D1149" s="241" t="s">
        <v>34</v>
      </c>
      <c r="E1149" s="242" t="s">
        <v>88</v>
      </c>
      <c r="F1149" s="243"/>
      <c r="G1149" s="244" t="s">
        <v>34</v>
      </c>
      <c r="H1149" s="241" t="s">
        <v>170</v>
      </c>
      <c r="I1149" s="241" t="s">
        <v>483</v>
      </c>
      <c r="J1149" s="230"/>
      <c r="K1149" s="305"/>
      <c r="L1149" s="306" t="s">
        <v>484</v>
      </c>
      <c r="M1149" s="247"/>
      <c r="N1149" s="248" t="s">
        <v>485</v>
      </c>
      <c r="O1149" s="248" t="s">
        <v>486</v>
      </c>
      <c r="P1149" s="248" t="s">
        <v>486</v>
      </c>
      <c r="Q1149" s="247" t="s">
        <v>487</v>
      </c>
      <c r="R1149" s="249"/>
      <c r="S1149" s="307" t="s">
        <v>485</v>
      </c>
      <c r="T1149" s="230"/>
      <c r="U1149" s="239" t="s">
        <v>511</v>
      </c>
      <c r="V1149" s="492">
        <f t="shared" si="403"/>
        <v>0</v>
      </c>
    </row>
    <row r="1150" spans="1:27" ht="13.15" customHeight="1">
      <c r="A1150" s="239"/>
      <c r="B1150" s="252" t="s">
        <v>0</v>
      </c>
      <c r="C1150" s="252" t="s">
        <v>489</v>
      </c>
      <c r="D1150" s="252" t="s">
        <v>490</v>
      </c>
      <c r="E1150" s="252" t="s">
        <v>491</v>
      </c>
      <c r="F1150" s="252" t="s">
        <v>489</v>
      </c>
      <c r="G1150" s="230" t="s">
        <v>490</v>
      </c>
      <c r="H1150" s="248"/>
      <c r="I1150" s="241" t="s">
        <v>492</v>
      </c>
      <c r="J1150" s="230"/>
      <c r="K1150" s="305"/>
      <c r="L1150" s="248" t="s">
        <v>88</v>
      </c>
      <c r="M1150" s="252" t="s">
        <v>34</v>
      </c>
      <c r="N1150" s="252" t="s">
        <v>493</v>
      </c>
      <c r="O1150" s="248" t="s">
        <v>494</v>
      </c>
      <c r="P1150" s="248" t="s">
        <v>495</v>
      </c>
      <c r="Q1150" s="230" t="s">
        <v>88</v>
      </c>
      <c r="R1150" s="248" t="s">
        <v>34</v>
      </c>
      <c r="S1150" s="252" t="s">
        <v>88</v>
      </c>
      <c r="T1150" s="230"/>
      <c r="U1150" s="239" t="s">
        <v>512</v>
      </c>
      <c r="V1150" s="492">
        <f t="shared" si="403"/>
        <v>0</v>
      </c>
    </row>
    <row r="1151" spans="1:27" ht="13.15" customHeight="1">
      <c r="A1151" s="239"/>
      <c r="B1151" s="257" t="s">
        <v>496</v>
      </c>
      <c r="C1151" s="256" t="s">
        <v>496</v>
      </c>
      <c r="D1151" s="256" t="s">
        <v>496</v>
      </c>
      <c r="E1151" s="256" t="s">
        <v>473</v>
      </c>
      <c r="F1151" s="256" t="s">
        <v>473</v>
      </c>
      <c r="G1151" s="257" t="s">
        <v>451</v>
      </c>
      <c r="H1151" s="257" t="s">
        <v>497</v>
      </c>
      <c r="I1151" s="257" t="s">
        <v>498</v>
      </c>
      <c r="J1151" s="230"/>
      <c r="K1151" s="305"/>
      <c r="L1151" s="257" t="s">
        <v>496</v>
      </c>
      <c r="M1151" s="256" t="s">
        <v>496</v>
      </c>
      <c r="N1151" s="256"/>
      <c r="O1151" s="257" t="s">
        <v>79</v>
      </c>
      <c r="P1151" s="257" t="s">
        <v>79</v>
      </c>
      <c r="Q1151" s="259"/>
      <c r="R1151" s="257"/>
      <c r="S1151" s="256"/>
      <c r="T1151" s="230"/>
      <c r="U1151" s="239" t="s">
        <v>513</v>
      </c>
      <c r="V1151" s="492">
        <f t="shared" si="403"/>
        <v>0</v>
      </c>
    </row>
    <row r="1152" spans="1:27" ht="13.15" customHeight="1">
      <c r="A1152" s="251" t="s">
        <v>150</v>
      </c>
      <c r="B1152" s="308"/>
      <c r="C1152" s="309"/>
      <c r="D1152" s="310"/>
      <c r="E1152" s="308"/>
      <c r="F1152" s="308"/>
      <c r="G1152" s="309"/>
      <c r="H1152" s="311"/>
      <c r="I1152" s="310"/>
      <c r="J1152" s="244"/>
      <c r="K1152" s="303" t="s">
        <v>150</v>
      </c>
      <c r="L1152" s="312" t="e">
        <f>B1152/I1152</f>
        <v>#DIV/0!</v>
      </c>
      <c r="M1152" s="313" t="e">
        <f>D1152/I1152</f>
        <v>#DIV/0!</v>
      </c>
      <c r="N1152" s="313" t="e">
        <f>D1152/B1152</f>
        <v>#DIV/0!</v>
      </c>
      <c r="O1152" s="312" t="e">
        <f>(F1152*3.6+G1152)*100/H1152</f>
        <v>#DIV/0!</v>
      </c>
      <c r="P1152" s="313" t="e">
        <f>(E1152*3.6+G1152)*100/H1152</f>
        <v>#DIV/0!</v>
      </c>
      <c r="Q1152" s="313" t="e">
        <f>E1152/(B1152*8760)*1000</f>
        <v>#DIV/0!</v>
      </c>
      <c r="R1152" s="313" t="e">
        <f>G1152/(D1152*8761)*1000/3.6</f>
        <v>#DIV/0!</v>
      </c>
      <c r="S1152" s="313" t="e">
        <f>G1152/(E1152*3.6)</f>
        <v>#DIV/0!</v>
      </c>
      <c r="T1152" s="269"/>
      <c r="U1152" s="239" t="s">
        <v>514</v>
      </c>
      <c r="V1152" s="492">
        <f t="shared" si="403"/>
        <v>0</v>
      </c>
      <c r="Z1152" s="214">
        <f>C1152-B1152</f>
        <v>0</v>
      </c>
      <c r="AA1152" s="214">
        <f>F1152-E1152</f>
        <v>0</v>
      </c>
    </row>
    <row r="1153" spans="1:27" ht="13.15" customHeight="1">
      <c r="A1153" s="239"/>
      <c r="B1153" s="314"/>
      <c r="C1153" s="315"/>
      <c r="D1153" s="315"/>
      <c r="E1153" s="316"/>
      <c r="F1153" s="316"/>
      <c r="G1153" s="317"/>
      <c r="H1153" s="314"/>
      <c r="I1153" s="314"/>
      <c r="J1153" s="230"/>
      <c r="K1153" s="239"/>
      <c r="L1153" s="312"/>
      <c r="M1153" s="267"/>
      <c r="N1153" s="267"/>
      <c r="O1153" s="239"/>
      <c r="P1153" s="313"/>
      <c r="Q1153" s="267"/>
      <c r="R1153" s="267"/>
      <c r="S1153" s="239"/>
      <c r="T1153" s="269"/>
      <c r="U1153" s="239" t="s">
        <v>515</v>
      </c>
      <c r="V1153" s="492">
        <f t="shared" si="403"/>
        <v>0</v>
      </c>
      <c r="Z1153" s="214">
        <f t="shared" ref="Z1153:Z1173" si="406">C1153-B1153</f>
        <v>0</v>
      </c>
      <c r="AA1153" s="214">
        <f t="shared" ref="AA1153:AA1173" si="407">F1153-E1153</f>
        <v>0</v>
      </c>
    </row>
    <row r="1154" spans="1:27" ht="13.15" customHeight="1">
      <c r="A1154" s="312" t="s">
        <v>7</v>
      </c>
      <c r="B1154" s="310">
        <f>SUM(B1155:B1172)</f>
        <v>0</v>
      </c>
      <c r="C1154" s="310">
        <f t="shared" ref="C1154:I1154" si="408">SUM(C1155:C1172)</f>
        <v>0</v>
      </c>
      <c r="D1154" s="310">
        <f t="shared" si="408"/>
        <v>0</v>
      </c>
      <c r="E1154" s="310">
        <f t="shared" si="408"/>
        <v>0</v>
      </c>
      <c r="F1154" s="310">
        <f t="shared" si="408"/>
        <v>0</v>
      </c>
      <c r="G1154" s="310">
        <f t="shared" si="408"/>
        <v>0</v>
      </c>
      <c r="H1154" s="310">
        <f t="shared" si="408"/>
        <v>0</v>
      </c>
      <c r="I1154" s="310">
        <f t="shared" si="408"/>
        <v>0</v>
      </c>
      <c r="J1154" s="244"/>
      <c r="K1154" s="318" t="s">
        <v>7</v>
      </c>
      <c r="L1154" s="312" t="e">
        <f>B1154/I1154</f>
        <v>#DIV/0!</v>
      </c>
      <c r="M1154" s="313" t="e">
        <f>D1154/I1154</f>
        <v>#DIV/0!</v>
      </c>
      <c r="N1154" s="313" t="e">
        <f>D1154/B1154</f>
        <v>#DIV/0!</v>
      </c>
      <c r="O1154" s="312" t="e">
        <f t="shared" ref="O1154:O1171" si="409">(F1154*3.6+G1154)*100/H1154</f>
        <v>#DIV/0!</v>
      </c>
      <c r="P1154" s="313" t="e">
        <f>(E1154*3.6+G1154)*100/H1154</f>
        <v>#DIV/0!</v>
      </c>
      <c r="Q1154" s="313" t="e">
        <f>E1154/(B1154*8760)*1000</f>
        <v>#DIV/0!</v>
      </c>
      <c r="R1154" s="313" t="e">
        <f>G1154/(D1154*8761)*1000/3.6</f>
        <v>#DIV/0!</v>
      </c>
      <c r="S1154" s="313" t="e">
        <f>G1154/(E1154*3.6)</f>
        <v>#DIV/0!</v>
      </c>
      <c r="T1154" s="269"/>
      <c r="U1154" s="239" t="s">
        <v>516</v>
      </c>
      <c r="V1154" s="492">
        <f t="shared" si="403"/>
        <v>0</v>
      </c>
      <c r="Z1154" s="214">
        <f t="shared" si="406"/>
        <v>0</v>
      </c>
      <c r="AA1154" s="214">
        <f t="shared" si="407"/>
        <v>0</v>
      </c>
    </row>
    <row r="1155" spans="1:27" ht="13.15" customHeight="1">
      <c r="A1155" s="239" t="s">
        <v>152</v>
      </c>
      <c r="B1155" s="319"/>
      <c r="C1155" s="320"/>
      <c r="D1155" s="320"/>
      <c r="E1155" s="316"/>
      <c r="F1155" s="316"/>
      <c r="G1155" s="321"/>
      <c r="H1155" s="319"/>
      <c r="I1155" s="319"/>
      <c r="J1155" s="230"/>
      <c r="K1155" s="305" t="s">
        <v>152</v>
      </c>
      <c r="L1155" s="239" t="e">
        <f t="shared" ref="L1155:L1171" si="410">B1155/I1155</f>
        <v>#DIV/0!</v>
      </c>
      <c r="M1155" s="267" t="e">
        <f t="shared" ref="M1155:M1171" si="411">D1155/I1155</f>
        <v>#DIV/0!</v>
      </c>
      <c r="N1155" s="267" t="e">
        <f t="shared" ref="N1155:N1171" si="412">D1155/B1155</f>
        <v>#DIV/0!</v>
      </c>
      <c r="O1155" s="239" t="e">
        <f t="shared" si="409"/>
        <v>#DIV/0!</v>
      </c>
      <c r="P1155" s="267" t="e">
        <f t="shared" ref="P1155:P1171" si="413">(E1155*3.6+G1155)*100/H1155</f>
        <v>#DIV/0!</v>
      </c>
      <c r="Q1155" s="267" t="e">
        <f t="shared" ref="Q1155:Q1171" si="414">E1155/(B1155*8760)*1000</f>
        <v>#DIV/0!</v>
      </c>
      <c r="R1155" s="267" t="e">
        <f t="shared" ref="R1155:R1171" si="415">G1155/(D1155*8761)*1000/3.6</f>
        <v>#DIV/0!</v>
      </c>
      <c r="S1155" s="267" t="e">
        <f t="shared" ref="S1155:S1171" si="416">G1155/(E1155*3.6)</f>
        <v>#DIV/0!</v>
      </c>
      <c r="T1155" s="269"/>
      <c r="U1155" s="239" t="s">
        <v>517</v>
      </c>
      <c r="V1155" s="492">
        <f t="shared" si="403"/>
        <v>0</v>
      </c>
      <c r="Z1155" s="214">
        <f t="shared" si="406"/>
        <v>0</v>
      </c>
      <c r="AA1155" s="214">
        <f t="shared" si="407"/>
        <v>0</v>
      </c>
    </row>
    <row r="1156" spans="1:27" ht="13.15" customHeight="1">
      <c r="A1156" s="239" t="s">
        <v>504</v>
      </c>
      <c r="B1156" s="319"/>
      <c r="C1156" s="320"/>
      <c r="D1156" s="320"/>
      <c r="E1156" s="316"/>
      <c r="F1156" s="316"/>
      <c r="G1156" s="321"/>
      <c r="H1156" s="319"/>
      <c r="I1156" s="319"/>
      <c r="J1156" s="230"/>
      <c r="K1156" s="305" t="s">
        <v>504</v>
      </c>
      <c r="L1156" s="239" t="e">
        <f t="shared" si="410"/>
        <v>#DIV/0!</v>
      </c>
      <c r="M1156" s="267" t="e">
        <f t="shared" si="411"/>
        <v>#DIV/0!</v>
      </c>
      <c r="N1156" s="267" t="e">
        <f t="shared" si="412"/>
        <v>#DIV/0!</v>
      </c>
      <c r="O1156" s="239" t="e">
        <f t="shared" si="409"/>
        <v>#DIV/0!</v>
      </c>
      <c r="P1156" s="267" t="e">
        <f t="shared" si="413"/>
        <v>#DIV/0!</v>
      </c>
      <c r="Q1156" s="267" t="e">
        <f t="shared" si="414"/>
        <v>#DIV/0!</v>
      </c>
      <c r="R1156" s="267" t="e">
        <f t="shared" si="415"/>
        <v>#DIV/0!</v>
      </c>
      <c r="S1156" s="267" t="e">
        <f t="shared" si="416"/>
        <v>#DIV/0!</v>
      </c>
      <c r="T1156" s="269"/>
      <c r="U1156" s="239" t="s">
        <v>518</v>
      </c>
      <c r="V1156" s="492">
        <f t="shared" si="403"/>
        <v>0</v>
      </c>
      <c r="Z1156" s="214">
        <f t="shared" si="406"/>
        <v>0</v>
      </c>
      <c r="AA1156" s="214">
        <f t="shared" si="407"/>
        <v>0</v>
      </c>
    </row>
    <row r="1157" spans="1:27" ht="13.15" customHeight="1">
      <c r="A1157" s="239" t="s">
        <v>505</v>
      </c>
      <c r="B1157" s="319"/>
      <c r="C1157" s="320"/>
      <c r="D1157" s="320"/>
      <c r="E1157" s="316"/>
      <c r="F1157" s="316"/>
      <c r="G1157" s="321"/>
      <c r="H1157" s="319"/>
      <c r="I1157" s="319"/>
      <c r="J1157" s="230"/>
      <c r="K1157" s="305" t="s">
        <v>505</v>
      </c>
      <c r="L1157" s="239" t="e">
        <f t="shared" si="410"/>
        <v>#DIV/0!</v>
      </c>
      <c r="M1157" s="267" t="e">
        <f t="shared" si="411"/>
        <v>#DIV/0!</v>
      </c>
      <c r="N1157" s="267" t="e">
        <f t="shared" si="412"/>
        <v>#DIV/0!</v>
      </c>
      <c r="O1157" s="239" t="e">
        <f t="shared" si="409"/>
        <v>#DIV/0!</v>
      </c>
      <c r="P1157" s="267" t="e">
        <f t="shared" si="413"/>
        <v>#DIV/0!</v>
      </c>
      <c r="Q1157" s="267" t="e">
        <f t="shared" si="414"/>
        <v>#DIV/0!</v>
      </c>
      <c r="R1157" s="267" t="e">
        <f t="shared" si="415"/>
        <v>#DIV/0!</v>
      </c>
      <c r="S1157" s="267" t="e">
        <f t="shared" si="416"/>
        <v>#DIV/0!</v>
      </c>
      <c r="T1157" s="269"/>
      <c r="U1157" s="239" t="s">
        <v>519</v>
      </c>
      <c r="V1157" s="492">
        <f t="shared" si="403"/>
        <v>0</v>
      </c>
      <c r="Z1157" s="214">
        <f t="shared" si="406"/>
        <v>0</v>
      </c>
      <c r="AA1157" s="214">
        <f t="shared" si="407"/>
        <v>0</v>
      </c>
    </row>
    <row r="1158" spans="1:27" ht="13.15" customHeight="1">
      <c r="A1158" s="239" t="s">
        <v>506</v>
      </c>
      <c r="B1158" s="319"/>
      <c r="C1158" s="320"/>
      <c r="D1158" s="320"/>
      <c r="E1158" s="316"/>
      <c r="F1158" s="316"/>
      <c r="G1158" s="321"/>
      <c r="H1158" s="319"/>
      <c r="I1158" s="319"/>
      <c r="J1158" s="230"/>
      <c r="K1158" s="305" t="s">
        <v>506</v>
      </c>
      <c r="L1158" s="239" t="e">
        <f t="shared" si="410"/>
        <v>#DIV/0!</v>
      </c>
      <c r="M1158" s="267" t="e">
        <f t="shared" si="411"/>
        <v>#DIV/0!</v>
      </c>
      <c r="N1158" s="267" t="e">
        <f t="shared" si="412"/>
        <v>#DIV/0!</v>
      </c>
      <c r="O1158" s="239" t="e">
        <f t="shared" si="409"/>
        <v>#DIV/0!</v>
      </c>
      <c r="P1158" s="267" t="e">
        <f t="shared" si="413"/>
        <v>#DIV/0!</v>
      </c>
      <c r="Q1158" s="267" t="e">
        <f t="shared" si="414"/>
        <v>#DIV/0!</v>
      </c>
      <c r="R1158" s="267" t="e">
        <f t="shared" si="415"/>
        <v>#DIV/0!</v>
      </c>
      <c r="S1158" s="267" t="e">
        <f t="shared" si="416"/>
        <v>#DIV/0!</v>
      </c>
      <c r="T1158" s="269"/>
      <c r="Z1158" s="214">
        <f t="shared" si="406"/>
        <v>0</v>
      </c>
      <c r="AA1158" s="214">
        <f t="shared" si="407"/>
        <v>0</v>
      </c>
    </row>
    <row r="1159" spans="1:27" ht="13.15" customHeight="1">
      <c r="A1159" s="239" t="s">
        <v>507</v>
      </c>
      <c r="B1159" s="319"/>
      <c r="C1159" s="320"/>
      <c r="D1159" s="320"/>
      <c r="E1159" s="316"/>
      <c r="F1159" s="316"/>
      <c r="G1159" s="321"/>
      <c r="H1159" s="319"/>
      <c r="I1159" s="319"/>
      <c r="J1159" s="230"/>
      <c r="K1159" s="305" t="s">
        <v>507</v>
      </c>
      <c r="L1159" s="239" t="e">
        <f t="shared" si="410"/>
        <v>#DIV/0!</v>
      </c>
      <c r="M1159" s="267" t="e">
        <f t="shared" si="411"/>
        <v>#DIV/0!</v>
      </c>
      <c r="N1159" s="267" t="e">
        <f t="shared" si="412"/>
        <v>#DIV/0!</v>
      </c>
      <c r="O1159" s="239" t="e">
        <f t="shared" si="409"/>
        <v>#DIV/0!</v>
      </c>
      <c r="P1159" s="267" t="e">
        <f t="shared" si="413"/>
        <v>#DIV/0!</v>
      </c>
      <c r="Q1159" s="267" t="e">
        <f t="shared" si="414"/>
        <v>#DIV/0!</v>
      </c>
      <c r="R1159" s="267" t="e">
        <f t="shared" si="415"/>
        <v>#DIV/0!</v>
      </c>
      <c r="S1159" s="267" t="e">
        <f t="shared" si="416"/>
        <v>#DIV/0!</v>
      </c>
      <c r="T1159" s="269"/>
      <c r="Z1159" s="214">
        <f t="shared" si="406"/>
        <v>0</v>
      </c>
      <c r="AA1159" s="214">
        <f t="shared" si="407"/>
        <v>0</v>
      </c>
    </row>
    <row r="1160" spans="1:27" ht="13.15" customHeight="1">
      <c r="A1160" s="239" t="s">
        <v>156</v>
      </c>
      <c r="B1160" s="319"/>
      <c r="C1160" s="320"/>
      <c r="D1160" s="320"/>
      <c r="E1160" s="316"/>
      <c r="F1160" s="316"/>
      <c r="G1160" s="321"/>
      <c r="H1160" s="319"/>
      <c r="I1160" s="319"/>
      <c r="J1160" s="230"/>
      <c r="K1160" s="305" t="s">
        <v>156</v>
      </c>
      <c r="L1160" s="239" t="e">
        <f t="shared" si="410"/>
        <v>#DIV/0!</v>
      </c>
      <c r="M1160" s="267" t="e">
        <f t="shared" si="411"/>
        <v>#DIV/0!</v>
      </c>
      <c r="N1160" s="267" t="e">
        <f t="shared" si="412"/>
        <v>#DIV/0!</v>
      </c>
      <c r="O1160" s="322" t="e">
        <f t="shared" si="409"/>
        <v>#DIV/0!</v>
      </c>
      <c r="P1160" s="323" t="e">
        <f t="shared" si="413"/>
        <v>#DIV/0!</v>
      </c>
      <c r="Q1160" s="267" t="e">
        <f t="shared" si="414"/>
        <v>#DIV/0!</v>
      </c>
      <c r="R1160" s="267" t="e">
        <f t="shared" si="415"/>
        <v>#DIV/0!</v>
      </c>
      <c r="S1160" s="267" t="e">
        <f t="shared" si="416"/>
        <v>#DIV/0!</v>
      </c>
      <c r="T1160" s="269"/>
      <c r="Z1160" s="214">
        <f t="shared" si="406"/>
        <v>0</v>
      </c>
      <c r="AA1160" s="214">
        <f t="shared" si="407"/>
        <v>0</v>
      </c>
    </row>
    <row r="1161" spans="1:27" ht="13.15" customHeight="1">
      <c r="A1161" s="239" t="s">
        <v>508</v>
      </c>
      <c r="B1161" s="319"/>
      <c r="C1161" s="320"/>
      <c r="D1161" s="320"/>
      <c r="E1161" s="316"/>
      <c r="F1161" s="316"/>
      <c r="G1161" s="321"/>
      <c r="H1161" s="319"/>
      <c r="I1161" s="319"/>
      <c r="J1161" s="230"/>
      <c r="K1161" s="305" t="s">
        <v>508</v>
      </c>
      <c r="L1161" s="239" t="e">
        <f t="shared" si="410"/>
        <v>#DIV/0!</v>
      </c>
      <c r="M1161" s="267" t="e">
        <f t="shared" si="411"/>
        <v>#DIV/0!</v>
      </c>
      <c r="N1161" s="267" t="e">
        <f t="shared" si="412"/>
        <v>#DIV/0!</v>
      </c>
      <c r="O1161" s="239" t="e">
        <f t="shared" si="409"/>
        <v>#DIV/0!</v>
      </c>
      <c r="P1161" s="267" t="e">
        <f t="shared" si="413"/>
        <v>#DIV/0!</v>
      </c>
      <c r="Q1161" s="267" t="e">
        <f t="shared" si="414"/>
        <v>#DIV/0!</v>
      </c>
      <c r="R1161" s="267" t="e">
        <f t="shared" si="415"/>
        <v>#DIV/0!</v>
      </c>
      <c r="S1161" s="267" t="e">
        <f t="shared" si="416"/>
        <v>#DIV/0!</v>
      </c>
      <c r="T1161" s="269"/>
      <c r="Z1161" s="214">
        <f t="shared" si="406"/>
        <v>0</v>
      </c>
      <c r="AA1161" s="214">
        <f t="shared" si="407"/>
        <v>0</v>
      </c>
    </row>
    <row r="1162" spans="1:27" ht="13.15" customHeight="1">
      <c r="A1162" s="239" t="s">
        <v>509</v>
      </c>
      <c r="B1162" s="319"/>
      <c r="C1162" s="320"/>
      <c r="D1162" s="320"/>
      <c r="E1162" s="316"/>
      <c r="F1162" s="316"/>
      <c r="G1162" s="321"/>
      <c r="H1162" s="319"/>
      <c r="I1162" s="319"/>
      <c r="J1162" s="230"/>
      <c r="K1162" s="305" t="s">
        <v>509</v>
      </c>
      <c r="L1162" s="239" t="e">
        <f t="shared" si="410"/>
        <v>#DIV/0!</v>
      </c>
      <c r="M1162" s="267" t="e">
        <f t="shared" si="411"/>
        <v>#DIV/0!</v>
      </c>
      <c r="N1162" s="267" t="e">
        <f t="shared" si="412"/>
        <v>#DIV/0!</v>
      </c>
      <c r="O1162" s="239" t="e">
        <f t="shared" si="409"/>
        <v>#DIV/0!</v>
      </c>
      <c r="P1162" s="267" t="e">
        <f t="shared" si="413"/>
        <v>#DIV/0!</v>
      </c>
      <c r="Q1162" s="267" t="e">
        <f t="shared" si="414"/>
        <v>#DIV/0!</v>
      </c>
      <c r="R1162" s="267" t="e">
        <f t="shared" si="415"/>
        <v>#DIV/0!</v>
      </c>
      <c r="S1162" s="267" t="e">
        <f t="shared" si="416"/>
        <v>#DIV/0!</v>
      </c>
      <c r="T1162" s="269"/>
      <c r="Z1162" s="214">
        <f t="shared" si="406"/>
        <v>0</v>
      </c>
      <c r="AA1162" s="214">
        <f t="shared" si="407"/>
        <v>0</v>
      </c>
    </row>
    <row r="1163" spans="1:27" ht="13.15" customHeight="1">
      <c r="A1163" s="239" t="s">
        <v>510</v>
      </c>
      <c r="B1163" s="319"/>
      <c r="C1163" s="320"/>
      <c r="D1163" s="320"/>
      <c r="E1163" s="316"/>
      <c r="F1163" s="316"/>
      <c r="G1163" s="321"/>
      <c r="H1163" s="319"/>
      <c r="I1163" s="319"/>
      <c r="J1163" s="230"/>
      <c r="K1163" s="305" t="s">
        <v>510</v>
      </c>
      <c r="L1163" s="239" t="e">
        <f t="shared" si="410"/>
        <v>#DIV/0!</v>
      </c>
      <c r="M1163" s="267" t="e">
        <f t="shared" si="411"/>
        <v>#DIV/0!</v>
      </c>
      <c r="N1163" s="267" t="e">
        <f t="shared" si="412"/>
        <v>#DIV/0!</v>
      </c>
      <c r="O1163" s="322" t="e">
        <f t="shared" si="409"/>
        <v>#DIV/0!</v>
      </c>
      <c r="P1163" s="323" t="e">
        <f t="shared" si="413"/>
        <v>#DIV/0!</v>
      </c>
      <c r="Q1163" s="267" t="e">
        <f t="shared" si="414"/>
        <v>#DIV/0!</v>
      </c>
      <c r="R1163" s="267" t="e">
        <f t="shared" si="415"/>
        <v>#DIV/0!</v>
      </c>
      <c r="S1163" s="267" t="e">
        <f t="shared" si="416"/>
        <v>#DIV/0!</v>
      </c>
      <c r="T1163" s="269"/>
      <c r="Z1163" s="214">
        <f t="shared" si="406"/>
        <v>0</v>
      </c>
      <c r="AA1163" s="214">
        <f t="shared" si="407"/>
        <v>0</v>
      </c>
    </row>
    <row r="1164" spans="1:27" ht="13.15" customHeight="1">
      <c r="A1164" s="239" t="s">
        <v>511</v>
      </c>
      <c r="B1164" s="324"/>
      <c r="C1164" s="325"/>
      <c r="D1164" s="320"/>
      <c r="E1164" s="316"/>
      <c r="F1164" s="316"/>
      <c r="G1164" s="321"/>
      <c r="H1164" s="319"/>
      <c r="I1164" s="319"/>
      <c r="J1164" s="230"/>
      <c r="K1164" s="305" t="s">
        <v>511</v>
      </c>
      <c r="L1164" s="239" t="e">
        <f t="shared" si="410"/>
        <v>#DIV/0!</v>
      </c>
      <c r="M1164" s="267" t="e">
        <f t="shared" si="411"/>
        <v>#DIV/0!</v>
      </c>
      <c r="N1164" s="267" t="e">
        <f t="shared" si="412"/>
        <v>#DIV/0!</v>
      </c>
      <c r="O1164" s="239" t="e">
        <f t="shared" si="409"/>
        <v>#DIV/0!</v>
      </c>
      <c r="P1164" s="267" t="e">
        <f t="shared" si="413"/>
        <v>#DIV/0!</v>
      </c>
      <c r="Q1164" s="267" t="e">
        <f t="shared" si="414"/>
        <v>#DIV/0!</v>
      </c>
      <c r="R1164" s="267" t="e">
        <f t="shared" si="415"/>
        <v>#DIV/0!</v>
      </c>
      <c r="S1164" s="267" t="e">
        <f t="shared" si="416"/>
        <v>#DIV/0!</v>
      </c>
      <c r="T1164" s="269"/>
      <c r="Z1164" s="214">
        <f t="shared" si="406"/>
        <v>0</v>
      </c>
      <c r="AA1164" s="214">
        <f t="shared" si="407"/>
        <v>0</v>
      </c>
    </row>
    <row r="1165" spans="1:27" ht="13.15" customHeight="1">
      <c r="A1165" s="239" t="s">
        <v>512</v>
      </c>
      <c r="B1165" s="324"/>
      <c r="C1165" s="325"/>
      <c r="D1165" s="320"/>
      <c r="E1165" s="316"/>
      <c r="F1165" s="316"/>
      <c r="G1165" s="321"/>
      <c r="H1165" s="319"/>
      <c r="I1165" s="319"/>
      <c r="J1165" s="230"/>
      <c r="K1165" s="305" t="s">
        <v>512</v>
      </c>
      <c r="L1165" s="239" t="e">
        <f t="shared" si="410"/>
        <v>#DIV/0!</v>
      </c>
      <c r="M1165" s="267" t="e">
        <f t="shared" si="411"/>
        <v>#DIV/0!</v>
      </c>
      <c r="N1165" s="267" t="e">
        <f t="shared" si="412"/>
        <v>#DIV/0!</v>
      </c>
      <c r="O1165" s="239" t="e">
        <f t="shared" si="409"/>
        <v>#DIV/0!</v>
      </c>
      <c r="P1165" s="267" t="e">
        <f t="shared" si="413"/>
        <v>#DIV/0!</v>
      </c>
      <c r="Q1165" s="267" t="e">
        <f t="shared" si="414"/>
        <v>#DIV/0!</v>
      </c>
      <c r="R1165" s="267" t="e">
        <f t="shared" si="415"/>
        <v>#DIV/0!</v>
      </c>
      <c r="S1165" s="267" t="e">
        <f t="shared" si="416"/>
        <v>#DIV/0!</v>
      </c>
      <c r="T1165" s="269"/>
      <c r="Z1165" s="214">
        <f t="shared" si="406"/>
        <v>0</v>
      </c>
      <c r="AA1165" s="214">
        <f t="shared" si="407"/>
        <v>0</v>
      </c>
    </row>
    <row r="1166" spans="1:27" ht="13.15" customHeight="1">
      <c r="A1166" s="239" t="s">
        <v>513</v>
      </c>
      <c r="B1166" s="324"/>
      <c r="C1166" s="325"/>
      <c r="D1166" s="320"/>
      <c r="E1166" s="316"/>
      <c r="F1166" s="316"/>
      <c r="G1166" s="321"/>
      <c r="H1166" s="319"/>
      <c r="I1166" s="319"/>
      <c r="J1166" s="230"/>
      <c r="K1166" s="305" t="s">
        <v>513</v>
      </c>
      <c r="L1166" s="239" t="e">
        <f t="shared" si="410"/>
        <v>#DIV/0!</v>
      </c>
      <c r="M1166" s="267" t="e">
        <f t="shared" si="411"/>
        <v>#DIV/0!</v>
      </c>
      <c r="N1166" s="267" t="e">
        <f t="shared" si="412"/>
        <v>#DIV/0!</v>
      </c>
      <c r="O1166" s="239" t="e">
        <f t="shared" si="409"/>
        <v>#DIV/0!</v>
      </c>
      <c r="P1166" s="267" t="e">
        <f t="shared" si="413"/>
        <v>#DIV/0!</v>
      </c>
      <c r="Q1166" s="267" t="e">
        <f t="shared" si="414"/>
        <v>#DIV/0!</v>
      </c>
      <c r="R1166" s="267" t="e">
        <f t="shared" si="415"/>
        <v>#DIV/0!</v>
      </c>
      <c r="S1166" s="267" t="e">
        <f t="shared" si="416"/>
        <v>#DIV/0!</v>
      </c>
      <c r="T1166" s="269"/>
      <c r="Z1166" s="214">
        <f t="shared" si="406"/>
        <v>0</v>
      </c>
      <c r="AA1166" s="214">
        <f t="shared" si="407"/>
        <v>0</v>
      </c>
    </row>
    <row r="1167" spans="1:27" ht="13.15" customHeight="1">
      <c r="A1167" s="239" t="s">
        <v>514</v>
      </c>
      <c r="B1167" s="324"/>
      <c r="C1167" s="325"/>
      <c r="D1167" s="320"/>
      <c r="E1167" s="316"/>
      <c r="F1167" s="316"/>
      <c r="G1167" s="321"/>
      <c r="H1167" s="319"/>
      <c r="I1167" s="319"/>
      <c r="J1167" s="230"/>
      <c r="K1167" s="305" t="s">
        <v>514</v>
      </c>
      <c r="L1167" s="239" t="e">
        <f t="shared" si="410"/>
        <v>#DIV/0!</v>
      </c>
      <c r="M1167" s="267" t="e">
        <f t="shared" si="411"/>
        <v>#DIV/0!</v>
      </c>
      <c r="N1167" s="267" t="e">
        <f t="shared" si="412"/>
        <v>#DIV/0!</v>
      </c>
      <c r="O1167" s="239" t="e">
        <f t="shared" si="409"/>
        <v>#DIV/0!</v>
      </c>
      <c r="P1167" s="267" t="e">
        <f t="shared" si="413"/>
        <v>#DIV/0!</v>
      </c>
      <c r="Q1167" s="267" t="e">
        <f t="shared" si="414"/>
        <v>#DIV/0!</v>
      </c>
      <c r="R1167" s="267" t="e">
        <f t="shared" si="415"/>
        <v>#DIV/0!</v>
      </c>
      <c r="S1167" s="267" t="e">
        <f t="shared" si="416"/>
        <v>#DIV/0!</v>
      </c>
      <c r="T1167" s="269"/>
      <c r="Z1167" s="214">
        <f t="shared" si="406"/>
        <v>0</v>
      </c>
      <c r="AA1167" s="214">
        <f t="shared" si="407"/>
        <v>0</v>
      </c>
    </row>
    <row r="1168" spans="1:27" ht="13.15" customHeight="1">
      <c r="A1168" s="239" t="s">
        <v>515</v>
      </c>
      <c r="B1168" s="324"/>
      <c r="C1168" s="325"/>
      <c r="D1168" s="320"/>
      <c r="E1168" s="316"/>
      <c r="F1168" s="316"/>
      <c r="G1168" s="321"/>
      <c r="H1168" s="319"/>
      <c r="I1168" s="319"/>
      <c r="J1168" s="230"/>
      <c r="K1168" s="305" t="s">
        <v>515</v>
      </c>
      <c r="L1168" s="239" t="e">
        <f t="shared" si="410"/>
        <v>#DIV/0!</v>
      </c>
      <c r="M1168" s="267" t="e">
        <f t="shared" si="411"/>
        <v>#DIV/0!</v>
      </c>
      <c r="N1168" s="267" t="e">
        <f t="shared" si="412"/>
        <v>#DIV/0!</v>
      </c>
      <c r="O1168" s="239" t="e">
        <f t="shared" si="409"/>
        <v>#DIV/0!</v>
      </c>
      <c r="P1168" s="267" t="e">
        <f t="shared" si="413"/>
        <v>#DIV/0!</v>
      </c>
      <c r="Q1168" s="267" t="e">
        <f t="shared" si="414"/>
        <v>#DIV/0!</v>
      </c>
      <c r="R1168" s="267" t="e">
        <f t="shared" si="415"/>
        <v>#DIV/0!</v>
      </c>
      <c r="S1168" s="267" t="e">
        <f t="shared" si="416"/>
        <v>#DIV/0!</v>
      </c>
      <c r="T1168" s="269"/>
      <c r="Z1168" s="214">
        <f t="shared" si="406"/>
        <v>0</v>
      </c>
      <c r="AA1168" s="214">
        <f t="shared" si="407"/>
        <v>0</v>
      </c>
    </row>
    <row r="1169" spans="1:27" ht="13.15" customHeight="1">
      <c r="A1169" s="239" t="s">
        <v>516</v>
      </c>
      <c r="B1169" s="319"/>
      <c r="C1169" s="320"/>
      <c r="D1169" s="319"/>
      <c r="E1169" s="316"/>
      <c r="F1169" s="316"/>
      <c r="G1169" s="321"/>
      <c r="H1169" s="319"/>
      <c r="I1169" s="319"/>
      <c r="J1169" s="244"/>
      <c r="K1169" s="239" t="s">
        <v>516</v>
      </c>
      <c r="L1169" s="239" t="e">
        <f t="shared" si="410"/>
        <v>#DIV/0!</v>
      </c>
      <c r="M1169" s="267" t="e">
        <f t="shared" si="411"/>
        <v>#DIV/0!</v>
      </c>
      <c r="N1169" s="267" t="e">
        <f t="shared" si="412"/>
        <v>#DIV/0!</v>
      </c>
      <c r="O1169" s="239" t="e">
        <f t="shared" si="409"/>
        <v>#DIV/0!</v>
      </c>
      <c r="P1169" s="267" t="e">
        <f t="shared" si="413"/>
        <v>#DIV/0!</v>
      </c>
      <c r="Q1169" s="267" t="e">
        <f t="shared" si="414"/>
        <v>#DIV/0!</v>
      </c>
      <c r="R1169" s="267" t="e">
        <f t="shared" si="415"/>
        <v>#DIV/0!</v>
      </c>
      <c r="S1169" s="267" t="e">
        <f t="shared" si="416"/>
        <v>#DIV/0!</v>
      </c>
      <c r="Z1169" s="214">
        <f t="shared" si="406"/>
        <v>0</v>
      </c>
      <c r="AA1169" s="214">
        <f t="shared" si="407"/>
        <v>0</v>
      </c>
    </row>
    <row r="1170" spans="1:27" ht="13.15" customHeight="1">
      <c r="A1170" s="239" t="s">
        <v>517</v>
      </c>
      <c r="B1170" s="319"/>
      <c r="C1170" s="320"/>
      <c r="D1170" s="320"/>
      <c r="E1170" s="316"/>
      <c r="F1170" s="316"/>
      <c r="G1170" s="321"/>
      <c r="H1170" s="319"/>
      <c r="I1170" s="319"/>
      <c r="K1170" s="239" t="s">
        <v>517</v>
      </c>
      <c r="L1170" s="239" t="e">
        <f t="shared" si="410"/>
        <v>#DIV/0!</v>
      </c>
      <c r="M1170" s="267" t="e">
        <f t="shared" si="411"/>
        <v>#DIV/0!</v>
      </c>
      <c r="N1170" s="267" t="e">
        <f t="shared" si="412"/>
        <v>#DIV/0!</v>
      </c>
      <c r="O1170" s="239" t="e">
        <f t="shared" si="409"/>
        <v>#DIV/0!</v>
      </c>
      <c r="P1170" s="267" t="e">
        <f t="shared" si="413"/>
        <v>#DIV/0!</v>
      </c>
      <c r="Q1170" s="267" t="e">
        <f t="shared" si="414"/>
        <v>#DIV/0!</v>
      </c>
      <c r="R1170" s="267" t="e">
        <f t="shared" si="415"/>
        <v>#DIV/0!</v>
      </c>
      <c r="S1170" s="267" t="e">
        <f t="shared" si="416"/>
        <v>#DIV/0!</v>
      </c>
      <c r="Z1170" s="214">
        <f t="shared" si="406"/>
        <v>0</v>
      </c>
      <c r="AA1170" s="214">
        <f t="shared" si="407"/>
        <v>0</v>
      </c>
    </row>
    <row r="1171" spans="1:27" ht="13.15" customHeight="1">
      <c r="A1171" s="239" t="s">
        <v>518</v>
      </c>
      <c r="B1171" s="319"/>
      <c r="C1171" s="320"/>
      <c r="D1171" s="320"/>
      <c r="E1171" s="316"/>
      <c r="F1171" s="316"/>
      <c r="G1171" s="321"/>
      <c r="H1171" s="319"/>
      <c r="I1171" s="319"/>
      <c r="K1171" s="239" t="s">
        <v>518</v>
      </c>
      <c r="L1171" s="239" t="e">
        <f t="shared" si="410"/>
        <v>#DIV/0!</v>
      </c>
      <c r="M1171" s="267" t="e">
        <f t="shared" si="411"/>
        <v>#DIV/0!</v>
      </c>
      <c r="N1171" s="267" t="e">
        <f t="shared" si="412"/>
        <v>#DIV/0!</v>
      </c>
      <c r="O1171" s="239" t="e">
        <f t="shared" si="409"/>
        <v>#DIV/0!</v>
      </c>
      <c r="P1171" s="267" t="e">
        <f t="shared" si="413"/>
        <v>#DIV/0!</v>
      </c>
      <c r="Q1171" s="267" t="e">
        <f t="shared" si="414"/>
        <v>#DIV/0!</v>
      </c>
      <c r="R1171" s="267" t="e">
        <f t="shared" si="415"/>
        <v>#DIV/0!</v>
      </c>
      <c r="S1171" s="267" t="e">
        <f t="shared" si="416"/>
        <v>#DIV/0!</v>
      </c>
      <c r="Z1171" s="214">
        <f t="shared" si="406"/>
        <v>0</v>
      </c>
      <c r="AA1171" s="214">
        <f t="shared" si="407"/>
        <v>0</v>
      </c>
    </row>
    <row r="1172" spans="1:27" ht="13.15" customHeight="1">
      <c r="A1172" s="239" t="s">
        <v>519</v>
      </c>
      <c r="B1172" s="319"/>
      <c r="C1172" s="320"/>
      <c r="D1172" s="320"/>
      <c r="E1172" s="316"/>
      <c r="F1172" s="316"/>
      <c r="G1172" s="321"/>
      <c r="H1172" s="319"/>
      <c r="I1172" s="319"/>
      <c r="K1172" s="239" t="s">
        <v>519</v>
      </c>
      <c r="L1172" s="239"/>
      <c r="M1172" s="267"/>
      <c r="N1172" s="267"/>
      <c r="O1172" s="239"/>
      <c r="P1172" s="267"/>
      <c r="Q1172" s="267"/>
      <c r="R1172" s="267"/>
      <c r="S1172" s="267"/>
      <c r="Z1172" s="214">
        <f t="shared" si="406"/>
        <v>0</v>
      </c>
      <c r="AA1172" s="214">
        <f t="shared" si="407"/>
        <v>0</v>
      </c>
    </row>
    <row r="1173" spans="1:27" ht="13.15" customHeight="1">
      <c r="A1173" s="282" t="s">
        <v>169</v>
      </c>
      <c r="B1173" s="326">
        <f>(B1152+B1154)</f>
        <v>0</v>
      </c>
      <c r="C1173" s="326">
        <f t="shared" ref="C1173:I1173" si="417">(C1152+C1154)</f>
        <v>0</v>
      </c>
      <c r="D1173" s="326">
        <f t="shared" si="417"/>
        <v>0</v>
      </c>
      <c r="E1173" s="326">
        <f t="shared" si="417"/>
        <v>0</v>
      </c>
      <c r="F1173" s="326">
        <f t="shared" si="417"/>
        <v>0</v>
      </c>
      <c r="G1173" s="327">
        <f t="shared" si="417"/>
        <v>0</v>
      </c>
      <c r="H1173" s="326">
        <f t="shared" si="417"/>
        <v>0</v>
      </c>
      <c r="I1173" s="326">
        <f t="shared" si="417"/>
        <v>0</v>
      </c>
      <c r="K1173" s="328" t="s">
        <v>169</v>
      </c>
      <c r="L1173" s="282" t="e">
        <f>B1173/I1173</f>
        <v>#DIV/0!</v>
      </c>
      <c r="M1173" s="281" t="e">
        <f>D1173/I1173</f>
        <v>#DIV/0!</v>
      </c>
      <c r="N1173" s="281" t="e">
        <f>D1173/B1173</f>
        <v>#DIV/0!</v>
      </c>
      <c r="O1173" s="282" t="e">
        <f>(F1173*3.6+G1173)*100/H1173</f>
        <v>#DIV/0!</v>
      </c>
      <c r="P1173" s="282" t="e">
        <f>(E1173*3.6+G1173)*100/H1173</f>
        <v>#DIV/0!</v>
      </c>
      <c r="Q1173" s="281" t="e">
        <f>E1173/(B1173*8760)*1000</f>
        <v>#DIV/0!</v>
      </c>
      <c r="R1173" s="281" t="e">
        <f>G1173/(D1173*8761)*1000/3.6</f>
        <v>#DIV/0!</v>
      </c>
      <c r="S1173" s="281" t="e">
        <f>G1173/(E1173*3.6)</f>
        <v>#DIV/0!</v>
      </c>
      <c r="Z1173" s="214">
        <f t="shared" si="406"/>
        <v>0</v>
      </c>
      <c r="AA1173" s="214">
        <f t="shared" si="407"/>
        <v>0</v>
      </c>
    </row>
    <row r="1174" spans="1:27" ht="13.15" customHeight="1"/>
    <row r="1175" spans="1:27" ht="13.15" customHeight="1">
      <c r="A1175" s="251" t="s">
        <v>520</v>
      </c>
      <c r="B1175" s="227" t="s">
        <v>476</v>
      </c>
      <c r="C1175" s="228"/>
      <c r="D1175" s="286"/>
      <c r="E1175" s="227" t="s">
        <v>521</v>
      </c>
      <c r="F1175" s="228"/>
      <c r="G1175" s="286"/>
      <c r="H1175" s="200" t="s">
        <v>138</v>
      </c>
      <c r="I1175" s="200" t="s">
        <v>478</v>
      </c>
    </row>
    <row r="1176" spans="1:27" ht="13.15" customHeight="1">
      <c r="A1176" s="239"/>
      <c r="B1176" s="243" t="s">
        <v>88</v>
      </c>
      <c r="C1176" s="243"/>
      <c r="D1176" s="241" t="s">
        <v>34</v>
      </c>
      <c r="E1176" s="243" t="s">
        <v>88</v>
      </c>
      <c r="F1176" s="243"/>
      <c r="G1176" s="241" t="s">
        <v>34</v>
      </c>
      <c r="H1176" s="241" t="s">
        <v>170</v>
      </c>
      <c r="I1176" s="241" t="s">
        <v>483</v>
      </c>
    </row>
    <row r="1177" spans="1:27" ht="13.15" customHeight="1">
      <c r="A1177" s="239"/>
      <c r="B1177" s="252" t="s">
        <v>0</v>
      </c>
      <c r="C1177" s="252" t="s">
        <v>489</v>
      </c>
      <c r="D1177" s="252" t="s">
        <v>490</v>
      </c>
      <c r="E1177" s="252" t="s">
        <v>491</v>
      </c>
      <c r="F1177" s="252" t="s">
        <v>489</v>
      </c>
      <c r="G1177" s="252" t="s">
        <v>490</v>
      </c>
      <c r="H1177" s="248"/>
      <c r="I1177" s="241" t="s">
        <v>492</v>
      </c>
    </row>
    <row r="1178" spans="1:27" ht="13.15" customHeight="1">
      <c r="A1178" s="239"/>
      <c r="B1178" s="257" t="s">
        <v>496</v>
      </c>
      <c r="C1178" s="256" t="s">
        <v>496</v>
      </c>
      <c r="D1178" s="252" t="s">
        <v>496</v>
      </c>
      <c r="E1178" s="329" t="s">
        <v>473</v>
      </c>
      <c r="F1178" s="329" t="s">
        <v>473</v>
      </c>
      <c r="G1178" s="252" t="s">
        <v>496</v>
      </c>
      <c r="H1178" s="257" t="s">
        <v>497</v>
      </c>
      <c r="I1178" s="257" t="s">
        <v>498</v>
      </c>
    </row>
    <row r="1179" spans="1:27" ht="13.15" customHeight="1">
      <c r="A1179" s="251" t="s">
        <v>522</v>
      </c>
      <c r="B1179" s="389"/>
      <c r="C1179" s="389"/>
      <c r="D1179" s="200"/>
      <c r="E1179" s="389"/>
      <c r="F1179" s="389"/>
      <c r="G1179" s="200"/>
      <c r="H1179" s="200"/>
      <c r="I1179" s="200"/>
    </row>
    <row r="1180" spans="1:27" ht="13.15" customHeight="1">
      <c r="A1180" s="239" t="s">
        <v>523</v>
      </c>
      <c r="B1180" s="216"/>
      <c r="C1180" s="204"/>
      <c r="D1180" s="204"/>
      <c r="E1180" s="216"/>
      <c r="F1180" s="204"/>
      <c r="G1180" s="204"/>
      <c r="H1180" s="202"/>
      <c r="I1180" s="216"/>
    </row>
    <row r="1181" spans="1:27" ht="13.15" customHeight="1">
      <c r="A1181" s="239" t="s">
        <v>524</v>
      </c>
      <c r="B1181" s="216"/>
      <c r="C1181" s="204"/>
      <c r="D1181" s="204"/>
      <c r="E1181" s="216"/>
      <c r="F1181" s="204"/>
      <c r="G1181" s="204"/>
      <c r="H1181" s="202"/>
      <c r="I1181" s="216"/>
    </row>
    <row r="1182" spans="1:27" ht="13.15" customHeight="1">
      <c r="A1182" s="239" t="s">
        <v>525</v>
      </c>
      <c r="B1182" s="216"/>
      <c r="C1182" s="204"/>
      <c r="D1182" s="204"/>
      <c r="E1182" s="216"/>
      <c r="F1182" s="204"/>
      <c r="G1182" s="204"/>
      <c r="H1182" s="202"/>
      <c r="I1182" s="216"/>
    </row>
    <row r="1183" spans="1:27" ht="13.15" customHeight="1">
      <c r="A1183" s="455" t="s">
        <v>541</v>
      </c>
      <c r="B1183" s="216"/>
      <c r="C1183" s="204"/>
      <c r="D1183" s="204"/>
      <c r="E1183" s="216"/>
      <c r="F1183" s="204"/>
      <c r="G1183" s="204"/>
      <c r="H1183" s="202"/>
      <c r="I1183" s="216"/>
    </row>
    <row r="1184" spans="1:27" ht="13.15" customHeight="1">
      <c r="A1184" s="312" t="s">
        <v>526</v>
      </c>
      <c r="B1184" s="391"/>
      <c r="C1184" s="391"/>
      <c r="D1184" s="205"/>
      <c r="E1184" s="391"/>
      <c r="F1184" s="391"/>
      <c r="G1184" s="205"/>
      <c r="H1184" s="205"/>
      <c r="I1184" s="391"/>
    </row>
    <row r="1185" spans="1:27" ht="13.15" customHeight="1">
      <c r="A1185" s="239" t="s">
        <v>527</v>
      </c>
      <c r="B1185" s="216"/>
      <c r="C1185" s="204"/>
      <c r="D1185" s="204"/>
      <c r="E1185" s="216"/>
      <c r="F1185" s="204"/>
      <c r="G1185" s="204"/>
      <c r="H1185" s="202"/>
      <c r="I1185" s="216"/>
    </row>
    <row r="1186" spans="1:27" ht="13.15" customHeight="1">
      <c r="A1186" s="239" t="s">
        <v>528</v>
      </c>
      <c r="B1186" s="204"/>
      <c r="C1186" s="204"/>
      <c r="D1186" s="204"/>
      <c r="E1186" s="204"/>
      <c r="F1186" s="204"/>
      <c r="G1186" s="204"/>
      <c r="H1186" s="202"/>
      <c r="I1186" s="204"/>
    </row>
    <row r="1187" spans="1:27" ht="13.15" customHeight="1">
      <c r="A1187" s="239" t="s">
        <v>529</v>
      </c>
      <c r="B1187" s="204"/>
      <c r="C1187" s="204"/>
      <c r="D1187" s="204"/>
      <c r="E1187" s="204"/>
      <c r="F1187" s="204"/>
      <c r="G1187" s="204"/>
      <c r="H1187" s="202"/>
      <c r="I1187" s="204"/>
    </row>
    <row r="1188" spans="1:27" ht="13.15" customHeight="1">
      <c r="A1188" s="239" t="s">
        <v>530</v>
      </c>
      <c r="B1188" s="204"/>
      <c r="C1188" s="204"/>
      <c r="D1188" s="204"/>
      <c r="E1188" s="204"/>
      <c r="F1188" s="204"/>
      <c r="G1188" s="204"/>
      <c r="H1188" s="202"/>
      <c r="I1188" s="204"/>
    </row>
    <row r="1189" spans="1:27" ht="13.15" customHeight="1">
      <c r="A1189" s="282" t="s">
        <v>169</v>
      </c>
      <c r="B1189" s="360">
        <f t="shared" ref="B1189:I1189" si="418">SUM(B1180:B1188)</f>
        <v>0</v>
      </c>
      <c r="C1189" s="360">
        <f t="shared" si="418"/>
        <v>0</v>
      </c>
      <c r="D1189" s="360">
        <f t="shared" si="418"/>
        <v>0</v>
      </c>
      <c r="E1189" s="360">
        <f t="shared" si="418"/>
        <v>0</v>
      </c>
      <c r="F1189" s="360">
        <f t="shared" si="418"/>
        <v>0</v>
      </c>
      <c r="G1189" s="360">
        <f t="shared" si="418"/>
        <v>0</v>
      </c>
      <c r="H1189" s="360">
        <f t="shared" si="418"/>
        <v>0</v>
      </c>
      <c r="I1189" s="360">
        <f t="shared" si="418"/>
        <v>0</v>
      </c>
    </row>
    <row r="1190" spans="1:27" ht="15">
      <c r="A1190" s="456" t="s">
        <v>542</v>
      </c>
    </row>
    <row r="1192" spans="1:27">
      <c r="A1192" s="221" t="s">
        <v>179</v>
      </c>
      <c r="D1192" s="220"/>
      <c r="I1192" s="221">
        <v>2002</v>
      </c>
      <c r="K1192" s="221" t="str">
        <f>+A1192</f>
        <v>Iceland</v>
      </c>
      <c r="M1192" s="220"/>
      <c r="S1192" s="221">
        <v>2002</v>
      </c>
    </row>
    <row r="1193" spans="1:27" ht="13.5" thickBot="1"/>
    <row r="1194" spans="1:27" ht="13.15" customHeight="1">
      <c r="A1194" s="346" t="s">
        <v>475</v>
      </c>
      <c r="B1194" s="233" t="s">
        <v>476</v>
      </c>
      <c r="C1194" s="233"/>
      <c r="D1194" s="234"/>
      <c r="E1194" s="235" t="s">
        <v>477</v>
      </c>
      <c r="F1194" s="233"/>
      <c r="G1194" s="236"/>
      <c r="H1194" s="347" t="s">
        <v>138</v>
      </c>
      <c r="I1194" s="348" t="s">
        <v>478</v>
      </c>
      <c r="J1194" s="230"/>
      <c r="K1194" s="231" t="s">
        <v>475</v>
      </c>
      <c r="L1194" s="232" t="s">
        <v>479</v>
      </c>
      <c r="M1194" s="233"/>
      <c r="N1194" s="234"/>
      <c r="O1194" s="235" t="s">
        <v>480</v>
      </c>
      <c r="P1194" s="233"/>
      <c r="Q1194" s="233"/>
      <c r="R1194" s="236"/>
      <c r="S1194" s="237"/>
    </row>
    <row r="1195" spans="1:27" ht="13.15" customHeight="1">
      <c r="A1195" s="266"/>
      <c r="B1195" s="240" t="s">
        <v>9</v>
      </c>
      <c r="C1195" s="240"/>
      <c r="D1195" s="241" t="s">
        <v>34</v>
      </c>
      <c r="E1195" s="242" t="s">
        <v>88</v>
      </c>
      <c r="F1195" s="243"/>
      <c r="G1195" s="244" t="s">
        <v>34</v>
      </c>
      <c r="H1195" s="241" t="s">
        <v>170</v>
      </c>
      <c r="I1195" s="349" t="s">
        <v>483</v>
      </c>
      <c r="J1195" s="230"/>
      <c r="K1195" s="245"/>
      <c r="L1195" s="246" t="s">
        <v>484</v>
      </c>
      <c r="M1195" s="247"/>
      <c r="N1195" s="248" t="s">
        <v>485</v>
      </c>
      <c r="O1195" s="248" t="s">
        <v>486</v>
      </c>
      <c r="P1195" s="248" t="s">
        <v>486</v>
      </c>
      <c r="Q1195" s="247" t="s">
        <v>487</v>
      </c>
      <c r="R1195" s="249"/>
      <c r="S1195" s="250" t="s">
        <v>485</v>
      </c>
      <c r="U1195" s="214" t="str">
        <f>A1192</f>
        <v>Iceland</v>
      </c>
    </row>
    <row r="1196" spans="1:27" ht="13.15" customHeight="1">
      <c r="A1196" s="350" t="s">
        <v>488</v>
      </c>
      <c r="B1196" s="252" t="s">
        <v>0</v>
      </c>
      <c r="C1196" s="252" t="s">
        <v>489</v>
      </c>
      <c r="D1196" s="252" t="s">
        <v>490</v>
      </c>
      <c r="E1196" s="252" t="s">
        <v>491</v>
      </c>
      <c r="F1196" s="252" t="s">
        <v>489</v>
      </c>
      <c r="G1196" s="230" t="s">
        <v>490</v>
      </c>
      <c r="H1196" s="248"/>
      <c r="I1196" s="349" t="s">
        <v>492</v>
      </c>
      <c r="J1196" s="230"/>
      <c r="K1196" s="253" t="s">
        <v>488</v>
      </c>
      <c r="L1196" s="254" t="s">
        <v>88</v>
      </c>
      <c r="M1196" s="252" t="s">
        <v>34</v>
      </c>
      <c r="N1196" s="252" t="s">
        <v>493</v>
      </c>
      <c r="O1196" s="248" t="s">
        <v>494</v>
      </c>
      <c r="P1196" s="248" t="s">
        <v>495</v>
      </c>
      <c r="Q1196" s="230" t="s">
        <v>88</v>
      </c>
      <c r="R1196" s="248" t="s">
        <v>34</v>
      </c>
      <c r="S1196" s="255" t="s">
        <v>88</v>
      </c>
      <c r="U1196" s="214" t="s">
        <v>547</v>
      </c>
      <c r="V1196" s="214">
        <f>G1224/1000</f>
        <v>0</v>
      </c>
    </row>
    <row r="1197" spans="1:27" ht="13.15" customHeight="1">
      <c r="A1197" s="266"/>
      <c r="B1197" s="252" t="s">
        <v>496</v>
      </c>
      <c r="C1197" s="252" t="s">
        <v>496</v>
      </c>
      <c r="D1197" s="252" t="s">
        <v>496</v>
      </c>
      <c r="E1197" s="256" t="s">
        <v>473</v>
      </c>
      <c r="F1197" s="257" t="s">
        <v>473</v>
      </c>
      <c r="G1197" s="230" t="s">
        <v>451</v>
      </c>
      <c r="H1197" s="257" t="s">
        <v>497</v>
      </c>
      <c r="I1197" s="351" t="s">
        <v>498</v>
      </c>
      <c r="J1197" s="230"/>
      <c r="K1197" s="245"/>
      <c r="L1197" s="258" t="s">
        <v>496</v>
      </c>
      <c r="M1197" s="256" t="s">
        <v>496</v>
      </c>
      <c r="N1197" s="256"/>
      <c r="O1197" s="257" t="s">
        <v>79</v>
      </c>
      <c r="P1197" s="257" t="s">
        <v>79</v>
      </c>
      <c r="Q1197" s="259"/>
      <c r="R1197" s="257"/>
      <c r="S1197" s="260"/>
      <c r="U1197" s="214" t="s">
        <v>548</v>
      </c>
      <c r="V1197" s="214">
        <f>G1230/1000</f>
        <v>0</v>
      </c>
    </row>
    <row r="1198" spans="1:27" ht="13.15" customHeight="1">
      <c r="A1198" s="352" t="s">
        <v>262</v>
      </c>
      <c r="B1198" s="201"/>
      <c r="C1198" s="201"/>
      <c r="D1198" s="201"/>
      <c r="E1198" s="204"/>
      <c r="F1198" s="202"/>
      <c r="G1198" s="207"/>
      <c r="H1198" s="213"/>
      <c r="I1198" s="363"/>
      <c r="J1198" s="230"/>
      <c r="K1198" s="265" t="s">
        <v>262</v>
      </c>
      <c r="L1198" s="266" t="e">
        <f>C1198/I1198</f>
        <v>#DIV/0!</v>
      </c>
      <c r="M1198" s="267" t="e">
        <f>D1198/I1198</f>
        <v>#DIV/0!</v>
      </c>
      <c r="N1198" s="267" t="e">
        <f>D1198/C1198</f>
        <v>#DIV/0!</v>
      </c>
      <c r="O1198" s="239" t="e">
        <f>(F1198*3.6+G1198)*100/H1198</f>
        <v>#DIV/0!</v>
      </c>
      <c r="P1198" s="239" t="e">
        <f>(F1198*3.6+G1198)*100/H1198</f>
        <v>#DIV/0!</v>
      </c>
      <c r="Q1198" s="267" t="e">
        <f>F1198/(C1198*8760)*1000</f>
        <v>#DIV/0!</v>
      </c>
      <c r="R1198" s="267" t="e">
        <f>G1198/(D1198*8761)*1000/3.6</f>
        <v>#DIV/0!</v>
      </c>
      <c r="S1198" s="268" t="e">
        <f>G1198/(F1198*3.6)</f>
        <v>#DIV/0!</v>
      </c>
      <c r="U1198" s="214" t="s">
        <v>549</v>
      </c>
      <c r="V1198" s="214">
        <f>G1232/1000</f>
        <v>0</v>
      </c>
      <c r="Z1198" s="214">
        <f t="shared" ref="Z1198:Z1203" si="419">C1198-B1198</f>
        <v>0</v>
      </c>
      <c r="AA1198" s="214">
        <f t="shared" ref="AA1198:AA1203" si="420">F1198-E1198</f>
        <v>0</v>
      </c>
    </row>
    <row r="1199" spans="1:27" ht="13.15" customHeight="1">
      <c r="A1199" s="266" t="s">
        <v>263</v>
      </c>
      <c r="B1199" s="204"/>
      <c r="C1199" s="204"/>
      <c r="D1199" s="204"/>
      <c r="E1199" s="204"/>
      <c r="F1199" s="202"/>
      <c r="G1199" s="206"/>
      <c r="H1199" s="202"/>
      <c r="I1199" s="363"/>
      <c r="J1199" s="230"/>
      <c r="K1199" s="245" t="s">
        <v>263</v>
      </c>
      <c r="L1199" s="266" t="e">
        <f>C1199/I1199</f>
        <v>#DIV/0!</v>
      </c>
      <c r="M1199" s="267" t="e">
        <f>D1199/I1199</f>
        <v>#DIV/0!</v>
      </c>
      <c r="N1199" s="267" t="e">
        <f>D1199/C1199</f>
        <v>#DIV/0!</v>
      </c>
      <c r="O1199" s="239" t="e">
        <f>(F1199*3.6+G1199)*100/H1199</f>
        <v>#DIV/0!</v>
      </c>
      <c r="P1199" s="239" t="e">
        <f>(F1199*3.6+G1199)*100/H1199</f>
        <v>#DIV/0!</v>
      </c>
      <c r="Q1199" s="267" t="e">
        <f>F1199/(C1199*8760)*1000</f>
        <v>#DIV/0!</v>
      </c>
      <c r="R1199" s="267" t="e">
        <f>G1199/(D1199*8761)*1000/3.6</f>
        <v>#DIV/0!</v>
      </c>
      <c r="S1199" s="268" t="e">
        <f>G1199/(F1199*3.6)</f>
        <v>#DIV/0!</v>
      </c>
      <c r="U1199" s="214" t="s">
        <v>550</v>
      </c>
      <c r="V1199" s="214">
        <f>G1237/1000</f>
        <v>0</v>
      </c>
      <c r="Z1199" s="214">
        <f t="shared" si="419"/>
        <v>0</v>
      </c>
      <c r="AA1199" s="214">
        <f t="shared" si="420"/>
        <v>0</v>
      </c>
    </row>
    <row r="1200" spans="1:27" ht="13.15" customHeight="1">
      <c r="A1200" s="266" t="s">
        <v>499</v>
      </c>
      <c r="B1200" s="216"/>
      <c r="C1200" s="216"/>
      <c r="D1200" s="204"/>
      <c r="E1200" s="216"/>
      <c r="F1200" s="216"/>
      <c r="G1200" s="206"/>
      <c r="H1200" s="202"/>
      <c r="I1200" s="363"/>
      <c r="J1200" s="230"/>
      <c r="K1200" s="245" t="s">
        <v>499</v>
      </c>
      <c r="L1200" s="266" t="e">
        <f>C1200/I1200</f>
        <v>#DIV/0!</v>
      </c>
      <c r="M1200" s="267" t="e">
        <f>D1200/I1200</f>
        <v>#DIV/0!</v>
      </c>
      <c r="N1200" s="267" t="e">
        <f>D1200/C1200</f>
        <v>#DIV/0!</v>
      </c>
      <c r="O1200" s="239" t="e">
        <f>(F1200*3.6+G1200)*100/H1200</f>
        <v>#DIV/0!</v>
      </c>
      <c r="P1200" s="239" t="e">
        <f>(F1200*3.6+G1200)*100/H1200</f>
        <v>#DIV/0!</v>
      </c>
      <c r="Q1200" s="267" t="e">
        <f>F1200/(C1200*8760)*1000</f>
        <v>#DIV/0!</v>
      </c>
      <c r="R1200" s="267" t="e">
        <f>G1200/(D1200*8761)*1000/3.6</f>
        <v>#DIV/0!</v>
      </c>
      <c r="S1200" s="268" t="e">
        <f>G1200/(F1200*3.6)</f>
        <v>#DIV/0!</v>
      </c>
      <c r="U1200" s="214" t="s">
        <v>551</v>
      </c>
      <c r="V1200" s="214">
        <f>G1228/1000</f>
        <v>0</v>
      </c>
      <c r="Z1200" s="214">
        <f t="shared" si="419"/>
        <v>0</v>
      </c>
      <c r="AA1200" s="214">
        <f t="shared" si="420"/>
        <v>0</v>
      </c>
    </row>
    <row r="1201" spans="1:27" ht="13.15" customHeight="1">
      <c r="A1201" s="266" t="s">
        <v>265</v>
      </c>
      <c r="B1201" s="216"/>
      <c r="C1201" s="204"/>
      <c r="D1201" s="204"/>
      <c r="E1201" s="216"/>
      <c r="F1201" s="202"/>
      <c r="G1201" s="206"/>
      <c r="H1201" s="202"/>
      <c r="I1201" s="363"/>
      <c r="J1201" s="230"/>
      <c r="K1201" s="245" t="s">
        <v>265</v>
      </c>
      <c r="L1201" s="266" t="e">
        <f>C1201/I1201</f>
        <v>#DIV/0!</v>
      </c>
      <c r="M1201" s="267" t="e">
        <f>D1201/I1201</f>
        <v>#DIV/0!</v>
      </c>
      <c r="N1201" s="267" t="e">
        <f>D1201/C1201</f>
        <v>#DIV/0!</v>
      </c>
      <c r="O1201" s="239" t="e">
        <f>(F1201*3.6+G1201)*100/H1201</f>
        <v>#DIV/0!</v>
      </c>
      <c r="P1201" s="239" t="e">
        <f>(F1201*3.6+G1201)*100/H1201</f>
        <v>#DIV/0!</v>
      </c>
      <c r="Q1201" s="267" t="e">
        <f>F1201/(C1201*8760)*1000</f>
        <v>#DIV/0!</v>
      </c>
      <c r="R1201" s="267" t="e">
        <f>G1201/(D1201*8761)*1000/3.6</f>
        <v>#DIV/0!</v>
      </c>
      <c r="S1201" s="268" t="e">
        <f>G1201/(F1201*3.6)</f>
        <v>#DIV/0!</v>
      </c>
      <c r="U1201" s="214" t="s">
        <v>552</v>
      </c>
      <c r="V1201" s="214">
        <f>(G1225+G1226+G1227+G1229+G1231+G1233+G1234+G1235+G1236+G1238+G1239+G1240+G1241+G1242)/1000</f>
        <v>0</v>
      </c>
      <c r="Z1201" s="214">
        <f t="shared" si="419"/>
        <v>0</v>
      </c>
      <c r="AA1201" s="214">
        <f t="shared" si="420"/>
        <v>0</v>
      </c>
    </row>
    <row r="1202" spans="1:27" ht="13.15" customHeight="1">
      <c r="A1202" s="266" t="s">
        <v>266</v>
      </c>
      <c r="B1202" s="216"/>
      <c r="C1202" s="204"/>
      <c r="D1202" s="204"/>
      <c r="E1202" s="216"/>
      <c r="F1202" s="202"/>
      <c r="G1202" s="206"/>
      <c r="H1202" s="202"/>
      <c r="I1202" s="363"/>
      <c r="J1202" s="230"/>
      <c r="K1202" s="245" t="s">
        <v>266</v>
      </c>
      <c r="L1202" s="266" t="e">
        <f>C1202/I1202</f>
        <v>#DIV/0!</v>
      </c>
      <c r="M1202" s="267" t="e">
        <f>D1202/I1202</f>
        <v>#DIV/0!</v>
      </c>
      <c r="N1202" s="267" t="e">
        <f>D1202/C1202</f>
        <v>#DIV/0!</v>
      </c>
      <c r="O1202" s="239" t="e">
        <f>(F1202*3.6+G1202)*100/H1202</f>
        <v>#DIV/0!</v>
      </c>
      <c r="P1202" s="239" t="e">
        <f>(F1202*3.6+G1202)*100/H1202</f>
        <v>#DIV/0!</v>
      </c>
      <c r="Q1202" s="267" t="e">
        <f>F1202/(C1202*8760)*1000</f>
        <v>#DIV/0!</v>
      </c>
      <c r="R1202" s="267" t="e">
        <f>G1202/(D1202*8761)*1000/3.6</f>
        <v>#DIV/0!</v>
      </c>
      <c r="S1202" s="268" t="e">
        <f>G1202/(F1202*3.6)</f>
        <v>#DIV/0!</v>
      </c>
      <c r="Z1202" s="214">
        <f t="shared" si="419"/>
        <v>0</v>
      </c>
      <c r="AA1202" s="214">
        <f t="shared" si="420"/>
        <v>0</v>
      </c>
    </row>
    <row r="1203" spans="1:27" ht="13.15" customHeight="1">
      <c r="A1203" s="353" t="s">
        <v>267</v>
      </c>
      <c r="B1203" s="218"/>
      <c r="C1203" s="210"/>
      <c r="D1203" s="210"/>
      <c r="E1203" s="204"/>
      <c r="F1203" s="203"/>
      <c r="G1203" s="400"/>
      <c r="H1203" s="203"/>
      <c r="I1203" s="401"/>
      <c r="J1203" s="230"/>
      <c r="K1203" s="245" t="s">
        <v>267</v>
      </c>
      <c r="L1203" s="266"/>
      <c r="M1203" s="267"/>
      <c r="N1203" s="267"/>
      <c r="O1203" s="239"/>
      <c r="P1203" s="272"/>
      <c r="Q1203" s="272"/>
      <c r="R1203" s="274"/>
      <c r="S1203" s="275"/>
      <c r="U1203" s="214" t="s">
        <v>553</v>
      </c>
      <c r="V1203" s="214">
        <f>H1224/1000</f>
        <v>0</v>
      </c>
      <c r="Z1203" s="214">
        <f t="shared" si="419"/>
        <v>0</v>
      </c>
      <c r="AA1203" s="214">
        <f t="shared" si="420"/>
        <v>0</v>
      </c>
    </row>
    <row r="1204" spans="1:27" ht="13.15" customHeight="1">
      <c r="A1204" s="276" t="s">
        <v>500</v>
      </c>
      <c r="B1204" s="277">
        <f>SUM(B1198:B1203)</f>
        <v>0</v>
      </c>
      <c r="C1204" s="277">
        <f>SUM(C1198:C1203)</f>
        <v>0</v>
      </c>
      <c r="D1204" s="277">
        <f t="shared" ref="D1204:I1204" si="421">SUM(D1198:D1203)</f>
        <v>0</v>
      </c>
      <c r="E1204" s="277">
        <f t="shared" si="421"/>
        <v>0</v>
      </c>
      <c r="F1204" s="277">
        <f t="shared" si="421"/>
        <v>0</v>
      </c>
      <c r="G1204" s="277">
        <f t="shared" si="421"/>
        <v>0</v>
      </c>
      <c r="H1204" s="277">
        <f t="shared" si="421"/>
        <v>0</v>
      </c>
      <c r="I1204" s="457">
        <f t="shared" si="421"/>
        <v>0</v>
      </c>
      <c r="J1204" s="244"/>
      <c r="K1204" s="279" t="s">
        <v>169</v>
      </c>
      <c r="L1204" s="280" t="e">
        <f>C1204/I1204</f>
        <v>#DIV/0!</v>
      </c>
      <c r="M1204" s="281" t="e">
        <f>D1204/I1204</f>
        <v>#DIV/0!</v>
      </c>
      <c r="N1204" s="281" t="e">
        <f>D1204/C1204</f>
        <v>#DIV/0!</v>
      </c>
      <c r="O1204" s="282" t="e">
        <f>(F1204*3.6+G1204)*100/H1204</f>
        <v>#DIV/0!</v>
      </c>
      <c r="P1204" s="282" t="e">
        <f>(F1204*3.6+G1204)*100/H1204</f>
        <v>#DIV/0!</v>
      </c>
      <c r="Q1204" s="283" t="e">
        <f>F1204/(C1204*8760)*1000</f>
        <v>#DIV/0!</v>
      </c>
      <c r="R1204" s="283" t="e">
        <f>G1204/(D1204*8761)*1000/3.6</f>
        <v>#DIV/0!</v>
      </c>
      <c r="S1204" s="284" t="e">
        <f>G1204/(F1204*3.6)</f>
        <v>#DIV/0!</v>
      </c>
      <c r="U1204" s="214" t="s">
        <v>554</v>
      </c>
      <c r="V1204" s="214">
        <f>H1230/1000</f>
        <v>0</v>
      </c>
    </row>
    <row r="1205" spans="1:27" ht="13.15" customHeight="1">
      <c r="A1205" s="285" t="s">
        <v>501</v>
      </c>
      <c r="B1205" s="228" t="s">
        <v>476</v>
      </c>
      <c r="C1205" s="228"/>
      <c r="D1205" s="286"/>
      <c r="E1205" s="227" t="s">
        <v>477</v>
      </c>
      <c r="F1205" s="228"/>
      <c r="G1205" s="229"/>
      <c r="H1205" s="200" t="s">
        <v>138</v>
      </c>
      <c r="I1205" s="354" t="s">
        <v>478</v>
      </c>
      <c r="J1205" s="244"/>
      <c r="K1205" s="287" t="s">
        <v>501</v>
      </c>
      <c r="L1205" s="288" t="s">
        <v>479</v>
      </c>
      <c r="M1205" s="228"/>
      <c r="N1205" s="286"/>
      <c r="O1205" s="227" t="s">
        <v>480</v>
      </c>
      <c r="P1205" s="228"/>
      <c r="Q1205" s="228"/>
      <c r="R1205" s="229"/>
      <c r="S1205" s="289"/>
      <c r="U1205" s="214" t="s">
        <v>555</v>
      </c>
      <c r="V1205" s="214">
        <f>H1232/1000</f>
        <v>0</v>
      </c>
    </row>
    <row r="1206" spans="1:27" ht="13.15" customHeight="1">
      <c r="A1206" s="266"/>
      <c r="B1206" s="240" t="s">
        <v>481</v>
      </c>
      <c r="C1206" s="240"/>
      <c r="D1206" s="241" t="s">
        <v>34</v>
      </c>
      <c r="E1206" s="242" t="s">
        <v>482</v>
      </c>
      <c r="F1206" s="243"/>
      <c r="G1206" s="244" t="s">
        <v>34</v>
      </c>
      <c r="H1206" s="241" t="s">
        <v>170</v>
      </c>
      <c r="I1206" s="349" t="s">
        <v>483</v>
      </c>
      <c r="J1206" s="244"/>
      <c r="K1206" s="245"/>
      <c r="L1206" s="246" t="s">
        <v>484</v>
      </c>
      <c r="M1206" s="247"/>
      <c r="N1206" s="248" t="s">
        <v>485</v>
      </c>
      <c r="O1206" s="248" t="s">
        <v>486</v>
      </c>
      <c r="P1206" s="248" t="s">
        <v>486</v>
      </c>
      <c r="Q1206" s="247" t="s">
        <v>487</v>
      </c>
      <c r="R1206" s="249"/>
      <c r="S1206" s="250" t="s">
        <v>485</v>
      </c>
      <c r="U1206" s="214" t="s">
        <v>556</v>
      </c>
      <c r="V1206" s="214">
        <f>H1237/1000</f>
        <v>0</v>
      </c>
    </row>
    <row r="1207" spans="1:27" ht="13.15" customHeight="1">
      <c r="A1207" s="350" t="s">
        <v>488</v>
      </c>
      <c r="B1207" s="252" t="s">
        <v>0</v>
      </c>
      <c r="C1207" s="252" t="s">
        <v>489</v>
      </c>
      <c r="D1207" s="252" t="s">
        <v>490</v>
      </c>
      <c r="E1207" s="252" t="s">
        <v>491</v>
      </c>
      <c r="F1207" s="252" t="s">
        <v>489</v>
      </c>
      <c r="G1207" s="230" t="s">
        <v>490</v>
      </c>
      <c r="H1207" s="248"/>
      <c r="I1207" s="349" t="s">
        <v>492</v>
      </c>
      <c r="J1207" s="244"/>
      <c r="K1207" s="253" t="s">
        <v>488</v>
      </c>
      <c r="L1207" s="254" t="s">
        <v>88</v>
      </c>
      <c r="M1207" s="252" t="s">
        <v>34</v>
      </c>
      <c r="N1207" s="252" t="s">
        <v>493</v>
      </c>
      <c r="O1207" s="248" t="s">
        <v>494</v>
      </c>
      <c r="P1207" s="248" t="s">
        <v>495</v>
      </c>
      <c r="Q1207" s="230" t="s">
        <v>88</v>
      </c>
      <c r="R1207" s="248" t="s">
        <v>34</v>
      </c>
      <c r="S1207" s="255" t="s">
        <v>88</v>
      </c>
      <c r="U1207" s="214" t="s">
        <v>557</v>
      </c>
      <c r="V1207" s="214">
        <f>H1228/1000</f>
        <v>0</v>
      </c>
    </row>
    <row r="1208" spans="1:27" ht="13.15" customHeight="1">
      <c r="A1208" s="266"/>
      <c r="B1208" s="252" t="s">
        <v>496</v>
      </c>
      <c r="C1208" s="252" t="s">
        <v>496</v>
      </c>
      <c r="D1208" s="252" t="s">
        <v>496</v>
      </c>
      <c r="E1208" s="256" t="s">
        <v>473</v>
      </c>
      <c r="F1208" s="256" t="s">
        <v>473</v>
      </c>
      <c r="G1208" s="230" t="s">
        <v>451</v>
      </c>
      <c r="H1208" s="257" t="s">
        <v>497</v>
      </c>
      <c r="I1208" s="351" t="s">
        <v>498</v>
      </c>
      <c r="J1208" s="244"/>
      <c r="K1208" s="245"/>
      <c r="L1208" s="258" t="s">
        <v>496</v>
      </c>
      <c r="M1208" s="256" t="s">
        <v>496</v>
      </c>
      <c r="N1208" s="256"/>
      <c r="O1208" s="257" t="s">
        <v>79</v>
      </c>
      <c r="P1208" s="257" t="s">
        <v>79</v>
      </c>
      <c r="Q1208" s="259"/>
      <c r="R1208" s="257"/>
      <c r="S1208" s="260"/>
      <c r="U1208" s="214" t="s">
        <v>558</v>
      </c>
      <c r="V1208" s="214">
        <f>(H1225+H1226+H1227+H1229+H1231+H1233+H1234+H1235+H1236+H1238+H1239+H1240+H1241+H1242)/1000</f>
        <v>0</v>
      </c>
    </row>
    <row r="1209" spans="1:27" ht="13.15" customHeight="1">
      <c r="A1209" s="352" t="s">
        <v>262</v>
      </c>
      <c r="B1209" s="365"/>
      <c r="C1209" s="365"/>
      <c r="D1209" s="365"/>
      <c r="E1209" s="320"/>
      <c r="F1209" s="319"/>
      <c r="G1209" s="368"/>
      <c r="H1209" s="369"/>
      <c r="I1209" s="370"/>
      <c r="J1209" s="244"/>
      <c r="K1209" s="265" t="s">
        <v>262</v>
      </c>
      <c r="L1209" s="266" t="e">
        <f>B1209/I1209</f>
        <v>#DIV/0!</v>
      </c>
      <c r="M1209" s="267" t="e">
        <f>D1209/I1209</f>
        <v>#DIV/0!</v>
      </c>
      <c r="N1209" s="267" t="e">
        <f>D1209/B1209</f>
        <v>#DIV/0!</v>
      </c>
      <c r="O1209" s="239" t="e">
        <f>(F1209*3.6+G1209)*100/H1209</f>
        <v>#DIV/0!</v>
      </c>
      <c r="P1209" s="267" t="e">
        <f>(E1209*3.6+G1209)*100/H1209</f>
        <v>#DIV/0!</v>
      </c>
      <c r="Q1209" s="267" t="e">
        <f>E1209/(B1209*8760)*1000</f>
        <v>#DIV/0!</v>
      </c>
      <c r="R1209" s="267" t="e">
        <f>G1209/(D1209*8761)*1000/3.6</f>
        <v>#DIV/0!</v>
      </c>
      <c r="S1209" s="268" t="e">
        <f>G1209/(E1209*3.6)</f>
        <v>#DIV/0!</v>
      </c>
      <c r="U1209" s="220"/>
      <c r="Z1209" s="214">
        <f t="shared" ref="Z1209:Z1216" si="422">C1209-B1209</f>
        <v>0</v>
      </c>
      <c r="AA1209" s="214">
        <f t="shared" ref="AA1209:AA1216" si="423">F1209-E1209</f>
        <v>0</v>
      </c>
    </row>
    <row r="1210" spans="1:27" ht="13.15" customHeight="1">
      <c r="A1210" s="266" t="s">
        <v>263</v>
      </c>
      <c r="B1210" s="320"/>
      <c r="C1210" s="320"/>
      <c r="D1210" s="320"/>
      <c r="E1210" s="320"/>
      <c r="F1210" s="319"/>
      <c r="G1210" s="321"/>
      <c r="H1210" s="319"/>
      <c r="I1210" s="370"/>
      <c r="J1210" s="244"/>
      <c r="K1210" s="245" t="s">
        <v>263</v>
      </c>
      <c r="L1210" s="266" t="e">
        <f>B1210/I1210</f>
        <v>#DIV/0!</v>
      </c>
      <c r="M1210" s="267" t="e">
        <f>D1210/I1210</f>
        <v>#DIV/0!</v>
      </c>
      <c r="N1210" s="267" t="e">
        <f>D1210/B1210</f>
        <v>#DIV/0!</v>
      </c>
      <c r="O1210" s="239" t="e">
        <f>(F1210*3.6+G1210)*100/H1210</f>
        <v>#DIV/0!</v>
      </c>
      <c r="P1210" s="267" t="e">
        <f>(E1210*3.6+G1210)*100/H1210</f>
        <v>#DIV/0!</v>
      </c>
      <c r="Q1210" s="267" t="e">
        <f>E1210/(B1210*8760)*1000</f>
        <v>#DIV/0!</v>
      </c>
      <c r="R1210" s="267" t="e">
        <f>G1210/(D1210*8761)*1000/3.6</f>
        <v>#DIV/0!</v>
      </c>
      <c r="S1210" s="268" t="e">
        <f>G1210/(E1210*3.6)</f>
        <v>#DIV/0!</v>
      </c>
      <c r="U1210" s="239" t="s">
        <v>152</v>
      </c>
      <c r="V1210" s="492">
        <f>B1225/1000</f>
        <v>0</v>
      </c>
      <c r="Z1210" s="214">
        <f t="shared" si="422"/>
        <v>0</v>
      </c>
      <c r="AA1210" s="214">
        <f t="shared" si="423"/>
        <v>0</v>
      </c>
    </row>
    <row r="1211" spans="1:27" ht="13.15" customHeight="1">
      <c r="A1211" s="266" t="s">
        <v>499</v>
      </c>
      <c r="B1211" s="320"/>
      <c r="C1211" s="320"/>
      <c r="D1211" s="320"/>
      <c r="E1211" s="320"/>
      <c r="F1211" s="319"/>
      <c r="G1211" s="321"/>
      <c r="H1211" s="319"/>
      <c r="I1211" s="370"/>
      <c r="J1211" s="244"/>
      <c r="K1211" s="245" t="s">
        <v>499</v>
      </c>
      <c r="L1211" s="266" t="e">
        <f>B1211/I1211</f>
        <v>#DIV/0!</v>
      </c>
      <c r="M1211" s="267" t="e">
        <f>D1211/I1211</f>
        <v>#DIV/0!</v>
      </c>
      <c r="N1211" s="267" t="e">
        <f>D1211/B1211</f>
        <v>#DIV/0!</v>
      </c>
      <c r="O1211" s="239" t="e">
        <f>(F1211*3.6+G1211)*100/H1211</f>
        <v>#DIV/0!</v>
      </c>
      <c r="P1211" s="267" t="e">
        <f>(E1211*3.6+G1211)*100/H1211</f>
        <v>#DIV/0!</v>
      </c>
      <c r="Q1211" s="267" t="e">
        <f>E1211/(B1211*8760)*1000</f>
        <v>#DIV/0!</v>
      </c>
      <c r="R1211" s="267" t="e">
        <f>G1211/(D1211*8761)*1000/3.6</f>
        <v>#DIV/0!</v>
      </c>
      <c r="S1211" s="268" t="e">
        <f>G1211/(E1211*3.6)</f>
        <v>#DIV/0!</v>
      </c>
      <c r="U1211" s="239" t="s">
        <v>504</v>
      </c>
      <c r="V1211" s="492">
        <f t="shared" ref="V1211:V1227" si="424">B1226/1000</f>
        <v>0</v>
      </c>
      <c r="Z1211" s="214">
        <f t="shared" si="422"/>
        <v>0</v>
      </c>
      <c r="AA1211" s="214">
        <f t="shared" si="423"/>
        <v>0</v>
      </c>
    </row>
    <row r="1212" spans="1:27" ht="13.15" customHeight="1">
      <c r="A1212" s="266" t="s">
        <v>265</v>
      </c>
      <c r="B1212" s="320"/>
      <c r="C1212" s="320"/>
      <c r="D1212" s="320"/>
      <c r="E1212" s="320"/>
      <c r="F1212" s="319"/>
      <c r="G1212" s="321"/>
      <c r="H1212" s="319"/>
      <c r="I1212" s="370"/>
      <c r="J1212" s="244"/>
      <c r="K1212" s="245" t="s">
        <v>265</v>
      </c>
      <c r="L1212" s="266" t="e">
        <f>B1212/I1212</f>
        <v>#DIV/0!</v>
      </c>
      <c r="M1212" s="267" t="e">
        <f>D1212/I1212</f>
        <v>#DIV/0!</v>
      </c>
      <c r="N1212" s="267" t="e">
        <f>D1212/B1212</f>
        <v>#DIV/0!</v>
      </c>
      <c r="O1212" s="239" t="e">
        <f>(F1212*3.6+G1212)*100/H1212</f>
        <v>#DIV/0!</v>
      </c>
      <c r="P1212" s="267" t="e">
        <f>(E1212*3.6+G1212)*100/H1212</f>
        <v>#DIV/0!</v>
      </c>
      <c r="Q1212" s="267" t="e">
        <f>E1212/(B1212*8760)*1000</f>
        <v>#DIV/0!</v>
      </c>
      <c r="R1212" s="267" t="e">
        <f>G1212/(D1212*8761)*1000/3.6</f>
        <v>#DIV/0!</v>
      </c>
      <c r="S1212" s="268" t="e">
        <f>G1212/(E1212*3.6)</f>
        <v>#DIV/0!</v>
      </c>
      <c r="U1212" s="239" t="s">
        <v>505</v>
      </c>
      <c r="V1212" s="492">
        <f t="shared" si="424"/>
        <v>0</v>
      </c>
      <c r="Z1212" s="214">
        <f t="shared" si="422"/>
        <v>0</v>
      </c>
      <c r="AA1212" s="214">
        <f t="shared" si="423"/>
        <v>0</v>
      </c>
    </row>
    <row r="1213" spans="1:27" ht="13.15" customHeight="1">
      <c r="A1213" s="266" t="s">
        <v>266</v>
      </c>
      <c r="B1213" s="320"/>
      <c r="C1213" s="320"/>
      <c r="D1213" s="320"/>
      <c r="E1213" s="320"/>
      <c r="F1213" s="319"/>
      <c r="G1213" s="321"/>
      <c r="H1213" s="319"/>
      <c r="I1213" s="370"/>
      <c r="J1213" s="244"/>
      <c r="K1213" s="245" t="s">
        <v>266</v>
      </c>
      <c r="L1213" s="266" t="e">
        <f>B1213/I1213</f>
        <v>#DIV/0!</v>
      </c>
      <c r="M1213" s="267" t="e">
        <f>D1213/I1213</f>
        <v>#DIV/0!</v>
      </c>
      <c r="N1213" s="267" t="e">
        <f>D1213/B1213</f>
        <v>#DIV/0!</v>
      </c>
      <c r="O1213" s="239" t="e">
        <f>(F1213*3.6+G1213)*100/H1213</f>
        <v>#DIV/0!</v>
      </c>
      <c r="P1213" s="267" t="e">
        <f>(E1213*3.6+G1213)*100/H1213</f>
        <v>#DIV/0!</v>
      </c>
      <c r="Q1213" s="267" t="e">
        <f>E1213/(B1213*8760)*1000</f>
        <v>#DIV/0!</v>
      </c>
      <c r="R1213" s="267" t="e">
        <f>G1213/(D1213*8761)*1000/3.6</f>
        <v>#DIV/0!</v>
      </c>
      <c r="S1213" s="268" t="e">
        <f>G1213/(E1213*3.6)</f>
        <v>#DIV/0!</v>
      </c>
      <c r="U1213" s="239" t="s">
        <v>506</v>
      </c>
      <c r="V1213" s="492">
        <f t="shared" si="424"/>
        <v>0</v>
      </c>
      <c r="Z1213" s="214">
        <f t="shared" si="422"/>
        <v>0</v>
      </c>
      <c r="AA1213" s="214">
        <f t="shared" si="423"/>
        <v>0</v>
      </c>
    </row>
    <row r="1214" spans="1:27" ht="13.15" customHeight="1">
      <c r="A1214" s="353" t="s">
        <v>267</v>
      </c>
      <c r="B1214" s="262"/>
      <c r="C1214" s="262"/>
      <c r="D1214" s="262"/>
      <c r="E1214" s="262"/>
      <c r="F1214" s="262"/>
      <c r="G1214" s="262"/>
      <c r="H1214" s="262"/>
      <c r="I1214" s="458"/>
      <c r="J1214" s="244"/>
      <c r="K1214" s="245" t="s">
        <v>267</v>
      </c>
      <c r="L1214" s="266"/>
      <c r="M1214" s="267"/>
      <c r="N1214" s="267"/>
      <c r="O1214" s="239"/>
      <c r="P1214" s="267"/>
      <c r="Q1214" s="272"/>
      <c r="R1214" s="274"/>
      <c r="S1214" s="275"/>
      <c r="U1214" s="239" t="s">
        <v>507</v>
      </c>
      <c r="V1214" s="492">
        <f t="shared" si="424"/>
        <v>0</v>
      </c>
      <c r="Z1214" s="214">
        <f t="shared" si="422"/>
        <v>0</v>
      </c>
      <c r="AA1214" s="214">
        <f t="shared" si="423"/>
        <v>0</v>
      </c>
    </row>
    <row r="1215" spans="1:27" ht="13.15" customHeight="1">
      <c r="A1215" s="276" t="s">
        <v>500</v>
      </c>
      <c r="B1215" s="291">
        <f>SUM(B1209:B1214)</f>
        <v>0</v>
      </c>
      <c r="C1215" s="291">
        <f t="shared" ref="C1215:I1215" si="425">SUM(C1209:C1214)</f>
        <v>0</v>
      </c>
      <c r="D1215" s="291">
        <f t="shared" si="425"/>
        <v>0</v>
      </c>
      <c r="E1215" s="291">
        <f t="shared" si="425"/>
        <v>0</v>
      </c>
      <c r="F1215" s="291">
        <f t="shared" si="425"/>
        <v>0</v>
      </c>
      <c r="G1215" s="291">
        <f t="shared" si="425"/>
        <v>0</v>
      </c>
      <c r="H1215" s="291">
        <f t="shared" si="425"/>
        <v>0</v>
      </c>
      <c r="I1215" s="457">
        <f t="shared" si="425"/>
        <v>0</v>
      </c>
      <c r="J1215" s="244"/>
      <c r="K1215" s="279" t="s">
        <v>169</v>
      </c>
      <c r="L1215" s="280" t="e">
        <f>B1215/I1215</f>
        <v>#DIV/0!</v>
      </c>
      <c r="M1215" s="281" t="e">
        <f>D1215/I1215</f>
        <v>#DIV/0!</v>
      </c>
      <c r="N1215" s="281" t="e">
        <f>D1215/B1215</f>
        <v>#DIV/0!</v>
      </c>
      <c r="O1215" s="294" t="e">
        <f>(F1215*3.6+G1215)*100/H1215</f>
        <v>#DIV/0!</v>
      </c>
      <c r="P1215" s="295" t="e">
        <f>(E1215*3.6+G1215)*100/H1215</f>
        <v>#DIV/0!</v>
      </c>
      <c r="Q1215" s="283" t="e">
        <f>E1215/(B1215*8760)*1000</f>
        <v>#DIV/0!</v>
      </c>
      <c r="R1215" s="283" t="e">
        <f>G1215/(D1215*8761)*1000/3.6</f>
        <v>#DIV/0!</v>
      </c>
      <c r="S1215" s="284" t="e">
        <f>G1215/(E1215*3.6)</f>
        <v>#DIV/0!</v>
      </c>
      <c r="U1215" s="239" t="s">
        <v>156</v>
      </c>
      <c r="V1215" s="492">
        <f t="shared" si="424"/>
        <v>0</v>
      </c>
      <c r="Z1215" s="214">
        <f t="shared" si="422"/>
        <v>0</v>
      </c>
      <c r="AA1215" s="214">
        <f t="shared" si="423"/>
        <v>0</v>
      </c>
    </row>
    <row r="1216" spans="1:27" ht="13.15" customHeight="1" thickBot="1">
      <c r="A1216" s="296" t="s">
        <v>502</v>
      </c>
      <c r="B1216" s="297">
        <f t="shared" ref="B1216:I1216" si="426">B1204+B1215</f>
        <v>0</v>
      </c>
      <c r="C1216" s="297">
        <f t="shared" si="426"/>
        <v>0</v>
      </c>
      <c r="D1216" s="297">
        <f t="shared" si="426"/>
        <v>0</v>
      </c>
      <c r="E1216" s="297">
        <f t="shared" si="426"/>
        <v>0</v>
      </c>
      <c r="F1216" s="297">
        <f t="shared" si="426"/>
        <v>0</v>
      </c>
      <c r="G1216" s="297">
        <f t="shared" si="426"/>
        <v>0</v>
      </c>
      <c r="H1216" s="297">
        <f t="shared" si="426"/>
        <v>0</v>
      </c>
      <c r="I1216" s="459">
        <f t="shared" si="426"/>
        <v>0</v>
      </c>
      <c r="J1216" s="244"/>
      <c r="K1216" s="296" t="s">
        <v>502</v>
      </c>
      <c r="L1216" s="299" t="e">
        <f>B1216/I1216</f>
        <v>#DIV/0!</v>
      </c>
      <c r="M1216" s="300" t="e">
        <f>D1216/I1216</f>
        <v>#DIV/0!</v>
      </c>
      <c r="N1216" s="300" t="e">
        <f>D1216/B1216</f>
        <v>#DIV/0!</v>
      </c>
      <c r="O1216" s="301" t="e">
        <f>(F1216*3.6+G1216)*100/H1216</f>
        <v>#DIV/0!</v>
      </c>
      <c r="P1216" s="301" t="e">
        <f>(E1216*3.6+G1216)*100/H1216</f>
        <v>#DIV/0!</v>
      </c>
      <c r="Q1216" s="301" t="e">
        <f>E1216/(B1216*8760)*1000</f>
        <v>#DIV/0!</v>
      </c>
      <c r="R1216" s="301" t="e">
        <f>G1216/(D1216*8761)*1000/3.6</f>
        <v>#DIV/0!</v>
      </c>
      <c r="S1216" s="302" t="e">
        <f>G1216/(E1216*3.6)</f>
        <v>#DIV/0!</v>
      </c>
      <c r="T1216" s="309"/>
      <c r="U1216" s="239" t="s">
        <v>508</v>
      </c>
      <c r="V1216" s="492">
        <f t="shared" si="424"/>
        <v>0</v>
      </c>
      <c r="Z1216" s="214">
        <f t="shared" si="422"/>
        <v>0</v>
      </c>
      <c r="AA1216" s="214">
        <f t="shared" si="423"/>
        <v>0</v>
      </c>
    </row>
    <row r="1217" spans="1:27" ht="13.15" customHeight="1">
      <c r="U1217" s="239" t="s">
        <v>509</v>
      </c>
      <c r="V1217" s="492">
        <f t="shared" si="424"/>
        <v>0</v>
      </c>
    </row>
    <row r="1218" spans="1:27" ht="13.15" customHeight="1">
      <c r="A1218" s="251" t="s">
        <v>139</v>
      </c>
      <c r="B1218" s="227" t="s">
        <v>476</v>
      </c>
      <c r="C1218" s="228"/>
      <c r="D1218" s="286"/>
      <c r="E1218" s="227" t="s">
        <v>477</v>
      </c>
      <c r="F1218" s="228"/>
      <c r="G1218" s="229"/>
      <c r="H1218" s="200" t="s">
        <v>138</v>
      </c>
      <c r="I1218" s="200" t="s">
        <v>478</v>
      </c>
      <c r="J1218" s="230"/>
      <c r="K1218" s="303" t="s">
        <v>503</v>
      </c>
      <c r="L1218" s="227" t="s">
        <v>479</v>
      </c>
      <c r="M1218" s="228"/>
      <c r="N1218" s="286"/>
      <c r="O1218" s="227" t="s">
        <v>480</v>
      </c>
      <c r="P1218" s="228"/>
      <c r="Q1218" s="228"/>
      <c r="R1218" s="229"/>
      <c r="S1218" s="286"/>
      <c r="U1218" s="239" t="s">
        <v>510</v>
      </c>
      <c r="V1218" s="492">
        <f t="shared" si="424"/>
        <v>0</v>
      </c>
    </row>
    <row r="1219" spans="1:27" ht="13.15" customHeight="1">
      <c r="A1219" s="239"/>
      <c r="B1219" s="240" t="s">
        <v>9</v>
      </c>
      <c r="C1219" s="240"/>
      <c r="D1219" s="241" t="s">
        <v>34</v>
      </c>
      <c r="E1219" s="242" t="s">
        <v>88</v>
      </c>
      <c r="F1219" s="243"/>
      <c r="G1219" s="244" t="s">
        <v>34</v>
      </c>
      <c r="H1219" s="241" t="s">
        <v>170</v>
      </c>
      <c r="I1219" s="241" t="s">
        <v>483</v>
      </c>
      <c r="J1219" s="230"/>
      <c r="K1219" s="305"/>
      <c r="L1219" s="306" t="s">
        <v>484</v>
      </c>
      <c r="M1219" s="247"/>
      <c r="N1219" s="248" t="s">
        <v>485</v>
      </c>
      <c r="O1219" s="248" t="s">
        <v>486</v>
      </c>
      <c r="P1219" s="248" t="s">
        <v>486</v>
      </c>
      <c r="Q1219" s="247" t="s">
        <v>487</v>
      </c>
      <c r="R1219" s="249"/>
      <c r="S1219" s="307" t="s">
        <v>485</v>
      </c>
      <c r="U1219" s="239" t="s">
        <v>511</v>
      </c>
      <c r="V1219" s="492">
        <f t="shared" si="424"/>
        <v>0</v>
      </c>
    </row>
    <row r="1220" spans="1:27" ht="13.15" customHeight="1">
      <c r="A1220" s="239"/>
      <c r="B1220" s="252" t="s">
        <v>0</v>
      </c>
      <c r="C1220" s="252" t="s">
        <v>489</v>
      </c>
      <c r="D1220" s="252" t="s">
        <v>490</v>
      </c>
      <c r="E1220" s="252" t="s">
        <v>491</v>
      </c>
      <c r="F1220" s="252" t="s">
        <v>489</v>
      </c>
      <c r="G1220" s="230" t="s">
        <v>490</v>
      </c>
      <c r="H1220" s="248"/>
      <c r="I1220" s="241" t="s">
        <v>492</v>
      </c>
      <c r="J1220" s="230"/>
      <c r="K1220" s="305"/>
      <c r="L1220" s="248" t="s">
        <v>88</v>
      </c>
      <c r="M1220" s="252" t="s">
        <v>34</v>
      </c>
      <c r="N1220" s="252" t="s">
        <v>493</v>
      </c>
      <c r="O1220" s="248" t="s">
        <v>494</v>
      </c>
      <c r="P1220" s="248" t="s">
        <v>495</v>
      </c>
      <c r="Q1220" s="230" t="s">
        <v>88</v>
      </c>
      <c r="R1220" s="248" t="s">
        <v>34</v>
      </c>
      <c r="S1220" s="252" t="s">
        <v>88</v>
      </c>
      <c r="U1220" s="239" t="s">
        <v>512</v>
      </c>
      <c r="V1220" s="492">
        <f t="shared" si="424"/>
        <v>0</v>
      </c>
    </row>
    <row r="1221" spans="1:27" ht="13.15" customHeight="1">
      <c r="A1221" s="239"/>
      <c r="B1221" s="257" t="s">
        <v>496</v>
      </c>
      <c r="C1221" s="256" t="s">
        <v>496</v>
      </c>
      <c r="D1221" s="256" t="s">
        <v>496</v>
      </c>
      <c r="E1221" s="256" t="s">
        <v>473</v>
      </c>
      <c r="F1221" s="257" t="s">
        <v>473</v>
      </c>
      <c r="G1221" s="259" t="s">
        <v>451</v>
      </c>
      <c r="H1221" s="257" t="s">
        <v>497</v>
      </c>
      <c r="I1221" s="257" t="s">
        <v>498</v>
      </c>
      <c r="J1221" s="230"/>
      <c r="K1221" s="305"/>
      <c r="L1221" s="257" t="s">
        <v>496</v>
      </c>
      <c r="M1221" s="256" t="s">
        <v>496</v>
      </c>
      <c r="N1221" s="256"/>
      <c r="O1221" s="257" t="s">
        <v>79</v>
      </c>
      <c r="P1221" s="257" t="s">
        <v>79</v>
      </c>
      <c r="Q1221" s="259"/>
      <c r="R1221" s="257"/>
      <c r="S1221" s="256"/>
      <c r="U1221" s="239" t="s">
        <v>513</v>
      </c>
      <c r="V1221" s="492">
        <f t="shared" si="424"/>
        <v>0</v>
      </c>
    </row>
    <row r="1222" spans="1:27" ht="13.15" customHeight="1">
      <c r="A1222" s="251" t="s">
        <v>150</v>
      </c>
      <c r="B1222" s="356"/>
      <c r="C1222" s="357"/>
      <c r="D1222" s="358"/>
      <c r="E1222" s="356"/>
      <c r="F1222" s="217"/>
      <c r="G1222" s="219"/>
      <c r="H1222" s="359"/>
      <c r="I1222" s="205"/>
      <c r="J1222" s="244"/>
      <c r="K1222" s="303" t="s">
        <v>150</v>
      </c>
      <c r="L1222" s="312" t="e">
        <f>B1222/I1222</f>
        <v>#DIV/0!</v>
      </c>
      <c r="M1222" s="313" t="e">
        <f>D1222/I1222</f>
        <v>#DIV/0!</v>
      </c>
      <c r="N1222" s="313" t="e">
        <f>D1222/B1222</f>
        <v>#DIV/0!</v>
      </c>
      <c r="O1222" s="312" t="e">
        <f>(F1222*3.6+G1222)*100/H1222</f>
        <v>#DIV/0!</v>
      </c>
      <c r="P1222" s="313" t="e">
        <f>(E1222*3.6+G1222)*100/H1222</f>
        <v>#DIV/0!</v>
      </c>
      <c r="Q1222" s="313" t="e">
        <f>E1222/(B1222*8760)*1000</f>
        <v>#DIV/0!</v>
      </c>
      <c r="R1222" s="313" t="e">
        <f>G1222/(D1222*8761)*1000/3.6</f>
        <v>#DIV/0!</v>
      </c>
      <c r="S1222" s="313" t="e">
        <f>G1222/(E1222*3.6)</f>
        <v>#DIV/0!</v>
      </c>
      <c r="U1222" s="239" t="s">
        <v>514</v>
      </c>
      <c r="V1222" s="492">
        <f t="shared" si="424"/>
        <v>0</v>
      </c>
      <c r="Z1222" s="214">
        <f>C1222-B1222</f>
        <v>0</v>
      </c>
      <c r="AA1222" s="214">
        <f>F1222-E1222</f>
        <v>0</v>
      </c>
    </row>
    <row r="1223" spans="1:27" ht="13.15" customHeight="1">
      <c r="A1223" s="239"/>
      <c r="B1223" s="252"/>
      <c r="C1223" s="252"/>
      <c r="D1223" s="252"/>
      <c r="E1223" s="267"/>
      <c r="F1223" s="267"/>
      <c r="G1223" s="248"/>
      <c r="H1223" s="252"/>
      <c r="I1223" s="248"/>
      <c r="J1223" s="230"/>
      <c r="K1223" s="239"/>
      <c r="L1223" s="312"/>
      <c r="M1223" s="267"/>
      <c r="N1223" s="267"/>
      <c r="O1223" s="239"/>
      <c r="P1223" s="313"/>
      <c r="Q1223" s="267"/>
      <c r="R1223" s="267"/>
      <c r="S1223" s="239"/>
      <c r="U1223" s="239" t="s">
        <v>515</v>
      </c>
      <c r="V1223" s="492">
        <f t="shared" si="424"/>
        <v>0</v>
      </c>
      <c r="Z1223" s="214">
        <f t="shared" ref="Z1223:Z1243" si="427">C1223-B1223</f>
        <v>0</v>
      </c>
      <c r="AA1223" s="214">
        <f t="shared" ref="AA1223:AA1243" si="428">F1223-E1223</f>
        <v>0</v>
      </c>
    </row>
    <row r="1224" spans="1:27" ht="13.15" customHeight="1">
      <c r="A1224" s="312" t="s">
        <v>7</v>
      </c>
      <c r="B1224" s="310">
        <f>SUM(B1225:B1242)</f>
        <v>0</v>
      </c>
      <c r="C1224" s="310">
        <f t="shared" ref="C1224:I1224" si="429">SUM(C1225:C1242)</f>
        <v>0</v>
      </c>
      <c r="D1224" s="310">
        <f t="shared" si="429"/>
        <v>0</v>
      </c>
      <c r="E1224" s="310">
        <f t="shared" si="429"/>
        <v>0</v>
      </c>
      <c r="F1224" s="310">
        <f t="shared" si="429"/>
        <v>0</v>
      </c>
      <c r="G1224" s="310">
        <f t="shared" si="429"/>
        <v>0</v>
      </c>
      <c r="H1224" s="310">
        <f t="shared" si="429"/>
        <v>0</v>
      </c>
      <c r="I1224" s="310">
        <f t="shared" si="429"/>
        <v>0</v>
      </c>
      <c r="J1224" s="244"/>
      <c r="K1224" s="318" t="s">
        <v>7</v>
      </c>
      <c r="L1224" s="312" t="e">
        <f>B1224/I1224</f>
        <v>#DIV/0!</v>
      </c>
      <c r="M1224" s="313" t="e">
        <f>D1224/I1224</f>
        <v>#DIV/0!</v>
      </c>
      <c r="N1224" s="313" t="e">
        <f>D1224/B1224</f>
        <v>#DIV/0!</v>
      </c>
      <c r="O1224" s="312" t="e">
        <f t="shared" ref="O1224:O1241" si="430">(F1224*3.6+G1224)*100/H1224</f>
        <v>#DIV/0!</v>
      </c>
      <c r="P1224" s="313" t="e">
        <f>(E1224*3.6+G1224)*100/H1224</f>
        <v>#DIV/0!</v>
      </c>
      <c r="Q1224" s="313" t="e">
        <f>E1224/(B1224*8760)*1000</f>
        <v>#DIV/0!</v>
      </c>
      <c r="R1224" s="313" t="e">
        <f>G1224/(D1224*8761)*1000/3.6</f>
        <v>#DIV/0!</v>
      </c>
      <c r="S1224" s="313" t="e">
        <f>G1224/(E1224*3.6)</f>
        <v>#DIV/0!</v>
      </c>
      <c r="U1224" s="239" t="s">
        <v>516</v>
      </c>
      <c r="V1224" s="492">
        <f t="shared" si="424"/>
        <v>0</v>
      </c>
      <c r="Z1224" s="214">
        <f t="shared" si="427"/>
        <v>0</v>
      </c>
      <c r="AA1224" s="214">
        <f t="shared" si="428"/>
        <v>0</v>
      </c>
    </row>
    <row r="1225" spans="1:27" ht="13.15" customHeight="1">
      <c r="A1225" s="239" t="s">
        <v>152</v>
      </c>
      <c r="B1225" s="391"/>
      <c r="C1225" s="391"/>
      <c r="D1225" s="391"/>
      <c r="E1225" s="391"/>
      <c r="F1225" s="391"/>
      <c r="G1225" s="391"/>
      <c r="H1225" s="391"/>
      <c r="I1225" s="391"/>
      <c r="J1225" s="230"/>
      <c r="K1225" s="305" t="s">
        <v>152</v>
      </c>
      <c r="L1225" s="239" t="e">
        <f t="shared" ref="L1225:L1241" si="431">B1225/I1225</f>
        <v>#DIV/0!</v>
      </c>
      <c r="M1225" s="267" t="e">
        <f t="shared" ref="M1225:M1241" si="432">D1225/I1225</f>
        <v>#DIV/0!</v>
      </c>
      <c r="N1225" s="267" t="e">
        <f t="shared" ref="N1225:N1241" si="433">D1225/B1225</f>
        <v>#DIV/0!</v>
      </c>
      <c r="O1225" s="239" t="e">
        <f t="shared" si="430"/>
        <v>#DIV/0!</v>
      </c>
      <c r="P1225" s="267" t="e">
        <f t="shared" ref="P1225:P1241" si="434">(E1225*3.6+G1225)*100/H1225</f>
        <v>#DIV/0!</v>
      </c>
      <c r="Q1225" s="267" t="e">
        <f t="shared" ref="Q1225:Q1241" si="435">E1225/(B1225*8760)*1000</f>
        <v>#DIV/0!</v>
      </c>
      <c r="R1225" s="267" t="e">
        <f t="shared" ref="R1225:R1241" si="436">G1225/(D1225*8761)*1000/3.6</f>
        <v>#DIV/0!</v>
      </c>
      <c r="S1225" s="267" t="e">
        <f t="shared" ref="S1225:S1241" si="437">G1225/(E1225*3.6)</f>
        <v>#DIV/0!</v>
      </c>
      <c r="U1225" s="239" t="s">
        <v>517</v>
      </c>
      <c r="V1225" s="492">
        <f t="shared" si="424"/>
        <v>0</v>
      </c>
      <c r="Z1225" s="214">
        <f t="shared" si="427"/>
        <v>0</v>
      </c>
      <c r="AA1225" s="214">
        <f t="shared" si="428"/>
        <v>0</v>
      </c>
    </row>
    <row r="1226" spans="1:27" ht="13.15" customHeight="1">
      <c r="A1226" s="239" t="s">
        <v>504</v>
      </c>
      <c r="B1226" s="204"/>
      <c r="C1226" s="204"/>
      <c r="D1226" s="204"/>
      <c r="E1226" s="267"/>
      <c r="F1226" s="267"/>
      <c r="G1226" s="206"/>
      <c r="H1226" s="202"/>
      <c r="I1226" s="202"/>
      <c r="J1226" s="230"/>
      <c r="K1226" s="305" t="s">
        <v>504</v>
      </c>
      <c r="L1226" s="239" t="e">
        <f t="shared" si="431"/>
        <v>#DIV/0!</v>
      </c>
      <c r="M1226" s="267" t="e">
        <f t="shared" si="432"/>
        <v>#DIV/0!</v>
      </c>
      <c r="N1226" s="267" t="e">
        <f t="shared" si="433"/>
        <v>#DIV/0!</v>
      </c>
      <c r="O1226" s="239" t="e">
        <f t="shared" si="430"/>
        <v>#DIV/0!</v>
      </c>
      <c r="P1226" s="267" t="e">
        <f t="shared" si="434"/>
        <v>#DIV/0!</v>
      </c>
      <c r="Q1226" s="267" t="e">
        <f t="shared" si="435"/>
        <v>#DIV/0!</v>
      </c>
      <c r="R1226" s="267" t="e">
        <f t="shared" si="436"/>
        <v>#DIV/0!</v>
      </c>
      <c r="S1226" s="267" t="e">
        <f t="shared" si="437"/>
        <v>#DIV/0!</v>
      </c>
      <c r="U1226" s="239" t="s">
        <v>518</v>
      </c>
      <c r="V1226" s="492">
        <f t="shared" si="424"/>
        <v>0</v>
      </c>
      <c r="Z1226" s="214">
        <f t="shared" si="427"/>
        <v>0</v>
      </c>
      <c r="AA1226" s="214">
        <f t="shared" si="428"/>
        <v>0</v>
      </c>
    </row>
    <row r="1227" spans="1:27" ht="13.15" customHeight="1">
      <c r="A1227" s="239" t="s">
        <v>505</v>
      </c>
      <c r="B1227" s="204"/>
      <c r="C1227" s="204"/>
      <c r="D1227" s="204"/>
      <c r="E1227" s="267"/>
      <c r="F1227" s="267"/>
      <c r="G1227" s="206"/>
      <c r="H1227" s="202"/>
      <c r="I1227" s="202"/>
      <c r="J1227" s="230"/>
      <c r="K1227" s="305" t="s">
        <v>505</v>
      </c>
      <c r="L1227" s="239" t="e">
        <f t="shared" si="431"/>
        <v>#DIV/0!</v>
      </c>
      <c r="M1227" s="267" t="e">
        <f t="shared" si="432"/>
        <v>#DIV/0!</v>
      </c>
      <c r="N1227" s="267" t="e">
        <f t="shared" si="433"/>
        <v>#DIV/0!</v>
      </c>
      <c r="O1227" s="239" t="e">
        <f t="shared" si="430"/>
        <v>#DIV/0!</v>
      </c>
      <c r="P1227" s="267" t="e">
        <f t="shared" si="434"/>
        <v>#DIV/0!</v>
      </c>
      <c r="Q1227" s="267" t="e">
        <f t="shared" si="435"/>
        <v>#DIV/0!</v>
      </c>
      <c r="R1227" s="267" t="e">
        <f t="shared" si="436"/>
        <v>#DIV/0!</v>
      </c>
      <c r="S1227" s="267" t="e">
        <f t="shared" si="437"/>
        <v>#DIV/0!</v>
      </c>
      <c r="U1227" s="239" t="s">
        <v>519</v>
      </c>
      <c r="V1227" s="492">
        <f t="shared" si="424"/>
        <v>0</v>
      </c>
      <c r="Z1227" s="214">
        <f t="shared" si="427"/>
        <v>0</v>
      </c>
      <c r="AA1227" s="214">
        <f t="shared" si="428"/>
        <v>0</v>
      </c>
    </row>
    <row r="1228" spans="1:27" ht="13.15" customHeight="1">
      <c r="A1228" s="239" t="s">
        <v>506</v>
      </c>
      <c r="B1228" s="204"/>
      <c r="C1228" s="204"/>
      <c r="D1228" s="204"/>
      <c r="E1228" s="267"/>
      <c r="F1228" s="267"/>
      <c r="G1228" s="206"/>
      <c r="H1228" s="202"/>
      <c r="I1228" s="202"/>
      <c r="J1228" s="230"/>
      <c r="K1228" s="305" t="s">
        <v>506</v>
      </c>
      <c r="L1228" s="239" t="e">
        <f t="shared" si="431"/>
        <v>#DIV/0!</v>
      </c>
      <c r="M1228" s="267" t="e">
        <f t="shared" si="432"/>
        <v>#DIV/0!</v>
      </c>
      <c r="N1228" s="267" t="e">
        <f t="shared" si="433"/>
        <v>#DIV/0!</v>
      </c>
      <c r="O1228" s="239" t="e">
        <f t="shared" si="430"/>
        <v>#DIV/0!</v>
      </c>
      <c r="P1228" s="267" t="e">
        <f t="shared" si="434"/>
        <v>#DIV/0!</v>
      </c>
      <c r="Q1228" s="267" t="e">
        <f t="shared" si="435"/>
        <v>#DIV/0!</v>
      </c>
      <c r="R1228" s="267" t="e">
        <f t="shared" si="436"/>
        <v>#DIV/0!</v>
      </c>
      <c r="S1228" s="267" t="e">
        <f t="shared" si="437"/>
        <v>#DIV/0!</v>
      </c>
      <c r="U1228" s="220"/>
      <c r="Z1228" s="214">
        <f t="shared" si="427"/>
        <v>0</v>
      </c>
      <c r="AA1228" s="214">
        <f t="shared" si="428"/>
        <v>0</v>
      </c>
    </row>
    <row r="1229" spans="1:27" ht="13.15" customHeight="1">
      <c r="A1229" s="239" t="s">
        <v>507</v>
      </c>
      <c r="B1229" s="204"/>
      <c r="C1229" s="204"/>
      <c r="D1229" s="204"/>
      <c r="E1229" s="267"/>
      <c r="F1229" s="267"/>
      <c r="G1229" s="206"/>
      <c r="H1229" s="202"/>
      <c r="I1229" s="202"/>
      <c r="J1229" s="230"/>
      <c r="K1229" s="305" t="s">
        <v>507</v>
      </c>
      <c r="L1229" s="239" t="e">
        <f t="shared" si="431"/>
        <v>#DIV/0!</v>
      </c>
      <c r="M1229" s="267" t="e">
        <f t="shared" si="432"/>
        <v>#DIV/0!</v>
      </c>
      <c r="N1229" s="267" t="e">
        <f t="shared" si="433"/>
        <v>#DIV/0!</v>
      </c>
      <c r="O1229" s="239" t="e">
        <f t="shared" si="430"/>
        <v>#DIV/0!</v>
      </c>
      <c r="P1229" s="267" t="e">
        <f t="shared" si="434"/>
        <v>#DIV/0!</v>
      </c>
      <c r="Q1229" s="267" t="e">
        <f t="shared" si="435"/>
        <v>#DIV/0!</v>
      </c>
      <c r="R1229" s="267" t="e">
        <f t="shared" si="436"/>
        <v>#DIV/0!</v>
      </c>
      <c r="S1229" s="267" t="e">
        <f t="shared" si="437"/>
        <v>#DIV/0!</v>
      </c>
      <c r="U1229" s="220"/>
      <c r="Z1229" s="214">
        <f t="shared" si="427"/>
        <v>0</v>
      </c>
      <c r="AA1229" s="214">
        <f t="shared" si="428"/>
        <v>0</v>
      </c>
    </row>
    <row r="1230" spans="1:27" ht="13.15" customHeight="1">
      <c r="A1230" s="239" t="s">
        <v>156</v>
      </c>
      <c r="B1230" s="204"/>
      <c r="C1230" s="204"/>
      <c r="D1230" s="204"/>
      <c r="E1230" s="267"/>
      <c r="F1230" s="267"/>
      <c r="G1230" s="206"/>
      <c r="H1230" s="202"/>
      <c r="I1230" s="202"/>
      <c r="J1230" s="230"/>
      <c r="K1230" s="305" t="s">
        <v>156</v>
      </c>
      <c r="L1230" s="239" t="e">
        <f t="shared" si="431"/>
        <v>#DIV/0!</v>
      </c>
      <c r="M1230" s="267" t="e">
        <f t="shared" si="432"/>
        <v>#DIV/0!</v>
      </c>
      <c r="N1230" s="267" t="e">
        <f t="shared" si="433"/>
        <v>#DIV/0!</v>
      </c>
      <c r="O1230" s="322" t="e">
        <f t="shared" si="430"/>
        <v>#DIV/0!</v>
      </c>
      <c r="P1230" s="323" t="e">
        <f t="shared" si="434"/>
        <v>#DIV/0!</v>
      </c>
      <c r="Q1230" s="267" t="e">
        <f t="shared" si="435"/>
        <v>#DIV/0!</v>
      </c>
      <c r="R1230" s="267" t="e">
        <f t="shared" si="436"/>
        <v>#DIV/0!</v>
      </c>
      <c r="S1230" s="267" t="e">
        <f t="shared" si="437"/>
        <v>#DIV/0!</v>
      </c>
      <c r="U1230" s="220"/>
      <c r="Z1230" s="214">
        <f t="shared" si="427"/>
        <v>0</v>
      </c>
      <c r="AA1230" s="214">
        <f t="shared" si="428"/>
        <v>0</v>
      </c>
    </row>
    <row r="1231" spans="1:27" ht="13.15" customHeight="1">
      <c r="A1231" s="239" t="s">
        <v>508</v>
      </c>
      <c r="B1231" s="204"/>
      <c r="C1231" s="204"/>
      <c r="D1231" s="204"/>
      <c r="E1231" s="267"/>
      <c r="F1231" s="267"/>
      <c r="G1231" s="206"/>
      <c r="H1231" s="202"/>
      <c r="I1231" s="202"/>
      <c r="J1231" s="230"/>
      <c r="K1231" s="305" t="s">
        <v>508</v>
      </c>
      <c r="L1231" s="239" t="e">
        <f t="shared" si="431"/>
        <v>#DIV/0!</v>
      </c>
      <c r="M1231" s="267" t="e">
        <f t="shared" si="432"/>
        <v>#DIV/0!</v>
      </c>
      <c r="N1231" s="267" t="e">
        <f t="shared" si="433"/>
        <v>#DIV/0!</v>
      </c>
      <c r="O1231" s="239" t="e">
        <f t="shared" si="430"/>
        <v>#DIV/0!</v>
      </c>
      <c r="P1231" s="267" t="e">
        <f t="shared" si="434"/>
        <v>#DIV/0!</v>
      </c>
      <c r="Q1231" s="267" t="e">
        <f t="shared" si="435"/>
        <v>#DIV/0!</v>
      </c>
      <c r="R1231" s="267" t="e">
        <f t="shared" si="436"/>
        <v>#DIV/0!</v>
      </c>
      <c r="S1231" s="267" t="e">
        <f t="shared" si="437"/>
        <v>#DIV/0!</v>
      </c>
      <c r="U1231" s="220"/>
      <c r="Z1231" s="214">
        <f t="shared" si="427"/>
        <v>0</v>
      </c>
      <c r="AA1231" s="214">
        <f t="shared" si="428"/>
        <v>0</v>
      </c>
    </row>
    <row r="1232" spans="1:27" ht="13.15" customHeight="1">
      <c r="A1232" s="239" t="s">
        <v>509</v>
      </c>
      <c r="B1232" s="204"/>
      <c r="C1232" s="204"/>
      <c r="D1232" s="204"/>
      <c r="E1232" s="267"/>
      <c r="F1232" s="267"/>
      <c r="G1232" s="206"/>
      <c r="H1232" s="202"/>
      <c r="I1232" s="202"/>
      <c r="J1232" s="230"/>
      <c r="K1232" s="305" t="s">
        <v>509</v>
      </c>
      <c r="L1232" s="239" t="e">
        <f t="shared" si="431"/>
        <v>#DIV/0!</v>
      </c>
      <c r="M1232" s="267" t="e">
        <f t="shared" si="432"/>
        <v>#DIV/0!</v>
      </c>
      <c r="N1232" s="267" t="e">
        <f t="shared" si="433"/>
        <v>#DIV/0!</v>
      </c>
      <c r="O1232" s="239" t="e">
        <f t="shared" si="430"/>
        <v>#DIV/0!</v>
      </c>
      <c r="P1232" s="267" t="e">
        <f t="shared" si="434"/>
        <v>#DIV/0!</v>
      </c>
      <c r="Q1232" s="267" t="e">
        <f t="shared" si="435"/>
        <v>#DIV/0!</v>
      </c>
      <c r="R1232" s="267" t="e">
        <f t="shared" si="436"/>
        <v>#DIV/0!</v>
      </c>
      <c r="S1232" s="267" t="e">
        <f t="shared" si="437"/>
        <v>#DIV/0!</v>
      </c>
      <c r="U1232" s="220"/>
      <c r="Z1232" s="214">
        <f t="shared" si="427"/>
        <v>0</v>
      </c>
      <c r="AA1232" s="214">
        <f t="shared" si="428"/>
        <v>0</v>
      </c>
    </row>
    <row r="1233" spans="1:27" ht="13.15" customHeight="1">
      <c r="A1233" s="239" t="s">
        <v>510</v>
      </c>
      <c r="B1233" s="204"/>
      <c r="C1233" s="204"/>
      <c r="D1233" s="204"/>
      <c r="E1233" s="267"/>
      <c r="F1233" s="267"/>
      <c r="G1233" s="206"/>
      <c r="H1233" s="202"/>
      <c r="I1233" s="202"/>
      <c r="J1233" s="230"/>
      <c r="K1233" s="305" t="s">
        <v>510</v>
      </c>
      <c r="L1233" s="239" t="e">
        <f t="shared" si="431"/>
        <v>#DIV/0!</v>
      </c>
      <c r="M1233" s="267" t="e">
        <f t="shared" si="432"/>
        <v>#DIV/0!</v>
      </c>
      <c r="N1233" s="267" t="e">
        <f t="shared" si="433"/>
        <v>#DIV/0!</v>
      </c>
      <c r="O1233" s="322" t="e">
        <f t="shared" si="430"/>
        <v>#DIV/0!</v>
      </c>
      <c r="P1233" s="323" t="e">
        <f t="shared" si="434"/>
        <v>#DIV/0!</v>
      </c>
      <c r="Q1233" s="267" t="e">
        <f t="shared" si="435"/>
        <v>#DIV/0!</v>
      </c>
      <c r="R1233" s="267" t="e">
        <f t="shared" si="436"/>
        <v>#DIV/0!</v>
      </c>
      <c r="S1233" s="267" t="e">
        <f t="shared" si="437"/>
        <v>#DIV/0!</v>
      </c>
      <c r="U1233" s="220"/>
      <c r="Z1233" s="214">
        <f t="shared" si="427"/>
        <v>0</v>
      </c>
      <c r="AA1233" s="214">
        <f t="shared" si="428"/>
        <v>0</v>
      </c>
    </row>
    <row r="1234" spans="1:27" ht="13.15" customHeight="1">
      <c r="A1234" s="239" t="s">
        <v>511</v>
      </c>
      <c r="B1234" s="382"/>
      <c r="C1234" s="382"/>
      <c r="D1234" s="204"/>
      <c r="E1234" s="267"/>
      <c r="F1234" s="267"/>
      <c r="G1234" s="206"/>
      <c r="H1234" s="202"/>
      <c r="I1234" s="202"/>
      <c r="J1234" s="230"/>
      <c r="K1234" s="305" t="s">
        <v>511</v>
      </c>
      <c r="L1234" s="239" t="e">
        <f t="shared" si="431"/>
        <v>#DIV/0!</v>
      </c>
      <c r="M1234" s="267" t="e">
        <f t="shared" si="432"/>
        <v>#DIV/0!</v>
      </c>
      <c r="N1234" s="267" t="e">
        <f t="shared" si="433"/>
        <v>#DIV/0!</v>
      </c>
      <c r="O1234" s="239" t="e">
        <f t="shared" si="430"/>
        <v>#DIV/0!</v>
      </c>
      <c r="P1234" s="267" t="e">
        <f t="shared" si="434"/>
        <v>#DIV/0!</v>
      </c>
      <c r="Q1234" s="267" t="e">
        <f t="shared" si="435"/>
        <v>#DIV/0!</v>
      </c>
      <c r="R1234" s="267" t="e">
        <f t="shared" si="436"/>
        <v>#DIV/0!</v>
      </c>
      <c r="S1234" s="267" t="e">
        <f t="shared" si="437"/>
        <v>#DIV/0!</v>
      </c>
      <c r="U1234" s="220"/>
      <c r="Z1234" s="214">
        <f t="shared" si="427"/>
        <v>0</v>
      </c>
      <c r="AA1234" s="214">
        <f t="shared" si="428"/>
        <v>0</v>
      </c>
    </row>
    <row r="1235" spans="1:27" ht="13.15" customHeight="1">
      <c r="A1235" s="239" t="s">
        <v>512</v>
      </c>
      <c r="B1235" s="384"/>
      <c r="C1235" s="382"/>
      <c r="D1235" s="204"/>
      <c r="E1235" s="385"/>
      <c r="F1235" s="267"/>
      <c r="G1235" s="206"/>
      <c r="H1235" s="202"/>
      <c r="I1235" s="202"/>
      <c r="J1235" s="230"/>
      <c r="K1235" s="305" t="s">
        <v>512</v>
      </c>
      <c r="L1235" s="239" t="e">
        <f t="shared" si="431"/>
        <v>#DIV/0!</v>
      </c>
      <c r="M1235" s="267" t="e">
        <f t="shared" si="432"/>
        <v>#DIV/0!</v>
      </c>
      <c r="N1235" s="267" t="e">
        <f t="shared" si="433"/>
        <v>#DIV/0!</v>
      </c>
      <c r="O1235" s="239" t="e">
        <f t="shared" si="430"/>
        <v>#DIV/0!</v>
      </c>
      <c r="P1235" s="267" t="e">
        <f t="shared" si="434"/>
        <v>#DIV/0!</v>
      </c>
      <c r="Q1235" s="267" t="e">
        <f t="shared" si="435"/>
        <v>#DIV/0!</v>
      </c>
      <c r="R1235" s="267" t="e">
        <f t="shared" si="436"/>
        <v>#DIV/0!</v>
      </c>
      <c r="S1235" s="267" t="e">
        <f t="shared" si="437"/>
        <v>#DIV/0!</v>
      </c>
      <c r="U1235" s="220"/>
      <c r="Z1235" s="214">
        <f t="shared" si="427"/>
        <v>0</v>
      </c>
      <c r="AA1235" s="214">
        <f t="shared" si="428"/>
        <v>0</v>
      </c>
    </row>
    <row r="1236" spans="1:27" ht="13.15" customHeight="1">
      <c r="A1236" s="239" t="s">
        <v>513</v>
      </c>
      <c r="B1236" s="384"/>
      <c r="C1236" s="384"/>
      <c r="D1236" s="216"/>
      <c r="E1236" s="385"/>
      <c r="F1236" s="385"/>
      <c r="G1236" s="386"/>
      <c r="H1236" s="215"/>
      <c r="I1236" s="202"/>
      <c r="J1236" s="230"/>
      <c r="K1236" s="305" t="s">
        <v>513</v>
      </c>
      <c r="L1236" s="239" t="e">
        <f t="shared" si="431"/>
        <v>#DIV/0!</v>
      </c>
      <c r="M1236" s="267" t="e">
        <f t="shared" si="432"/>
        <v>#DIV/0!</v>
      </c>
      <c r="N1236" s="267" t="e">
        <f t="shared" si="433"/>
        <v>#DIV/0!</v>
      </c>
      <c r="O1236" s="239" t="e">
        <f t="shared" si="430"/>
        <v>#DIV/0!</v>
      </c>
      <c r="P1236" s="267" t="e">
        <f t="shared" si="434"/>
        <v>#DIV/0!</v>
      </c>
      <c r="Q1236" s="267" t="e">
        <f t="shared" si="435"/>
        <v>#DIV/0!</v>
      </c>
      <c r="R1236" s="267" t="e">
        <f t="shared" si="436"/>
        <v>#DIV/0!</v>
      </c>
      <c r="S1236" s="267" t="e">
        <f t="shared" si="437"/>
        <v>#DIV/0!</v>
      </c>
      <c r="U1236" s="220"/>
      <c r="Z1236" s="214">
        <f t="shared" si="427"/>
        <v>0</v>
      </c>
      <c r="AA1236" s="214">
        <f t="shared" si="428"/>
        <v>0</v>
      </c>
    </row>
    <row r="1237" spans="1:27" ht="13.15" customHeight="1">
      <c r="A1237" s="239" t="s">
        <v>514</v>
      </c>
      <c r="B1237" s="382"/>
      <c r="C1237" s="382"/>
      <c r="D1237" s="204"/>
      <c r="E1237" s="267"/>
      <c r="F1237" s="267"/>
      <c r="G1237" s="206"/>
      <c r="H1237" s="202"/>
      <c r="I1237" s="202"/>
      <c r="J1237" s="230"/>
      <c r="K1237" s="305" t="s">
        <v>514</v>
      </c>
      <c r="L1237" s="239" t="e">
        <f t="shared" si="431"/>
        <v>#DIV/0!</v>
      </c>
      <c r="M1237" s="267" t="e">
        <f t="shared" si="432"/>
        <v>#DIV/0!</v>
      </c>
      <c r="N1237" s="267" t="e">
        <f t="shared" si="433"/>
        <v>#DIV/0!</v>
      </c>
      <c r="O1237" s="239" t="e">
        <f t="shared" si="430"/>
        <v>#DIV/0!</v>
      </c>
      <c r="P1237" s="267" t="e">
        <f t="shared" si="434"/>
        <v>#DIV/0!</v>
      </c>
      <c r="Q1237" s="267" t="e">
        <f t="shared" si="435"/>
        <v>#DIV/0!</v>
      </c>
      <c r="R1237" s="267" t="e">
        <f t="shared" si="436"/>
        <v>#DIV/0!</v>
      </c>
      <c r="S1237" s="267" t="e">
        <f t="shared" si="437"/>
        <v>#DIV/0!</v>
      </c>
      <c r="U1237" s="220"/>
      <c r="Z1237" s="214">
        <f t="shared" si="427"/>
        <v>0</v>
      </c>
      <c r="AA1237" s="214">
        <f t="shared" si="428"/>
        <v>0</v>
      </c>
    </row>
    <row r="1238" spans="1:27" ht="13.15" customHeight="1">
      <c r="A1238" s="239" t="s">
        <v>515</v>
      </c>
      <c r="B1238" s="382"/>
      <c r="C1238" s="382"/>
      <c r="D1238" s="204"/>
      <c r="E1238" s="267"/>
      <c r="F1238" s="267"/>
      <c r="G1238" s="206"/>
      <c r="H1238" s="202"/>
      <c r="I1238" s="202"/>
      <c r="J1238" s="230"/>
      <c r="K1238" s="305" t="s">
        <v>515</v>
      </c>
      <c r="L1238" s="239" t="e">
        <f t="shared" si="431"/>
        <v>#DIV/0!</v>
      </c>
      <c r="M1238" s="267" t="e">
        <f t="shared" si="432"/>
        <v>#DIV/0!</v>
      </c>
      <c r="N1238" s="267" t="e">
        <f t="shared" si="433"/>
        <v>#DIV/0!</v>
      </c>
      <c r="O1238" s="239" t="e">
        <f t="shared" si="430"/>
        <v>#DIV/0!</v>
      </c>
      <c r="P1238" s="267" t="e">
        <f t="shared" si="434"/>
        <v>#DIV/0!</v>
      </c>
      <c r="Q1238" s="267" t="e">
        <f t="shared" si="435"/>
        <v>#DIV/0!</v>
      </c>
      <c r="R1238" s="267" t="e">
        <f t="shared" si="436"/>
        <v>#DIV/0!</v>
      </c>
      <c r="S1238" s="267" t="e">
        <f t="shared" si="437"/>
        <v>#DIV/0!</v>
      </c>
      <c r="U1238" s="220"/>
      <c r="Z1238" s="214">
        <f t="shared" si="427"/>
        <v>0</v>
      </c>
      <c r="AA1238" s="214">
        <f t="shared" si="428"/>
        <v>0</v>
      </c>
    </row>
    <row r="1239" spans="1:27" ht="13.15" customHeight="1">
      <c r="A1239" s="239" t="s">
        <v>516</v>
      </c>
      <c r="B1239" s="204"/>
      <c r="C1239" s="204"/>
      <c r="D1239" s="202"/>
      <c r="E1239" s="267"/>
      <c r="F1239" s="267"/>
      <c r="G1239" s="206"/>
      <c r="H1239" s="202"/>
      <c r="I1239" s="202"/>
      <c r="J1239" s="244"/>
      <c r="K1239" s="239" t="s">
        <v>516</v>
      </c>
      <c r="L1239" s="239" t="e">
        <f t="shared" si="431"/>
        <v>#DIV/0!</v>
      </c>
      <c r="M1239" s="267" t="e">
        <f t="shared" si="432"/>
        <v>#DIV/0!</v>
      </c>
      <c r="N1239" s="267" t="e">
        <f t="shared" si="433"/>
        <v>#DIV/0!</v>
      </c>
      <c r="O1239" s="239" t="e">
        <f t="shared" si="430"/>
        <v>#DIV/0!</v>
      </c>
      <c r="P1239" s="267" t="e">
        <f t="shared" si="434"/>
        <v>#DIV/0!</v>
      </c>
      <c r="Q1239" s="267" t="e">
        <f t="shared" si="435"/>
        <v>#DIV/0!</v>
      </c>
      <c r="R1239" s="267" t="e">
        <f t="shared" si="436"/>
        <v>#DIV/0!</v>
      </c>
      <c r="S1239" s="267" t="e">
        <f t="shared" si="437"/>
        <v>#DIV/0!</v>
      </c>
      <c r="U1239" s="220"/>
      <c r="Z1239" s="214">
        <f t="shared" si="427"/>
        <v>0</v>
      </c>
      <c r="AA1239" s="214">
        <f t="shared" si="428"/>
        <v>0</v>
      </c>
    </row>
    <row r="1240" spans="1:27" ht="13.15" customHeight="1">
      <c r="A1240" s="239" t="s">
        <v>517</v>
      </c>
      <c r="B1240" s="204"/>
      <c r="C1240" s="204"/>
      <c r="D1240" s="204"/>
      <c r="E1240" s="267"/>
      <c r="F1240" s="267"/>
      <c r="G1240" s="206"/>
      <c r="H1240" s="202"/>
      <c r="I1240" s="202"/>
      <c r="K1240" s="239" t="s">
        <v>517</v>
      </c>
      <c r="L1240" s="239" t="e">
        <f t="shared" si="431"/>
        <v>#DIV/0!</v>
      </c>
      <c r="M1240" s="267" t="e">
        <f t="shared" si="432"/>
        <v>#DIV/0!</v>
      </c>
      <c r="N1240" s="267" t="e">
        <f t="shared" si="433"/>
        <v>#DIV/0!</v>
      </c>
      <c r="O1240" s="239" t="e">
        <f t="shared" si="430"/>
        <v>#DIV/0!</v>
      </c>
      <c r="P1240" s="267" t="e">
        <f t="shared" si="434"/>
        <v>#DIV/0!</v>
      </c>
      <c r="Q1240" s="267" t="e">
        <f t="shared" si="435"/>
        <v>#DIV/0!</v>
      </c>
      <c r="R1240" s="267" t="e">
        <f t="shared" si="436"/>
        <v>#DIV/0!</v>
      </c>
      <c r="S1240" s="267" t="e">
        <f t="shared" si="437"/>
        <v>#DIV/0!</v>
      </c>
      <c r="U1240" s="220"/>
      <c r="Z1240" s="214">
        <f t="shared" si="427"/>
        <v>0</v>
      </c>
      <c r="AA1240" s="214">
        <f t="shared" si="428"/>
        <v>0</v>
      </c>
    </row>
    <row r="1241" spans="1:27" ht="13.15" customHeight="1">
      <c r="A1241" s="239" t="s">
        <v>518</v>
      </c>
      <c r="B1241" s="216"/>
      <c r="C1241" s="216"/>
      <c r="D1241" s="216"/>
      <c r="E1241" s="385"/>
      <c r="F1241" s="385"/>
      <c r="G1241" s="386"/>
      <c r="H1241" s="215"/>
      <c r="I1241" s="202"/>
      <c r="K1241" s="239" t="s">
        <v>518</v>
      </c>
      <c r="L1241" s="239" t="e">
        <f t="shared" si="431"/>
        <v>#DIV/0!</v>
      </c>
      <c r="M1241" s="267" t="e">
        <f t="shared" si="432"/>
        <v>#DIV/0!</v>
      </c>
      <c r="N1241" s="267" t="e">
        <f t="shared" si="433"/>
        <v>#DIV/0!</v>
      </c>
      <c r="O1241" s="239" t="e">
        <f t="shared" si="430"/>
        <v>#DIV/0!</v>
      </c>
      <c r="P1241" s="267" t="e">
        <f t="shared" si="434"/>
        <v>#DIV/0!</v>
      </c>
      <c r="Q1241" s="267" t="e">
        <f t="shared" si="435"/>
        <v>#DIV/0!</v>
      </c>
      <c r="R1241" s="267" t="e">
        <f t="shared" si="436"/>
        <v>#DIV/0!</v>
      </c>
      <c r="S1241" s="267" t="e">
        <f t="shared" si="437"/>
        <v>#DIV/0!</v>
      </c>
      <c r="U1241" s="220"/>
      <c r="Z1241" s="214">
        <f t="shared" si="427"/>
        <v>0</v>
      </c>
      <c r="AA1241" s="214">
        <f t="shared" si="428"/>
        <v>0</v>
      </c>
    </row>
    <row r="1242" spans="1:27" ht="13.15" customHeight="1">
      <c r="A1242" s="239" t="s">
        <v>519</v>
      </c>
      <c r="B1242" s="204"/>
      <c r="C1242" s="204"/>
      <c r="D1242" s="204"/>
      <c r="E1242" s="387"/>
      <c r="F1242" s="272"/>
      <c r="G1242" s="206"/>
      <c r="H1242" s="202"/>
      <c r="I1242" s="202"/>
      <c r="K1242" s="239" t="s">
        <v>519</v>
      </c>
      <c r="L1242" s="239"/>
      <c r="M1242" s="267"/>
      <c r="N1242" s="267"/>
      <c r="O1242" s="239"/>
      <c r="P1242" s="267"/>
      <c r="Q1242" s="267"/>
      <c r="R1242" s="267"/>
      <c r="S1242" s="267"/>
      <c r="U1242" s="220"/>
      <c r="Z1242" s="214">
        <f t="shared" si="427"/>
        <v>0</v>
      </c>
      <c r="AA1242" s="214">
        <f t="shared" si="428"/>
        <v>0</v>
      </c>
    </row>
    <row r="1243" spans="1:27" ht="13.15" customHeight="1">
      <c r="A1243" s="282" t="s">
        <v>169</v>
      </c>
      <c r="B1243" s="360">
        <f t="shared" ref="B1243:I1243" si="438">SUM(B1222:B1242)</f>
        <v>0</v>
      </c>
      <c r="C1243" s="360">
        <f t="shared" si="438"/>
        <v>0</v>
      </c>
      <c r="D1243" s="360">
        <f t="shared" si="438"/>
        <v>0</v>
      </c>
      <c r="E1243" s="360">
        <f t="shared" si="438"/>
        <v>0</v>
      </c>
      <c r="F1243" s="360">
        <f t="shared" si="438"/>
        <v>0</v>
      </c>
      <c r="G1243" s="360">
        <f t="shared" si="438"/>
        <v>0</v>
      </c>
      <c r="H1243" s="360">
        <f t="shared" si="438"/>
        <v>0</v>
      </c>
      <c r="I1243" s="360">
        <f t="shared" si="438"/>
        <v>0</v>
      </c>
      <c r="K1243" s="328" t="s">
        <v>169</v>
      </c>
      <c r="L1243" s="282" t="e">
        <f>B1243/I1243</f>
        <v>#DIV/0!</v>
      </c>
      <c r="M1243" s="281" t="e">
        <f>D1243/I1243</f>
        <v>#DIV/0!</v>
      </c>
      <c r="N1243" s="281" t="e">
        <f>D1243/B1243</f>
        <v>#DIV/0!</v>
      </c>
      <c r="O1243" s="282" t="e">
        <f>(F1243*3.6+G1243)*100/H1243</f>
        <v>#DIV/0!</v>
      </c>
      <c r="P1243" s="282" t="e">
        <f>(E1243*3.6+G1243)*100/H1243</f>
        <v>#DIV/0!</v>
      </c>
      <c r="Q1243" s="281" t="e">
        <f>E1243/(B1243*8760)*1000</f>
        <v>#DIV/0!</v>
      </c>
      <c r="R1243" s="281" t="e">
        <f>G1243/(D1243*8761)*1000/3.6</f>
        <v>#DIV/0!</v>
      </c>
      <c r="S1243" s="281" t="e">
        <f>G1243/(E1243*3.6)</f>
        <v>#DIV/0!</v>
      </c>
      <c r="U1243" s="220"/>
      <c r="Z1243" s="214">
        <f t="shared" si="427"/>
        <v>0</v>
      </c>
      <c r="AA1243" s="214">
        <f t="shared" si="428"/>
        <v>0</v>
      </c>
    </row>
    <row r="1244" spans="1:27" ht="13.15" customHeight="1">
      <c r="U1244" s="220"/>
    </row>
    <row r="1245" spans="1:27" ht="13.15" customHeight="1">
      <c r="A1245" s="251" t="s">
        <v>520</v>
      </c>
      <c r="B1245" s="227" t="s">
        <v>476</v>
      </c>
      <c r="C1245" s="228"/>
      <c r="D1245" s="286"/>
      <c r="E1245" s="227" t="s">
        <v>521</v>
      </c>
      <c r="F1245" s="228"/>
      <c r="G1245" s="286"/>
      <c r="H1245" s="200" t="s">
        <v>138</v>
      </c>
      <c r="I1245" s="200" t="s">
        <v>478</v>
      </c>
      <c r="U1245" s="220"/>
    </row>
    <row r="1246" spans="1:27" ht="13.15" customHeight="1">
      <c r="A1246" s="239"/>
      <c r="B1246" s="243" t="s">
        <v>88</v>
      </c>
      <c r="C1246" s="243"/>
      <c r="D1246" s="241" t="s">
        <v>34</v>
      </c>
      <c r="E1246" s="243" t="s">
        <v>88</v>
      </c>
      <c r="F1246" s="243"/>
      <c r="G1246" s="241" t="s">
        <v>34</v>
      </c>
      <c r="H1246" s="241" t="s">
        <v>170</v>
      </c>
      <c r="I1246" s="241" t="s">
        <v>483</v>
      </c>
      <c r="U1246" s="220"/>
    </row>
    <row r="1247" spans="1:27" ht="13.15" customHeight="1">
      <c r="A1247" s="239"/>
      <c r="B1247" s="252" t="s">
        <v>0</v>
      </c>
      <c r="C1247" s="252" t="s">
        <v>489</v>
      </c>
      <c r="D1247" s="252" t="s">
        <v>490</v>
      </c>
      <c r="E1247" s="252" t="s">
        <v>491</v>
      </c>
      <c r="F1247" s="252" t="s">
        <v>489</v>
      </c>
      <c r="G1247" s="252" t="s">
        <v>490</v>
      </c>
      <c r="H1247" s="248"/>
      <c r="I1247" s="241" t="s">
        <v>492</v>
      </c>
      <c r="U1247" s="220"/>
    </row>
    <row r="1248" spans="1:27" ht="13.15" customHeight="1">
      <c r="A1248" s="239"/>
      <c r="B1248" s="257" t="s">
        <v>496</v>
      </c>
      <c r="C1248" s="256" t="s">
        <v>496</v>
      </c>
      <c r="D1248" s="252" t="s">
        <v>496</v>
      </c>
      <c r="E1248" s="329" t="s">
        <v>473</v>
      </c>
      <c r="F1248" s="329" t="s">
        <v>473</v>
      </c>
      <c r="G1248" s="252" t="s">
        <v>496</v>
      </c>
      <c r="H1248" s="257" t="s">
        <v>497</v>
      </c>
      <c r="I1248" s="257" t="s">
        <v>498</v>
      </c>
      <c r="U1248" s="220"/>
    </row>
    <row r="1249" spans="1:21" ht="13.15" customHeight="1">
      <c r="A1249" s="251" t="s">
        <v>522</v>
      </c>
      <c r="B1249" s="389"/>
      <c r="C1249" s="389"/>
      <c r="D1249" s="200"/>
      <c r="E1249" s="389"/>
      <c r="F1249" s="389"/>
      <c r="G1249" s="200"/>
      <c r="H1249" s="200"/>
      <c r="I1249" s="200"/>
      <c r="U1249" s="220"/>
    </row>
    <row r="1250" spans="1:21" ht="13.15" customHeight="1">
      <c r="A1250" s="239" t="s">
        <v>523</v>
      </c>
      <c r="B1250" s="216"/>
      <c r="C1250" s="204"/>
      <c r="D1250" s="204"/>
      <c r="E1250" s="216"/>
      <c r="F1250" s="204"/>
      <c r="G1250" s="204"/>
      <c r="H1250" s="202"/>
      <c r="I1250" s="216"/>
    </row>
    <row r="1251" spans="1:21" ht="13.15" customHeight="1">
      <c r="A1251" s="239" t="s">
        <v>524</v>
      </c>
      <c r="B1251" s="216"/>
      <c r="C1251" s="204"/>
      <c r="D1251" s="204"/>
      <c r="E1251" s="216"/>
      <c r="F1251" s="204"/>
      <c r="G1251" s="204"/>
      <c r="H1251" s="202"/>
      <c r="I1251" s="216"/>
    </row>
    <row r="1252" spans="1:21" ht="13.15" customHeight="1">
      <c r="A1252" s="239" t="s">
        <v>525</v>
      </c>
      <c r="B1252" s="216"/>
      <c r="C1252" s="204"/>
      <c r="D1252" s="204"/>
      <c r="E1252" s="216"/>
      <c r="F1252" s="204"/>
      <c r="G1252" s="204"/>
      <c r="H1252" s="202"/>
      <c r="I1252" s="216"/>
    </row>
    <row r="1253" spans="1:21" ht="13.15" customHeight="1">
      <c r="A1253" s="239" t="s">
        <v>267</v>
      </c>
      <c r="B1253" s="216"/>
      <c r="C1253" s="204"/>
      <c r="D1253" s="204"/>
      <c r="E1253" s="216"/>
      <c r="F1253" s="204"/>
      <c r="G1253" s="204"/>
      <c r="H1253" s="202"/>
      <c r="I1253" s="216"/>
    </row>
    <row r="1254" spans="1:21" ht="13.15" customHeight="1">
      <c r="A1254" s="312" t="s">
        <v>526</v>
      </c>
      <c r="B1254" s="391"/>
      <c r="C1254" s="391"/>
      <c r="D1254" s="205"/>
      <c r="E1254" s="391"/>
      <c r="F1254" s="391"/>
      <c r="G1254" s="205"/>
      <c r="H1254" s="205"/>
      <c r="I1254" s="391"/>
    </row>
    <row r="1255" spans="1:21" ht="13.15" customHeight="1">
      <c r="A1255" s="239" t="s">
        <v>527</v>
      </c>
      <c r="B1255" s="216"/>
      <c r="C1255" s="204"/>
      <c r="D1255" s="204"/>
      <c r="E1255" s="216"/>
      <c r="F1255" s="204"/>
      <c r="G1255" s="204"/>
      <c r="H1255" s="202"/>
      <c r="I1255" s="216"/>
    </row>
    <row r="1256" spans="1:21" ht="13.15" customHeight="1">
      <c r="A1256" s="239" t="s">
        <v>528</v>
      </c>
      <c r="B1256" s="204"/>
      <c r="C1256" s="204"/>
      <c r="D1256" s="204"/>
      <c r="E1256" s="204"/>
      <c r="F1256" s="204"/>
      <c r="G1256" s="204"/>
      <c r="H1256" s="202"/>
      <c r="I1256" s="204"/>
    </row>
    <row r="1257" spans="1:21" ht="13.15" customHeight="1">
      <c r="A1257" s="239" t="s">
        <v>529</v>
      </c>
      <c r="B1257" s="204"/>
      <c r="C1257" s="204"/>
      <c r="D1257" s="204"/>
      <c r="E1257" s="204"/>
      <c r="F1257" s="204"/>
      <c r="G1257" s="204"/>
      <c r="H1257" s="202"/>
      <c r="I1257" s="204"/>
    </row>
    <row r="1258" spans="1:21" ht="13.15" customHeight="1">
      <c r="A1258" s="239" t="s">
        <v>530</v>
      </c>
      <c r="B1258" s="204"/>
      <c r="C1258" s="204"/>
      <c r="D1258" s="204"/>
      <c r="E1258" s="204"/>
      <c r="F1258" s="204"/>
      <c r="G1258" s="204"/>
      <c r="H1258" s="202"/>
      <c r="I1258" s="204"/>
    </row>
    <row r="1259" spans="1:21" ht="13.15" customHeight="1">
      <c r="A1259" s="282" t="s">
        <v>169</v>
      </c>
      <c r="B1259" s="360">
        <f t="shared" ref="B1259:I1259" si="439">SUM(B1249:B1258)</f>
        <v>0</v>
      </c>
      <c r="C1259" s="360">
        <f t="shared" si="439"/>
        <v>0</v>
      </c>
      <c r="D1259" s="360">
        <f t="shared" si="439"/>
        <v>0</v>
      </c>
      <c r="E1259" s="360">
        <f t="shared" si="439"/>
        <v>0</v>
      </c>
      <c r="F1259" s="360">
        <f t="shared" si="439"/>
        <v>0</v>
      </c>
      <c r="G1259" s="360">
        <f t="shared" si="439"/>
        <v>0</v>
      </c>
      <c r="H1259" s="360">
        <f t="shared" si="439"/>
        <v>0</v>
      </c>
      <c r="I1259" s="360">
        <f t="shared" si="439"/>
        <v>0</v>
      </c>
    </row>
    <row r="1262" spans="1:21">
      <c r="B1262" s="220"/>
      <c r="C1262" s="220"/>
      <c r="D1262" s="220"/>
      <c r="E1262" s="220"/>
      <c r="F1262" s="220"/>
      <c r="G1262" s="220"/>
      <c r="H1262" s="220"/>
      <c r="I1262" s="220"/>
    </row>
    <row r="1263" spans="1:21">
      <c r="A1263" s="221" t="s">
        <v>181</v>
      </c>
      <c r="D1263" s="220"/>
      <c r="I1263" s="221">
        <v>2002</v>
      </c>
      <c r="K1263" s="221" t="str">
        <f>+A1263</f>
        <v>Bulgaria</v>
      </c>
      <c r="M1263" s="220"/>
      <c r="S1263" s="221">
        <v>2002</v>
      </c>
    </row>
    <row r="1264" spans="1:21" ht="13.5" thickBot="1">
      <c r="A1264" s="223"/>
      <c r="B1264" s="223"/>
      <c r="C1264" s="223"/>
      <c r="D1264" s="223"/>
    </row>
    <row r="1265" spans="1:27">
      <c r="A1265" s="224" t="s">
        <v>475</v>
      </c>
      <c r="B1265" s="225" t="s">
        <v>476</v>
      </c>
      <c r="C1265" s="225"/>
      <c r="D1265" s="226"/>
      <c r="E1265" s="227" t="s">
        <v>477</v>
      </c>
      <c r="F1265" s="228"/>
      <c r="G1265" s="229"/>
      <c r="H1265" s="200" t="s">
        <v>138</v>
      </c>
      <c r="I1265" s="200" t="s">
        <v>478</v>
      </c>
      <c r="J1265" s="230"/>
      <c r="K1265" s="231" t="s">
        <v>475</v>
      </c>
      <c r="L1265" s="232" t="s">
        <v>479</v>
      </c>
      <c r="M1265" s="233"/>
      <c r="N1265" s="234"/>
      <c r="O1265" s="235" t="s">
        <v>480</v>
      </c>
      <c r="P1265" s="233"/>
      <c r="Q1265" s="233"/>
      <c r="R1265" s="236"/>
      <c r="S1265" s="237"/>
    </row>
    <row r="1266" spans="1:27">
      <c r="A1266" s="239"/>
      <c r="B1266" s="240" t="s">
        <v>481</v>
      </c>
      <c r="C1266" s="240"/>
      <c r="D1266" s="241" t="s">
        <v>34</v>
      </c>
      <c r="E1266" s="242" t="s">
        <v>482</v>
      </c>
      <c r="F1266" s="243"/>
      <c r="G1266" s="244" t="s">
        <v>34</v>
      </c>
      <c r="H1266" s="241" t="s">
        <v>170</v>
      </c>
      <c r="I1266" s="241" t="s">
        <v>483</v>
      </c>
      <c r="J1266" s="230"/>
      <c r="K1266" s="245"/>
      <c r="L1266" s="246" t="s">
        <v>484</v>
      </c>
      <c r="M1266" s="247"/>
      <c r="N1266" s="248" t="s">
        <v>485</v>
      </c>
      <c r="O1266" s="248" t="s">
        <v>486</v>
      </c>
      <c r="P1266" s="248" t="s">
        <v>486</v>
      </c>
      <c r="Q1266" s="247" t="s">
        <v>487</v>
      </c>
      <c r="R1266" s="249"/>
      <c r="S1266" s="250" t="s">
        <v>485</v>
      </c>
      <c r="U1266" s="214" t="str">
        <f>A1263</f>
        <v>Bulgaria</v>
      </c>
    </row>
    <row r="1267" spans="1:27">
      <c r="A1267" s="251" t="s">
        <v>488</v>
      </c>
      <c r="B1267" s="252" t="s">
        <v>0</v>
      </c>
      <c r="C1267" s="252" t="s">
        <v>489</v>
      </c>
      <c r="D1267" s="252" t="s">
        <v>490</v>
      </c>
      <c r="E1267" s="252" t="s">
        <v>491</v>
      </c>
      <c r="F1267" s="252" t="s">
        <v>489</v>
      </c>
      <c r="G1267" s="230" t="s">
        <v>490</v>
      </c>
      <c r="H1267" s="248"/>
      <c r="I1267" s="241" t="s">
        <v>492</v>
      </c>
      <c r="J1267" s="230"/>
      <c r="K1267" s="253" t="s">
        <v>488</v>
      </c>
      <c r="L1267" s="254" t="s">
        <v>88</v>
      </c>
      <c r="M1267" s="252" t="s">
        <v>34</v>
      </c>
      <c r="N1267" s="252" t="s">
        <v>493</v>
      </c>
      <c r="O1267" s="248" t="s">
        <v>494</v>
      </c>
      <c r="P1267" s="248" t="s">
        <v>495</v>
      </c>
      <c r="Q1267" s="230" t="s">
        <v>88</v>
      </c>
      <c r="R1267" s="248" t="s">
        <v>34</v>
      </c>
      <c r="S1267" s="255" t="s">
        <v>88</v>
      </c>
      <c r="U1267" s="214" t="s">
        <v>547</v>
      </c>
      <c r="V1267" s="214">
        <f>G1295/1000</f>
        <v>15.607591199999998</v>
      </c>
    </row>
    <row r="1268" spans="1:27">
      <c r="A1268" s="239"/>
      <c r="B1268" s="252" t="s">
        <v>496</v>
      </c>
      <c r="C1268" s="252" t="s">
        <v>496</v>
      </c>
      <c r="D1268" s="252" t="s">
        <v>496</v>
      </c>
      <c r="E1268" s="256" t="s">
        <v>473</v>
      </c>
      <c r="F1268" s="256" t="s">
        <v>473</v>
      </c>
      <c r="G1268" s="230" t="s">
        <v>451</v>
      </c>
      <c r="H1268" s="257" t="s">
        <v>497</v>
      </c>
      <c r="I1268" s="257" t="s">
        <v>498</v>
      </c>
      <c r="J1268" s="230"/>
      <c r="K1268" s="245"/>
      <c r="L1268" s="258" t="s">
        <v>496</v>
      </c>
      <c r="M1268" s="256" t="s">
        <v>496</v>
      </c>
      <c r="N1268" s="256"/>
      <c r="O1268" s="257" t="s">
        <v>79</v>
      </c>
      <c r="P1268" s="257" t="s">
        <v>79</v>
      </c>
      <c r="Q1268" s="259"/>
      <c r="R1268" s="257"/>
      <c r="S1268" s="260"/>
      <c r="U1268" s="214" t="s">
        <v>548</v>
      </c>
      <c r="V1268" s="214">
        <f>G1301/1000</f>
        <v>4.9249907999999998</v>
      </c>
    </row>
    <row r="1269" spans="1:27">
      <c r="A1269" s="261" t="s">
        <v>262</v>
      </c>
      <c r="B1269" s="365"/>
      <c r="C1269" s="460"/>
      <c r="D1269" s="365"/>
      <c r="E1269" s="320"/>
      <c r="F1269" s="461"/>
      <c r="G1269" s="368"/>
      <c r="H1269" s="369"/>
      <c r="I1269" s="320"/>
      <c r="J1269" s="230"/>
      <c r="K1269" s="265" t="s">
        <v>262</v>
      </c>
      <c r="L1269" s="266" t="e">
        <f>C1269/I1269</f>
        <v>#DIV/0!</v>
      </c>
      <c r="M1269" s="267" t="e">
        <f>D1269/I1269</f>
        <v>#DIV/0!</v>
      </c>
      <c r="N1269" s="267" t="e">
        <f>D1269/C1269</f>
        <v>#DIV/0!</v>
      </c>
      <c r="O1269" s="239" t="e">
        <f>(F1269*3.6+G1269)*100/H1269</f>
        <v>#DIV/0!</v>
      </c>
      <c r="P1269" s="239" t="e">
        <f>(F1269*3.6+G1269)*100/H1269</f>
        <v>#DIV/0!</v>
      </c>
      <c r="Q1269" s="267" t="e">
        <f>F1269/(C1269*8760)*1000</f>
        <v>#DIV/0!</v>
      </c>
      <c r="R1269" s="267" t="e">
        <f>G1269/(D1269*8761)*1000/3.6</f>
        <v>#DIV/0!</v>
      </c>
      <c r="S1269" s="268" t="e">
        <f>G1269/(F1269*3.6)</f>
        <v>#DIV/0!</v>
      </c>
      <c r="U1269" s="214" t="s">
        <v>549</v>
      </c>
      <c r="V1269" s="214">
        <f>G1303/1000</f>
        <v>7.8251328000000004</v>
      </c>
      <c r="Z1269" s="214">
        <f t="shared" ref="Z1269:Z1274" si="440">C1269-B1269</f>
        <v>0</v>
      </c>
      <c r="AA1269" s="214">
        <f t="shared" ref="AA1269:AA1274" si="441">F1269-E1269</f>
        <v>0</v>
      </c>
    </row>
    <row r="1270" spans="1:27">
      <c r="A1270" s="239" t="s">
        <v>263</v>
      </c>
      <c r="B1270" s="320">
        <v>301</v>
      </c>
      <c r="C1270" s="462">
        <v>301</v>
      </c>
      <c r="D1270" s="320">
        <v>1346</v>
      </c>
      <c r="E1270" s="320">
        <v>961</v>
      </c>
      <c r="F1270" s="462">
        <v>961</v>
      </c>
      <c r="G1270" s="321">
        <v>20984</v>
      </c>
      <c r="H1270" s="319">
        <v>30358</v>
      </c>
      <c r="I1270" s="320">
        <v>19</v>
      </c>
      <c r="J1270" s="230"/>
      <c r="K1270" s="245" t="s">
        <v>263</v>
      </c>
      <c r="L1270" s="266">
        <f>C1270/I1270</f>
        <v>15.842105263157896</v>
      </c>
      <c r="M1270" s="267">
        <f>D1270/I1270</f>
        <v>70.84210526315789</v>
      </c>
      <c r="N1270" s="267">
        <f>D1270/C1270</f>
        <v>4.4717607973421929</v>
      </c>
      <c r="O1270" s="239">
        <f>(F1270*3.6+G1270)*100/H1270</f>
        <v>80.51782067329863</v>
      </c>
      <c r="P1270" s="239">
        <f>(F1270*3.6+G1270)*100/H1270</f>
        <v>80.51782067329863</v>
      </c>
      <c r="Q1270" s="267">
        <f>F1270/(C1270*8760)*1000</f>
        <v>0.36446244633565439</v>
      </c>
      <c r="R1270" s="267">
        <f>G1270/(D1270*8761)*1000/3.6</f>
        <v>0.49429593235529068</v>
      </c>
      <c r="S1270" s="268">
        <f>G1270/(F1270*3.6)</f>
        <v>6.0654410914556598</v>
      </c>
      <c r="U1270" s="214" t="s">
        <v>550</v>
      </c>
      <c r="V1270" s="214">
        <f>G1308/1000</f>
        <v>2.2635900000000002</v>
      </c>
      <c r="Z1270" s="214">
        <f t="shared" si="440"/>
        <v>0</v>
      </c>
      <c r="AA1270" s="214">
        <f t="shared" si="441"/>
        <v>0</v>
      </c>
    </row>
    <row r="1271" spans="1:27">
      <c r="A1271" s="239" t="s">
        <v>264</v>
      </c>
      <c r="B1271" s="320">
        <v>50</v>
      </c>
      <c r="C1271" s="462">
        <v>50</v>
      </c>
      <c r="D1271" s="320">
        <v>122</v>
      </c>
      <c r="E1271" s="320">
        <v>50</v>
      </c>
      <c r="F1271" s="462">
        <v>50</v>
      </c>
      <c r="G1271" s="321">
        <v>501</v>
      </c>
      <c r="H1271" s="319">
        <v>803</v>
      </c>
      <c r="I1271" s="320">
        <v>1</v>
      </c>
      <c r="J1271" s="230"/>
      <c r="K1271" s="245" t="s">
        <v>499</v>
      </c>
      <c r="L1271" s="266">
        <f>C1271/I1271</f>
        <v>50</v>
      </c>
      <c r="M1271" s="267">
        <f>D1271/I1271</f>
        <v>122</v>
      </c>
      <c r="N1271" s="267">
        <f>D1271/C1271</f>
        <v>2.44</v>
      </c>
      <c r="O1271" s="239">
        <f>(F1271*3.6+G1271)*100/H1271</f>
        <v>84.806973848069745</v>
      </c>
      <c r="P1271" s="239">
        <f>(F1271*3.6+G1271)*100/H1271</f>
        <v>84.806973848069745</v>
      </c>
      <c r="Q1271" s="267">
        <f>F1271/(C1271*8760)*1000</f>
        <v>0.11415525114155251</v>
      </c>
      <c r="R1271" s="267">
        <f>G1271/(D1271*8761)*1000/3.6</f>
        <v>0.13020321681470851</v>
      </c>
      <c r="S1271" s="268">
        <f>G1271/(F1271*3.6)</f>
        <v>2.7833333333333332</v>
      </c>
      <c r="U1271" s="214" t="s">
        <v>551</v>
      </c>
      <c r="V1271" s="214">
        <f>G1299/1000</f>
        <v>0</v>
      </c>
      <c r="Z1271" s="214">
        <f t="shared" si="440"/>
        <v>0</v>
      </c>
      <c r="AA1271" s="214">
        <f t="shared" si="441"/>
        <v>0</v>
      </c>
    </row>
    <row r="1272" spans="1:27">
      <c r="A1272" s="239" t="s">
        <v>265</v>
      </c>
      <c r="B1272" s="320"/>
      <c r="C1272" s="462"/>
      <c r="D1272" s="320"/>
      <c r="E1272" s="320"/>
      <c r="F1272" s="462"/>
      <c r="G1272" s="321"/>
      <c r="H1272" s="319"/>
      <c r="I1272" s="320"/>
      <c r="J1272" s="230"/>
      <c r="K1272" s="245" t="s">
        <v>265</v>
      </c>
      <c r="L1272" s="266" t="e">
        <f>C1272/I1272</f>
        <v>#DIV/0!</v>
      </c>
      <c r="M1272" s="267" t="e">
        <f>D1272/I1272</f>
        <v>#DIV/0!</v>
      </c>
      <c r="N1272" s="267" t="e">
        <f>D1272/C1272</f>
        <v>#DIV/0!</v>
      </c>
      <c r="O1272" s="239" t="e">
        <f>(F1272*3.6+G1272)*100/H1272</f>
        <v>#DIV/0!</v>
      </c>
      <c r="P1272" s="239" t="e">
        <f>(F1272*3.6+G1272)*100/H1272</f>
        <v>#DIV/0!</v>
      </c>
      <c r="Q1272" s="267" t="e">
        <f>F1272/(C1272*8760)*1000</f>
        <v>#DIV/0!</v>
      </c>
      <c r="R1272" s="267" t="e">
        <f>G1272/(D1272*8761)*1000/3.6</f>
        <v>#DIV/0!</v>
      </c>
      <c r="S1272" s="268" t="e">
        <f>G1272/(F1272*3.6)</f>
        <v>#DIV/0!</v>
      </c>
      <c r="U1272" s="214" t="s">
        <v>552</v>
      </c>
      <c r="V1272" s="214">
        <f>(G1296+G1297+G1298+G1300+G1302+G1304+G1305+G1306+G1307+G1309+G1310+G1311+G1312+G1313)/1000</f>
        <v>0.59387760000000001</v>
      </c>
      <c r="Z1272" s="214">
        <f t="shared" si="440"/>
        <v>0</v>
      </c>
      <c r="AA1272" s="214">
        <f t="shared" si="441"/>
        <v>0</v>
      </c>
    </row>
    <row r="1273" spans="1:27">
      <c r="A1273" s="239" t="s">
        <v>266</v>
      </c>
      <c r="B1273" s="320"/>
      <c r="C1273" s="462"/>
      <c r="D1273" s="320"/>
      <c r="E1273" s="320"/>
      <c r="F1273" s="462"/>
      <c r="G1273" s="321"/>
      <c r="H1273" s="319"/>
      <c r="I1273" s="320"/>
      <c r="J1273" s="230"/>
      <c r="K1273" s="245" t="s">
        <v>266</v>
      </c>
      <c r="L1273" s="266" t="e">
        <f>C1273/I1273</f>
        <v>#DIV/0!</v>
      </c>
      <c r="M1273" s="267" t="e">
        <f>D1273/I1273</f>
        <v>#DIV/0!</v>
      </c>
      <c r="N1273" s="267" t="e">
        <f>D1273/C1273</f>
        <v>#DIV/0!</v>
      </c>
      <c r="O1273" s="239" t="e">
        <f>(F1273*3.6+G1273)*100/H1273</f>
        <v>#DIV/0!</v>
      </c>
      <c r="P1273" s="239" t="e">
        <f>(F1273*3.6+G1273)*100/H1273</f>
        <v>#DIV/0!</v>
      </c>
      <c r="Q1273" s="267" t="e">
        <f>F1273/(C1273*8760)*1000</f>
        <v>#DIV/0!</v>
      </c>
      <c r="R1273" s="267" t="e">
        <f>G1273/(D1273*8761)*1000/3.6</f>
        <v>#DIV/0!</v>
      </c>
      <c r="S1273" s="268" t="e">
        <f>G1273/(F1273*3.6)</f>
        <v>#DIV/0!</v>
      </c>
      <c r="Z1273" s="214">
        <f t="shared" si="440"/>
        <v>0</v>
      </c>
      <c r="AA1273" s="214">
        <f t="shared" si="441"/>
        <v>0</v>
      </c>
    </row>
    <row r="1274" spans="1:27">
      <c r="A1274" s="272" t="s">
        <v>267</v>
      </c>
      <c r="B1274" s="395"/>
      <c r="C1274" s="463"/>
      <c r="D1274" s="395"/>
      <c r="E1274" s="395"/>
      <c r="F1274" s="463"/>
      <c r="G1274" s="395"/>
      <c r="H1274" s="395"/>
      <c r="I1274" s="395"/>
      <c r="J1274" s="230"/>
      <c r="K1274" s="245" t="s">
        <v>267</v>
      </c>
      <c r="L1274" s="266"/>
      <c r="M1274" s="267"/>
      <c r="N1274" s="267"/>
      <c r="O1274" s="239"/>
      <c r="P1274" s="272"/>
      <c r="Q1274" s="272"/>
      <c r="R1274" s="274"/>
      <c r="S1274" s="275"/>
      <c r="U1274" s="214" t="s">
        <v>553</v>
      </c>
      <c r="V1274" s="214">
        <f>H1295/1000</f>
        <v>31.919086304647998</v>
      </c>
      <c r="Z1274" s="214">
        <f t="shared" si="440"/>
        <v>0</v>
      </c>
      <c r="AA1274" s="214">
        <f t="shared" si="441"/>
        <v>0</v>
      </c>
    </row>
    <row r="1275" spans="1:27">
      <c r="A1275" s="276" t="s">
        <v>500</v>
      </c>
      <c r="B1275" s="277">
        <f t="shared" ref="B1275:I1275" si="442">SUM(B1269:B1274)</f>
        <v>351</v>
      </c>
      <c r="C1275" s="464">
        <f t="shared" si="442"/>
        <v>351</v>
      </c>
      <c r="D1275" s="277">
        <f t="shared" si="442"/>
        <v>1468</v>
      </c>
      <c r="E1275" s="277">
        <f t="shared" si="442"/>
        <v>1011</v>
      </c>
      <c r="F1275" s="464">
        <f t="shared" si="442"/>
        <v>1011</v>
      </c>
      <c r="G1275" s="277">
        <f t="shared" si="442"/>
        <v>21485</v>
      </c>
      <c r="H1275" s="277">
        <f t="shared" si="442"/>
        <v>31161</v>
      </c>
      <c r="I1275" s="278">
        <f t="shared" si="442"/>
        <v>20</v>
      </c>
      <c r="J1275" s="244"/>
      <c r="K1275" s="279" t="s">
        <v>169</v>
      </c>
      <c r="L1275" s="280">
        <f>C1275/I1275</f>
        <v>17.55</v>
      </c>
      <c r="M1275" s="281">
        <f>D1275/I1275</f>
        <v>73.400000000000006</v>
      </c>
      <c r="N1275" s="281">
        <f>D1275/C1275</f>
        <v>4.182336182336182</v>
      </c>
      <c r="O1275" s="282">
        <f>(F1275*3.6+G1275)*100/H1275</f>
        <v>80.628349539488468</v>
      </c>
      <c r="P1275" s="282">
        <f>(F1275*3.6+G1275)*100/H1275</f>
        <v>80.628349539488468</v>
      </c>
      <c r="Q1275" s="283">
        <f>F1275/(C1275*8760)*1000</f>
        <v>0.32880615072395891</v>
      </c>
      <c r="R1275" s="283">
        <f>G1275/(D1275*8761)*1000/3.6</f>
        <v>0.46403754591390711</v>
      </c>
      <c r="S1275" s="284">
        <f>G1275/(F1275*3.6)</f>
        <v>5.9031212221123202</v>
      </c>
      <c r="U1275" s="214" t="s">
        <v>554</v>
      </c>
      <c r="V1275" s="214">
        <f>H1301/1000</f>
        <v>8.3709601810000009</v>
      </c>
    </row>
    <row r="1276" spans="1:27">
      <c r="A1276" s="285" t="s">
        <v>501</v>
      </c>
      <c r="B1276" s="228" t="s">
        <v>476</v>
      </c>
      <c r="C1276" s="228"/>
      <c r="D1276" s="286"/>
      <c r="E1276" s="227" t="s">
        <v>477</v>
      </c>
      <c r="F1276" s="228"/>
      <c r="G1276" s="229"/>
      <c r="H1276" s="200" t="s">
        <v>138</v>
      </c>
      <c r="I1276" s="200" t="s">
        <v>478</v>
      </c>
      <c r="J1276" s="244"/>
      <c r="K1276" s="287" t="s">
        <v>501</v>
      </c>
      <c r="L1276" s="288" t="s">
        <v>479</v>
      </c>
      <c r="M1276" s="228"/>
      <c r="N1276" s="286"/>
      <c r="O1276" s="227" t="s">
        <v>480</v>
      </c>
      <c r="P1276" s="228"/>
      <c r="Q1276" s="228"/>
      <c r="R1276" s="229"/>
      <c r="S1276" s="289"/>
      <c r="U1276" s="214" t="s">
        <v>555</v>
      </c>
      <c r="V1276" s="214">
        <f>H1303/1000</f>
        <v>15.975161313999999</v>
      </c>
    </row>
    <row r="1277" spans="1:27">
      <c r="A1277" s="239"/>
      <c r="B1277" s="240" t="s">
        <v>481</v>
      </c>
      <c r="C1277" s="240"/>
      <c r="D1277" s="241" t="s">
        <v>34</v>
      </c>
      <c r="E1277" s="242" t="s">
        <v>482</v>
      </c>
      <c r="F1277" s="243"/>
      <c r="G1277" s="244" t="s">
        <v>34</v>
      </c>
      <c r="H1277" s="241" t="s">
        <v>170</v>
      </c>
      <c r="I1277" s="241" t="s">
        <v>483</v>
      </c>
      <c r="J1277" s="244"/>
      <c r="K1277" s="245"/>
      <c r="L1277" s="246" t="s">
        <v>484</v>
      </c>
      <c r="M1277" s="247"/>
      <c r="N1277" s="248" t="s">
        <v>485</v>
      </c>
      <c r="O1277" s="248" t="s">
        <v>486</v>
      </c>
      <c r="P1277" s="248" t="s">
        <v>486</v>
      </c>
      <c r="Q1277" s="247" t="s">
        <v>487</v>
      </c>
      <c r="R1277" s="249"/>
      <c r="S1277" s="250" t="s">
        <v>485</v>
      </c>
      <c r="U1277" s="214" t="s">
        <v>556</v>
      </c>
      <c r="V1277" s="214">
        <f>H1308/1000</f>
        <v>6.6064917428800012</v>
      </c>
    </row>
    <row r="1278" spans="1:27">
      <c r="A1278" s="251" t="s">
        <v>488</v>
      </c>
      <c r="B1278" s="252" t="s">
        <v>0</v>
      </c>
      <c r="C1278" s="252" t="s">
        <v>489</v>
      </c>
      <c r="D1278" s="252" t="s">
        <v>490</v>
      </c>
      <c r="E1278" s="252" t="s">
        <v>491</v>
      </c>
      <c r="F1278" s="252" t="s">
        <v>489</v>
      </c>
      <c r="G1278" s="230" t="s">
        <v>490</v>
      </c>
      <c r="H1278" s="248"/>
      <c r="I1278" s="241" t="s">
        <v>492</v>
      </c>
      <c r="J1278" s="244"/>
      <c r="K1278" s="253" t="s">
        <v>488</v>
      </c>
      <c r="L1278" s="254" t="s">
        <v>88</v>
      </c>
      <c r="M1278" s="252" t="s">
        <v>34</v>
      </c>
      <c r="N1278" s="252" t="s">
        <v>493</v>
      </c>
      <c r="O1278" s="248" t="s">
        <v>494</v>
      </c>
      <c r="P1278" s="248" t="s">
        <v>495</v>
      </c>
      <c r="Q1278" s="230" t="s">
        <v>88</v>
      </c>
      <c r="R1278" s="248" t="s">
        <v>34</v>
      </c>
      <c r="S1278" s="255" t="s">
        <v>88</v>
      </c>
      <c r="U1278" s="214" t="s">
        <v>557</v>
      </c>
      <c r="V1278" s="214">
        <f>H1299/1000</f>
        <v>0</v>
      </c>
    </row>
    <row r="1279" spans="1:27">
      <c r="A1279" s="239"/>
      <c r="B1279" s="252" t="s">
        <v>496</v>
      </c>
      <c r="C1279" s="252" t="s">
        <v>496</v>
      </c>
      <c r="D1279" s="252" t="s">
        <v>496</v>
      </c>
      <c r="E1279" s="256" t="s">
        <v>473</v>
      </c>
      <c r="F1279" s="256" t="s">
        <v>473</v>
      </c>
      <c r="G1279" s="230" t="s">
        <v>451</v>
      </c>
      <c r="H1279" s="257" t="s">
        <v>497</v>
      </c>
      <c r="I1279" s="257" t="s">
        <v>498</v>
      </c>
      <c r="J1279" s="244"/>
      <c r="K1279" s="245"/>
      <c r="L1279" s="258" t="s">
        <v>496</v>
      </c>
      <c r="M1279" s="256" t="s">
        <v>496</v>
      </c>
      <c r="N1279" s="256"/>
      <c r="O1279" s="257" t="s">
        <v>79</v>
      </c>
      <c r="P1279" s="257" t="s">
        <v>79</v>
      </c>
      <c r="Q1279" s="259"/>
      <c r="R1279" s="257"/>
      <c r="S1279" s="260"/>
      <c r="U1279" s="214" t="s">
        <v>558</v>
      </c>
      <c r="V1279" s="214">
        <f>(H1296+H1297+H1298+H1300+H1302+H1304+H1305+H1306+H1307+H1309+H1310+H1311+H1312+H1313)/1000</f>
        <v>0.96647306676799993</v>
      </c>
    </row>
    <row r="1280" spans="1:27">
      <c r="A1280" s="261" t="s">
        <v>262</v>
      </c>
      <c r="B1280" s="365"/>
      <c r="C1280" s="365"/>
      <c r="D1280" s="365"/>
      <c r="E1280" s="320"/>
      <c r="F1280" s="319"/>
      <c r="G1280" s="368"/>
      <c r="H1280" s="369"/>
      <c r="I1280" s="319"/>
      <c r="J1280" s="244"/>
      <c r="K1280" s="265" t="s">
        <v>262</v>
      </c>
      <c r="L1280" s="266" t="e">
        <f>B1280/I1280</f>
        <v>#DIV/0!</v>
      </c>
      <c r="M1280" s="267" t="e">
        <f>D1280/I1280</f>
        <v>#DIV/0!</v>
      </c>
      <c r="N1280" s="267" t="e">
        <f>D1280/B1280</f>
        <v>#DIV/0!</v>
      </c>
      <c r="O1280" s="239" t="e">
        <f>(F1280*3.6+G1280)*100/H1280</f>
        <v>#DIV/0!</v>
      </c>
      <c r="P1280" s="267" t="e">
        <f>(E1280*3.6+G1280)*100/H1280</f>
        <v>#DIV/0!</v>
      </c>
      <c r="Q1280" s="267" t="e">
        <f>E1280/(B1280*8760)*1000</f>
        <v>#DIV/0!</v>
      </c>
      <c r="R1280" s="267" t="e">
        <f>G1280/(D1280*8761)*1000/3.6</f>
        <v>#DIV/0!</v>
      </c>
      <c r="S1280" s="268" t="e">
        <f>G1280/(E1280*3.6)</f>
        <v>#DIV/0!</v>
      </c>
      <c r="Z1280" s="214">
        <f t="shared" ref="Z1280:Z1287" si="443">C1280-B1280</f>
        <v>0</v>
      </c>
      <c r="AA1280" s="214">
        <f t="shared" ref="AA1280:AA1287" si="444">F1280-E1280</f>
        <v>0</v>
      </c>
    </row>
    <row r="1281" spans="1:27">
      <c r="A1281" s="290" t="s">
        <v>263</v>
      </c>
      <c r="B1281" s="465">
        <v>80</v>
      </c>
      <c r="C1281" s="465">
        <v>143</v>
      </c>
      <c r="D1281" s="465">
        <v>448</v>
      </c>
      <c r="E1281" s="465">
        <v>443</v>
      </c>
      <c r="F1281" s="465">
        <v>464</v>
      </c>
      <c r="G1281" s="465">
        <v>8333</v>
      </c>
      <c r="H1281" s="465">
        <v>15810</v>
      </c>
      <c r="I1281" s="466">
        <v>5</v>
      </c>
      <c r="J1281" s="244"/>
      <c r="K1281" s="245" t="s">
        <v>263</v>
      </c>
      <c r="L1281" s="266">
        <f>B1281/I1281</f>
        <v>16</v>
      </c>
      <c r="M1281" s="267">
        <f>D1281/I1281</f>
        <v>89.6</v>
      </c>
      <c r="N1281" s="267">
        <f>D1281/B1281</f>
        <v>5.6</v>
      </c>
      <c r="O1281" s="239">
        <f>(F1281*3.6+G1281)*100/H1281</f>
        <v>63.272612270714738</v>
      </c>
      <c r="P1281" s="267">
        <f>(E1281*3.6+G1281)*100/H1281</f>
        <v>62.79443390259329</v>
      </c>
      <c r="Q1281" s="267">
        <f>E1281/(B1281*8760)*1000</f>
        <v>0.63213470319634701</v>
      </c>
      <c r="R1281" s="267">
        <f>G1281/(D1281*8761)*1000/3.6</f>
        <v>0.58974896411404798</v>
      </c>
      <c r="S1281" s="268">
        <f>G1281/(E1281*3.6)</f>
        <v>5.2251065964384251</v>
      </c>
      <c r="U1281" s="239" t="s">
        <v>152</v>
      </c>
      <c r="V1281" s="492">
        <f>B1296/1000</f>
        <v>0</v>
      </c>
      <c r="Z1281" s="214">
        <f t="shared" si="443"/>
        <v>63</v>
      </c>
      <c r="AA1281" s="214">
        <f t="shared" si="444"/>
        <v>21</v>
      </c>
    </row>
    <row r="1282" spans="1:27">
      <c r="A1282" s="290" t="s">
        <v>264</v>
      </c>
      <c r="B1282" s="465">
        <v>795</v>
      </c>
      <c r="C1282" s="465">
        <v>1094</v>
      </c>
      <c r="D1282" s="465">
        <v>2588</v>
      </c>
      <c r="E1282" s="465">
        <v>1714</v>
      </c>
      <c r="F1282" s="465">
        <v>3559</v>
      </c>
      <c r="G1282" s="465">
        <v>17757</v>
      </c>
      <c r="H1282" s="465">
        <v>56995</v>
      </c>
      <c r="I1282" s="466">
        <v>28</v>
      </c>
      <c r="J1282" s="244"/>
      <c r="K1282" s="245" t="s">
        <v>499</v>
      </c>
      <c r="L1282" s="266">
        <f>B1282/I1282</f>
        <v>28.392857142857142</v>
      </c>
      <c r="M1282" s="267">
        <f>D1282/I1282</f>
        <v>92.428571428571431</v>
      </c>
      <c r="N1282" s="267">
        <f>D1282/B1282</f>
        <v>3.2553459119496857</v>
      </c>
      <c r="O1282" s="239">
        <f>(F1282*3.6+G1282)*100/H1282</f>
        <v>53.635231160628123</v>
      </c>
      <c r="P1282" s="267">
        <f>(E1282*3.6+G1282)*100/H1282</f>
        <v>41.981577331344852</v>
      </c>
      <c r="Q1282" s="267">
        <f>E1282/(B1282*8760)*1000</f>
        <v>0.24611584963096983</v>
      </c>
      <c r="R1282" s="267">
        <f>G1282/(D1282*8761)*1000/3.6</f>
        <v>0.21754501781553665</v>
      </c>
      <c r="S1282" s="268">
        <f>G1282/(E1282*3.6)</f>
        <v>2.8777712952158692</v>
      </c>
      <c r="U1282" s="239" t="s">
        <v>504</v>
      </c>
      <c r="V1282" s="492">
        <f t="shared" ref="V1282:V1298" si="445">B1297/1000</f>
        <v>0</v>
      </c>
      <c r="Z1282" s="214">
        <f t="shared" si="443"/>
        <v>299</v>
      </c>
      <c r="AA1282" s="214">
        <f t="shared" si="444"/>
        <v>1845</v>
      </c>
    </row>
    <row r="1283" spans="1:27">
      <c r="A1283" s="239" t="s">
        <v>265</v>
      </c>
      <c r="B1283" s="320"/>
      <c r="C1283" s="320"/>
      <c r="D1283" s="320"/>
      <c r="E1283" s="320"/>
      <c r="F1283" s="319"/>
      <c r="G1283" s="321"/>
      <c r="H1283" s="319"/>
      <c r="I1283" s="319"/>
      <c r="J1283" s="244"/>
      <c r="K1283" s="245" t="s">
        <v>265</v>
      </c>
      <c r="L1283" s="266" t="e">
        <f>B1283/I1283</f>
        <v>#DIV/0!</v>
      </c>
      <c r="M1283" s="267" t="e">
        <f>D1283/I1283</f>
        <v>#DIV/0!</v>
      </c>
      <c r="N1283" s="267" t="e">
        <f>D1283/B1283</f>
        <v>#DIV/0!</v>
      </c>
      <c r="O1283" s="239" t="e">
        <f>(F1283*3.6+G1283)*100/H1283</f>
        <v>#DIV/0!</v>
      </c>
      <c r="P1283" s="267" t="e">
        <f>(E1283*3.6+G1283)*100/H1283</f>
        <v>#DIV/0!</v>
      </c>
      <c r="Q1283" s="267" t="e">
        <f>E1283/(B1283*8760)*1000</f>
        <v>#DIV/0!</v>
      </c>
      <c r="R1283" s="267" t="e">
        <f>G1283/(D1283*8761)*1000/3.6</f>
        <v>#DIV/0!</v>
      </c>
      <c r="S1283" s="268" t="e">
        <f>G1283/(E1283*3.6)</f>
        <v>#DIV/0!</v>
      </c>
      <c r="U1283" s="239" t="s">
        <v>505</v>
      </c>
      <c r="V1283" s="492">
        <f t="shared" si="445"/>
        <v>0</v>
      </c>
      <c r="Z1283" s="214">
        <f t="shared" si="443"/>
        <v>0</v>
      </c>
      <c r="AA1283" s="214">
        <f t="shared" si="444"/>
        <v>0</v>
      </c>
    </row>
    <row r="1284" spans="1:27">
      <c r="A1284" s="239" t="s">
        <v>266</v>
      </c>
      <c r="B1284" s="320"/>
      <c r="C1284" s="320"/>
      <c r="D1284" s="320"/>
      <c r="E1284" s="320"/>
      <c r="F1284" s="319"/>
      <c r="G1284" s="321"/>
      <c r="H1284" s="319"/>
      <c r="I1284" s="319"/>
      <c r="J1284" s="244"/>
      <c r="K1284" s="245" t="s">
        <v>266</v>
      </c>
      <c r="L1284" s="266" t="e">
        <f>B1284/I1284</f>
        <v>#DIV/0!</v>
      </c>
      <c r="M1284" s="267" t="e">
        <f>D1284/I1284</f>
        <v>#DIV/0!</v>
      </c>
      <c r="N1284" s="267" t="e">
        <f>D1284/B1284</f>
        <v>#DIV/0!</v>
      </c>
      <c r="O1284" s="239" t="e">
        <f>(F1284*3.6+G1284)*100/H1284</f>
        <v>#DIV/0!</v>
      </c>
      <c r="P1284" s="267" t="e">
        <f>(E1284*3.6+G1284)*100/H1284</f>
        <v>#DIV/0!</v>
      </c>
      <c r="Q1284" s="267" t="e">
        <f>E1284/(B1284*8760)*1000</f>
        <v>#DIV/0!</v>
      </c>
      <c r="R1284" s="267" t="e">
        <f>G1284/(D1284*8761)*1000/3.6</f>
        <v>#DIV/0!</v>
      </c>
      <c r="S1284" s="268" t="e">
        <f>G1284/(E1284*3.6)</f>
        <v>#DIV/0!</v>
      </c>
      <c r="U1284" s="239" t="s">
        <v>506</v>
      </c>
      <c r="V1284" s="492">
        <f t="shared" si="445"/>
        <v>0</v>
      </c>
      <c r="Z1284" s="214">
        <f t="shared" si="443"/>
        <v>0</v>
      </c>
      <c r="AA1284" s="214">
        <f t="shared" si="444"/>
        <v>0</v>
      </c>
    </row>
    <row r="1285" spans="1:27">
      <c r="A1285" s="272" t="s">
        <v>267</v>
      </c>
      <c r="B1285" s="395"/>
      <c r="C1285" s="395"/>
      <c r="D1285" s="395"/>
      <c r="E1285" s="320"/>
      <c r="F1285" s="319"/>
      <c r="G1285" s="396"/>
      <c r="H1285" s="397"/>
      <c r="I1285" s="467"/>
      <c r="J1285" s="244"/>
      <c r="K1285" s="245" t="s">
        <v>267</v>
      </c>
      <c r="L1285" s="266"/>
      <c r="M1285" s="267"/>
      <c r="N1285" s="267"/>
      <c r="O1285" s="239"/>
      <c r="P1285" s="267"/>
      <c r="Q1285" s="272"/>
      <c r="R1285" s="274"/>
      <c r="S1285" s="275"/>
      <c r="U1285" s="239" t="s">
        <v>507</v>
      </c>
      <c r="V1285" s="492">
        <f t="shared" si="445"/>
        <v>0</v>
      </c>
      <c r="Z1285" s="214">
        <f t="shared" si="443"/>
        <v>0</v>
      </c>
      <c r="AA1285" s="214">
        <f t="shared" si="444"/>
        <v>0</v>
      </c>
    </row>
    <row r="1286" spans="1:27">
      <c r="A1286" s="276" t="s">
        <v>500</v>
      </c>
      <c r="B1286" s="291">
        <f t="shared" ref="B1286:I1286" si="446">SUM(B1280:B1285)</f>
        <v>875</v>
      </c>
      <c r="C1286" s="291">
        <f t="shared" si="446"/>
        <v>1237</v>
      </c>
      <c r="D1286" s="291">
        <f t="shared" si="446"/>
        <v>3036</v>
      </c>
      <c r="E1286" s="291">
        <f t="shared" si="446"/>
        <v>2157</v>
      </c>
      <c r="F1286" s="291">
        <f t="shared" si="446"/>
        <v>4023</v>
      </c>
      <c r="G1286" s="292">
        <f t="shared" si="446"/>
        <v>26090</v>
      </c>
      <c r="H1286" s="291">
        <f t="shared" si="446"/>
        <v>72805</v>
      </c>
      <c r="I1286" s="293">
        <f t="shared" si="446"/>
        <v>33</v>
      </c>
      <c r="J1286" s="244"/>
      <c r="K1286" s="279" t="s">
        <v>169</v>
      </c>
      <c r="L1286" s="280">
        <f>B1286/I1286</f>
        <v>26.515151515151516</v>
      </c>
      <c r="M1286" s="281">
        <f>D1286/I1286</f>
        <v>92</v>
      </c>
      <c r="N1286" s="281">
        <f>D1286/B1286</f>
        <v>3.4697142857142858</v>
      </c>
      <c r="O1286" s="294">
        <f>(F1286*3.6+G1286)*100/H1286</f>
        <v>55.728040656548323</v>
      </c>
      <c r="P1286" s="295">
        <f>(E1286*3.6+G1286)*100/H1286</f>
        <v>46.501201840532921</v>
      </c>
      <c r="Q1286" s="283">
        <f>E1286/(B1286*8760)*1000</f>
        <v>0.28140900195694718</v>
      </c>
      <c r="R1286" s="283">
        <f>G1286/(D1286*8761)*1000/3.6</f>
        <v>0.27246839329041578</v>
      </c>
      <c r="S1286" s="284">
        <f>G1286/(E1286*3.6)</f>
        <v>3.3598619481790553</v>
      </c>
      <c r="U1286" s="239" t="s">
        <v>156</v>
      </c>
      <c r="V1286" s="492">
        <f t="shared" si="445"/>
        <v>8.4000000000000005E-2</v>
      </c>
      <c r="Z1286" s="214">
        <f t="shared" si="443"/>
        <v>362</v>
      </c>
      <c r="AA1286" s="214">
        <f t="shared" si="444"/>
        <v>1866</v>
      </c>
    </row>
    <row r="1287" spans="1:27" ht="13.5" thickBot="1">
      <c r="A1287" s="296" t="s">
        <v>502</v>
      </c>
      <c r="B1287" s="297">
        <f t="shared" ref="B1287:I1287" si="447">B1275+B1286</f>
        <v>1226</v>
      </c>
      <c r="C1287" s="297">
        <f t="shared" si="447"/>
        <v>1588</v>
      </c>
      <c r="D1287" s="297">
        <f t="shared" si="447"/>
        <v>4504</v>
      </c>
      <c r="E1287" s="297">
        <f t="shared" si="447"/>
        <v>3168</v>
      </c>
      <c r="F1287" s="297">
        <f t="shared" si="447"/>
        <v>5034</v>
      </c>
      <c r="G1287" s="297">
        <f t="shared" si="447"/>
        <v>47575</v>
      </c>
      <c r="H1287" s="297">
        <f t="shared" si="447"/>
        <v>103966</v>
      </c>
      <c r="I1287" s="298">
        <f t="shared" si="447"/>
        <v>53</v>
      </c>
      <c r="J1287" s="244"/>
      <c r="K1287" s="296" t="s">
        <v>502</v>
      </c>
      <c r="L1287" s="299">
        <f>B1287/I1287</f>
        <v>23.132075471698112</v>
      </c>
      <c r="M1287" s="300">
        <f>D1287/I1287</f>
        <v>84.981132075471692</v>
      </c>
      <c r="N1287" s="300">
        <f>D1287/B1287</f>
        <v>3.6737357259380099</v>
      </c>
      <c r="O1287" s="301">
        <f>(F1287*3.6+G1287)*100/H1287</f>
        <v>63.191235596252611</v>
      </c>
      <c r="P1287" s="301">
        <f>(E1287*3.6+G1287)*100/H1287</f>
        <v>56.729892464844276</v>
      </c>
      <c r="Q1287" s="301">
        <f>E1287/(B1287*8760)*1000</f>
        <v>0.29497865874097745</v>
      </c>
      <c r="R1287" s="301">
        <f>G1287/(D1287*8761)*1000/3.6</f>
        <v>0.33490700697853421</v>
      </c>
      <c r="S1287" s="302">
        <f>G1287/(E1287*3.6)</f>
        <v>4.1714891975308639</v>
      </c>
      <c r="U1287" s="239" t="s">
        <v>508</v>
      </c>
      <c r="V1287" s="492">
        <f t="shared" si="445"/>
        <v>0</v>
      </c>
      <c r="Z1287" s="214">
        <f t="shared" si="443"/>
        <v>362</v>
      </c>
      <c r="AA1287" s="214">
        <f t="shared" si="444"/>
        <v>1866</v>
      </c>
    </row>
    <row r="1288" spans="1:27">
      <c r="U1288" s="239" t="s">
        <v>509</v>
      </c>
      <c r="V1288" s="492">
        <f t="shared" si="445"/>
        <v>0.14307</v>
      </c>
    </row>
    <row r="1289" spans="1:27">
      <c r="A1289" s="251" t="s">
        <v>139</v>
      </c>
      <c r="B1289" s="227" t="s">
        <v>476</v>
      </c>
      <c r="C1289" s="228"/>
      <c r="D1289" s="286"/>
      <c r="E1289" s="227" t="s">
        <v>477</v>
      </c>
      <c r="F1289" s="228"/>
      <c r="G1289" s="229"/>
      <c r="H1289" s="200" t="s">
        <v>138</v>
      </c>
      <c r="I1289" s="200" t="s">
        <v>478</v>
      </c>
      <c r="J1289" s="230"/>
      <c r="K1289" s="303" t="s">
        <v>503</v>
      </c>
      <c r="L1289" s="227" t="s">
        <v>479</v>
      </c>
      <c r="M1289" s="228"/>
      <c r="N1289" s="286"/>
      <c r="O1289" s="227" t="s">
        <v>480</v>
      </c>
      <c r="P1289" s="228"/>
      <c r="Q1289" s="228"/>
      <c r="R1289" s="229"/>
      <c r="S1289" s="286"/>
      <c r="U1289" s="239" t="s">
        <v>510</v>
      </c>
      <c r="V1289" s="492">
        <f t="shared" si="445"/>
        <v>0</v>
      </c>
    </row>
    <row r="1290" spans="1:27">
      <c r="A1290" s="239"/>
      <c r="B1290" s="240" t="s">
        <v>9</v>
      </c>
      <c r="C1290" s="240"/>
      <c r="D1290" s="241" t="s">
        <v>34</v>
      </c>
      <c r="E1290" s="242" t="s">
        <v>88</v>
      </c>
      <c r="F1290" s="243"/>
      <c r="G1290" s="244" t="s">
        <v>34</v>
      </c>
      <c r="H1290" s="241" t="s">
        <v>170</v>
      </c>
      <c r="I1290" s="241" t="s">
        <v>483</v>
      </c>
      <c r="J1290" s="230"/>
      <c r="K1290" s="305"/>
      <c r="L1290" s="306" t="s">
        <v>484</v>
      </c>
      <c r="M1290" s="247"/>
      <c r="N1290" s="248" t="s">
        <v>485</v>
      </c>
      <c r="O1290" s="248" t="s">
        <v>486</v>
      </c>
      <c r="P1290" s="248" t="s">
        <v>486</v>
      </c>
      <c r="Q1290" s="247" t="s">
        <v>487</v>
      </c>
      <c r="R1290" s="249"/>
      <c r="S1290" s="307" t="s">
        <v>485</v>
      </c>
      <c r="U1290" s="239" t="s">
        <v>511</v>
      </c>
      <c r="V1290" s="492">
        <f t="shared" si="445"/>
        <v>0</v>
      </c>
    </row>
    <row r="1291" spans="1:27">
      <c r="A1291" s="239"/>
      <c r="B1291" s="252" t="s">
        <v>0</v>
      </c>
      <c r="C1291" s="252" t="s">
        <v>489</v>
      </c>
      <c r="D1291" s="252" t="s">
        <v>490</v>
      </c>
      <c r="E1291" s="252" t="s">
        <v>491</v>
      </c>
      <c r="F1291" s="252" t="s">
        <v>489</v>
      </c>
      <c r="G1291" s="230" t="s">
        <v>490</v>
      </c>
      <c r="H1291" s="248"/>
      <c r="I1291" s="241" t="s">
        <v>492</v>
      </c>
      <c r="J1291" s="230"/>
      <c r="K1291" s="305"/>
      <c r="L1291" s="248" t="s">
        <v>88</v>
      </c>
      <c r="M1291" s="252" t="s">
        <v>34</v>
      </c>
      <c r="N1291" s="252" t="s">
        <v>493</v>
      </c>
      <c r="O1291" s="248" t="s">
        <v>494</v>
      </c>
      <c r="P1291" s="248" t="s">
        <v>495</v>
      </c>
      <c r="Q1291" s="230" t="s">
        <v>88</v>
      </c>
      <c r="R1291" s="248" t="s">
        <v>34</v>
      </c>
      <c r="S1291" s="252" t="s">
        <v>88</v>
      </c>
      <c r="U1291" s="239" t="s">
        <v>512</v>
      </c>
      <c r="V1291" s="492">
        <f t="shared" si="445"/>
        <v>6.0000000000000001E-3</v>
      </c>
    </row>
    <row r="1292" spans="1:27">
      <c r="A1292" s="239"/>
      <c r="B1292" s="257" t="s">
        <v>496</v>
      </c>
      <c r="C1292" s="256" t="s">
        <v>496</v>
      </c>
      <c r="D1292" s="256" t="s">
        <v>496</v>
      </c>
      <c r="E1292" s="256" t="s">
        <v>473</v>
      </c>
      <c r="F1292" s="256" t="s">
        <v>473</v>
      </c>
      <c r="G1292" s="257" t="s">
        <v>451</v>
      </c>
      <c r="H1292" s="257" t="s">
        <v>497</v>
      </c>
      <c r="I1292" s="257" t="s">
        <v>498</v>
      </c>
      <c r="J1292" s="230"/>
      <c r="K1292" s="305"/>
      <c r="L1292" s="257" t="s">
        <v>496</v>
      </c>
      <c r="M1292" s="256" t="s">
        <v>496</v>
      </c>
      <c r="N1292" s="256"/>
      <c r="O1292" s="257" t="s">
        <v>79</v>
      </c>
      <c r="P1292" s="257" t="s">
        <v>79</v>
      </c>
      <c r="Q1292" s="259"/>
      <c r="R1292" s="257"/>
      <c r="S1292" s="256"/>
      <c r="U1292" s="239" t="s">
        <v>513</v>
      </c>
      <c r="V1292" s="492">
        <f t="shared" si="445"/>
        <v>0</v>
      </c>
    </row>
    <row r="1293" spans="1:27">
      <c r="A1293" s="251" t="s">
        <v>150</v>
      </c>
      <c r="B1293" s="308">
        <v>846.57</v>
      </c>
      <c r="C1293" s="309">
        <v>1020.1</v>
      </c>
      <c r="D1293" s="310">
        <v>3083.59</v>
      </c>
      <c r="E1293" s="308">
        <v>2145.0439034267324</v>
      </c>
      <c r="F1293" s="308">
        <v>3608.5050000000001</v>
      </c>
      <c r="G1293" s="309">
        <v>31968.079200000007</v>
      </c>
      <c r="H1293" s="311">
        <v>72047.128038009017</v>
      </c>
      <c r="I1293" s="310">
        <v>35</v>
      </c>
      <c r="J1293" s="244"/>
      <c r="K1293" s="303" t="s">
        <v>150</v>
      </c>
      <c r="L1293" s="312">
        <f>B1293/I1293</f>
        <v>24.187714285714286</v>
      </c>
      <c r="M1293" s="313">
        <f>D1293/I1293</f>
        <v>88.102571428571437</v>
      </c>
      <c r="N1293" s="313">
        <f>D1293/B1293</f>
        <v>3.6424513034952808</v>
      </c>
      <c r="O1293" s="312">
        <f>(F1293*3.6+G1293)*100/H1293</f>
        <v>62.401789529045068</v>
      </c>
      <c r="P1293" s="313">
        <f>(E1293*3.6+G1293)*100/H1293</f>
        <v>55.089270499994605</v>
      </c>
      <c r="Q1293" s="313">
        <f>E1293/(B1293*8760)*1000</f>
        <v>0.2892472276425278</v>
      </c>
      <c r="R1293" s="313">
        <f>G1293/(D1293*8761)*1000/3.6</f>
        <v>0.32870304919025362</v>
      </c>
      <c r="S1293" s="313">
        <f>G1293/(E1293*3.6)</f>
        <v>4.1397856639736199</v>
      </c>
      <c r="U1293" s="239" t="s">
        <v>514</v>
      </c>
      <c r="V1293" s="492">
        <f t="shared" si="445"/>
        <v>0.11600000000000001</v>
      </c>
      <c r="Z1293" s="214">
        <f>C1293-B1293</f>
        <v>173.52999999999997</v>
      </c>
      <c r="AA1293" s="214">
        <f>F1293-E1293</f>
        <v>1463.4610965732677</v>
      </c>
    </row>
    <row r="1294" spans="1:27">
      <c r="A1294" s="239"/>
      <c r="B1294" s="314"/>
      <c r="C1294" s="315"/>
      <c r="D1294" s="315"/>
      <c r="E1294" s="316"/>
      <c r="F1294" s="316"/>
      <c r="G1294" s="317"/>
      <c r="H1294" s="314"/>
      <c r="I1294" s="314"/>
      <c r="J1294" s="230"/>
      <c r="K1294" s="239"/>
      <c r="L1294" s="312"/>
      <c r="M1294" s="267"/>
      <c r="N1294" s="267"/>
      <c r="O1294" s="239"/>
      <c r="P1294" s="313"/>
      <c r="Q1294" s="267"/>
      <c r="R1294" s="267"/>
      <c r="S1294" s="239"/>
      <c r="U1294" s="239" t="s">
        <v>515</v>
      </c>
      <c r="V1294" s="492">
        <f t="shared" si="445"/>
        <v>0</v>
      </c>
      <c r="Z1294" s="214">
        <f t="shared" ref="Z1294:Z1314" si="448">C1294-B1294</f>
        <v>0</v>
      </c>
      <c r="AA1294" s="214">
        <f t="shared" ref="AA1294:AA1314" si="449">F1294-E1294</f>
        <v>0</v>
      </c>
    </row>
    <row r="1295" spans="1:27">
      <c r="A1295" s="312" t="s">
        <v>7</v>
      </c>
      <c r="B1295" s="310">
        <f>SUM(B1296:B1313)</f>
        <v>379.07</v>
      </c>
      <c r="C1295" s="310">
        <f t="shared" ref="C1295:I1295" si="450">SUM(C1296:C1313)</f>
        <v>568</v>
      </c>
      <c r="D1295" s="310">
        <f t="shared" si="450"/>
        <v>1419.99</v>
      </c>
      <c r="E1295" s="310">
        <f t="shared" si="450"/>
        <v>1022.9824356524133</v>
      </c>
      <c r="F1295" s="310">
        <f t="shared" si="450"/>
        <v>1425.2079999999999</v>
      </c>
      <c r="G1295" s="310">
        <f t="shared" si="450"/>
        <v>15607.591199999999</v>
      </c>
      <c r="H1295" s="310">
        <f t="shared" si="450"/>
        <v>31919.086304647997</v>
      </c>
      <c r="I1295" s="310">
        <f t="shared" si="450"/>
        <v>18</v>
      </c>
      <c r="J1295" s="244"/>
      <c r="K1295" s="318" t="s">
        <v>7</v>
      </c>
      <c r="L1295" s="312">
        <f>B1295/I1295</f>
        <v>21.059444444444445</v>
      </c>
      <c r="M1295" s="313">
        <f>D1295/I1295</f>
        <v>78.888333333333335</v>
      </c>
      <c r="N1295" s="313">
        <f>D1295/B1295</f>
        <v>3.7459835914211097</v>
      </c>
      <c r="O1295" s="312">
        <f t="shared" ref="O1295:O1312" si="451">(F1295*3.6+G1295)*100/H1295</f>
        <v>64.971596624243332</v>
      </c>
      <c r="P1295" s="313">
        <f>(E1295*3.6+G1295)*100/H1295</f>
        <v>60.435088223498632</v>
      </c>
      <c r="Q1295" s="313">
        <f>E1295/(B1295*8760)*1000</f>
        <v>0.30806662847310085</v>
      </c>
      <c r="R1295" s="313">
        <f>G1295/(D1295*8761)*1000/3.6</f>
        <v>0.34849328502089932</v>
      </c>
      <c r="S1295" s="313">
        <f>G1295/(E1295*3.6)</f>
        <v>4.238041484294933</v>
      </c>
      <c r="U1295" s="239" t="s">
        <v>516</v>
      </c>
      <c r="V1295" s="492">
        <f t="shared" si="445"/>
        <v>0.03</v>
      </c>
      <c r="Z1295" s="214">
        <f t="shared" si="448"/>
        <v>188.93</v>
      </c>
      <c r="AA1295" s="214">
        <f t="shared" si="449"/>
        <v>402.22556434758656</v>
      </c>
    </row>
    <row r="1296" spans="1:27">
      <c r="A1296" s="239" t="s">
        <v>152</v>
      </c>
      <c r="B1296" s="319"/>
      <c r="C1296" s="320"/>
      <c r="D1296" s="320"/>
      <c r="E1296" s="316"/>
      <c r="F1296" s="316"/>
      <c r="G1296" s="321"/>
      <c r="H1296" s="319"/>
      <c r="I1296" s="319"/>
      <c r="J1296" s="230"/>
      <c r="K1296" s="305" t="s">
        <v>152</v>
      </c>
      <c r="L1296" s="239" t="e">
        <f t="shared" ref="L1296:L1312" si="452">B1296/I1296</f>
        <v>#DIV/0!</v>
      </c>
      <c r="M1296" s="267" t="e">
        <f t="shared" ref="M1296:M1312" si="453">D1296/I1296</f>
        <v>#DIV/0!</v>
      </c>
      <c r="N1296" s="267" t="e">
        <f t="shared" ref="N1296:N1312" si="454">D1296/B1296</f>
        <v>#DIV/0!</v>
      </c>
      <c r="O1296" s="239" t="e">
        <f t="shared" si="451"/>
        <v>#DIV/0!</v>
      </c>
      <c r="P1296" s="267" t="e">
        <f t="shared" ref="P1296:P1312" si="455">(E1296*3.6+G1296)*100/H1296</f>
        <v>#DIV/0!</v>
      </c>
      <c r="Q1296" s="267" t="e">
        <f t="shared" ref="Q1296:Q1312" si="456">E1296/(B1296*8760)*1000</f>
        <v>#DIV/0!</v>
      </c>
      <c r="R1296" s="267" t="e">
        <f t="shared" ref="R1296:R1312" si="457">G1296/(D1296*8761)*1000/3.6</f>
        <v>#DIV/0!</v>
      </c>
      <c r="S1296" s="267" t="e">
        <f t="shared" ref="S1296:S1312" si="458">G1296/(E1296*3.6)</f>
        <v>#DIV/0!</v>
      </c>
      <c r="U1296" s="239" t="s">
        <v>517</v>
      </c>
      <c r="V1296" s="492">
        <f t="shared" si="445"/>
        <v>0</v>
      </c>
      <c r="Z1296" s="214">
        <f t="shared" si="448"/>
        <v>0</v>
      </c>
      <c r="AA1296" s="214">
        <f t="shared" si="449"/>
        <v>0</v>
      </c>
    </row>
    <row r="1297" spans="1:27">
      <c r="A1297" s="239" t="s">
        <v>504</v>
      </c>
      <c r="B1297" s="319"/>
      <c r="C1297" s="320"/>
      <c r="D1297" s="320"/>
      <c r="E1297" s="316"/>
      <c r="F1297" s="316"/>
      <c r="G1297" s="321"/>
      <c r="H1297" s="319"/>
      <c r="I1297" s="319"/>
      <c r="J1297" s="230"/>
      <c r="K1297" s="305" t="s">
        <v>504</v>
      </c>
      <c r="L1297" s="239" t="e">
        <f t="shared" si="452"/>
        <v>#DIV/0!</v>
      </c>
      <c r="M1297" s="267" t="e">
        <f t="shared" si="453"/>
        <v>#DIV/0!</v>
      </c>
      <c r="N1297" s="267" t="e">
        <f t="shared" si="454"/>
        <v>#DIV/0!</v>
      </c>
      <c r="O1297" s="239" t="e">
        <f t="shared" si="451"/>
        <v>#DIV/0!</v>
      </c>
      <c r="P1297" s="267" t="e">
        <f t="shared" si="455"/>
        <v>#DIV/0!</v>
      </c>
      <c r="Q1297" s="267" t="e">
        <f t="shared" si="456"/>
        <v>#DIV/0!</v>
      </c>
      <c r="R1297" s="267" t="e">
        <f t="shared" si="457"/>
        <v>#DIV/0!</v>
      </c>
      <c r="S1297" s="267" t="e">
        <f t="shared" si="458"/>
        <v>#DIV/0!</v>
      </c>
      <c r="U1297" s="239" t="s">
        <v>518</v>
      </c>
      <c r="V1297" s="492">
        <f t="shared" si="445"/>
        <v>0</v>
      </c>
      <c r="Z1297" s="214">
        <f t="shared" si="448"/>
        <v>0</v>
      </c>
      <c r="AA1297" s="214">
        <f t="shared" si="449"/>
        <v>0</v>
      </c>
    </row>
    <row r="1298" spans="1:27">
      <c r="A1298" s="239" t="s">
        <v>505</v>
      </c>
      <c r="B1298" s="319"/>
      <c r="C1298" s="320"/>
      <c r="D1298" s="320"/>
      <c r="E1298" s="316"/>
      <c r="F1298" s="316"/>
      <c r="G1298" s="321"/>
      <c r="H1298" s="319"/>
      <c r="I1298" s="319"/>
      <c r="J1298" s="230"/>
      <c r="K1298" s="305" t="s">
        <v>505</v>
      </c>
      <c r="L1298" s="239" t="e">
        <f t="shared" si="452"/>
        <v>#DIV/0!</v>
      </c>
      <c r="M1298" s="267" t="e">
        <f t="shared" si="453"/>
        <v>#DIV/0!</v>
      </c>
      <c r="N1298" s="267" t="e">
        <f t="shared" si="454"/>
        <v>#DIV/0!</v>
      </c>
      <c r="O1298" s="239" t="e">
        <f t="shared" si="451"/>
        <v>#DIV/0!</v>
      </c>
      <c r="P1298" s="267" t="e">
        <f t="shared" si="455"/>
        <v>#DIV/0!</v>
      </c>
      <c r="Q1298" s="267" t="e">
        <f t="shared" si="456"/>
        <v>#DIV/0!</v>
      </c>
      <c r="R1298" s="267" t="e">
        <f t="shared" si="457"/>
        <v>#DIV/0!</v>
      </c>
      <c r="S1298" s="267" t="e">
        <f t="shared" si="458"/>
        <v>#DIV/0!</v>
      </c>
      <c r="U1298" s="239" t="s">
        <v>519</v>
      </c>
      <c r="V1298" s="492">
        <f t="shared" si="445"/>
        <v>0</v>
      </c>
      <c r="Z1298" s="214">
        <f t="shared" si="448"/>
        <v>0</v>
      </c>
      <c r="AA1298" s="214">
        <f t="shared" si="449"/>
        <v>0</v>
      </c>
    </row>
    <row r="1299" spans="1:27">
      <c r="A1299" s="239" t="s">
        <v>506</v>
      </c>
      <c r="B1299" s="319"/>
      <c r="C1299" s="320"/>
      <c r="D1299" s="320"/>
      <c r="E1299" s="316"/>
      <c r="F1299" s="316"/>
      <c r="G1299" s="321"/>
      <c r="H1299" s="319"/>
      <c r="I1299" s="319"/>
      <c r="J1299" s="230"/>
      <c r="K1299" s="305" t="s">
        <v>506</v>
      </c>
      <c r="L1299" s="239" t="e">
        <f t="shared" si="452"/>
        <v>#DIV/0!</v>
      </c>
      <c r="M1299" s="267" t="e">
        <f t="shared" si="453"/>
        <v>#DIV/0!</v>
      </c>
      <c r="N1299" s="267" t="e">
        <f t="shared" si="454"/>
        <v>#DIV/0!</v>
      </c>
      <c r="O1299" s="239" t="e">
        <f t="shared" si="451"/>
        <v>#DIV/0!</v>
      </c>
      <c r="P1299" s="267" t="e">
        <f t="shared" si="455"/>
        <v>#DIV/0!</v>
      </c>
      <c r="Q1299" s="267" t="e">
        <f t="shared" si="456"/>
        <v>#DIV/0!</v>
      </c>
      <c r="R1299" s="267" t="e">
        <f t="shared" si="457"/>
        <v>#DIV/0!</v>
      </c>
      <c r="S1299" s="267" t="e">
        <f t="shared" si="458"/>
        <v>#DIV/0!</v>
      </c>
      <c r="Z1299" s="214">
        <f t="shared" si="448"/>
        <v>0</v>
      </c>
      <c r="AA1299" s="214">
        <f t="shared" si="449"/>
        <v>0</v>
      </c>
    </row>
    <row r="1300" spans="1:27">
      <c r="A1300" s="239" t="s">
        <v>507</v>
      </c>
      <c r="B1300" s="319"/>
      <c r="C1300" s="320"/>
      <c r="D1300" s="320"/>
      <c r="E1300" s="316"/>
      <c r="F1300" s="316"/>
      <c r="G1300" s="321"/>
      <c r="H1300" s="319"/>
      <c r="I1300" s="319"/>
      <c r="J1300" s="230"/>
      <c r="K1300" s="305" t="s">
        <v>507</v>
      </c>
      <c r="L1300" s="239" t="e">
        <f t="shared" si="452"/>
        <v>#DIV/0!</v>
      </c>
      <c r="M1300" s="267" t="e">
        <f t="shared" si="453"/>
        <v>#DIV/0!</v>
      </c>
      <c r="N1300" s="267" t="e">
        <f t="shared" si="454"/>
        <v>#DIV/0!</v>
      </c>
      <c r="O1300" s="239" t="e">
        <f t="shared" si="451"/>
        <v>#DIV/0!</v>
      </c>
      <c r="P1300" s="267" t="e">
        <f t="shared" si="455"/>
        <v>#DIV/0!</v>
      </c>
      <c r="Q1300" s="267" t="e">
        <f t="shared" si="456"/>
        <v>#DIV/0!</v>
      </c>
      <c r="R1300" s="267" t="e">
        <f t="shared" si="457"/>
        <v>#DIV/0!</v>
      </c>
      <c r="S1300" s="267" t="e">
        <f t="shared" si="458"/>
        <v>#DIV/0!</v>
      </c>
      <c r="Z1300" s="214">
        <f t="shared" si="448"/>
        <v>0</v>
      </c>
      <c r="AA1300" s="214">
        <f t="shared" si="449"/>
        <v>0</v>
      </c>
    </row>
    <row r="1301" spans="1:27">
      <c r="A1301" s="239" t="s">
        <v>156</v>
      </c>
      <c r="B1301" s="319">
        <v>84</v>
      </c>
      <c r="C1301" s="320">
        <v>112</v>
      </c>
      <c r="D1301" s="320">
        <v>633</v>
      </c>
      <c r="E1301" s="316">
        <v>127.00307084778163</v>
      </c>
      <c r="F1301" s="316">
        <v>329.59</v>
      </c>
      <c r="G1301" s="321">
        <v>4924.9907999999996</v>
      </c>
      <c r="H1301" s="319">
        <v>8370.9601810000004</v>
      </c>
      <c r="I1301" s="319">
        <v>4</v>
      </c>
      <c r="J1301" s="230"/>
      <c r="K1301" s="305" t="s">
        <v>156</v>
      </c>
      <c r="L1301" s="239">
        <f t="shared" si="452"/>
        <v>21</v>
      </c>
      <c r="M1301" s="267">
        <f t="shared" si="453"/>
        <v>158.25</v>
      </c>
      <c r="N1301" s="267">
        <f t="shared" si="454"/>
        <v>7.5357142857142856</v>
      </c>
      <c r="O1301" s="322">
        <f t="shared" si="451"/>
        <v>73.008527909039856</v>
      </c>
      <c r="P1301" s="323">
        <f t="shared" si="455"/>
        <v>64.296111063438985</v>
      </c>
      <c r="Q1301" s="267">
        <f t="shared" si="456"/>
        <v>0.17259604105210594</v>
      </c>
      <c r="R1301" s="267">
        <f t="shared" si="457"/>
        <v>0.24668658475474656</v>
      </c>
      <c r="S1301" s="267">
        <f t="shared" si="458"/>
        <v>10.771810404802473</v>
      </c>
      <c r="Z1301" s="214">
        <f t="shared" si="448"/>
        <v>28</v>
      </c>
      <c r="AA1301" s="214">
        <f t="shared" si="449"/>
        <v>202.58692915221835</v>
      </c>
    </row>
    <row r="1302" spans="1:27">
      <c r="A1302" s="239" t="s">
        <v>508</v>
      </c>
      <c r="B1302" s="319"/>
      <c r="C1302" s="320"/>
      <c r="D1302" s="320"/>
      <c r="E1302" s="316"/>
      <c r="F1302" s="316"/>
      <c r="G1302" s="321"/>
      <c r="H1302" s="319"/>
      <c r="I1302" s="319"/>
      <c r="J1302" s="230"/>
      <c r="K1302" s="305" t="s">
        <v>508</v>
      </c>
      <c r="L1302" s="239" t="e">
        <f t="shared" si="452"/>
        <v>#DIV/0!</v>
      </c>
      <c r="M1302" s="267" t="e">
        <f t="shared" si="453"/>
        <v>#DIV/0!</v>
      </c>
      <c r="N1302" s="267" t="e">
        <f t="shared" si="454"/>
        <v>#DIV/0!</v>
      </c>
      <c r="O1302" s="239" t="e">
        <f t="shared" si="451"/>
        <v>#DIV/0!</v>
      </c>
      <c r="P1302" s="267" t="e">
        <f t="shared" si="455"/>
        <v>#DIV/0!</v>
      </c>
      <c r="Q1302" s="267" t="e">
        <f t="shared" si="456"/>
        <v>#DIV/0!</v>
      </c>
      <c r="R1302" s="267" t="e">
        <f t="shared" si="457"/>
        <v>#DIV/0!</v>
      </c>
      <c r="S1302" s="267" t="e">
        <f t="shared" si="458"/>
        <v>#DIV/0!</v>
      </c>
      <c r="Z1302" s="214">
        <f t="shared" si="448"/>
        <v>0</v>
      </c>
      <c r="AA1302" s="214">
        <f t="shared" si="449"/>
        <v>0</v>
      </c>
    </row>
    <row r="1303" spans="1:27">
      <c r="A1303" s="239" t="s">
        <v>509</v>
      </c>
      <c r="B1303" s="319">
        <v>143.07</v>
      </c>
      <c r="C1303" s="320">
        <v>248</v>
      </c>
      <c r="D1303" s="320">
        <v>372.49</v>
      </c>
      <c r="E1303" s="316">
        <v>521.05962584681527</v>
      </c>
      <c r="F1303" s="316">
        <v>695.41399999999999</v>
      </c>
      <c r="G1303" s="321">
        <v>7825.1328000000003</v>
      </c>
      <c r="H1303" s="319">
        <v>15975.161313999999</v>
      </c>
      <c r="I1303" s="319">
        <v>6</v>
      </c>
      <c r="J1303" s="230"/>
      <c r="K1303" s="305" t="s">
        <v>509</v>
      </c>
      <c r="L1303" s="239">
        <f t="shared" si="452"/>
        <v>23.844999999999999</v>
      </c>
      <c r="M1303" s="267">
        <f t="shared" si="453"/>
        <v>62.081666666666671</v>
      </c>
      <c r="N1303" s="267">
        <f t="shared" si="454"/>
        <v>2.6035507094429304</v>
      </c>
      <c r="O1303" s="239">
        <f t="shared" si="451"/>
        <v>64.654265437359953</v>
      </c>
      <c r="P1303" s="267">
        <f t="shared" si="455"/>
        <v>60.725192455784523</v>
      </c>
      <c r="Q1303" s="267">
        <f t="shared" si="456"/>
        <v>0.41575237609748084</v>
      </c>
      <c r="R1303" s="267">
        <f t="shared" si="457"/>
        <v>0.66607160150208322</v>
      </c>
      <c r="S1303" s="267">
        <f t="shared" si="458"/>
        <v>4.1715916800643162</v>
      </c>
      <c r="Z1303" s="214">
        <f t="shared" si="448"/>
        <v>104.93</v>
      </c>
      <c r="AA1303" s="214">
        <f t="shared" si="449"/>
        <v>174.35437415318472</v>
      </c>
    </row>
    <row r="1304" spans="1:27">
      <c r="A1304" s="239" t="s">
        <v>510</v>
      </c>
      <c r="B1304" s="319"/>
      <c r="C1304" s="320"/>
      <c r="D1304" s="320"/>
      <c r="E1304" s="316"/>
      <c r="F1304" s="316"/>
      <c r="G1304" s="321"/>
      <c r="H1304" s="319"/>
      <c r="I1304" s="319"/>
      <c r="J1304" s="230"/>
      <c r="K1304" s="305" t="s">
        <v>510</v>
      </c>
      <c r="L1304" s="239" t="e">
        <f t="shared" si="452"/>
        <v>#DIV/0!</v>
      </c>
      <c r="M1304" s="267" t="e">
        <f t="shared" si="453"/>
        <v>#DIV/0!</v>
      </c>
      <c r="N1304" s="267" t="e">
        <f t="shared" si="454"/>
        <v>#DIV/0!</v>
      </c>
      <c r="O1304" s="322" t="e">
        <f t="shared" si="451"/>
        <v>#DIV/0!</v>
      </c>
      <c r="P1304" s="323" t="e">
        <f t="shared" si="455"/>
        <v>#DIV/0!</v>
      </c>
      <c r="Q1304" s="267" t="e">
        <f t="shared" si="456"/>
        <v>#DIV/0!</v>
      </c>
      <c r="R1304" s="267" t="e">
        <f t="shared" si="457"/>
        <v>#DIV/0!</v>
      </c>
      <c r="S1304" s="267" t="e">
        <f t="shared" si="458"/>
        <v>#DIV/0!</v>
      </c>
      <c r="Z1304" s="214">
        <f t="shared" si="448"/>
        <v>0</v>
      </c>
      <c r="AA1304" s="214">
        <f t="shared" si="449"/>
        <v>0</v>
      </c>
    </row>
    <row r="1305" spans="1:27">
      <c r="A1305" s="239" t="s">
        <v>511</v>
      </c>
      <c r="B1305" s="324"/>
      <c r="C1305" s="325"/>
      <c r="D1305" s="320"/>
      <c r="E1305" s="316"/>
      <c r="F1305" s="316"/>
      <c r="G1305" s="321"/>
      <c r="H1305" s="319"/>
      <c r="I1305" s="319"/>
      <c r="J1305" s="230"/>
      <c r="K1305" s="305" t="s">
        <v>511</v>
      </c>
      <c r="L1305" s="239" t="e">
        <f t="shared" si="452"/>
        <v>#DIV/0!</v>
      </c>
      <c r="M1305" s="267" t="e">
        <f t="shared" si="453"/>
        <v>#DIV/0!</v>
      </c>
      <c r="N1305" s="267" t="e">
        <f t="shared" si="454"/>
        <v>#DIV/0!</v>
      </c>
      <c r="O1305" s="239" t="e">
        <f t="shared" si="451"/>
        <v>#DIV/0!</v>
      </c>
      <c r="P1305" s="267" t="e">
        <f t="shared" si="455"/>
        <v>#DIV/0!</v>
      </c>
      <c r="Q1305" s="267" t="e">
        <f t="shared" si="456"/>
        <v>#DIV/0!</v>
      </c>
      <c r="R1305" s="267" t="e">
        <f t="shared" si="457"/>
        <v>#DIV/0!</v>
      </c>
      <c r="S1305" s="267" t="e">
        <f t="shared" si="458"/>
        <v>#DIV/0!</v>
      </c>
      <c r="Z1305" s="214">
        <f t="shared" si="448"/>
        <v>0</v>
      </c>
      <c r="AA1305" s="214">
        <f t="shared" si="449"/>
        <v>0</v>
      </c>
    </row>
    <row r="1306" spans="1:27">
      <c r="A1306" s="239" t="s">
        <v>512</v>
      </c>
      <c r="B1306" s="324">
        <v>6</v>
      </c>
      <c r="C1306" s="325">
        <v>6</v>
      </c>
      <c r="D1306" s="320">
        <v>39</v>
      </c>
      <c r="E1306" s="316">
        <v>18.466999999999999</v>
      </c>
      <c r="F1306" s="316">
        <v>18.466999999999999</v>
      </c>
      <c r="G1306" s="321">
        <v>549.69839999999999</v>
      </c>
      <c r="H1306" s="319">
        <v>794.61248276799995</v>
      </c>
      <c r="I1306" s="319">
        <v>1</v>
      </c>
      <c r="J1306" s="230"/>
      <c r="K1306" s="305" t="s">
        <v>512</v>
      </c>
      <c r="L1306" s="239">
        <f t="shared" si="452"/>
        <v>6</v>
      </c>
      <c r="M1306" s="267">
        <f t="shared" si="453"/>
        <v>39</v>
      </c>
      <c r="N1306" s="267">
        <f t="shared" si="454"/>
        <v>6.5</v>
      </c>
      <c r="O1306" s="239">
        <f t="shared" si="451"/>
        <v>77.544666534002033</v>
      </c>
      <c r="P1306" s="267">
        <f t="shared" si="455"/>
        <v>77.544666534002033</v>
      </c>
      <c r="Q1306" s="267">
        <f t="shared" si="456"/>
        <v>0.35135083713850834</v>
      </c>
      <c r="R1306" s="267">
        <f t="shared" si="457"/>
        <v>0.44689313654043711</v>
      </c>
      <c r="S1306" s="267">
        <f t="shared" si="458"/>
        <v>8.2684789083229546</v>
      </c>
      <c r="Z1306" s="214">
        <f t="shared" si="448"/>
        <v>0</v>
      </c>
      <c r="AA1306" s="214">
        <f t="shared" si="449"/>
        <v>0</v>
      </c>
    </row>
    <row r="1307" spans="1:27">
      <c r="A1307" s="239" t="s">
        <v>513</v>
      </c>
      <c r="B1307" s="324"/>
      <c r="C1307" s="325"/>
      <c r="D1307" s="320"/>
      <c r="E1307" s="316"/>
      <c r="F1307" s="316"/>
      <c r="G1307" s="321"/>
      <c r="H1307" s="319"/>
      <c r="I1307" s="319"/>
      <c r="J1307" s="230"/>
      <c r="K1307" s="305" t="s">
        <v>513</v>
      </c>
      <c r="L1307" s="239" t="e">
        <f t="shared" si="452"/>
        <v>#DIV/0!</v>
      </c>
      <c r="M1307" s="267" t="e">
        <f t="shared" si="453"/>
        <v>#DIV/0!</v>
      </c>
      <c r="N1307" s="267" t="e">
        <f t="shared" si="454"/>
        <v>#DIV/0!</v>
      </c>
      <c r="O1307" s="239" t="e">
        <f t="shared" si="451"/>
        <v>#DIV/0!</v>
      </c>
      <c r="P1307" s="267" t="e">
        <f t="shared" si="455"/>
        <v>#DIV/0!</v>
      </c>
      <c r="Q1307" s="267" t="e">
        <f t="shared" si="456"/>
        <v>#DIV/0!</v>
      </c>
      <c r="R1307" s="267" t="e">
        <f t="shared" si="457"/>
        <v>#DIV/0!</v>
      </c>
      <c r="S1307" s="267" t="e">
        <f t="shared" si="458"/>
        <v>#DIV/0!</v>
      </c>
      <c r="Z1307" s="214">
        <f t="shared" si="448"/>
        <v>0</v>
      </c>
      <c r="AA1307" s="214">
        <f t="shared" si="449"/>
        <v>0</v>
      </c>
    </row>
    <row r="1308" spans="1:27">
      <c r="A1308" s="239" t="s">
        <v>514</v>
      </c>
      <c r="B1308" s="324">
        <v>116</v>
      </c>
      <c r="C1308" s="325">
        <v>142</v>
      </c>
      <c r="D1308" s="320">
        <v>275.5</v>
      </c>
      <c r="E1308" s="316">
        <v>352.77113895781639</v>
      </c>
      <c r="F1308" s="316">
        <v>369.04399999999998</v>
      </c>
      <c r="G1308" s="321">
        <v>2263.59</v>
      </c>
      <c r="H1308" s="319">
        <v>6606.4917428800009</v>
      </c>
      <c r="I1308" s="319">
        <v>5</v>
      </c>
      <c r="J1308" s="230"/>
      <c r="K1308" s="305" t="s">
        <v>514</v>
      </c>
      <c r="L1308" s="239">
        <f t="shared" si="452"/>
        <v>23.2</v>
      </c>
      <c r="M1308" s="267">
        <f t="shared" si="453"/>
        <v>55.1</v>
      </c>
      <c r="N1308" s="267">
        <f t="shared" si="454"/>
        <v>2.375</v>
      </c>
      <c r="O1308" s="239">
        <f t="shared" si="451"/>
        <v>54.373009757733492</v>
      </c>
      <c r="P1308" s="267">
        <f t="shared" si="455"/>
        <v>53.48627134903122</v>
      </c>
      <c r="Q1308" s="267">
        <f t="shared" si="456"/>
        <v>0.34716101692431939</v>
      </c>
      <c r="R1308" s="267">
        <f t="shared" si="457"/>
        <v>0.26050735077976123</v>
      </c>
      <c r="S1308" s="267">
        <f t="shared" si="458"/>
        <v>1.7823878729353411</v>
      </c>
      <c r="Z1308" s="214">
        <f t="shared" si="448"/>
        <v>26</v>
      </c>
      <c r="AA1308" s="214">
        <f t="shared" si="449"/>
        <v>16.272861042183592</v>
      </c>
    </row>
    <row r="1309" spans="1:27">
      <c r="A1309" s="239" t="s">
        <v>515</v>
      </c>
      <c r="B1309" s="324"/>
      <c r="C1309" s="325"/>
      <c r="D1309" s="320"/>
      <c r="E1309" s="316"/>
      <c r="F1309" s="316"/>
      <c r="G1309" s="321"/>
      <c r="H1309" s="319"/>
      <c r="I1309" s="319"/>
      <c r="J1309" s="230"/>
      <c r="K1309" s="305" t="s">
        <v>515</v>
      </c>
      <c r="L1309" s="239" t="e">
        <f t="shared" si="452"/>
        <v>#DIV/0!</v>
      </c>
      <c r="M1309" s="267" t="e">
        <f t="shared" si="453"/>
        <v>#DIV/0!</v>
      </c>
      <c r="N1309" s="267" t="e">
        <f t="shared" si="454"/>
        <v>#DIV/0!</v>
      </c>
      <c r="O1309" s="239" t="e">
        <f t="shared" si="451"/>
        <v>#DIV/0!</v>
      </c>
      <c r="P1309" s="267" t="e">
        <f t="shared" si="455"/>
        <v>#DIV/0!</v>
      </c>
      <c r="Q1309" s="267" t="e">
        <f t="shared" si="456"/>
        <v>#DIV/0!</v>
      </c>
      <c r="R1309" s="267" t="e">
        <f t="shared" si="457"/>
        <v>#DIV/0!</v>
      </c>
      <c r="S1309" s="267" t="e">
        <f t="shared" si="458"/>
        <v>#DIV/0!</v>
      </c>
      <c r="Z1309" s="214">
        <f t="shared" si="448"/>
        <v>0</v>
      </c>
      <c r="AA1309" s="214">
        <f t="shared" si="449"/>
        <v>0</v>
      </c>
    </row>
    <row r="1310" spans="1:27">
      <c r="A1310" s="239" t="s">
        <v>516</v>
      </c>
      <c r="B1310" s="319">
        <v>30</v>
      </c>
      <c r="C1310" s="320">
        <v>60</v>
      </c>
      <c r="D1310" s="319">
        <v>100</v>
      </c>
      <c r="E1310" s="316">
        <v>3.6816</v>
      </c>
      <c r="F1310" s="316">
        <v>12.693</v>
      </c>
      <c r="G1310" s="321">
        <v>44.179199999999994</v>
      </c>
      <c r="H1310" s="319">
        <v>171.86058399999999</v>
      </c>
      <c r="I1310" s="319">
        <v>2</v>
      </c>
      <c r="J1310" s="244"/>
      <c r="K1310" s="239" t="s">
        <v>516</v>
      </c>
      <c r="L1310" s="239">
        <f t="shared" si="452"/>
        <v>15</v>
      </c>
      <c r="M1310" s="267">
        <f t="shared" si="453"/>
        <v>50</v>
      </c>
      <c r="N1310" s="267">
        <f t="shared" si="454"/>
        <v>3.3333333333333335</v>
      </c>
      <c r="O1310" s="239">
        <f t="shared" si="451"/>
        <v>52.294713487066936</v>
      </c>
      <c r="P1310" s="267">
        <f t="shared" si="455"/>
        <v>33.418343324144644</v>
      </c>
      <c r="Q1310" s="267">
        <f t="shared" si="456"/>
        <v>1.4009132420091323E-2</v>
      </c>
      <c r="R1310" s="267">
        <f t="shared" si="457"/>
        <v>1.4007533386599701E-2</v>
      </c>
      <c r="S1310" s="267">
        <f t="shared" si="458"/>
        <v>3.333333333333333</v>
      </c>
      <c r="Z1310" s="214">
        <f t="shared" si="448"/>
        <v>30</v>
      </c>
      <c r="AA1310" s="214">
        <f t="shared" si="449"/>
        <v>9.0114000000000001</v>
      </c>
    </row>
    <row r="1311" spans="1:27">
      <c r="A1311" s="239" t="s">
        <v>517</v>
      </c>
      <c r="B1311" s="319"/>
      <c r="C1311" s="320"/>
      <c r="D1311" s="320"/>
      <c r="E1311" s="316"/>
      <c r="F1311" s="316"/>
      <c r="G1311" s="321"/>
      <c r="H1311" s="319"/>
      <c r="I1311" s="319"/>
      <c r="K1311" s="239" t="s">
        <v>517</v>
      </c>
      <c r="L1311" s="239" t="e">
        <f t="shared" si="452"/>
        <v>#DIV/0!</v>
      </c>
      <c r="M1311" s="267" t="e">
        <f t="shared" si="453"/>
        <v>#DIV/0!</v>
      </c>
      <c r="N1311" s="267" t="e">
        <f t="shared" si="454"/>
        <v>#DIV/0!</v>
      </c>
      <c r="O1311" s="239" t="e">
        <f t="shared" si="451"/>
        <v>#DIV/0!</v>
      </c>
      <c r="P1311" s="267" t="e">
        <f t="shared" si="455"/>
        <v>#DIV/0!</v>
      </c>
      <c r="Q1311" s="267" t="e">
        <f t="shared" si="456"/>
        <v>#DIV/0!</v>
      </c>
      <c r="R1311" s="267" t="e">
        <f t="shared" si="457"/>
        <v>#DIV/0!</v>
      </c>
      <c r="S1311" s="267" t="e">
        <f t="shared" si="458"/>
        <v>#DIV/0!</v>
      </c>
      <c r="Z1311" s="214">
        <f t="shared" si="448"/>
        <v>0</v>
      </c>
      <c r="AA1311" s="214">
        <f t="shared" si="449"/>
        <v>0</v>
      </c>
    </row>
    <row r="1312" spans="1:27">
      <c r="A1312" s="239" t="s">
        <v>518</v>
      </c>
      <c r="B1312" s="319"/>
      <c r="C1312" s="320"/>
      <c r="D1312" s="320"/>
      <c r="E1312" s="316"/>
      <c r="F1312" s="316"/>
      <c r="G1312" s="321"/>
      <c r="H1312" s="319"/>
      <c r="I1312" s="319"/>
      <c r="K1312" s="239" t="s">
        <v>518</v>
      </c>
      <c r="L1312" s="239" t="e">
        <f t="shared" si="452"/>
        <v>#DIV/0!</v>
      </c>
      <c r="M1312" s="267" t="e">
        <f t="shared" si="453"/>
        <v>#DIV/0!</v>
      </c>
      <c r="N1312" s="267" t="e">
        <f t="shared" si="454"/>
        <v>#DIV/0!</v>
      </c>
      <c r="O1312" s="239" t="e">
        <f t="shared" si="451"/>
        <v>#DIV/0!</v>
      </c>
      <c r="P1312" s="267" t="e">
        <f t="shared" si="455"/>
        <v>#DIV/0!</v>
      </c>
      <c r="Q1312" s="267" t="e">
        <f t="shared" si="456"/>
        <v>#DIV/0!</v>
      </c>
      <c r="R1312" s="267" t="e">
        <f t="shared" si="457"/>
        <v>#DIV/0!</v>
      </c>
      <c r="S1312" s="267" t="e">
        <f t="shared" si="458"/>
        <v>#DIV/0!</v>
      </c>
      <c r="Z1312" s="214">
        <f t="shared" si="448"/>
        <v>0</v>
      </c>
      <c r="AA1312" s="214">
        <f t="shared" si="449"/>
        <v>0</v>
      </c>
    </row>
    <row r="1313" spans="1:27">
      <c r="A1313" s="239" t="s">
        <v>519</v>
      </c>
      <c r="B1313" s="319"/>
      <c r="C1313" s="320"/>
      <c r="D1313" s="320"/>
      <c r="E1313" s="316"/>
      <c r="F1313" s="316"/>
      <c r="G1313" s="321"/>
      <c r="H1313" s="319"/>
      <c r="I1313" s="319"/>
      <c r="K1313" s="239" t="s">
        <v>519</v>
      </c>
      <c r="L1313" s="239"/>
      <c r="M1313" s="267"/>
      <c r="N1313" s="267"/>
      <c r="O1313" s="239"/>
      <c r="P1313" s="267"/>
      <c r="Q1313" s="267"/>
      <c r="R1313" s="267"/>
      <c r="S1313" s="267"/>
      <c r="Z1313" s="214">
        <f t="shared" si="448"/>
        <v>0</v>
      </c>
      <c r="AA1313" s="214">
        <f t="shared" si="449"/>
        <v>0</v>
      </c>
    </row>
    <row r="1314" spans="1:27">
      <c r="A1314" s="282" t="s">
        <v>169</v>
      </c>
      <c r="B1314" s="326">
        <f>(B1293+B1295)</f>
        <v>1225.6400000000001</v>
      </c>
      <c r="C1314" s="326">
        <f t="shared" ref="C1314:I1314" si="459">(C1293+C1295)</f>
        <v>1588.1</v>
      </c>
      <c r="D1314" s="326">
        <f t="shared" si="459"/>
        <v>4503.58</v>
      </c>
      <c r="E1314" s="326">
        <f t="shared" si="459"/>
        <v>3168.0263390791456</v>
      </c>
      <c r="F1314" s="326">
        <f t="shared" si="459"/>
        <v>5033.7129999999997</v>
      </c>
      <c r="G1314" s="327">
        <f t="shared" si="459"/>
        <v>47575.670400000003</v>
      </c>
      <c r="H1314" s="326">
        <f t="shared" si="459"/>
        <v>103966.21434265701</v>
      </c>
      <c r="I1314" s="326">
        <f t="shared" si="459"/>
        <v>53</v>
      </c>
      <c r="K1314" s="328" t="s">
        <v>169</v>
      </c>
      <c r="L1314" s="282">
        <f>B1314/I1314</f>
        <v>23.125283018867925</v>
      </c>
      <c r="M1314" s="281">
        <f>D1314/I1314</f>
        <v>84.973207547169807</v>
      </c>
      <c r="N1314" s="281">
        <f>D1314/B1314</f>
        <v>3.6744721125289641</v>
      </c>
      <c r="O1314" s="282">
        <f>(F1314*3.6+G1314)*100/H1314</f>
        <v>63.190756358091917</v>
      </c>
      <c r="P1314" s="282">
        <f>(E1314*3.6+G1314)*100/H1314</f>
        <v>56.730511535501194</v>
      </c>
      <c r="Q1314" s="281">
        <f>E1314/(B1314*8760)*1000</f>
        <v>0.2950677542839929</v>
      </c>
      <c r="R1314" s="281">
        <f>G1314/(D1314*8761)*1000/3.6</f>
        <v>0.33494295987845241</v>
      </c>
      <c r="S1314" s="281">
        <f>G1314/(E1314*3.6)</f>
        <v>4.1715132974056512</v>
      </c>
      <c r="Z1314" s="214">
        <f t="shared" si="448"/>
        <v>362.45999999999981</v>
      </c>
      <c r="AA1314" s="214">
        <f t="shared" si="449"/>
        <v>1865.6866609208541</v>
      </c>
    </row>
    <row r="1316" spans="1:27">
      <c r="A1316" s="251" t="s">
        <v>520</v>
      </c>
      <c r="B1316" s="227" t="s">
        <v>476</v>
      </c>
      <c r="C1316" s="228"/>
      <c r="D1316" s="286"/>
      <c r="E1316" s="227" t="s">
        <v>521</v>
      </c>
      <c r="F1316" s="228"/>
      <c r="G1316" s="286"/>
      <c r="H1316" s="200" t="s">
        <v>138</v>
      </c>
      <c r="I1316" s="200" t="s">
        <v>478</v>
      </c>
    </row>
    <row r="1317" spans="1:27">
      <c r="A1317" s="239"/>
      <c r="B1317" s="243" t="s">
        <v>88</v>
      </c>
      <c r="C1317" s="243"/>
      <c r="D1317" s="241" t="s">
        <v>34</v>
      </c>
      <c r="E1317" s="243" t="s">
        <v>88</v>
      </c>
      <c r="F1317" s="243"/>
      <c r="G1317" s="241" t="s">
        <v>34</v>
      </c>
      <c r="H1317" s="241" t="s">
        <v>170</v>
      </c>
      <c r="I1317" s="241" t="s">
        <v>483</v>
      </c>
    </row>
    <row r="1318" spans="1:27">
      <c r="A1318" s="239"/>
      <c r="B1318" s="252" t="s">
        <v>0</v>
      </c>
      <c r="C1318" s="252" t="s">
        <v>489</v>
      </c>
      <c r="D1318" s="252" t="s">
        <v>490</v>
      </c>
      <c r="E1318" s="252" t="s">
        <v>491</v>
      </c>
      <c r="F1318" s="252" t="s">
        <v>489</v>
      </c>
      <c r="G1318" s="252" t="s">
        <v>490</v>
      </c>
      <c r="H1318" s="248"/>
      <c r="I1318" s="241" t="s">
        <v>492</v>
      </c>
    </row>
    <row r="1319" spans="1:27">
      <c r="A1319" s="239"/>
      <c r="B1319" s="257" t="s">
        <v>496</v>
      </c>
      <c r="C1319" s="256" t="s">
        <v>496</v>
      </c>
      <c r="D1319" s="252" t="s">
        <v>496</v>
      </c>
      <c r="E1319" s="329" t="s">
        <v>473</v>
      </c>
      <c r="F1319" s="329" t="s">
        <v>473</v>
      </c>
      <c r="G1319" s="252" t="s">
        <v>496</v>
      </c>
      <c r="H1319" s="257" t="s">
        <v>497</v>
      </c>
      <c r="I1319" s="257" t="s">
        <v>498</v>
      </c>
    </row>
    <row r="1320" spans="1:27">
      <c r="A1320" s="251" t="s">
        <v>522</v>
      </c>
      <c r="B1320" s="389"/>
      <c r="C1320" s="389"/>
      <c r="D1320" s="200"/>
      <c r="E1320" s="389"/>
      <c r="F1320" s="389"/>
      <c r="G1320" s="200"/>
      <c r="H1320" s="200"/>
      <c r="I1320" s="200"/>
    </row>
    <row r="1321" spans="1:27">
      <c r="A1321" s="239" t="s">
        <v>523</v>
      </c>
      <c r="B1321" s="216"/>
      <c r="C1321" s="204">
        <v>671</v>
      </c>
      <c r="D1321" s="204">
        <v>1473</v>
      </c>
      <c r="E1321" s="216"/>
      <c r="F1321" s="204"/>
      <c r="G1321" s="204"/>
      <c r="H1321" s="202"/>
      <c r="I1321" s="216">
        <v>16</v>
      </c>
    </row>
    <row r="1322" spans="1:27">
      <c r="A1322" s="239" t="s">
        <v>524</v>
      </c>
      <c r="B1322" s="216"/>
      <c r="C1322" s="204">
        <v>3</v>
      </c>
      <c r="D1322" s="204">
        <v>21</v>
      </c>
      <c r="E1322" s="216"/>
      <c r="F1322" s="204"/>
      <c r="G1322" s="204"/>
      <c r="H1322" s="202"/>
      <c r="I1322" s="216">
        <v>1</v>
      </c>
    </row>
    <row r="1323" spans="1:27">
      <c r="A1323" s="239" t="s">
        <v>525</v>
      </c>
      <c r="B1323" s="216"/>
      <c r="C1323" s="204">
        <v>245</v>
      </c>
      <c r="D1323" s="204">
        <v>898</v>
      </c>
      <c r="E1323" s="216"/>
      <c r="F1323" s="204"/>
      <c r="G1323" s="204"/>
      <c r="H1323" s="202"/>
      <c r="I1323" s="216">
        <v>11</v>
      </c>
    </row>
    <row r="1324" spans="1:27">
      <c r="A1324" s="239" t="s">
        <v>267</v>
      </c>
      <c r="B1324" s="216"/>
      <c r="C1324" s="204"/>
      <c r="D1324" s="204"/>
      <c r="E1324" s="216"/>
      <c r="F1324" s="204"/>
      <c r="G1324" s="204"/>
      <c r="H1324" s="202"/>
      <c r="I1324" s="216"/>
    </row>
    <row r="1325" spans="1:27">
      <c r="A1325" s="312" t="s">
        <v>526</v>
      </c>
      <c r="B1325" s="391"/>
      <c r="C1325" s="391"/>
      <c r="D1325" s="205"/>
      <c r="E1325" s="391"/>
      <c r="F1325" s="391"/>
      <c r="G1325" s="205"/>
      <c r="H1325" s="205"/>
      <c r="I1325" s="391"/>
    </row>
    <row r="1326" spans="1:27">
      <c r="A1326" s="239" t="s">
        <v>527</v>
      </c>
      <c r="B1326" s="216"/>
      <c r="C1326" s="204">
        <v>36</v>
      </c>
      <c r="D1326" s="204">
        <v>153</v>
      </c>
      <c r="E1326" s="216"/>
      <c r="F1326" s="204"/>
      <c r="G1326" s="204"/>
      <c r="H1326" s="202"/>
      <c r="I1326" s="216">
        <v>2</v>
      </c>
    </row>
    <row r="1327" spans="1:27">
      <c r="A1327" s="239" t="s">
        <v>528</v>
      </c>
      <c r="B1327" s="204"/>
      <c r="C1327" s="204">
        <v>512</v>
      </c>
      <c r="D1327" s="204">
        <v>1447</v>
      </c>
      <c r="E1327" s="204"/>
      <c r="F1327" s="204"/>
      <c r="G1327" s="204"/>
      <c r="H1327" s="202"/>
      <c r="I1327" s="204">
        <v>16</v>
      </c>
    </row>
    <row r="1328" spans="1:27">
      <c r="A1328" s="239" t="s">
        <v>529</v>
      </c>
      <c r="B1328" s="204"/>
      <c r="C1328" s="204">
        <v>121</v>
      </c>
      <c r="D1328" s="204">
        <v>512</v>
      </c>
      <c r="E1328" s="204"/>
      <c r="F1328" s="204"/>
      <c r="G1328" s="204"/>
      <c r="H1328" s="202"/>
      <c r="I1328" s="204">
        <v>7</v>
      </c>
    </row>
    <row r="1329" spans="1:27">
      <c r="A1329" s="239" t="s">
        <v>530</v>
      </c>
      <c r="B1329" s="204"/>
      <c r="C1329" s="204"/>
      <c r="D1329" s="204"/>
      <c r="E1329" s="204"/>
      <c r="F1329" s="204"/>
      <c r="G1329" s="204"/>
      <c r="H1329" s="202"/>
      <c r="I1329" s="204"/>
    </row>
    <row r="1330" spans="1:27">
      <c r="A1330" s="282" t="s">
        <v>169</v>
      </c>
      <c r="B1330" s="468">
        <v>1225.6400000000001</v>
      </c>
      <c r="C1330" s="360">
        <v>1588.1</v>
      </c>
      <c r="D1330" s="360">
        <v>4503.58</v>
      </c>
      <c r="E1330" s="468">
        <v>3168.0263390791456</v>
      </c>
      <c r="F1330" s="468">
        <v>5033.7129999999997</v>
      </c>
      <c r="G1330" s="468">
        <v>47575.670400000003</v>
      </c>
      <c r="H1330" s="468">
        <v>103966.21434265701</v>
      </c>
      <c r="I1330" s="360">
        <v>53</v>
      </c>
    </row>
    <row r="1331" spans="1:27">
      <c r="D1331" s="220"/>
    </row>
    <row r="1332" spans="1:27">
      <c r="D1332" s="220"/>
      <c r="S1332" s="345"/>
    </row>
    <row r="1333" spans="1:27">
      <c r="A1333" s="221" t="s">
        <v>215</v>
      </c>
      <c r="D1333" s="220"/>
      <c r="I1333" s="221">
        <v>2002</v>
      </c>
      <c r="K1333" s="221" t="str">
        <f>+A1333</f>
        <v>Czech Republic</v>
      </c>
      <c r="M1333" s="220"/>
      <c r="S1333" s="221">
        <v>2002</v>
      </c>
    </row>
    <row r="1334" spans="1:27" ht="13.5" thickBot="1"/>
    <row r="1335" spans="1:27">
      <c r="A1335" s="346" t="s">
        <v>475</v>
      </c>
      <c r="B1335" s="233" t="s">
        <v>476</v>
      </c>
      <c r="C1335" s="233"/>
      <c r="D1335" s="234"/>
      <c r="E1335" s="235" t="s">
        <v>477</v>
      </c>
      <c r="F1335" s="233"/>
      <c r="G1335" s="236"/>
      <c r="H1335" s="347" t="s">
        <v>138</v>
      </c>
      <c r="I1335" s="348" t="s">
        <v>478</v>
      </c>
      <c r="J1335" s="230"/>
      <c r="K1335" s="231" t="s">
        <v>475</v>
      </c>
      <c r="L1335" s="232" t="s">
        <v>479</v>
      </c>
      <c r="M1335" s="233"/>
      <c r="N1335" s="234"/>
      <c r="O1335" s="235" t="s">
        <v>480</v>
      </c>
      <c r="P1335" s="233"/>
      <c r="Q1335" s="233"/>
      <c r="R1335" s="236"/>
      <c r="S1335" s="237"/>
    </row>
    <row r="1336" spans="1:27">
      <c r="A1336" s="266"/>
      <c r="B1336" s="240" t="s">
        <v>9</v>
      </c>
      <c r="C1336" s="240"/>
      <c r="D1336" s="241" t="s">
        <v>34</v>
      </c>
      <c r="E1336" s="242" t="s">
        <v>88</v>
      </c>
      <c r="F1336" s="243"/>
      <c r="G1336" s="244" t="s">
        <v>34</v>
      </c>
      <c r="H1336" s="241" t="s">
        <v>170</v>
      </c>
      <c r="I1336" s="349" t="s">
        <v>483</v>
      </c>
      <c r="J1336" s="230"/>
      <c r="K1336" s="245"/>
      <c r="L1336" s="246" t="s">
        <v>484</v>
      </c>
      <c r="M1336" s="247"/>
      <c r="N1336" s="248" t="s">
        <v>485</v>
      </c>
      <c r="O1336" s="248" t="s">
        <v>486</v>
      </c>
      <c r="P1336" s="248" t="s">
        <v>486</v>
      </c>
      <c r="Q1336" s="247" t="s">
        <v>487</v>
      </c>
      <c r="R1336" s="249"/>
      <c r="S1336" s="250" t="s">
        <v>485</v>
      </c>
      <c r="U1336" s="214" t="str">
        <f>A1333</f>
        <v>Czech Republic</v>
      </c>
    </row>
    <row r="1337" spans="1:27">
      <c r="A1337" s="350" t="s">
        <v>488</v>
      </c>
      <c r="B1337" s="252" t="s">
        <v>0</v>
      </c>
      <c r="C1337" s="469" t="s">
        <v>489</v>
      </c>
      <c r="D1337" s="252" t="s">
        <v>490</v>
      </c>
      <c r="E1337" s="252" t="s">
        <v>491</v>
      </c>
      <c r="F1337" s="469" t="s">
        <v>489</v>
      </c>
      <c r="G1337" s="230" t="s">
        <v>490</v>
      </c>
      <c r="H1337" s="248"/>
      <c r="I1337" s="349" t="s">
        <v>492</v>
      </c>
      <c r="J1337" s="230"/>
      <c r="K1337" s="253" t="s">
        <v>488</v>
      </c>
      <c r="L1337" s="254" t="s">
        <v>88</v>
      </c>
      <c r="M1337" s="252" t="s">
        <v>34</v>
      </c>
      <c r="N1337" s="252" t="s">
        <v>493</v>
      </c>
      <c r="O1337" s="248" t="s">
        <v>494</v>
      </c>
      <c r="P1337" s="248" t="s">
        <v>495</v>
      </c>
      <c r="Q1337" s="230" t="s">
        <v>88</v>
      </c>
      <c r="R1337" s="248" t="s">
        <v>34</v>
      </c>
      <c r="S1337" s="255" t="s">
        <v>88</v>
      </c>
      <c r="U1337" s="214" t="s">
        <v>547</v>
      </c>
      <c r="V1337" s="214">
        <f>G1365/1000</f>
        <v>53.59</v>
      </c>
    </row>
    <row r="1338" spans="1:27">
      <c r="A1338" s="266"/>
      <c r="B1338" s="252" t="s">
        <v>496</v>
      </c>
      <c r="C1338" s="469" t="s">
        <v>496</v>
      </c>
      <c r="D1338" s="252" t="s">
        <v>496</v>
      </c>
      <c r="E1338" s="256" t="s">
        <v>473</v>
      </c>
      <c r="F1338" s="470" t="s">
        <v>473</v>
      </c>
      <c r="G1338" s="230" t="s">
        <v>451</v>
      </c>
      <c r="H1338" s="257" t="s">
        <v>497</v>
      </c>
      <c r="I1338" s="351" t="s">
        <v>498</v>
      </c>
      <c r="J1338" s="230"/>
      <c r="K1338" s="245"/>
      <c r="L1338" s="258" t="s">
        <v>496</v>
      </c>
      <c r="M1338" s="256" t="s">
        <v>496</v>
      </c>
      <c r="N1338" s="256"/>
      <c r="O1338" s="257" t="s">
        <v>79</v>
      </c>
      <c r="P1338" s="257" t="s">
        <v>79</v>
      </c>
      <c r="Q1338" s="259"/>
      <c r="R1338" s="257"/>
      <c r="S1338" s="260"/>
      <c r="U1338" s="214" t="s">
        <v>548</v>
      </c>
      <c r="V1338" s="214">
        <f>G1371/1000</f>
        <v>10.442</v>
      </c>
    </row>
    <row r="1339" spans="1:27">
      <c r="A1339" s="352" t="s">
        <v>262</v>
      </c>
      <c r="B1339" s="201">
        <v>140</v>
      </c>
      <c r="C1339" s="417">
        <v>140</v>
      </c>
      <c r="D1339" s="201">
        <v>194</v>
      </c>
      <c r="E1339" s="202">
        <v>235</v>
      </c>
      <c r="F1339" s="471">
        <v>235</v>
      </c>
      <c r="G1339" s="207">
        <v>1083</v>
      </c>
      <c r="H1339" s="213">
        <v>2096</v>
      </c>
      <c r="I1339" s="363">
        <v>2</v>
      </c>
      <c r="J1339" s="230"/>
      <c r="K1339" s="265" t="s">
        <v>262</v>
      </c>
      <c r="L1339" s="266">
        <f>C1339/I1339</f>
        <v>70</v>
      </c>
      <c r="M1339" s="267">
        <f>D1339/I1339</f>
        <v>97</v>
      </c>
      <c r="N1339" s="267">
        <f>D1339/C1339</f>
        <v>1.3857142857142857</v>
      </c>
      <c r="O1339" s="239">
        <f>(F1339*3.6+G1339)*100/H1339</f>
        <v>92.032442748091597</v>
      </c>
      <c r="P1339" s="239">
        <f>(F1339*3.6+G1339)*100/H1339</f>
        <v>92.032442748091597</v>
      </c>
      <c r="Q1339" s="267">
        <f>F1339/(C1339*8760)*1000</f>
        <v>0.191617742987606</v>
      </c>
      <c r="R1339" s="267">
        <f>G1339/(D1339*8761)*1000/3.6</f>
        <v>0.17699889113381664</v>
      </c>
      <c r="S1339" s="268">
        <f>G1339/(F1339*3.6)</f>
        <v>1.2801418439716312</v>
      </c>
      <c r="U1339" s="214" t="s">
        <v>549</v>
      </c>
      <c r="V1339" s="214">
        <f>G1373/1000</f>
        <v>22.619</v>
      </c>
      <c r="Z1339" s="214">
        <f t="shared" ref="Z1339:Z1344" si="460">C1339-B1339</f>
        <v>0</v>
      </c>
      <c r="AA1339" s="214">
        <f t="shared" ref="AA1339:AA1344" si="461">F1339-E1339</f>
        <v>0</v>
      </c>
    </row>
    <row r="1340" spans="1:27">
      <c r="A1340" s="266" t="s">
        <v>263</v>
      </c>
      <c r="B1340" s="204">
        <v>593</v>
      </c>
      <c r="C1340" s="418">
        <v>593</v>
      </c>
      <c r="D1340" s="204">
        <v>4986</v>
      </c>
      <c r="E1340" s="202">
        <v>2119</v>
      </c>
      <c r="F1340" s="471">
        <v>2119</v>
      </c>
      <c r="G1340" s="206">
        <v>44170</v>
      </c>
      <c r="H1340" s="202">
        <v>59468</v>
      </c>
      <c r="I1340" s="363">
        <v>51</v>
      </c>
      <c r="J1340" s="230"/>
      <c r="K1340" s="245" t="s">
        <v>263</v>
      </c>
      <c r="L1340" s="266">
        <f>C1340/I1340</f>
        <v>11.627450980392156</v>
      </c>
      <c r="M1340" s="267">
        <f>D1340/I1340</f>
        <v>97.764705882352942</v>
      </c>
      <c r="N1340" s="267">
        <f>D1340/C1340</f>
        <v>8.4080944350758848</v>
      </c>
      <c r="O1340" s="239">
        <f>(F1340*3.6+G1340)*100/H1340</f>
        <v>87.102979753817181</v>
      </c>
      <c r="P1340" s="239">
        <f>(F1340*3.6+G1340)*100/H1340</f>
        <v>87.102979753817181</v>
      </c>
      <c r="Q1340" s="267">
        <f>F1340/(C1340*8760)*1000</f>
        <v>0.40791733080767245</v>
      </c>
      <c r="R1340" s="267">
        <f>G1340/(D1340*8761)*1000/3.6</f>
        <v>0.28087878898364216</v>
      </c>
      <c r="S1340" s="268">
        <f>G1340/(F1340*3.6)</f>
        <v>5.7902050233338569</v>
      </c>
      <c r="U1340" s="214" t="s">
        <v>550</v>
      </c>
      <c r="V1340" s="214">
        <f>G1378/1000</f>
        <v>5.9640000000000004</v>
      </c>
      <c r="Z1340" s="214">
        <f t="shared" si="460"/>
        <v>0</v>
      </c>
      <c r="AA1340" s="214">
        <f t="shared" si="461"/>
        <v>0</v>
      </c>
    </row>
    <row r="1341" spans="1:27">
      <c r="A1341" s="266" t="s">
        <v>499</v>
      </c>
      <c r="B1341" s="204">
        <v>152</v>
      </c>
      <c r="C1341" s="418">
        <v>152</v>
      </c>
      <c r="D1341" s="204">
        <v>547</v>
      </c>
      <c r="E1341" s="202">
        <v>718</v>
      </c>
      <c r="F1341" s="471">
        <v>718</v>
      </c>
      <c r="G1341" s="206">
        <v>8429</v>
      </c>
      <c r="H1341" s="202">
        <v>12546</v>
      </c>
      <c r="I1341" s="363">
        <v>7</v>
      </c>
      <c r="J1341" s="230"/>
      <c r="K1341" s="245" t="s">
        <v>499</v>
      </c>
      <c r="L1341" s="266">
        <f>C1341/I1341</f>
        <v>21.714285714285715</v>
      </c>
      <c r="M1341" s="267">
        <f>D1341/I1341</f>
        <v>78.142857142857139</v>
      </c>
      <c r="N1341" s="267">
        <f>D1341/C1341</f>
        <v>3.5986842105263159</v>
      </c>
      <c r="O1341" s="239">
        <f>(F1341*3.6+G1341)*100/H1341</f>
        <v>87.787342579308145</v>
      </c>
      <c r="P1341" s="239">
        <f>(F1341*3.6+G1341)*100/H1341</f>
        <v>87.787342579308145</v>
      </c>
      <c r="Q1341" s="267">
        <f>F1341/(C1341*8760)*1000</f>
        <v>0.53923335736601785</v>
      </c>
      <c r="R1341" s="267">
        <f>G1341/(D1341*8761)*1000/3.6</f>
        <v>0.48857646890060358</v>
      </c>
      <c r="S1341" s="268">
        <f>G1341/(F1341*3.6)</f>
        <v>3.260987310430207</v>
      </c>
      <c r="U1341" s="214" t="s">
        <v>551</v>
      </c>
      <c r="V1341" s="214">
        <f>G1369/1000</f>
        <v>1.0820000000000001</v>
      </c>
      <c r="Z1341" s="214">
        <f t="shared" si="460"/>
        <v>0</v>
      </c>
      <c r="AA1341" s="214">
        <f t="shared" si="461"/>
        <v>0</v>
      </c>
    </row>
    <row r="1342" spans="1:27">
      <c r="A1342" s="266" t="s">
        <v>265</v>
      </c>
      <c r="B1342" s="204">
        <v>67</v>
      </c>
      <c r="C1342" s="418">
        <v>67</v>
      </c>
      <c r="D1342" s="204">
        <v>91</v>
      </c>
      <c r="E1342" s="202">
        <v>80</v>
      </c>
      <c r="F1342" s="471">
        <v>80</v>
      </c>
      <c r="G1342" s="206">
        <v>503</v>
      </c>
      <c r="H1342" s="202">
        <v>1008</v>
      </c>
      <c r="I1342" s="363">
        <v>3</v>
      </c>
      <c r="J1342" s="230"/>
      <c r="K1342" s="245" t="s">
        <v>265</v>
      </c>
      <c r="L1342" s="266">
        <f>C1342/I1342</f>
        <v>22.333333333333332</v>
      </c>
      <c r="M1342" s="267">
        <f>D1342/I1342</f>
        <v>30.333333333333332</v>
      </c>
      <c r="N1342" s="267">
        <f>D1342/C1342</f>
        <v>1.3582089552238805</v>
      </c>
      <c r="O1342" s="239">
        <f>(F1342*3.6+G1342)*100/H1342</f>
        <v>78.472222222222229</v>
      </c>
      <c r="P1342" s="239">
        <f>(F1342*3.6+G1342)*100/H1342</f>
        <v>78.472222222222229</v>
      </c>
      <c r="Q1342" s="267">
        <f>F1342/(C1342*8760)*1000</f>
        <v>0.13630477748245076</v>
      </c>
      <c r="R1342" s="267">
        <f>G1342/(D1342*8761)*1000/3.6</f>
        <v>0.17525499776384379</v>
      </c>
      <c r="S1342" s="268">
        <f>G1342/(F1342*3.6)</f>
        <v>1.7465277777777777</v>
      </c>
      <c r="U1342" s="214" t="s">
        <v>552</v>
      </c>
      <c r="V1342" s="214">
        <f>(G1366+G1367+G1368+G1370+G1372+G1374+G1375+G1376+G1377+G1379+G1380+G1381+G1382+G1383)/1000</f>
        <v>13.483000000000001</v>
      </c>
      <c r="Z1342" s="214">
        <f t="shared" si="460"/>
        <v>0</v>
      </c>
      <c r="AA1342" s="214">
        <f t="shared" si="461"/>
        <v>0</v>
      </c>
    </row>
    <row r="1343" spans="1:27">
      <c r="A1343" s="266" t="s">
        <v>266</v>
      </c>
      <c r="B1343" s="204">
        <v>51</v>
      </c>
      <c r="C1343" s="418">
        <v>51</v>
      </c>
      <c r="D1343" s="204">
        <v>185</v>
      </c>
      <c r="E1343" s="202">
        <v>193</v>
      </c>
      <c r="F1343" s="471">
        <v>193</v>
      </c>
      <c r="G1343" s="206">
        <v>1717</v>
      </c>
      <c r="H1343" s="202">
        <v>2796</v>
      </c>
      <c r="I1343" s="363">
        <v>92</v>
      </c>
      <c r="J1343" s="230"/>
      <c r="K1343" s="245" t="s">
        <v>266</v>
      </c>
      <c r="L1343" s="266">
        <f>C1343/I1343</f>
        <v>0.55434782608695654</v>
      </c>
      <c r="M1343" s="267">
        <f>D1343/I1343</f>
        <v>2.0108695652173911</v>
      </c>
      <c r="N1343" s="267">
        <f>D1343/C1343</f>
        <v>3.6274509803921569</v>
      </c>
      <c r="O1343" s="239">
        <f>(F1343*3.6+G1343)*100/H1343</f>
        <v>86.258941344778265</v>
      </c>
      <c r="P1343" s="239">
        <f>(F1343*3.6+G1343)*100/H1343</f>
        <v>86.258941344778265</v>
      </c>
      <c r="Q1343" s="267">
        <f>F1343/(C1343*8760)*1000</f>
        <v>0.43199928373175756</v>
      </c>
      <c r="R1343" s="267">
        <f>G1343/(D1343*8761)*1000/3.6</f>
        <v>0.29426755827851592</v>
      </c>
      <c r="S1343" s="268">
        <f>G1343/(F1343*3.6)</f>
        <v>2.4712147380541158</v>
      </c>
      <c r="Z1343" s="214">
        <f t="shared" si="460"/>
        <v>0</v>
      </c>
      <c r="AA1343" s="214">
        <f t="shared" si="461"/>
        <v>0</v>
      </c>
    </row>
    <row r="1344" spans="1:27">
      <c r="A1344" s="353" t="s">
        <v>267</v>
      </c>
      <c r="B1344" s="210"/>
      <c r="C1344" s="420"/>
      <c r="D1344" s="210"/>
      <c r="E1344" s="210"/>
      <c r="F1344" s="420"/>
      <c r="G1344" s="210"/>
      <c r="H1344" s="210"/>
      <c r="I1344" s="210"/>
      <c r="J1344" s="230"/>
      <c r="K1344" s="245" t="s">
        <v>267</v>
      </c>
      <c r="L1344" s="266"/>
      <c r="M1344" s="267"/>
      <c r="N1344" s="267"/>
      <c r="O1344" s="239"/>
      <c r="P1344" s="272"/>
      <c r="Q1344" s="272"/>
      <c r="R1344" s="274"/>
      <c r="S1344" s="275"/>
      <c r="U1344" s="214" t="s">
        <v>553</v>
      </c>
      <c r="V1344" s="214">
        <f>H1365/1000</f>
        <v>127.901</v>
      </c>
      <c r="Z1344" s="214">
        <f t="shared" si="460"/>
        <v>0</v>
      </c>
      <c r="AA1344" s="214">
        <f t="shared" si="461"/>
        <v>0</v>
      </c>
    </row>
    <row r="1345" spans="1:27">
      <c r="A1345" s="276" t="s">
        <v>500</v>
      </c>
      <c r="B1345" s="277">
        <f t="shared" ref="B1345:I1345" si="462">SUM(B1339:B1344)</f>
        <v>1003</v>
      </c>
      <c r="C1345" s="464">
        <f t="shared" si="462"/>
        <v>1003</v>
      </c>
      <c r="D1345" s="277">
        <f t="shared" si="462"/>
        <v>6003</v>
      </c>
      <c r="E1345" s="277">
        <f t="shared" si="462"/>
        <v>3345</v>
      </c>
      <c r="F1345" s="464">
        <f t="shared" si="462"/>
        <v>3345</v>
      </c>
      <c r="G1345" s="277">
        <f t="shared" si="462"/>
        <v>55902</v>
      </c>
      <c r="H1345" s="277">
        <f t="shared" si="462"/>
        <v>77914</v>
      </c>
      <c r="I1345" s="278">
        <f t="shared" si="462"/>
        <v>155</v>
      </c>
      <c r="J1345" s="244"/>
      <c r="K1345" s="279" t="s">
        <v>169</v>
      </c>
      <c r="L1345" s="280">
        <f>C1345/I1345</f>
        <v>6.4709677419354836</v>
      </c>
      <c r="M1345" s="281">
        <f>D1345/I1345</f>
        <v>38.729032258064514</v>
      </c>
      <c r="N1345" s="281">
        <f>D1345/C1345</f>
        <v>5.9850448654037889</v>
      </c>
      <c r="O1345" s="282">
        <f>(F1345*3.6+G1345)*100/H1345</f>
        <v>87.203840131426958</v>
      </c>
      <c r="P1345" s="282">
        <f>(F1345*3.6+G1345)*100/H1345</f>
        <v>87.203840131426958</v>
      </c>
      <c r="Q1345" s="283">
        <f>F1345/(C1345*8760)*1000</f>
        <v>0.38070719348802906</v>
      </c>
      <c r="R1345" s="283">
        <f>G1345/(D1345*8761)*1000/3.6</f>
        <v>0.29525878032967939</v>
      </c>
      <c r="S1345" s="284">
        <f>G1345/(F1345*3.6)</f>
        <v>4.6422521175884404</v>
      </c>
      <c r="U1345" s="214" t="s">
        <v>554</v>
      </c>
      <c r="V1345" s="214">
        <f>H1371/1000</f>
        <v>26.097999999999999</v>
      </c>
    </row>
    <row r="1346" spans="1:27">
      <c r="A1346" s="285" t="s">
        <v>501</v>
      </c>
      <c r="B1346" s="228" t="s">
        <v>476</v>
      </c>
      <c r="C1346" s="228"/>
      <c r="D1346" s="286"/>
      <c r="E1346" s="227" t="s">
        <v>477</v>
      </c>
      <c r="F1346" s="228"/>
      <c r="G1346" s="229"/>
      <c r="H1346" s="200" t="s">
        <v>138</v>
      </c>
      <c r="I1346" s="354" t="s">
        <v>478</v>
      </c>
      <c r="J1346" s="244"/>
      <c r="K1346" s="287" t="s">
        <v>501</v>
      </c>
      <c r="L1346" s="288" t="s">
        <v>479</v>
      </c>
      <c r="M1346" s="228"/>
      <c r="N1346" s="286"/>
      <c r="O1346" s="227" t="s">
        <v>480</v>
      </c>
      <c r="P1346" s="228"/>
      <c r="Q1346" s="228"/>
      <c r="R1346" s="229"/>
      <c r="S1346" s="289"/>
      <c r="U1346" s="214" t="s">
        <v>555</v>
      </c>
      <c r="V1346" s="214">
        <f>H1373/1000</f>
        <v>47.165999999999997</v>
      </c>
    </row>
    <row r="1347" spans="1:27">
      <c r="A1347" s="266"/>
      <c r="B1347" s="240" t="s">
        <v>481</v>
      </c>
      <c r="C1347" s="240"/>
      <c r="D1347" s="241" t="s">
        <v>34</v>
      </c>
      <c r="E1347" s="242" t="s">
        <v>482</v>
      </c>
      <c r="F1347" s="243"/>
      <c r="G1347" s="244" t="s">
        <v>34</v>
      </c>
      <c r="H1347" s="241" t="s">
        <v>170</v>
      </c>
      <c r="I1347" s="349" t="s">
        <v>483</v>
      </c>
      <c r="J1347" s="244"/>
      <c r="K1347" s="245"/>
      <c r="L1347" s="246" t="s">
        <v>484</v>
      </c>
      <c r="M1347" s="247"/>
      <c r="N1347" s="248" t="s">
        <v>485</v>
      </c>
      <c r="O1347" s="248" t="s">
        <v>486</v>
      </c>
      <c r="P1347" s="248" t="s">
        <v>486</v>
      </c>
      <c r="Q1347" s="247" t="s">
        <v>487</v>
      </c>
      <c r="R1347" s="249"/>
      <c r="S1347" s="250" t="s">
        <v>485</v>
      </c>
      <c r="U1347" s="214" t="s">
        <v>556</v>
      </c>
      <c r="V1347" s="214">
        <f>H1378/1000</f>
        <v>8.0690000000000008</v>
      </c>
    </row>
    <row r="1348" spans="1:27">
      <c r="A1348" s="350" t="s">
        <v>488</v>
      </c>
      <c r="B1348" s="252" t="s">
        <v>0</v>
      </c>
      <c r="C1348" s="252" t="s">
        <v>489</v>
      </c>
      <c r="D1348" s="252" t="s">
        <v>490</v>
      </c>
      <c r="E1348" s="252" t="s">
        <v>491</v>
      </c>
      <c r="F1348" s="252" t="s">
        <v>489</v>
      </c>
      <c r="G1348" s="230" t="s">
        <v>490</v>
      </c>
      <c r="H1348" s="248"/>
      <c r="I1348" s="349" t="s">
        <v>492</v>
      </c>
      <c r="J1348" s="244"/>
      <c r="K1348" s="253" t="s">
        <v>488</v>
      </c>
      <c r="L1348" s="254" t="s">
        <v>88</v>
      </c>
      <c r="M1348" s="252" t="s">
        <v>34</v>
      </c>
      <c r="N1348" s="252" t="s">
        <v>493</v>
      </c>
      <c r="O1348" s="248" t="s">
        <v>494</v>
      </c>
      <c r="P1348" s="248" t="s">
        <v>495</v>
      </c>
      <c r="Q1348" s="230" t="s">
        <v>88</v>
      </c>
      <c r="R1348" s="248" t="s">
        <v>34</v>
      </c>
      <c r="S1348" s="255" t="s">
        <v>88</v>
      </c>
      <c r="U1348" s="214" t="s">
        <v>557</v>
      </c>
      <c r="V1348" s="214">
        <f>H1369/1000</f>
        <v>1.2849999999999999</v>
      </c>
    </row>
    <row r="1349" spans="1:27">
      <c r="A1349" s="266"/>
      <c r="B1349" s="252" t="s">
        <v>496</v>
      </c>
      <c r="C1349" s="252" t="s">
        <v>496</v>
      </c>
      <c r="D1349" s="252" t="s">
        <v>496</v>
      </c>
      <c r="E1349" s="256" t="s">
        <v>473</v>
      </c>
      <c r="F1349" s="256" t="s">
        <v>473</v>
      </c>
      <c r="G1349" s="230" t="s">
        <v>451</v>
      </c>
      <c r="H1349" s="257" t="s">
        <v>497</v>
      </c>
      <c r="I1349" s="351" t="s">
        <v>498</v>
      </c>
      <c r="J1349" s="244"/>
      <c r="K1349" s="245"/>
      <c r="L1349" s="258" t="s">
        <v>496</v>
      </c>
      <c r="M1349" s="256" t="s">
        <v>496</v>
      </c>
      <c r="N1349" s="256"/>
      <c r="O1349" s="257" t="s">
        <v>79</v>
      </c>
      <c r="P1349" s="257" t="s">
        <v>79</v>
      </c>
      <c r="Q1349" s="259"/>
      <c r="R1349" s="257"/>
      <c r="S1349" s="260"/>
      <c r="U1349" s="214" t="s">
        <v>558</v>
      </c>
      <c r="V1349" s="214">
        <f>(H1366+H1367+H1368+H1370+H1372+H1374+H1375+H1376+H1377+H1379+H1380+H1381+H1382+H1383)/1000</f>
        <v>45.283000000000001</v>
      </c>
    </row>
    <row r="1350" spans="1:27">
      <c r="A1350" s="352" t="s">
        <v>262</v>
      </c>
      <c r="B1350" s="365">
        <v>347</v>
      </c>
      <c r="C1350" s="365">
        <v>347</v>
      </c>
      <c r="D1350" s="365">
        <v>489</v>
      </c>
      <c r="E1350" s="320">
        <v>619</v>
      </c>
      <c r="F1350" s="319">
        <v>1867</v>
      </c>
      <c r="G1350" s="368">
        <v>3322</v>
      </c>
      <c r="H1350" s="369">
        <v>15941</v>
      </c>
      <c r="I1350" s="370">
        <v>4</v>
      </c>
      <c r="J1350" s="244"/>
      <c r="K1350" s="265" t="s">
        <v>262</v>
      </c>
      <c r="L1350" s="266">
        <f>B1350/I1350</f>
        <v>86.75</v>
      </c>
      <c r="M1350" s="267">
        <f>D1350/I1350</f>
        <v>122.25</v>
      </c>
      <c r="N1350" s="267">
        <f>D1350/B1350</f>
        <v>1.4092219020172911</v>
      </c>
      <c r="O1350" s="239">
        <f>(F1350*3.6+G1350)*100/H1350</f>
        <v>63.00232105890472</v>
      </c>
      <c r="P1350" s="267">
        <f>(E1350*3.6+G1350)*100/H1350</f>
        <v>34.81839282353679</v>
      </c>
      <c r="Q1350" s="267">
        <f>E1350/(B1350*8760)*1000</f>
        <v>0.20363717710841789</v>
      </c>
      <c r="R1350" s="267">
        <f>G1350/(D1350*8761)*1000/3.6</f>
        <v>0.21539448923638335</v>
      </c>
      <c r="S1350" s="268">
        <f>G1350/(E1350*3.6)</f>
        <v>1.4907556991563453</v>
      </c>
      <c r="Z1350" s="214">
        <f t="shared" ref="Z1350:Z1357" si="463">C1350-B1350</f>
        <v>0</v>
      </c>
      <c r="AA1350" s="214">
        <f t="shared" ref="AA1350:AA1357" si="464">F1350-E1350</f>
        <v>1248</v>
      </c>
    </row>
    <row r="1351" spans="1:27">
      <c r="A1351" s="266" t="s">
        <v>263</v>
      </c>
      <c r="B1351" s="320">
        <v>691</v>
      </c>
      <c r="C1351" s="320">
        <v>691</v>
      </c>
      <c r="D1351" s="320">
        <v>4767</v>
      </c>
      <c r="E1351" s="320">
        <v>2352</v>
      </c>
      <c r="F1351" s="319">
        <v>2795</v>
      </c>
      <c r="G1351" s="321">
        <v>31457</v>
      </c>
      <c r="H1351" s="319">
        <v>71002</v>
      </c>
      <c r="I1351" s="370">
        <v>40</v>
      </c>
      <c r="J1351" s="244"/>
      <c r="K1351" s="245" t="s">
        <v>263</v>
      </c>
      <c r="L1351" s="266">
        <f>B1351/I1351</f>
        <v>17.274999999999999</v>
      </c>
      <c r="M1351" s="267">
        <f>D1351/I1351</f>
        <v>119.175</v>
      </c>
      <c r="N1351" s="267">
        <f>D1351/B1351</f>
        <v>6.8986975397973946</v>
      </c>
      <c r="O1351" s="239">
        <f>(F1351*3.6+G1351)*100/H1351</f>
        <v>58.475817582603305</v>
      </c>
      <c r="P1351" s="267">
        <f>(E1351*3.6+G1351)*100/H1351</f>
        <v>56.229683670882501</v>
      </c>
      <c r="Q1351" s="267">
        <f>E1351/(B1351*8760)*1000</f>
        <v>0.38855738159903258</v>
      </c>
      <c r="R1351" s="267">
        <f>G1351/(D1351*8761)*1000/3.6</f>
        <v>0.20922615274737488</v>
      </c>
      <c r="S1351" s="268">
        <f>G1351/(E1351*3.6)</f>
        <v>3.7151596749811033</v>
      </c>
      <c r="U1351" s="239" t="s">
        <v>152</v>
      </c>
      <c r="V1351" s="492">
        <f>B1366/1000</f>
        <v>0.48399999999999999</v>
      </c>
      <c r="Z1351" s="214">
        <f t="shared" si="463"/>
        <v>0</v>
      </c>
      <c r="AA1351" s="214">
        <f t="shared" si="464"/>
        <v>443</v>
      </c>
    </row>
    <row r="1352" spans="1:27">
      <c r="A1352" s="266" t="s">
        <v>499</v>
      </c>
      <c r="B1352" s="320">
        <v>3044</v>
      </c>
      <c r="C1352" s="320">
        <v>3044</v>
      </c>
      <c r="D1352" s="320">
        <v>9631</v>
      </c>
      <c r="E1352" s="320">
        <v>6700</v>
      </c>
      <c r="F1352" s="319">
        <v>17434</v>
      </c>
      <c r="G1352" s="321">
        <v>63914</v>
      </c>
      <c r="H1352" s="319">
        <v>250452</v>
      </c>
      <c r="I1352" s="370">
        <v>62</v>
      </c>
      <c r="J1352" s="244"/>
      <c r="K1352" s="245" t="s">
        <v>499</v>
      </c>
      <c r="L1352" s="266">
        <f>B1352/I1352</f>
        <v>49.096774193548384</v>
      </c>
      <c r="M1352" s="267">
        <f>D1352/I1352</f>
        <v>155.33870967741936</v>
      </c>
      <c r="N1352" s="267">
        <f>D1352/B1352</f>
        <v>3.1639290407358738</v>
      </c>
      <c r="O1352" s="239">
        <f>(F1352*3.6+G1352)*100/H1352</f>
        <v>50.579112963761517</v>
      </c>
      <c r="P1352" s="267">
        <f>(E1352*3.6+G1352)*100/H1352</f>
        <v>35.150048711928832</v>
      </c>
      <c r="Q1352" s="267">
        <f>E1352/(B1352*8760)*1000</f>
        <v>0.25126155803166944</v>
      </c>
      <c r="R1352" s="267">
        <f>G1352/(D1352*8761)*1000/3.6</f>
        <v>0.21041099707726568</v>
      </c>
      <c r="S1352" s="268">
        <f>G1352/(E1352*3.6)</f>
        <v>2.6498341625207296</v>
      </c>
      <c r="U1352" s="239" t="s">
        <v>504</v>
      </c>
      <c r="V1352" s="492">
        <f t="shared" ref="V1352:V1368" si="465">B1367/1000</f>
        <v>0</v>
      </c>
      <c r="Z1352" s="214">
        <f t="shared" si="463"/>
        <v>0</v>
      </c>
      <c r="AA1352" s="214">
        <f t="shared" si="464"/>
        <v>10734</v>
      </c>
    </row>
    <row r="1353" spans="1:27">
      <c r="A1353" s="266" t="s">
        <v>265</v>
      </c>
      <c r="B1353" s="320">
        <v>4</v>
      </c>
      <c r="C1353" s="320">
        <v>4</v>
      </c>
      <c r="D1353" s="320">
        <v>8</v>
      </c>
      <c r="E1353" s="320">
        <v>22</v>
      </c>
      <c r="F1353" s="319">
        <v>26</v>
      </c>
      <c r="G1353" s="321">
        <v>194</v>
      </c>
      <c r="H1353" s="319">
        <v>543</v>
      </c>
      <c r="I1353" s="370">
        <v>1</v>
      </c>
      <c r="J1353" s="244"/>
      <c r="K1353" s="245" t="s">
        <v>265</v>
      </c>
      <c r="L1353" s="266">
        <f>B1353/I1353</f>
        <v>4</v>
      </c>
      <c r="M1353" s="267">
        <f>D1353/I1353</f>
        <v>8</v>
      </c>
      <c r="N1353" s="267">
        <f>D1353/B1353</f>
        <v>2</v>
      </c>
      <c r="O1353" s="239">
        <f>(F1353*3.6+G1353)*100/H1353</f>
        <v>52.96500920810314</v>
      </c>
      <c r="P1353" s="267">
        <f>(E1353*3.6+G1353)*100/H1353</f>
        <v>50.313075506445671</v>
      </c>
      <c r="Q1353" s="267">
        <f>E1353/(B1353*8760)*1000</f>
        <v>0.62785388127853881</v>
      </c>
      <c r="R1353" s="267">
        <f>G1353/(D1353*8761)*1000/3.6</f>
        <v>0.76887468452358299</v>
      </c>
      <c r="S1353" s="268">
        <f>G1353/(E1353*3.6)</f>
        <v>2.4494949494949494</v>
      </c>
      <c r="U1353" s="239" t="s">
        <v>505</v>
      </c>
      <c r="V1353" s="492">
        <f t="shared" si="465"/>
        <v>0</v>
      </c>
      <c r="Z1353" s="214">
        <f t="shared" si="463"/>
        <v>0</v>
      </c>
      <c r="AA1353" s="214">
        <f t="shared" si="464"/>
        <v>4</v>
      </c>
    </row>
    <row r="1354" spans="1:27">
      <c r="A1354" s="266" t="s">
        <v>266</v>
      </c>
      <c r="B1354" s="320">
        <v>13</v>
      </c>
      <c r="C1354" s="320">
        <v>14</v>
      </c>
      <c r="D1354" s="320">
        <v>18</v>
      </c>
      <c r="E1354" s="320">
        <v>26</v>
      </c>
      <c r="F1354" s="319">
        <v>37</v>
      </c>
      <c r="G1354" s="321">
        <v>155</v>
      </c>
      <c r="H1354" s="319">
        <v>425</v>
      </c>
      <c r="I1354" s="370">
        <v>17</v>
      </c>
      <c r="J1354" s="244"/>
      <c r="K1354" s="245" t="s">
        <v>266</v>
      </c>
      <c r="L1354" s="266">
        <f>B1354/I1354</f>
        <v>0.76470588235294112</v>
      </c>
      <c r="M1354" s="267">
        <f>D1354/I1354</f>
        <v>1.0588235294117647</v>
      </c>
      <c r="N1354" s="267">
        <f>D1354/B1354</f>
        <v>1.3846153846153846</v>
      </c>
      <c r="O1354" s="239">
        <f>(F1354*3.6+G1354)*100/H1354</f>
        <v>67.811764705882368</v>
      </c>
      <c r="P1354" s="267">
        <f>(E1354*3.6+G1354)*100/H1354</f>
        <v>58.494117647058829</v>
      </c>
      <c r="Q1354" s="267">
        <f>E1354/(B1354*8760)*1000</f>
        <v>0.22831050228310501</v>
      </c>
      <c r="R1354" s="267">
        <f>G1354/(D1354*8761)*1000/3.6</f>
        <v>0.27302537480218869</v>
      </c>
      <c r="S1354" s="268">
        <f>G1354/(E1354*3.6)</f>
        <v>1.6559829059829059</v>
      </c>
      <c r="U1354" s="239" t="s">
        <v>506</v>
      </c>
      <c r="V1354" s="492">
        <f t="shared" si="465"/>
        <v>2E-3</v>
      </c>
      <c r="Z1354" s="214">
        <f t="shared" si="463"/>
        <v>1</v>
      </c>
      <c r="AA1354" s="214">
        <f t="shared" si="464"/>
        <v>11</v>
      </c>
    </row>
    <row r="1355" spans="1:27">
      <c r="A1355" s="353" t="s">
        <v>267</v>
      </c>
      <c r="B1355" s="262"/>
      <c r="C1355" s="262"/>
      <c r="D1355" s="262"/>
      <c r="E1355" s="262"/>
      <c r="F1355" s="262"/>
      <c r="G1355" s="262"/>
      <c r="H1355" s="262"/>
      <c r="I1355" s="355"/>
      <c r="J1355" s="244"/>
      <c r="K1355" s="245" t="s">
        <v>267</v>
      </c>
      <c r="L1355" s="266"/>
      <c r="M1355" s="267"/>
      <c r="N1355" s="267"/>
      <c r="O1355" s="239"/>
      <c r="P1355" s="267"/>
      <c r="Q1355" s="272"/>
      <c r="R1355" s="274"/>
      <c r="S1355" s="275"/>
      <c r="U1355" s="239" t="s">
        <v>507</v>
      </c>
      <c r="V1355" s="492">
        <f t="shared" si="465"/>
        <v>0</v>
      </c>
      <c r="Z1355" s="214">
        <f t="shared" si="463"/>
        <v>0</v>
      </c>
      <c r="AA1355" s="214">
        <f t="shared" si="464"/>
        <v>0</v>
      </c>
    </row>
    <row r="1356" spans="1:27">
      <c r="A1356" s="276" t="s">
        <v>500</v>
      </c>
      <c r="B1356" s="291">
        <f t="shared" ref="B1356:I1356" si="466">SUM(B1350:B1355)</f>
        <v>4099</v>
      </c>
      <c r="C1356" s="291">
        <f t="shared" si="466"/>
        <v>4100</v>
      </c>
      <c r="D1356" s="291">
        <f t="shared" si="466"/>
        <v>14913</v>
      </c>
      <c r="E1356" s="291">
        <f t="shared" si="466"/>
        <v>9719</v>
      </c>
      <c r="F1356" s="291">
        <f t="shared" si="466"/>
        <v>22159</v>
      </c>
      <c r="G1356" s="292">
        <f t="shared" si="466"/>
        <v>99042</v>
      </c>
      <c r="H1356" s="291">
        <f t="shared" si="466"/>
        <v>338363</v>
      </c>
      <c r="I1356" s="293">
        <f t="shared" si="466"/>
        <v>124</v>
      </c>
      <c r="J1356" s="244"/>
      <c r="K1356" s="279" t="s">
        <v>169</v>
      </c>
      <c r="L1356" s="280">
        <f>B1356/I1356</f>
        <v>33.056451612903224</v>
      </c>
      <c r="M1356" s="281">
        <f>D1356/I1356</f>
        <v>120.26612903225806</v>
      </c>
      <c r="N1356" s="281">
        <f>D1356/B1356</f>
        <v>3.6382044401073435</v>
      </c>
      <c r="O1356" s="294">
        <f>(F1356*3.6+G1356)*100/H1356</f>
        <v>52.846912930787362</v>
      </c>
      <c r="P1356" s="295">
        <f>(E1356*3.6+G1356)*100/H1356</f>
        <v>39.611423234809955</v>
      </c>
      <c r="Q1356" s="283">
        <f>E1356/(B1356*8760)*1000</f>
        <v>0.27066964768108043</v>
      </c>
      <c r="R1356" s="283">
        <f>G1356/(D1356*8761)*1000/3.6</f>
        <v>0.21057082696017579</v>
      </c>
      <c r="S1356" s="284">
        <f>G1356/(E1356*3.6)</f>
        <v>2.8307096066124773</v>
      </c>
      <c r="U1356" s="239" t="s">
        <v>156</v>
      </c>
      <c r="V1356" s="492">
        <f t="shared" si="465"/>
        <v>0.221</v>
      </c>
      <c r="Z1356" s="214">
        <f t="shared" si="463"/>
        <v>1</v>
      </c>
      <c r="AA1356" s="214">
        <f t="shared" si="464"/>
        <v>12440</v>
      </c>
    </row>
    <row r="1357" spans="1:27" ht="13.5" thickBot="1">
      <c r="A1357" s="296" t="s">
        <v>502</v>
      </c>
      <c r="B1357" s="297">
        <f t="shared" ref="B1357:I1357" si="467">B1345+B1356</f>
        <v>5102</v>
      </c>
      <c r="C1357" s="297">
        <f t="shared" si="467"/>
        <v>5103</v>
      </c>
      <c r="D1357" s="297">
        <f t="shared" si="467"/>
        <v>20916</v>
      </c>
      <c r="E1357" s="297">
        <f t="shared" si="467"/>
        <v>13064</v>
      </c>
      <c r="F1357" s="297">
        <f t="shared" si="467"/>
        <v>25504</v>
      </c>
      <c r="G1357" s="297">
        <f t="shared" si="467"/>
        <v>154944</v>
      </c>
      <c r="H1357" s="297">
        <f t="shared" si="467"/>
        <v>416277</v>
      </c>
      <c r="I1357" s="298">
        <f t="shared" si="467"/>
        <v>279</v>
      </c>
      <c r="J1357" s="244"/>
      <c r="K1357" s="296" t="s">
        <v>502</v>
      </c>
      <c r="L1357" s="299">
        <f>B1357/I1357</f>
        <v>18.286738351254481</v>
      </c>
      <c r="M1357" s="300">
        <f>D1357/I1357</f>
        <v>74.967741935483872</v>
      </c>
      <c r="N1357" s="300">
        <f>D1357/B1357</f>
        <v>4.099568796550372</v>
      </c>
      <c r="O1357" s="301">
        <f>(F1357*3.6+G1357)*100/H1357</f>
        <v>59.277452273366059</v>
      </c>
      <c r="P1357" s="301">
        <f>(E1357*3.6+G1357)*100/H1357</f>
        <v>48.519231185004216</v>
      </c>
      <c r="Q1357" s="301">
        <f>E1357/(B1357*8760)*1000</f>
        <v>0.29230188179404981</v>
      </c>
      <c r="R1357" s="301">
        <f>G1357/(D1357*8761)*1000/3.6</f>
        <v>0.23487670686441797</v>
      </c>
      <c r="S1357" s="302">
        <f>G1357/(E1357*3.6)</f>
        <v>3.2945499081445191</v>
      </c>
      <c r="U1357" s="239" t="s">
        <v>508</v>
      </c>
      <c r="V1357" s="492">
        <f t="shared" si="465"/>
        <v>0</v>
      </c>
      <c r="Z1357" s="214">
        <f t="shared" si="463"/>
        <v>1</v>
      </c>
      <c r="AA1357" s="214">
        <f t="shared" si="464"/>
        <v>12440</v>
      </c>
    </row>
    <row r="1358" spans="1:27">
      <c r="U1358" s="239" t="s">
        <v>509</v>
      </c>
      <c r="V1358" s="492">
        <f t="shared" si="465"/>
        <v>0.39300000000000002</v>
      </c>
    </row>
    <row r="1359" spans="1:27">
      <c r="A1359" s="251" t="s">
        <v>139</v>
      </c>
      <c r="B1359" s="227" t="s">
        <v>476</v>
      </c>
      <c r="C1359" s="228"/>
      <c r="D1359" s="286"/>
      <c r="E1359" s="227" t="s">
        <v>477</v>
      </c>
      <c r="F1359" s="228"/>
      <c r="G1359" s="229"/>
      <c r="H1359" s="200" t="s">
        <v>138</v>
      </c>
      <c r="I1359" s="200" t="s">
        <v>478</v>
      </c>
      <c r="J1359" s="230"/>
      <c r="K1359" s="303" t="s">
        <v>503</v>
      </c>
      <c r="L1359" s="227" t="s">
        <v>479</v>
      </c>
      <c r="M1359" s="228"/>
      <c r="N1359" s="286"/>
      <c r="O1359" s="227" t="s">
        <v>480</v>
      </c>
      <c r="P1359" s="228"/>
      <c r="Q1359" s="228"/>
      <c r="R1359" s="229"/>
      <c r="S1359" s="286"/>
      <c r="U1359" s="239" t="s">
        <v>510</v>
      </c>
      <c r="V1359" s="492">
        <f t="shared" si="465"/>
        <v>2E-3</v>
      </c>
    </row>
    <row r="1360" spans="1:27">
      <c r="A1360" s="239"/>
      <c r="B1360" s="240" t="s">
        <v>9</v>
      </c>
      <c r="C1360" s="240"/>
      <c r="D1360" s="241" t="s">
        <v>34</v>
      </c>
      <c r="E1360" s="242" t="s">
        <v>88</v>
      </c>
      <c r="F1360" s="243"/>
      <c r="G1360" s="244" t="s">
        <v>34</v>
      </c>
      <c r="H1360" s="241" t="s">
        <v>170</v>
      </c>
      <c r="I1360" s="241" t="s">
        <v>483</v>
      </c>
      <c r="J1360" s="230"/>
      <c r="K1360" s="305"/>
      <c r="L1360" s="306" t="s">
        <v>484</v>
      </c>
      <c r="M1360" s="247"/>
      <c r="N1360" s="248" t="s">
        <v>485</v>
      </c>
      <c r="O1360" s="248" t="s">
        <v>486</v>
      </c>
      <c r="P1360" s="248" t="s">
        <v>486</v>
      </c>
      <c r="Q1360" s="247" t="s">
        <v>487</v>
      </c>
      <c r="R1360" s="249"/>
      <c r="S1360" s="307" t="s">
        <v>485</v>
      </c>
      <c r="U1360" s="239" t="s">
        <v>511</v>
      </c>
      <c r="V1360" s="492">
        <f t="shared" si="465"/>
        <v>0</v>
      </c>
    </row>
    <row r="1361" spans="1:27">
      <c r="A1361" s="239"/>
      <c r="B1361" s="252" t="s">
        <v>0</v>
      </c>
      <c r="C1361" s="252" t="s">
        <v>489</v>
      </c>
      <c r="D1361" s="252" t="s">
        <v>490</v>
      </c>
      <c r="E1361" s="252" t="s">
        <v>491</v>
      </c>
      <c r="F1361" s="252" t="s">
        <v>489</v>
      </c>
      <c r="G1361" s="230" t="s">
        <v>490</v>
      </c>
      <c r="H1361" s="248"/>
      <c r="I1361" s="241" t="s">
        <v>492</v>
      </c>
      <c r="J1361" s="230"/>
      <c r="K1361" s="305"/>
      <c r="L1361" s="248" t="s">
        <v>88</v>
      </c>
      <c r="M1361" s="252" t="s">
        <v>34</v>
      </c>
      <c r="N1361" s="252" t="s">
        <v>493</v>
      </c>
      <c r="O1361" s="248" t="s">
        <v>494</v>
      </c>
      <c r="P1361" s="248" t="s">
        <v>495</v>
      </c>
      <c r="Q1361" s="230" t="s">
        <v>88</v>
      </c>
      <c r="R1361" s="248" t="s">
        <v>34</v>
      </c>
      <c r="S1361" s="252" t="s">
        <v>88</v>
      </c>
      <c r="U1361" s="239" t="s">
        <v>512</v>
      </c>
      <c r="V1361" s="492">
        <f t="shared" si="465"/>
        <v>4.4999999999999998E-2</v>
      </c>
    </row>
    <row r="1362" spans="1:27">
      <c r="A1362" s="239"/>
      <c r="B1362" s="257" t="s">
        <v>496</v>
      </c>
      <c r="C1362" s="256" t="s">
        <v>496</v>
      </c>
      <c r="D1362" s="256" t="s">
        <v>496</v>
      </c>
      <c r="E1362" s="256" t="s">
        <v>473</v>
      </c>
      <c r="F1362" s="257" t="s">
        <v>473</v>
      </c>
      <c r="G1362" s="259" t="s">
        <v>451</v>
      </c>
      <c r="H1362" s="257" t="s">
        <v>497</v>
      </c>
      <c r="I1362" s="257" t="s">
        <v>498</v>
      </c>
      <c r="J1362" s="230"/>
      <c r="K1362" s="305"/>
      <c r="L1362" s="257" t="s">
        <v>496</v>
      </c>
      <c r="M1362" s="256" t="s">
        <v>496</v>
      </c>
      <c r="N1362" s="256"/>
      <c r="O1362" s="257" t="s">
        <v>79</v>
      </c>
      <c r="P1362" s="257" t="s">
        <v>79</v>
      </c>
      <c r="Q1362" s="259"/>
      <c r="R1362" s="257"/>
      <c r="S1362" s="256"/>
      <c r="U1362" s="239" t="s">
        <v>513</v>
      </c>
      <c r="V1362" s="492">
        <f t="shared" si="465"/>
        <v>1.0999999999999999E-2</v>
      </c>
    </row>
    <row r="1363" spans="1:27">
      <c r="A1363" s="251" t="s">
        <v>150</v>
      </c>
      <c r="B1363" s="356">
        <v>3847</v>
      </c>
      <c r="C1363" s="357">
        <v>3848</v>
      </c>
      <c r="D1363" s="358">
        <v>15366</v>
      </c>
      <c r="E1363" s="356">
        <v>9391</v>
      </c>
      <c r="F1363" s="217">
        <v>18949</v>
      </c>
      <c r="G1363" s="219">
        <v>101354</v>
      </c>
      <c r="H1363" s="359">
        <v>288376</v>
      </c>
      <c r="I1363" s="205">
        <v>152</v>
      </c>
      <c r="J1363" s="244"/>
      <c r="K1363" s="303" t="s">
        <v>150</v>
      </c>
      <c r="L1363" s="312">
        <f>B1363/I1363</f>
        <v>25.309210526315791</v>
      </c>
      <c r="M1363" s="313">
        <f>D1363/I1363</f>
        <v>101.09210526315789</v>
      </c>
      <c r="N1363" s="313">
        <f>D1363/B1363</f>
        <v>3.994281258123213</v>
      </c>
      <c r="O1363" s="312">
        <f>(F1363*3.6+G1363)*100/H1363</f>
        <v>58.801842039559475</v>
      </c>
      <c r="P1363" s="313">
        <f>(E1363*3.6+G1363)*100/H1363</f>
        <v>46.869919826892669</v>
      </c>
      <c r="Q1363" s="313">
        <f>E1363/(B1363*8760)*1000</f>
        <v>0.27866700376145559</v>
      </c>
      <c r="R1363" s="313">
        <f>G1363/(D1363*8761)*1000/3.6</f>
        <v>0.2091336335682964</v>
      </c>
      <c r="S1363" s="313">
        <f>G1363/(E1363*3.6)</f>
        <v>2.9979649546255871</v>
      </c>
      <c r="U1363" s="239" t="s">
        <v>514</v>
      </c>
      <c r="V1363" s="492">
        <f t="shared" si="465"/>
        <v>6.2E-2</v>
      </c>
      <c r="Z1363" s="214">
        <f>C1363-B1363</f>
        <v>1</v>
      </c>
      <c r="AA1363" s="214">
        <f>F1363-E1363</f>
        <v>9558</v>
      </c>
    </row>
    <row r="1364" spans="1:27">
      <c r="A1364" s="239"/>
      <c r="B1364" s="252"/>
      <c r="C1364" s="252"/>
      <c r="D1364" s="252"/>
      <c r="E1364" s="267"/>
      <c r="F1364" s="267"/>
      <c r="G1364" s="248"/>
      <c r="H1364" s="252"/>
      <c r="I1364" s="248"/>
      <c r="J1364" s="230"/>
      <c r="K1364" s="239"/>
      <c r="L1364" s="312"/>
      <c r="M1364" s="267"/>
      <c r="N1364" s="267"/>
      <c r="O1364" s="239"/>
      <c r="P1364" s="313"/>
      <c r="Q1364" s="267"/>
      <c r="R1364" s="267"/>
      <c r="S1364" s="239"/>
      <c r="U1364" s="239" t="s">
        <v>515</v>
      </c>
      <c r="V1364" s="492">
        <f t="shared" si="465"/>
        <v>2.1000000000000001E-2</v>
      </c>
      <c r="Z1364" s="214">
        <f t="shared" ref="Z1364:Z1384" si="468">C1364-B1364</f>
        <v>0</v>
      </c>
      <c r="AA1364" s="214">
        <f t="shared" ref="AA1364:AA1384" si="469">F1364-E1364</f>
        <v>0</v>
      </c>
    </row>
    <row r="1365" spans="1:27">
      <c r="A1365" s="312" t="s">
        <v>7</v>
      </c>
      <c r="B1365" s="310">
        <f>SUM(B1366:B1383)</f>
        <v>1255</v>
      </c>
      <c r="C1365" s="310">
        <f t="shared" ref="C1365:I1365" si="470">SUM(C1366:C1383)</f>
        <v>1255</v>
      </c>
      <c r="D1365" s="310">
        <f t="shared" si="470"/>
        <v>5550</v>
      </c>
      <c r="E1365" s="310">
        <f t="shared" si="470"/>
        <v>3673</v>
      </c>
      <c r="F1365" s="310">
        <f t="shared" si="470"/>
        <v>6555</v>
      </c>
      <c r="G1365" s="310">
        <f t="shared" si="470"/>
        <v>53590</v>
      </c>
      <c r="H1365" s="310">
        <f t="shared" si="470"/>
        <v>127901</v>
      </c>
      <c r="I1365" s="310">
        <f t="shared" si="470"/>
        <v>127</v>
      </c>
      <c r="J1365" s="244"/>
      <c r="K1365" s="318" t="s">
        <v>7</v>
      </c>
      <c r="L1365" s="312">
        <f>B1365/I1365</f>
        <v>9.8818897637795278</v>
      </c>
      <c r="M1365" s="313">
        <f>D1365/I1365</f>
        <v>43.7007874015748</v>
      </c>
      <c r="N1365" s="313">
        <f>D1365/B1365</f>
        <v>4.4223107569721112</v>
      </c>
      <c r="O1365" s="312">
        <f t="shared" ref="O1365:O1382" si="471">(F1365*3.6+G1365)*100/H1365</f>
        <v>60.349801799829557</v>
      </c>
      <c r="P1365" s="313">
        <f>(E1365*3.6+G1365)*100/H1365</f>
        <v>52.237902752910458</v>
      </c>
      <c r="Q1365" s="313">
        <f>E1365/(B1365*8760)*1000</f>
        <v>0.33409740035292623</v>
      </c>
      <c r="R1365" s="313">
        <f>G1365/(D1365*8761)*1000/3.6</f>
        <v>0.30615023195778812</v>
      </c>
      <c r="S1365" s="313">
        <f>G1365/(E1365*3.6)</f>
        <v>4.0528481108388537</v>
      </c>
      <c r="U1365" s="239" t="s">
        <v>516</v>
      </c>
      <c r="V1365" s="492">
        <f t="shared" si="465"/>
        <v>6.0000000000000001E-3</v>
      </c>
      <c r="Z1365" s="214">
        <f t="shared" si="468"/>
        <v>0</v>
      </c>
      <c r="AA1365" s="214">
        <f t="shared" si="469"/>
        <v>2882</v>
      </c>
    </row>
    <row r="1366" spans="1:27">
      <c r="A1366" s="239" t="s">
        <v>152</v>
      </c>
      <c r="B1366" s="204">
        <v>484</v>
      </c>
      <c r="C1366" s="204">
        <v>484</v>
      </c>
      <c r="D1366" s="204">
        <v>1500</v>
      </c>
      <c r="E1366" s="204">
        <v>1087</v>
      </c>
      <c r="F1366" s="204">
        <v>2824</v>
      </c>
      <c r="G1366" s="204">
        <v>9319</v>
      </c>
      <c r="H1366" s="204">
        <v>39148</v>
      </c>
      <c r="I1366" s="204">
        <v>3</v>
      </c>
      <c r="J1366" s="230"/>
      <c r="K1366" s="305" t="s">
        <v>152</v>
      </c>
      <c r="L1366" s="239">
        <f t="shared" ref="L1366:L1382" si="472">B1366/I1366</f>
        <v>161.33333333333334</v>
      </c>
      <c r="M1366" s="267">
        <f t="shared" ref="M1366:M1382" si="473">D1366/I1366</f>
        <v>500</v>
      </c>
      <c r="N1366" s="267">
        <f t="shared" ref="N1366:N1382" si="474">D1366/B1366</f>
        <v>3.0991735537190084</v>
      </c>
      <c r="O1366" s="239">
        <f t="shared" si="471"/>
        <v>49.773679370593648</v>
      </c>
      <c r="P1366" s="267">
        <f t="shared" ref="P1366:P1382" si="475">(E1366*3.6+G1366)*100/H1366</f>
        <v>33.800449575968123</v>
      </c>
      <c r="Q1366" s="267">
        <f t="shared" ref="Q1366:Q1382" si="476">E1366/(B1366*8760)*1000</f>
        <v>0.25637759915468511</v>
      </c>
      <c r="R1366" s="267">
        <f t="shared" ref="R1366:R1382" si="477">G1366/(D1366*8761)*1000/3.6</f>
        <v>0.19697988137663971</v>
      </c>
      <c r="S1366" s="267">
        <f t="shared" ref="S1366:S1382" si="478">G1366/(E1366*3.6)</f>
        <v>2.3814269651436164</v>
      </c>
      <c r="U1366" s="239" t="s">
        <v>517</v>
      </c>
      <c r="V1366" s="492">
        <f t="shared" si="465"/>
        <v>0</v>
      </c>
      <c r="Z1366" s="214">
        <f t="shared" si="468"/>
        <v>0</v>
      </c>
      <c r="AA1366" s="214">
        <f t="shared" si="469"/>
        <v>1737</v>
      </c>
    </row>
    <row r="1367" spans="1:27">
      <c r="A1367" s="239" t="s">
        <v>504</v>
      </c>
      <c r="B1367" s="204">
        <v>0</v>
      </c>
      <c r="C1367" s="204">
        <v>0</v>
      </c>
      <c r="D1367" s="204">
        <v>0</v>
      </c>
      <c r="E1367" s="267">
        <v>0</v>
      </c>
      <c r="F1367" s="267">
        <v>0</v>
      </c>
      <c r="G1367" s="206">
        <v>0</v>
      </c>
      <c r="H1367" s="202">
        <v>0</v>
      </c>
      <c r="I1367" s="202">
        <v>0</v>
      </c>
      <c r="J1367" s="230"/>
      <c r="K1367" s="305" t="s">
        <v>504</v>
      </c>
      <c r="L1367" s="239" t="e">
        <f t="shared" si="472"/>
        <v>#DIV/0!</v>
      </c>
      <c r="M1367" s="267" t="e">
        <f t="shared" si="473"/>
        <v>#DIV/0!</v>
      </c>
      <c r="N1367" s="267" t="e">
        <f t="shared" si="474"/>
        <v>#DIV/0!</v>
      </c>
      <c r="O1367" s="239" t="e">
        <f t="shared" si="471"/>
        <v>#DIV/0!</v>
      </c>
      <c r="P1367" s="267" t="e">
        <f t="shared" si="475"/>
        <v>#DIV/0!</v>
      </c>
      <c r="Q1367" s="267" t="e">
        <f t="shared" si="476"/>
        <v>#DIV/0!</v>
      </c>
      <c r="R1367" s="267" t="e">
        <f t="shared" si="477"/>
        <v>#DIV/0!</v>
      </c>
      <c r="S1367" s="267" t="e">
        <f t="shared" si="478"/>
        <v>#DIV/0!</v>
      </c>
      <c r="U1367" s="239" t="s">
        <v>518</v>
      </c>
      <c r="V1367" s="492">
        <f t="shared" si="465"/>
        <v>8.0000000000000002E-3</v>
      </c>
      <c r="Z1367" s="214">
        <f t="shared" si="468"/>
        <v>0</v>
      </c>
      <c r="AA1367" s="214">
        <f t="shared" si="469"/>
        <v>0</v>
      </c>
    </row>
    <row r="1368" spans="1:27">
      <c r="A1368" s="239" t="s">
        <v>505</v>
      </c>
      <c r="B1368" s="204">
        <v>0</v>
      </c>
      <c r="C1368" s="204">
        <v>0</v>
      </c>
      <c r="D1368" s="204">
        <v>0</v>
      </c>
      <c r="E1368" s="267">
        <v>0</v>
      </c>
      <c r="F1368" s="267">
        <v>0</v>
      </c>
      <c r="G1368" s="206">
        <v>0</v>
      </c>
      <c r="H1368" s="202">
        <v>0</v>
      </c>
      <c r="I1368" s="202">
        <v>0</v>
      </c>
      <c r="J1368" s="230"/>
      <c r="K1368" s="305" t="s">
        <v>505</v>
      </c>
      <c r="L1368" s="239" t="e">
        <f t="shared" si="472"/>
        <v>#DIV/0!</v>
      </c>
      <c r="M1368" s="267" t="e">
        <f t="shared" si="473"/>
        <v>#DIV/0!</v>
      </c>
      <c r="N1368" s="267" t="e">
        <f t="shared" si="474"/>
        <v>#DIV/0!</v>
      </c>
      <c r="O1368" s="239" t="e">
        <f t="shared" si="471"/>
        <v>#DIV/0!</v>
      </c>
      <c r="P1368" s="267" t="e">
        <f t="shared" si="475"/>
        <v>#DIV/0!</v>
      </c>
      <c r="Q1368" s="267" t="e">
        <f t="shared" si="476"/>
        <v>#DIV/0!</v>
      </c>
      <c r="R1368" s="267" t="e">
        <f t="shared" si="477"/>
        <v>#DIV/0!</v>
      </c>
      <c r="S1368" s="267" t="e">
        <f t="shared" si="478"/>
        <v>#DIV/0!</v>
      </c>
      <c r="U1368" s="239" t="s">
        <v>519</v>
      </c>
      <c r="V1368" s="492">
        <f t="shared" si="465"/>
        <v>0</v>
      </c>
      <c r="Z1368" s="214">
        <f t="shared" si="468"/>
        <v>0</v>
      </c>
      <c r="AA1368" s="214">
        <f t="shared" si="469"/>
        <v>0</v>
      </c>
    </row>
    <row r="1369" spans="1:27">
      <c r="A1369" s="239" t="s">
        <v>506</v>
      </c>
      <c r="B1369" s="204">
        <v>2</v>
      </c>
      <c r="C1369" s="204">
        <v>2</v>
      </c>
      <c r="D1369" s="204">
        <v>67</v>
      </c>
      <c r="E1369" s="267">
        <v>15</v>
      </c>
      <c r="F1369" s="267">
        <v>15</v>
      </c>
      <c r="G1369" s="206">
        <v>1082</v>
      </c>
      <c r="H1369" s="202">
        <v>1285</v>
      </c>
      <c r="I1369" s="202">
        <v>1</v>
      </c>
      <c r="J1369" s="230"/>
      <c r="K1369" s="305" t="s">
        <v>506</v>
      </c>
      <c r="L1369" s="239">
        <f t="shared" si="472"/>
        <v>2</v>
      </c>
      <c r="M1369" s="267">
        <f t="shared" si="473"/>
        <v>67</v>
      </c>
      <c r="N1369" s="267">
        <f t="shared" si="474"/>
        <v>33.5</v>
      </c>
      <c r="O1369" s="239">
        <f t="shared" si="471"/>
        <v>88.404669260700388</v>
      </c>
      <c r="P1369" s="267">
        <f t="shared" si="475"/>
        <v>88.404669260700388</v>
      </c>
      <c r="Q1369" s="267">
        <f t="shared" si="476"/>
        <v>0.85616438356164382</v>
      </c>
      <c r="R1369" s="267">
        <f t="shared" si="477"/>
        <v>0.51203102548362323</v>
      </c>
      <c r="S1369" s="267">
        <f t="shared" si="478"/>
        <v>20.037037037037038</v>
      </c>
      <c r="Z1369" s="214">
        <f t="shared" si="468"/>
        <v>0</v>
      </c>
      <c r="AA1369" s="214">
        <f t="shared" si="469"/>
        <v>0</v>
      </c>
    </row>
    <row r="1370" spans="1:27">
      <c r="A1370" s="239" t="s">
        <v>507</v>
      </c>
      <c r="B1370" s="204">
        <v>0</v>
      </c>
      <c r="C1370" s="204">
        <v>0</v>
      </c>
      <c r="D1370" s="204">
        <v>0</v>
      </c>
      <c r="E1370" s="267">
        <v>0</v>
      </c>
      <c r="F1370" s="267">
        <v>0</v>
      </c>
      <c r="G1370" s="206">
        <v>0</v>
      </c>
      <c r="H1370" s="202">
        <v>0</v>
      </c>
      <c r="I1370" s="202">
        <v>0</v>
      </c>
      <c r="J1370" s="230"/>
      <c r="K1370" s="305" t="s">
        <v>507</v>
      </c>
      <c r="L1370" s="239" t="e">
        <f t="shared" si="472"/>
        <v>#DIV/0!</v>
      </c>
      <c r="M1370" s="267" t="e">
        <f t="shared" si="473"/>
        <v>#DIV/0!</v>
      </c>
      <c r="N1370" s="267" t="e">
        <f t="shared" si="474"/>
        <v>#DIV/0!</v>
      </c>
      <c r="O1370" s="239" t="e">
        <f t="shared" si="471"/>
        <v>#DIV/0!</v>
      </c>
      <c r="P1370" s="267" t="e">
        <f t="shared" si="475"/>
        <v>#DIV/0!</v>
      </c>
      <c r="Q1370" s="267" t="e">
        <f t="shared" si="476"/>
        <v>#DIV/0!</v>
      </c>
      <c r="R1370" s="267" t="e">
        <f t="shared" si="477"/>
        <v>#DIV/0!</v>
      </c>
      <c r="S1370" s="267" t="e">
        <f t="shared" si="478"/>
        <v>#DIV/0!</v>
      </c>
      <c r="Z1370" s="214">
        <f t="shared" si="468"/>
        <v>0</v>
      </c>
      <c r="AA1370" s="214">
        <f t="shared" si="469"/>
        <v>0</v>
      </c>
    </row>
    <row r="1371" spans="1:27">
      <c r="A1371" s="239" t="s">
        <v>156</v>
      </c>
      <c r="B1371" s="204">
        <v>221</v>
      </c>
      <c r="C1371" s="204">
        <v>221</v>
      </c>
      <c r="D1371" s="204">
        <v>1166</v>
      </c>
      <c r="E1371" s="267">
        <v>783</v>
      </c>
      <c r="F1371" s="267">
        <v>1418</v>
      </c>
      <c r="G1371" s="206">
        <v>10442</v>
      </c>
      <c r="H1371" s="202">
        <v>26098</v>
      </c>
      <c r="I1371" s="202">
        <v>14</v>
      </c>
      <c r="J1371" s="230"/>
      <c r="K1371" s="305" t="s">
        <v>156</v>
      </c>
      <c r="L1371" s="239">
        <f t="shared" si="472"/>
        <v>15.785714285714286</v>
      </c>
      <c r="M1371" s="267">
        <f t="shared" si="473"/>
        <v>83.285714285714292</v>
      </c>
      <c r="N1371" s="267">
        <f t="shared" si="474"/>
        <v>5.2760180995475112</v>
      </c>
      <c r="O1371" s="322">
        <f t="shared" si="471"/>
        <v>59.570848340869034</v>
      </c>
      <c r="P1371" s="323">
        <f t="shared" si="475"/>
        <v>50.811556441106596</v>
      </c>
      <c r="Q1371" s="267">
        <f t="shared" si="476"/>
        <v>0.40445050517572678</v>
      </c>
      <c r="R1371" s="267">
        <f t="shared" si="477"/>
        <v>0.28394155561511747</v>
      </c>
      <c r="S1371" s="267">
        <f t="shared" si="478"/>
        <v>3.704413225486022</v>
      </c>
      <c r="Z1371" s="214">
        <f t="shared" si="468"/>
        <v>0</v>
      </c>
      <c r="AA1371" s="214">
        <f t="shared" si="469"/>
        <v>635</v>
      </c>
    </row>
    <row r="1372" spans="1:27">
      <c r="A1372" s="239" t="s">
        <v>508</v>
      </c>
      <c r="B1372" s="204">
        <v>0</v>
      </c>
      <c r="C1372" s="204">
        <v>0</v>
      </c>
      <c r="D1372" s="204">
        <v>0</v>
      </c>
      <c r="E1372" s="267">
        <v>0</v>
      </c>
      <c r="F1372" s="267">
        <v>0</v>
      </c>
      <c r="G1372" s="206">
        <v>0</v>
      </c>
      <c r="H1372" s="202">
        <v>0</v>
      </c>
      <c r="I1372" s="202">
        <v>0</v>
      </c>
      <c r="J1372" s="230"/>
      <c r="K1372" s="305" t="s">
        <v>508</v>
      </c>
      <c r="L1372" s="239" t="e">
        <f t="shared" si="472"/>
        <v>#DIV/0!</v>
      </c>
      <c r="M1372" s="267" t="e">
        <f t="shared" si="473"/>
        <v>#DIV/0!</v>
      </c>
      <c r="N1372" s="267" t="e">
        <f t="shared" si="474"/>
        <v>#DIV/0!</v>
      </c>
      <c r="O1372" s="239" t="e">
        <f t="shared" si="471"/>
        <v>#DIV/0!</v>
      </c>
      <c r="P1372" s="267" t="e">
        <f t="shared" si="475"/>
        <v>#DIV/0!</v>
      </c>
      <c r="Q1372" s="267" t="e">
        <f t="shared" si="476"/>
        <v>#DIV/0!</v>
      </c>
      <c r="R1372" s="267" t="e">
        <f t="shared" si="477"/>
        <v>#DIV/0!</v>
      </c>
      <c r="S1372" s="267" t="e">
        <f t="shared" si="478"/>
        <v>#DIV/0!</v>
      </c>
      <c r="Z1372" s="214">
        <f t="shared" si="468"/>
        <v>0</v>
      </c>
      <c r="AA1372" s="214">
        <f t="shared" si="469"/>
        <v>0</v>
      </c>
    </row>
    <row r="1373" spans="1:27">
      <c r="A1373" s="239" t="s">
        <v>509</v>
      </c>
      <c r="B1373" s="204">
        <v>393</v>
      </c>
      <c r="C1373" s="204">
        <v>393</v>
      </c>
      <c r="D1373" s="204">
        <v>1881</v>
      </c>
      <c r="E1373" s="267">
        <v>1340</v>
      </c>
      <c r="F1373" s="267">
        <v>1841</v>
      </c>
      <c r="G1373" s="206">
        <v>22619</v>
      </c>
      <c r="H1373" s="202">
        <v>47166</v>
      </c>
      <c r="I1373" s="202">
        <v>30</v>
      </c>
      <c r="J1373" s="230"/>
      <c r="K1373" s="305" t="s">
        <v>509</v>
      </c>
      <c r="L1373" s="239">
        <f t="shared" si="472"/>
        <v>13.1</v>
      </c>
      <c r="M1373" s="267">
        <f t="shared" si="473"/>
        <v>62.7</v>
      </c>
      <c r="N1373" s="267">
        <f t="shared" si="474"/>
        <v>4.7862595419847329</v>
      </c>
      <c r="O1373" s="239">
        <f t="shared" si="471"/>
        <v>62.007802230420218</v>
      </c>
      <c r="P1373" s="267">
        <f t="shared" si="475"/>
        <v>58.183861255989484</v>
      </c>
      <c r="Q1373" s="267">
        <f t="shared" si="476"/>
        <v>0.38923164511369052</v>
      </c>
      <c r="R1373" s="267">
        <f t="shared" si="477"/>
        <v>0.38126630360553826</v>
      </c>
      <c r="S1373" s="267">
        <f t="shared" si="478"/>
        <v>4.688847429519071</v>
      </c>
      <c r="Z1373" s="214">
        <f t="shared" si="468"/>
        <v>0</v>
      </c>
      <c r="AA1373" s="214">
        <f t="shared" si="469"/>
        <v>501</v>
      </c>
    </row>
    <row r="1374" spans="1:27">
      <c r="A1374" s="239" t="s">
        <v>510</v>
      </c>
      <c r="B1374" s="204">
        <v>2</v>
      </c>
      <c r="C1374" s="204">
        <v>2</v>
      </c>
      <c r="D1374" s="204">
        <v>2</v>
      </c>
      <c r="E1374" s="267">
        <v>3</v>
      </c>
      <c r="F1374" s="267">
        <v>4</v>
      </c>
      <c r="G1374" s="206">
        <v>19</v>
      </c>
      <c r="H1374" s="202">
        <v>50</v>
      </c>
      <c r="I1374" s="202">
        <v>4</v>
      </c>
      <c r="J1374" s="230"/>
      <c r="K1374" s="305" t="s">
        <v>510</v>
      </c>
      <c r="L1374" s="239">
        <f t="shared" si="472"/>
        <v>0.5</v>
      </c>
      <c r="M1374" s="267">
        <f t="shared" si="473"/>
        <v>0.5</v>
      </c>
      <c r="N1374" s="267">
        <f t="shared" si="474"/>
        <v>1</v>
      </c>
      <c r="O1374" s="322">
        <f t="shared" si="471"/>
        <v>66.8</v>
      </c>
      <c r="P1374" s="323">
        <f t="shared" si="475"/>
        <v>59.6</v>
      </c>
      <c r="Q1374" s="267">
        <f t="shared" si="476"/>
        <v>0.17123287671232876</v>
      </c>
      <c r="R1374" s="267">
        <f t="shared" si="477"/>
        <v>0.30120863929789854</v>
      </c>
      <c r="S1374" s="267">
        <f t="shared" si="478"/>
        <v>1.7592592592592591</v>
      </c>
      <c r="Z1374" s="214">
        <f t="shared" si="468"/>
        <v>0</v>
      </c>
      <c r="AA1374" s="214">
        <f t="shared" si="469"/>
        <v>1</v>
      </c>
    </row>
    <row r="1375" spans="1:27">
      <c r="A1375" s="239" t="s">
        <v>511</v>
      </c>
      <c r="B1375" s="382">
        <v>0</v>
      </c>
      <c r="C1375" s="382">
        <v>0</v>
      </c>
      <c r="D1375" s="204">
        <v>0</v>
      </c>
      <c r="E1375" s="267">
        <v>0</v>
      </c>
      <c r="F1375" s="267">
        <v>0</v>
      </c>
      <c r="G1375" s="206">
        <v>0</v>
      </c>
      <c r="H1375" s="202">
        <v>0</v>
      </c>
      <c r="I1375" s="202">
        <v>0</v>
      </c>
      <c r="J1375" s="230"/>
      <c r="K1375" s="305" t="s">
        <v>511</v>
      </c>
      <c r="L1375" s="239" t="e">
        <f t="shared" si="472"/>
        <v>#DIV/0!</v>
      </c>
      <c r="M1375" s="267" t="e">
        <f t="shared" si="473"/>
        <v>#DIV/0!</v>
      </c>
      <c r="N1375" s="267" t="e">
        <f t="shared" si="474"/>
        <v>#DIV/0!</v>
      </c>
      <c r="O1375" s="239" t="e">
        <f t="shared" si="471"/>
        <v>#DIV/0!</v>
      </c>
      <c r="P1375" s="267" t="e">
        <f t="shared" si="475"/>
        <v>#DIV/0!</v>
      </c>
      <c r="Q1375" s="267" t="e">
        <f t="shared" si="476"/>
        <v>#DIV/0!</v>
      </c>
      <c r="R1375" s="267" t="e">
        <f t="shared" si="477"/>
        <v>#DIV/0!</v>
      </c>
      <c r="S1375" s="267" t="e">
        <f t="shared" si="478"/>
        <v>#DIV/0!</v>
      </c>
      <c r="Z1375" s="214">
        <f t="shared" si="468"/>
        <v>0</v>
      </c>
      <c r="AA1375" s="214">
        <f t="shared" si="469"/>
        <v>0</v>
      </c>
    </row>
    <row r="1376" spans="1:27">
      <c r="A1376" s="239" t="s">
        <v>512</v>
      </c>
      <c r="B1376" s="384">
        <v>45</v>
      </c>
      <c r="C1376" s="382">
        <v>45</v>
      </c>
      <c r="D1376" s="204">
        <v>328</v>
      </c>
      <c r="E1376" s="385">
        <v>80</v>
      </c>
      <c r="F1376" s="267">
        <v>80</v>
      </c>
      <c r="G1376" s="206">
        <v>2011</v>
      </c>
      <c r="H1376" s="202">
        <v>2931</v>
      </c>
      <c r="I1376" s="202">
        <v>9</v>
      </c>
      <c r="J1376" s="230"/>
      <c r="K1376" s="305" t="s">
        <v>512</v>
      </c>
      <c r="L1376" s="239">
        <f t="shared" si="472"/>
        <v>5</v>
      </c>
      <c r="M1376" s="267">
        <f t="shared" si="473"/>
        <v>36.444444444444443</v>
      </c>
      <c r="N1376" s="267">
        <f t="shared" si="474"/>
        <v>7.2888888888888888</v>
      </c>
      <c r="O1376" s="239">
        <f t="shared" si="471"/>
        <v>78.437393381098602</v>
      </c>
      <c r="P1376" s="267">
        <f t="shared" si="475"/>
        <v>78.437393381098602</v>
      </c>
      <c r="Q1376" s="267">
        <f t="shared" si="476"/>
        <v>0.20294266869609334</v>
      </c>
      <c r="R1376" s="267">
        <f t="shared" si="477"/>
        <v>0.19439363723622397</v>
      </c>
      <c r="S1376" s="267">
        <f t="shared" si="478"/>
        <v>6.9826388888888893</v>
      </c>
      <c r="Z1376" s="214">
        <f t="shared" si="468"/>
        <v>0</v>
      </c>
      <c r="AA1376" s="214">
        <f t="shared" si="469"/>
        <v>0</v>
      </c>
    </row>
    <row r="1377" spans="1:27">
      <c r="A1377" s="239" t="s">
        <v>513</v>
      </c>
      <c r="B1377" s="384">
        <v>11</v>
      </c>
      <c r="C1377" s="384">
        <v>11</v>
      </c>
      <c r="D1377" s="216">
        <v>112</v>
      </c>
      <c r="E1377" s="385">
        <v>20</v>
      </c>
      <c r="F1377" s="385">
        <v>20</v>
      </c>
      <c r="G1377" s="386">
        <v>856</v>
      </c>
      <c r="H1377" s="215">
        <v>1264</v>
      </c>
      <c r="I1377" s="202">
        <v>4</v>
      </c>
      <c r="J1377" s="230"/>
      <c r="K1377" s="305" t="s">
        <v>513</v>
      </c>
      <c r="L1377" s="239">
        <f t="shared" si="472"/>
        <v>2.75</v>
      </c>
      <c r="M1377" s="267">
        <f t="shared" si="473"/>
        <v>28</v>
      </c>
      <c r="N1377" s="267">
        <f t="shared" si="474"/>
        <v>10.181818181818182</v>
      </c>
      <c r="O1377" s="239">
        <f t="shared" si="471"/>
        <v>73.417721518987335</v>
      </c>
      <c r="P1377" s="267">
        <f t="shared" si="475"/>
        <v>73.417721518987335</v>
      </c>
      <c r="Q1377" s="267">
        <f t="shared" si="476"/>
        <v>0.20755500207555003</v>
      </c>
      <c r="R1377" s="267">
        <f t="shared" si="477"/>
        <v>0.24232574740507623</v>
      </c>
      <c r="S1377" s="267">
        <f t="shared" si="478"/>
        <v>11.888888888888889</v>
      </c>
      <c r="Z1377" s="214">
        <f t="shared" si="468"/>
        <v>0</v>
      </c>
      <c r="AA1377" s="214">
        <f t="shared" si="469"/>
        <v>0</v>
      </c>
    </row>
    <row r="1378" spans="1:27">
      <c r="A1378" s="239" t="s">
        <v>514</v>
      </c>
      <c r="B1378" s="382">
        <v>62</v>
      </c>
      <c r="C1378" s="382">
        <v>62</v>
      </c>
      <c r="D1378" s="204">
        <v>341</v>
      </c>
      <c r="E1378" s="267">
        <v>265</v>
      </c>
      <c r="F1378" s="267">
        <v>265</v>
      </c>
      <c r="G1378" s="206">
        <v>5964</v>
      </c>
      <c r="H1378" s="202">
        <v>8069</v>
      </c>
      <c r="I1378" s="202">
        <v>5</v>
      </c>
      <c r="J1378" s="230"/>
      <c r="K1378" s="305" t="s">
        <v>514</v>
      </c>
      <c r="L1378" s="239">
        <f t="shared" si="472"/>
        <v>12.4</v>
      </c>
      <c r="M1378" s="267">
        <f t="shared" si="473"/>
        <v>68.2</v>
      </c>
      <c r="N1378" s="267">
        <f t="shared" si="474"/>
        <v>5.5</v>
      </c>
      <c r="O1378" s="239">
        <f t="shared" si="471"/>
        <v>85.735531044739119</v>
      </c>
      <c r="P1378" s="267">
        <f t="shared" si="475"/>
        <v>85.735531044739119</v>
      </c>
      <c r="Q1378" s="267">
        <f t="shared" si="476"/>
        <v>0.4879216379437325</v>
      </c>
      <c r="R1378" s="267">
        <f t="shared" si="477"/>
        <v>0.55453258983567422</v>
      </c>
      <c r="S1378" s="267">
        <f t="shared" si="478"/>
        <v>6.2515723270440251</v>
      </c>
      <c r="Z1378" s="214">
        <f t="shared" si="468"/>
        <v>0</v>
      </c>
      <c r="AA1378" s="214">
        <f t="shared" si="469"/>
        <v>0</v>
      </c>
    </row>
    <row r="1379" spans="1:27">
      <c r="A1379" s="239" t="s">
        <v>515</v>
      </c>
      <c r="B1379" s="382">
        <v>21</v>
      </c>
      <c r="C1379" s="382">
        <v>21</v>
      </c>
      <c r="D1379" s="204">
        <v>132</v>
      </c>
      <c r="E1379" s="267">
        <v>37</v>
      </c>
      <c r="F1379" s="267">
        <v>40</v>
      </c>
      <c r="G1379" s="206">
        <v>1020</v>
      </c>
      <c r="H1379" s="202">
        <v>1347</v>
      </c>
      <c r="I1379" s="202">
        <v>19</v>
      </c>
      <c r="J1379" s="230"/>
      <c r="K1379" s="305" t="s">
        <v>515</v>
      </c>
      <c r="L1379" s="239">
        <f t="shared" si="472"/>
        <v>1.1052631578947369</v>
      </c>
      <c r="M1379" s="267">
        <f t="shared" si="473"/>
        <v>6.9473684210526319</v>
      </c>
      <c r="N1379" s="267">
        <f t="shared" si="474"/>
        <v>6.2857142857142856</v>
      </c>
      <c r="O1379" s="239">
        <f t="shared" si="471"/>
        <v>86.414253897550111</v>
      </c>
      <c r="P1379" s="267">
        <f t="shared" si="475"/>
        <v>85.612472160356347</v>
      </c>
      <c r="Q1379" s="267">
        <f t="shared" si="476"/>
        <v>0.20113068058273537</v>
      </c>
      <c r="R1379" s="267">
        <f t="shared" si="477"/>
        <v>0.2450022424911136</v>
      </c>
      <c r="S1379" s="267">
        <f t="shared" si="478"/>
        <v>7.6576576576576567</v>
      </c>
      <c r="Z1379" s="214">
        <f t="shared" si="468"/>
        <v>0</v>
      </c>
      <c r="AA1379" s="214">
        <f t="shared" si="469"/>
        <v>3</v>
      </c>
    </row>
    <row r="1380" spans="1:27">
      <c r="A1380" s="239" t="s">
        <v>516</v>
      </c>
      <c r="B1380" s="204">
        <v>6</v>
      </c>
      <c r="C1380" s="204">
        <v>6</v>
      </c>
      <c r="D1380" s="202">
        <v>9</v>
      </c>
      <c r="E1380" s="267">
        <v>18</v>
      </c>
      <c r="F1380" s="267">
        <v>23</v>
      </c>
      <c r="G1380" s="206">
        <v>112</v>
      </c>
      <c r="H1380" s="202">
        <v>257</v>
      </c>
      <c r="I1380" s="202">
        <v>12</v>
      </c>
      <c r="J1380" s="244"/>
      <c r="K1380" s="239" t="s">
        <v>516</v>
      </c>
      <c r="L1380" s="239">
        <f t="shared" si="472"/>
        <v>0.5</v>
      </c>
      <c r="M1380" s="267">
        <f t="shared" si="473"/>
        <v>0.75</v>
      </c>
      <c r="N1380" s="267">
        <f t="shared" si="474"/>
        <v>1.5</v>
      </c>
      <c r="O1380" s="239">
        <f t="shared" si="471"/>
        <v>75.797665369649806</v>
      </c>
      <c r="P1380" s="267">
        <f t="shared" si="475"/>
        <v>68.793774319066145</v>
      </c>
      <c r="Q1380" s="267">
        <f t="shared" si="476"/>
        <v>0.34246575342465752</v>
      </c>
      <c r="R1380" s="267">
        <f t="shared" si="477"/>
        <v>0.3945657029399372</v>
      </c>
      <c r="S1380" s="267">
        <f t="shared" si="478"/>
        <v>1.7283950617283952</v>
      </c>
      <c r="Z1380" s="214">
        <f t="shared" si="468"/>
        <v>0</v>
      </c>
      <c r="AA1380" s="214">
        <f t="shared" si="469"/>
        <v>5</v>
      </c>
    </row>
    <row r="1381" spans="1:27">
      <c r="A1381" s="239" t="s">
        <v>517</v>
      </c>
      <c r="B1381" s="204">
        <v>0</v>
      </c>
      <c r="C1381" s="204">
        <v>0</v>
      </c>
      <c r="D1381" s="204">
        <v>0</v>
      </c>
      <c r="E1381" s="267">
        <v>0</v>
      </c>
      <c r="F1381" s="267">
        <v>0</v>
      </c>
      <c r="G1381" s="206">
        <v>0</v>
      </c>
      <c r="H1381" s="202">
        <v>0</v>
      </c>
      <c r="I1381" s="202">
        <v>0</v>
      </c>
      <c r="K1381" s="239" t="s">
        <v>517</v>
      </c>
      <c r="L1381" s="239" t="e">
        <f t="shared" si="472"/>
        <v>#DIV/0!</v>
      </c>
      <c r="M1381" s="267" t="e">
        <f t="shared" si="473"/>
        <v>#DIV/0!</v>
      </c>
      <c r="N1381" s="267" t="e">
        <f t="shared" si="474"/>
        <v>#DIV/0!</v>
      </c>
      <c r="O1381" s="239" t="e">
        <f t="shared" si="471"/>
        <v>#DIV/0!</v>
      </c>
      <c r="P1381" s="267" t="e">
        <f t="shared" si="475"/>
        <v>#DIV/0!</v>
      </c>
      <c r="Q1381" s="267" t="e">
        <f t="shared" si="476"/>
        <v>#DIV/0!</v>
      </c>
      <c r="R1381" s="267" t="e">
        <f t="shared" si="477"/>
        <v>#DIV/0!</v>
      </c>
      <c r="S1381" s="267" t="e">
        <f t="shared" si="478"/>
        <v>#DIV/0!</v>
      </c>
      <c r="Z1381" s="214">
        <f t="shared" si="468"/>
        <v>0</v>
      </c>
      <c r="AA1381" s="214">
        <f t="shared" si="469"/>
        <v>0</v>
      </c>
    </row>
    <row r="1382" spans="1:27">
      <c r="A1382" s="239" t="s">
        <v>518</v>
      </c>
      <c r="B1382" s="216">
        <v>8</v>
      </c>
      <c r="C1382" s="216">
        <v>8</v>
      </c>
      <c r="D1382" s="216">
        <v>12</v>
      </c>
      <c r="E1382" s="385">
        <v>25</v>
      </c>
      <c r="F1382" s="385">
        <v>25</v>
      </c>
      <c r="G1382" s="386">
        <v>146</v>
      </c>
      <c r="H1382" s="215">
        <v>286</v>
      </c>
      <c r="I1382" s="202">
        <v>26</v>
      </c>
      <c r="K1382" s="239" t="s">
        <v>518</v>
      </c>
      <c r="L1382" s="239">
        <f t="shared" si="472"/>
        <v>0.30769230769230771</v>
      </c>
      <c r="M1382" s="267">
        <f t="shared" si="473"/>
        <v>0.46153846153846156</v>
      </c>
      <c r="N1382" s="267">
        <f t="shared" si="474"/>
        <v>1.5</v>
      </c>
      <c r="O1382" s="239">
        <f t="shared" si="471"/>
        <v>82.51748251748252</v>
      </c>
      <c r="P1382" s="267">
        <f t="shared" si="475"/>
        <v>82.51748251748252</v>
      </c>
      <c r="Q1382" s="267">
        <f t="shared" si="476"/>
        <v>0.3567351598173516</v>
      </c>
      <c r="R1382" s="267">
        <f t="shared" si="477"/>
        <v>0.38575843278502786</v>
      </c>
      <c r="S1382" s="267">
        <f t="shared" si="478"/>
        <v>1.6222222222222222</v>
      </c>
      <c r="Z1382" s="214">
        <f t="shared" si="468"/>
        <v>0</v>
      </c>
      <c r="AA1382" s="214">
        <f t="shared" si="469"/>
        <v>0</v>
      </c>
    </row>
    <row r="1383" spans="1:27">
      <c r="A1383" s="239" t="s">
        <v>519</v>
      </c>
      <c r="B1383" s="204"/>
      <c r="C1383" s="204"/>
      <c r="D1383" s="204"/>
      <c r="E1383" s="387"/>
      <c r="F1383" s="272"/>
      <c r="G1383" s="206"/>
      <c r="H1383" s="202"/>
      <c r="I1383" s="202"/>
      <c r="K1383" s="239" t="s">
        <v>519</v>
      </c>
      <c r="L1383" s="239"/>
      <c r="M1383" s="267"/>
      <c r="N1383" s="267"/>
      <c r="O1383" s="239"/>
      <c r="P1383" s="267"/>
      <c r="Q1383" s="267"/>
      <c r="R1383" s="267"/>
      <c r="S1383" s="267"/>
      <c r="Z1383" s="214">
        <f t="shared" si="468"/>
        <v>0</v>
      </c>
      <c r="AA1383" s="214">
        <f t="shared" si="469"/>
        <v>0</v>
      </c>
    </row>
    <row r="1384" spans="1:27">
      <c r="A1384" s="282" t="s">
        <v>169</v>
      </c>
      <c r="B1384" s="360">
        <f>(B1363+B1365)</f>
        <v>5102</v>
      </c>
      <c r="C1384" s="361">
        <f t="shared" ref="C1384:I1384" si="479">(C1363+C1365)</f>
        <v>5103</v>
      </c>
      <c r="D1384" s="361">
        <f t="shared" si="479"/>
        <v>20916</v>
      </c>
      <c r="E1384" s="360">
        <f t="shared" si="479"/>
        <v>13064</v>
      </c>
      <c r="F1384" s="361">
        <f t="shared" si="479"/>
        <v>25504</v>
      </c>
      <c r="G1384" s="361">
        <f t="shared" si="479"/>
        <v>154944</v>
      </c>
      <c r="H1384" s="361">
        <f t="shared" si="479"/>
        <v>416277</v>
      </c>
      <c r="I1384" s="361">
        <f t="shared" si="479"/>
        <v>279</v>
      </c>
      <c r="K1384" s="328" t="s">
        <v>169</v>
      </c>
      <c r="L1384" s="282">
        <f>B1384/I1384</f>
        <v>18.286738351254481</v>
      </c>
      <c r="M1384" s="281">
        <f>D1384/I1384</f>
        <v>74.967741935483872</v>
      </c>
      <c r="N1384" s="281">
        <f>D1384/B1384</f>
        <v>4.099568796550372</v>
      </c>
      <c r="O1384" s="282">
        <f>(F1384*3.6+G1384)*100/H1384</f>
        <v>59.277452273366059</v>
      </c>
      <c r="P1384" s="282">
        <f>(E1384*3.6+G1384)*100/H1384</f>
        <v>48.519231185004216</v>
      </c>
      <c r="Q1384" s="281">
        <f>E1384/(B1384*8760)*1000</f>
        <v>0.29230188179404981</v>
      </c>
      <c r="R1384" s="281">
        <f>G1384/(D1384*8761)*1000/3.6</f>
        <v>0.23487670686441797</v>
      </c>
      <c r="S1384" s="281">
        <f>G1384/(E1384*3.6)</f>
        <v>3.2945499081445191</v>
      </c>
      <c r="Z1384" s="214">
        <f t="shared" si="468"/>
        <v>1</v>
      </c>
      <c r="AA1384" s="214">
        <f t="shared" si="469"/>
        <v>12440</v>
      </c>
    </row>
    <row r="1386" spans="1:27">
      <c r="A1386" s="251" t="s">
        <v>520</v>
      </c>
      <c r="B1386" s="227" t="s">
        <v>476</v>
      </c>
      <c r="C1386" s="228"/>
      <c r="D1386" s="286"/>
      <c r="E1386" s="227" t="s">
        <v>521</v>
      </c>
      <c r="F1386" s="228"/>
      <c r="G1386" s="286"/>
      <c r="H1386" s="200" t="s">
        <v>138</v>
      </c>
      <c r="I1386" s="200" t="s">
        <v>478</v>
      </c>
    </row>
    <row r="1387" spans="1:27">
      <c r="A1387" s="239"/>
      <c r="B1387" s="243" t="s">
        <v>88</v>
      </c>
      <c r="C1387" s="243"/>
      <c r="D1387" s="241" t="s">
        <v>34</v>
      </c>
      <c r="E1387" s="243" t="s">
        <v>88</v>
      </c>
      <c r="F1387" s="243"/>
      <c r="G1387" s="241" t="s">
        <v>34</v>
      </c>
      <c r="H1387" s="241" t="s">
        <v>170</v>
      </c>
      <c r="I1387" s="241" t="s">
        <v>483</v>
      </c>
    </row>
    <row r="1388" spans="1:27">
      <c r="A1388" s="239"/>
      <c r="B1388" s="252" t="s">
        <v>0</v>
      </c>
      <c r="C1388" s="252" t="s">
        <v>489</v>
      </c>
      <c r="D1388" s="252" t="s">
        <v>490</v>
      </c>
      <c r="E1388" s="252" t="s">
        <v>491</v>
      </c>
      <c r="F1388" s="252" t="s">
        <v>489</v>
      </c>
      <c r="G1388" s="252" t="s">
        <v>490</v>
      </c>
      <c r="H1388" s="248"/>
      <c r="I1388" s="241" t="s">
        <v>492</v>
      </c>
    </row>
    <row r="1389" spans="1:27">
      <c r="A1389" s="239"/>
      <c r="B1389" s="257" t="s">
        <v>496</v>
      </c>
      <c r="C1389" s="256" t="s">
        <v>496</v>
      </c>
      <c r="D1389" s="252" t="s">
        <v>496</v>
      </c>
      <c r="E1389" s="329" t="s">
        <v>473</v>
      </c>
      <c r="F1389" s="329" t="s">
        <v>473</v>
      </c>
      <c r="G1389" s="252" t="s">
        <v>496</v>
      </c>
      <c r="H1389" s="257" t="s">
        <v>497</v>
      </c>
      <c r="I1389" s="257" t="s">
        <v>498</v>
      </c>
    </row>
    <row r="1390" spans="1:27">
      <c r="A1390" s="251" t="s">
        <v>522</v>
      </c>
      <c r="B1390" s="389"/>
      <c r="C1390" s="389"/>
      <c r="D1390" s="200"/>
      <c r="E1390" s="389"/>
      <c r="F1390" s="389"/>
      <c r="G1390" s="200"/>
      <c r="H1390" s="200"/>
      <c r="I1390" s="200"/>
    </row>
    <row r="1391" spans="1:27">
      <c r="A1391" s="239" t="s">
        <v>523</v>
      </c>
      <c r="B1391" s="216"/>
      <c r="C1391" s="204">
        <v>3747</v>
      </c>
      <c r="D1391" s="204">
        <v>14506</v>
      </c>
      <c r="E1391" s="216"/>
      <c r="F1391" s="204"/>
      <c r="G1391" s="204"/>
      <c r="H1391" s="202"/>
      <c r="I1391" s="216">
        <v>101</v>
      </c>
    </row>
    <row r="1392" spans="1:27">
      <c r="A1392" s="239" t="s">
        <v>524</v>
      </c>
      <c r="B1392" s="216"/>
      <c r="C1392" s="204">
        <v>6</v>
      </c>
      <c r="D1392" s="204">
        <v>41</v>
      </c>
      <c r="E1392" s="216"/>
      <c r="F1392" s="204"/>
      <c r="G1392" s="204"/>
      <c r="H1392" s="202"/>
      <c r="I1392" s="216">
        <v>1</v>
      </c>
    </row>
    <row r="1393" spans="1:22">
      <c r="A1393" s="239" t="s">
        <v>525</v>
      </c>
      <c r="B1393" s="216"/>
      <c r="C1393" s="204">
        <v>723</v>
      </c>
      <c r="D1393" s="204">
        <v>1441</v>
      </c>
      <c r="E1393" s="216"/>
      <c r="F1393" s="204"/>
      <c r="G1393" s="204"/>
      <c r="H1393" s="202"/>
      <c r="I1393" s="216">
        <v>119</v>
      </c>
    </row>
    <row r="1394" spans="1:22">
      <c r="A1394" s="239" t="s">
        <v>267</v>
      </c>
      <c r="B1394" s="216"/>
      <c r="C1394" s="204">
        <v>5</v>
      </c>
      <c r="D1394" s="204">
        <v>8</v>
      </c>
      <c r="E1394" s="216"/>
      <c r="F1394" s="204"/>
      <c r="G1394" s="204"/>
      <c r="H1394" s="202"/>
      <c r="I1394" s="216">
        <v>11</v>
      </c>
    </row>
    <row r="1395" spans="1:22">
      <c r="A1395" s="312" t="s">
        <v>526</v>
      </c>
      <c r="B1395" s="391"/>
      <c r="C1395" s="391"/>
      <c r="D1395" s="205"/>
      <c r="E1395" s="391"/>
      <c r="F1395" s="391"/>
      <c r="G1395" s="205"/>
      <c r="H1395" s="205"/>
      <c r="I1395" s="391"/>
    </row>
    <row r="1396" spans="1:22">
      <c r="A1396" s="239" t="s">
        <v>527</v>
      </c>
      <c r="B1396" s="216"/>
      <c r="C1396" s="204">
        <v>91</v>
      </c>
      <c r="D1396" s="204">
        <v>585</v>
      </c>
      <c r="E1396" s="216"/>
      <c r="F1396" s="204"/>
      <c r="G1396" s="204"/>
      <c r="H1396" s="202"/>
      <c r="I1396" s="216">
        <v>6</v>
      </c>
    </row>
    <row r="1397" spans="1:22">
      <c r="A1397" s="239" t="s">
        <v>528</v>
      </c>
      <c r="B1397" s="204"/>
      <c r="C1397" s="204">
        <v>116</v>
      </c>
      <c r="D1397" s="204">
        <v>1482</v>
      </c>
      <c r="E1397" s="204"/>
      <c r="F1397" s="204"/>
      <c r="G1397" s="204"/>
      <c r="H1397" s="202"/>
      <c r="I1397" s="204">
        <v>12</v>
      </c>
    </row>
    <row r="1398" spans="1:22">
      <c r="A1398" s="239" t="s">
        <v>529</v>
      </c>
      <c r="B1398" s="204"/>
      <c r="C1398" s="204">
        <v>415</v>
      </c>
      <c r="D1398" s="204">
        <v>2853</v>
      </c>
      <c r="E1398" s="204"/>
      <c r="F1398" s="204"/>
      <c r="G1398" s="204"/>
      <c r="H1398" s="202"/>
      <c r="I1398" s="204">
        <v>29</v>
      </c>
    </row>
    <row r="1399" spans="1:22">
      <c r="A1399" s="239" t="s">
        <v>530</v>
      </c>
      <c r="B1399" s="204"/>
      <c r="C1399" s="204"/>
      <c r="D1399" s="204"/>
      <c r="E1399" s="204"/>
      <c r="F1399" s="204"/>
      <c r="G1399" s="204"/>
      <c r="H1399" s="202"/>
      <c r="I1399" s="204"/>
    </row>
    <row r="1400" spans="1:22">
      <c r="A1400" s="282" t="s">
        <v>169</v>
      </c>
      <c r="B1400" s="468">
        <v>5102</v>
      </c>
      <c r="C1400" s="360">
        <v>5103</v>
      </c>
      <c r="D1400" s="360">
        <v>20916</v>
      </c>
      <c r="E1400" s="468">
        <v>13064</v>
      </c>
      <c r="F1400" s="468">
        <v>25504</v>
      </c>
      <c r="G1400" s="468">
        <v>154944</v>
      </c>
      <c r="H1400" s="468">
        <v>416277</v>
      </c>
      <c r="I1400" s="360">
        <v>279</v>
      </c>
    </row>
    <row r="1401" spans="1:22">
      <c r="A1401" s="362"/>
    </row>
    <row r="1402" spans="1:22">
      <c r="A1402" s="362"/>
    </row>
    <row r="1403" spans="1:22">
      <c r="A1403" s="221" t="s">
        <v>217</v>
      </c>
      <c r="D1403" s="220"/>
      <c r="I1403" s="221">
        <v>2002</v>
      </c>
      <c r="K1403" s="221" t="str">
        <f>+A1403</f>
        <v>Estonia</v>
      </c>
      <c r="M1403" s="220"/>
      <c r="S1403" s="221">
        <v>2002</v>
      </c>
    </row>
    <row r="1404" spans="1:22" ht="13.5" thickBot="1"/>
    <row r="1405" spans="1:22">
      <c r="A1405" s="346" t="s">
        <v>475</v>
      </c>
      <c r="B1405" s="233" t="s">
        <v>476</v>
      </c>
      <c r="C1405" s="233"/>
      <c r="D1405" s="234"/>
      <c r="E1405" s="235" t="s">
        <v>477</v>
      </c>
      <c r="F1405" s="233"/>
      <c r="G1405" s="236"/>
      <c r="H1405" s="347" t="s">
        <v>138</v>
      </c>
      <c r="I1405" s="348" t="s">
        <v>478</v>
      </c>
      <c r="J1405" s="230"/>
      <c r="K1405" s="231" t="s">
        <v>475</v>
      </c>
      <c r="L1405" s="232" t="s">
        <v>479</v>
      </c>
      <c r="M1405" s="233"/>
      <c r="N1405" s="234"/>
      <c r="O1405" s="235" t="s">
        <v>480</v>
      </c>
      <c r="P1405" s="233"/>
      <c r="Q1405" s="233"/>
      <c r="R1405" s="236"/>
      <c r="S1405" s="237"/>
    </row>
    <row r="1406" spans="1:22">
      <c r="A1406" s="266"/>
      <c r="B1406" s="240" t="s">
        <v>9</v>
      </c>
      <c r="C1406" s="240"/>
      <c r="D1406" s="241" t="s">
        <v>34</v>
      </c>
      <c r="E1406" s="242" t="s">
        <v>88</v>
      </c>
      <c r="F1406" s="243"/>
      <c r="G1406" s="244" t="s">
        <v>34</v>
      </c>
      <c r="H1406" s="241" t="s">
        <v>170</v>
      </c>
      <c r="I1406" s="349" t="s">
        <v>483</v>
      </c>
      <c r="J1406" s="230"/>
      <c r="K1406" s="245"/>
      <c r="L1406" s="246" t="s">
        <v>484</v>
      </c>
      <c r="M1406" s="247"/>
      <c r="N1406" s="248" t="s">
        <v>485</v>
      </c>
      <c r="O1406" s="248" t="s">
        <v>486</v>
      </c>
      <c r="P1406" s="248" t="s">
        <v>486</v>
      </c>
      <c r="Q1406" s="247" t="s">
        <v>487</v>
      </c>
      <c r="R1406" s="249"/>
      <c r="S1406" s="250" t="s">
        <v>485</v>
      </c>
      <c r="U1406" s="214" t="str">
        <f>A1403</f>
        <v>Estonia</v>
      </c>
    </row>
    <row r="1407" spans="1:22">
      <c r="A1407" s="350" t="s">
        <v>488</v>
      </c>
      <c r="B1407" s="252" t="s">
        <v>0</v>
      </c>
      <c r="C1407" s="469" t="s">
        <v>489</v>
      </c>
      <c r="D1407" s="252" t="s">
        <v>490</v>
      </c>
      <c r="E1407" s="252" t="s">
        <v>491</v>
      </c>
      <c r="F1407" s="469" t="s">
        <v>489</v>
      </c>
      <c r="G1407" s="230" t="s">
        <v>490</v>
      </c>
      <c r="H1407" s="248"/>
      <c r="I1407" s="349" t="s">
        <v>492</v>
      </c>
      <c r="J1407" s="230"/>
      <c r="K1407" s="253" t="s">
        <v>488</v>
      </c>
      <c r="L1407" s="254" t="s">
        <v>88</v>
      </c>
      <c r="M1407" s="252" t="s">
        <v>34</v>
      </c>
      <c r="N1407" s="252" t="s">
        <v>493</v>
      </c>
      <c r="O1407" s="248" t="s">
        <v>494</v>
      </c>
      <c r="P1407" s="248" t="s">
        <v>495</v>
      </c>
      <c r="Q1407" s="230" t="s">
        <v>88</v>
      </c>
      <c r="R1407" s="248" t="s">
        <v>34</v>
      </c>
      <c r="S1407" s="255" t="s">
        <v>88</v>
      </c>
      <c r="U1407" s="214" t="s">
        <v>547</v>
      </c>
      <c r="V1407" s="214">
        <f>G1435/1000</f>
        <v>2.2090000000000001</v>
      </c>
    </row>
    <row r="1408" spans="1:22">
      <c r="A1408" s="266"/>
      <c r="B1408" s="252" t="s">
        <v>496</v>
      </c>
      <c r="C1408" s="469" t="s">
        <v>496</v>
      </c>
      <c r="D1408" s="252" t="s">
        <v>496</v>
      </c>
      <c r="E1408" s="256" t="s">
        <v>473</v>
      </c>
      <c r="F1408" s="470" t="s">
        <v>473</v>
      </c>
      <c r="G1408" s="230" t="s">
        <v>451</v>
      </c>
      <c r="H1408" s="257" t="s">
        <v>497</v>
      </c>
      <c r="I1408" s="351" t="s">
        <v>498</v>
      </c>
      <c r="J1408" s="230"/>
      <c r="K1408" s="245"/>
      <c r="L1408" s="258" t="s">
        <v>496</v>
      </c>
      <c r="M1408" s="256" t="s">
        <v>496</v>
      </c>
      <c r="N1408" s="256"/>
      <c r="O1408" s="257" t="s">
        <v>79</v>
      </c>
      <c r="P1408" s="257" t="s">
        <v>79</v>
      </c>
      <c r="Q1408" s="259"/>
      <c r="R1408" s="257"/>
      <c r="S1408" s="260"/>
      <c r="U1408" s="214" t="s">
        <v>548</v>
      </c>
      <c r="V1408" s="214">
        <f>G1441/1000</f>
        <v>0</v>
      </c>
    </row>
    <row r="1409" spans="1:27">
      <c r="A1409" s="352" t="s">
        <v>262</v>
      </c>
      <c r="B1409" s="201"/>
      <c r="C1409" s="472"/>
      <c r="D1409" s="201"/>
      <c r="E1409" s="204"/>
      <c r="F1409" s="419"/>
      <c r="G1409" s="207"/>
      <c r="H1409" s="213"/>
      <c r="I1409" s="363"/>
      <c r="J1409" s="230"/>
      <c r="K1409" s="265" t="s">
        <v>262</v>
      </c>
      <c r="L1409" s="266" t="e">
        <f>C1409/I1409</f>
        <v>#DIV/0!</v>
      </c>
      <c r="M1409" s="267" t="e">
        <f>D1409/I1409</f>
        <v>#DIV/0!</v>
      </c>
      <c r="N1409" s="267" t="e">
        <f>D1409/C1409</f>
        <v>#DIV/0!</v>
      </c>
      <c r="O1409" s="239" t="e">
        <f>(F1409*3.6+G1409)*100/H1409</f>
        <v>#DIV/0!</v>
      </c>
      <c r="P1409" s="239" t="e">
        <f>(F1409*3.6+G1409)*100/H1409</f>
        <v>#DIV/0!</v>
      </c>
      <c r="Q1409" s="267" t="e">
        <f>F1409/(C1409*8760)*1000</f>
        <v>#DIV/0!</v>
      </c>
      <c r="R1409" s="267" t="e">
        <f>G1409/(D1409*8761)*1000/3.6</f>
        <v>#DIV/0!</v>
      </c>
      <c r="S1409" s="268" t="e">
        <f>G1409/(F1409*3.6)</f>
        <v>#DIV/0!</v>
      </c>
      <c r="U1409" s="214" t="s">
        <v>549</v>
      </c>
      <c r="V1409" s="214">
        <f>G1443/1000</f>
        <v>0</v>
      </c>
      <c r="Z1409" s="214">
        <f t="shared" ref="Z1409:Z1414" si="480">C1409-B1409</f>
        <v>0</v>
      </c>
      <c r="AA1409" s="214">
        <f t="shared" ref="AA1409:AA1414" si="481">F1409-E1409</f>
        <v>0</v>
      </c>
    </row>
    <row r="1410" spans="1:27">
      <c r="A1410" s="266" t="s">
        <v>263</v>
      </c>
      <c r="B1410" s="216">
        <v>119</v>
      </c>
      <c r="C1410" s="419">
        <v>119</v>
      </c>
      <c r="D1410" s="204">
        <v>310.5</v>
      </c>
      <c r="E1410" s="216">
        <v>345.28199999999998</v>
      </c>
      <c r="F1410" s="419">
        <v>345.28199999999998</v>
      </c>
      <c r="G1410" s="206">
        <v>2763</v>
      </c>
      <c r="H1410" s="202">
        <v>4944.1540000000005</v>
      </c>
      <c r="I1410" s="363">
        <v>2</v>
      </c>
      <c r="J1410" s="230"/>
      <c r="K1410" s="245" t="s">
        <v>263</v>
      </c>
      <c r="L1410" s="266">
        <f>C1410/I1410</f>
        <v>59.5</v>
      </c>
      <c r="M1410" s="267">
        <f>D1410/I1410</f>
        <v>155.25</v>
      </c>
      <c r="N1410" s="267">
        <f>D1410/C1410</f>
        <v>2.6092436974789917</v>
      </c>
      <c r="O1410" s="239">
        <f>(F1410*3.6+G1410)*100/H1410</f>
        <v>81.025291687920713</v>
      </c>
      <c r="P1410" s="239">
        <f>(F1410*3.6+G1410)*100/H1410</f>
        <v>81.025291687920713</v>
      </c>
      <c r="Q1410" s="267">
        <f>F1410/(C1410*8760)*1000</f>
        <v>0.33122481869460113</v>
      </c>
      <c r="R1410" s="267">
        <f>G1410/(D1410*8761)*1000/3.6</f>
        <v>0.28213898478857313</v>
      </c>
      <c r="S1410" s="268">
        <f>G1410/(F1410*3.6)</f>
        <v>2.2228207667935194</v>
      </c>
      <c r="U1410" s="214" t="s">
        <v>550</v>
      </c>
      <c r="V1410" s="214">
        <f>G1448/1000</f>
        <v>1.452</v>
      </c>
      <c r="Z1410" s="214">
        <f t="shared" si="480"/>
        <v>0</v>
      </c>
      <c r="AA1410" s="214">
        <f t="shared" si="481"/>
        <v>0</v>
      </c>
    </row>
    <row r="1411" spans="1:27">
      <c r="A1411" s="266" t="s">
        <v>499</v>
      </c>
      <c r="B1411" s="216"/>
      <c r="C1411" s="419"/>
      <c r="D1411" s="204"/>
      <c r="E1411" s="216"/>
      <c r="F1411" s="419"/>
      <c r="G1411" s="206"/>
      <c r="H1411" s="202"/>
      <c r="I1411" s="363"/>
      <c r="J1411" s="230"/>
      <c r="K1411" s="245" t="s">
        <v>499</v>
      </c>
      <c r="L1411" s="266" t="e">
        <f>C1411/I1411</f>
        <v>#DIV/0!</v>
      </c>
      <c r="M1411" s="267" t="e">
        <f>D1411/I1411</f>
        <v>#DIV/0!</v>
      </c>
      <c r="N1411" s="267" t="e">
        <f>D1411/C1411</f>
        <v>#DIV/0!</v>
      </c>
      <c r="O1411" s="239" t="e">
        <f>(F1411*3.6+G1411)*100/H1411</f>
        <v>#DIV/0!</v>
      </c>
      <c r="P1411" s="239" t="e">
        <f>(F1411*3.6+G1411)*100/H1411</f>
        <v>#DIV/0!</v>
      </c>
      <c r="Q1411" s="267" t="e">
        <f>F1411/(C1411*8760)*1000</f>
        <v>#DIV/0!</v>
      </c>
      <c r="R1411" s="267" t="e">
        <f>G1411/(D1411*8761)*1000/3.6</f>
        <v>#DIV/0!</v>
      </c>
      <c r="S1411" s="268" t="e">
        <f>G1411/(F1411*3.6)</f>
        <v>#DIV/0!</v>
      </c>
      <c r="U1411" s="214" t="s">
        <v>551</v>
      </c>
      <c r="V1411" s="214">
        <f>G1439/1000</f>
        <v>0.47499999999999998</v>
      </c>
      <c r="Z1411" s="214">
        <f t="shared" si="480"/>
        <v>0</v>
      </c>
      <c r="AA1411" s="214">
        <f t="shared" si="481"/>
        <v>0</v>
      </c>
    </row>
    <row r="1412" spans="1:27">
      <c r="A1412" s="266" t="s">
        <v>265</v>
      </c>
      <c r="B1412" s="216"/>
      <c r="C1412" s="419"/>
      <c r="D1412" s="204"/>
      <c r="E1412" s="216"/>
      <c r="F1412" s="419"/>
      <c r="G1412" s="206"/>
      <c r="H1412" s="202"/>
      <c r="I1412" s="363"/>
      <c r="J1412" s="230"/>
      <c r="K1412" s="245" t="s">
        <v>265</v>
      </c>
      <c r="L1412" s="266" t="e">
        <f>C1412/I1412</f>
        <v>#DIV/0!</v>
      </c>
      <c r="M1412" s="267" t="e">
        <f>D1412/I1412</f>
        <v>#DIV/0!</v>
      </c>
      <c r="N1412" s="267" t="e">
        <f>D1412/C1412</f>
        <v>#DIV/0!</v>
      </c>
      <c r="O1412" s="239" t="e">
        <f>(F1412*3.6+G1412)*100/H1412</f>
        <v>#DIV/0!</v>
      </c>
      <c r="P1412" s="239" t="e">
        <f>(F1412*3.6+G1412)*100/H1412</f>
        <v>#DIV/0!</v>
      </c>
      <c r="Q1412" s="267" t="e">
        <f>F1412/(C1412*8760)*1000</f>
        <v>#DIV/0!</v>
      </c>
      <c r="R1412" s="267" t="e">
        <f>G1412/(D1412*8761)*1000/3.6</f>
        <v>#DIV/0!</v>
      </c>
      <c r="S1412" s="268" t="e">
        <f>G1412/(F1412*3.6)</f>
        <v>#DIV/0!</v>
      </c>
      <c r="U1412" s="214" t="s">
        <v>552</v>
      </c>
      <c r="V1412" s="214">
        <f>(G1436+G1437+G1438+G1440+G1442+G1444+G1445+G1446+G1447+G1449+G1450+G1451+G1452+G1453)/1000</f>
        <v>0.28199999999999997</v>
      </c>
      <c r="Z1412" s="214">
        <f t="shared" si="480"/>
        <v>0</v>
      </c>
      <c r="AA1412" s="214">
        <f t="shared" si="481"/>
        <v>0</v>
      </c>
    </row>
    <row r="1413" spans="1:27">
      <c r="A1413" s="266" t="s">
        <v>266</v>
      </c>
      <c r="B1413" s="216">
        <v>3.36</v>
      </c>
      <c r="C1413" s="419">
        <v>3.36</v>
      </c>
      <c r="D1413" s="204">
        <v>4.6900000000000004</v>
      </c>
      <c r="E1413" s="216">
        <v>22.873999999999999</v>
      </c>
      <c r="F1413" s="419">
        <v>22.873999999999999</v>
      </c>
      <c r="G1413" s="206">
        <v>103</v>
      </c>
      <c r="H1413" s="202">
        <v>208.2</v>
      </c>
      <c r="I1413" s="363">
        <v>4</v>
      </c>
      <c r="J1413" s="230"/>
      <c r="K1413" s="245" t="s">
        <v>266</v>
      </c>
      <c r="L1413" s="266">
        <f>C1413/I1413</f>
        <v>0.84</v>
      </c>
      <c r="M1413" s="267">
        <f>D1413/I1413</f>
        <v>1.1725000000000001</v>
      </c>
      <c r="N1413" s="267">
        <f>D1413/C1413</f>
        <v>1.3958333333333335</v>
      </c>
      <c r="O1413" s="239">
        <f>(F1413*3.6+G1413)*100/H1413</f>
        <v>89.023246878001942</v>
      </c>
      <c r="P1413" s="239">
        <f>(F1413*3.6+G1413)*100/H1413</f>
        <v>89.023246878001942</v>
      </c>
      <c r="Q1413" s="267">
        <f>F1413/(C1413*8760)*1000</f>
        <v>0.77713905196781907</v>
      </c>
      <c r="R1413" s="267">
        <f>G1413/(D1413*8761)*1000/3.6</f>
        <v>0.69631892823888564</v>
      </c>
      <c r="S1413" s="268">
        <f>G1413/(F1413*3.6)</f>
        <v>1.2508136360545208</v>
      </c>
      <c r="Z1413" s="214">
        <f t="shared" si="480"/>
        <v>0</v>
      </c>
      <c r="AA1413" s="214">
        <f t="shared" si="481"/>
        <v>0</v>
      </c>
    </row>
    <row r="1414" spans="1:27">
      <c r="A1414" s="353" t="s">
        <v>267</v>
      </c>
      <c r="B1414" s="218"/>
      <c r="C1414" s="473"/>
      <c r="D1414" s="218"/>
      <c r="E1414" s="218"/>
      <c r="F1414" s="473"/>
      <c r="G1414" s="218"/>
      <c r="H1414" s="218"/>
      <c r="I1414" s="218"/>
      <c r="J1414" s="230"/>
      <c r="K1414" s="245" t="s">
        <v>267</v>
      </c>
      <c r="L1414" s="266"/>
      <c r="M1414" s="267"/>
      <c r="N1414" s="267"/>
      <c r="O1414" s="239"/>
      <c r="P1414" s="272"/>
      <c r="Q1414" s="272"/>
      <c r="R1414" s="274"/>
      <c r="S1414" s="275"/>
      <c r="U1414" s="214" t="s">
        <v>553</v>
      </c>
      <c r="V1414" s="214">
        <f>H1435/1000</f>
        <v>3.9350999999999998</v>
      </c>
      <c r="Z1414" s="214">
        <f t="shared" si="480"/>
        <v>0</v>
      </c>
      <c r="AA1414" s="214">
        <f t="shared" si="481"/>
        <v>0</v>
      </c>
    </row>
    <row r="1415" spans="1:27">
      <c r="A1415" s="276" t="s">
        <v>500</v>
      </c>
      <c r="B1415" s="277">
        <f t="shared" ref="B1415:I1415" si="482">SUM(B1409:B1414)</f>
        <v>122.36</v>
      </c>
      <c r="C1415" s="464">
        <f t="shared" si="482"/>
        <v>122.36</v>
      </c>
      <c r="D1415" s="277">
        <f t="shared" si="482"/>
        <v>315.19</v>
      </c>
      <c r="E1415" s="277">
        <f t="shared" si="482"/>
        <v>368.15600000000001</v>
      </c>
      <c r="F1415" s="464">
        <f t="shared" si="482"/>
        <v>368.15600000000001</v>
      </c>
      <c r="G1415" s="277">
        <f t="shared" si="482"/>
        <v>2866</v>
      </c>
      <c r="H1415" s="277">
        <f t="shared" si="482"/>
        <v>5152.3540000000003</v>
      </c>
      <c r="I1415" s="364">
        <f t="shared" si="482"/>
        <v>6</v>
      </c>
      <c r="J1415" s="244"/>
      <c r="K1415" s="279" t="s">
        <v>169</v>
      </c>
      <c r="L1415" s="280">
        <f>C1415/I1415</f>
        <v>20.393333333333334</v>
      </c>
      <c r="M1415" s="281">
        <f>D1415/I1415</f>
        <v>52.531666666666666</v>
      </c>
      <c r="N1415" s="281">
        <f>D1415/C1415</f>
        <v>2.5759235044132067</v>
      </c>
      <c r="O1415" s="282">
        <f>(F1415*3.6+G1415)*100/H1415</f>
        <v>81.348478773003563</v>
      </c>
      <c r="P1415" s="282">
        <f>(F1415*3.6+G1415)*100/H1415</f>
        <v>81.348478773003563</v>
      </c>
      <c r="Q1415" s="283">
        <f>F1415/(C1415*8760)*1000</f>
        <v>0.34346960313230962</v>
      </c>
      <c r="R1415" s="283">
        <f>G1415/(D1415*8761)*1000/3.6</f>
        <v>0.28830194660456343</v>
      </c>
      <c r="S1415" s="284">
        <f>G1415/(F1415*3.6)</f>
        <v>2.1624287288842532</v>
      </c>
      <c r="U1415" s="214" t="s">
        <v>554</v>
      </c>
      <c r="V1415" s="214">
        <f>H1441/1000</f>
        <v>0</v>
      </c>
    </row>
    <row r="1416" spans="1:27">
      <c r="A1416" s="285" t="s">
        <v>501</v>
      </c>
      <c r="B1416" s="228" t="s">
        <v>476</v>
      </c>
      <c r="C1416" s="228"/>
      <c r="D1416" s="286"/>
      <c r="E1416" s="227" t="s">
        <v>477</v>
      </c>
      <c r="F1416" s="228"/>
      <c r="G1416" s="229"/>
      <c r="H1416" s="200" t="s">
        <v>138</v>
      </c>
      <c r="I1416" s="354" t="s">
        <v>478</v>
      </c>
      <c r="J1416" s="244"/>
      <c r="K1416" s="287" t="s">
        <v>501</v>
      </c>
      <c r="L1416" s="288" t="s">
        <v>479</v>
      </c>
      <c r="M1416" s="228"/>
      <c r="N1416" s="286"/>
      <c r="O1416" s="227" t="s">
        <v>480</v>
      </c>
      <c r="P1416" s="228"/>
      <c r="Q1416" s="228"/>
      <c r="R1416" s="229"/>
      <c r="S1416" s="289"/>
      <c r="U1416" s="214" t="s">
        <v>555</v>
      </c>
      <c r="V1416" s="214">
        <f>H1443/1000</f>
        <v>0</v>
      </c>
    </row>
    <row r="1417" spans="1:27">
      <c r="A1417" s="266"/>
      <c r="B1417" s="240" t="s">
        <v>481</v>
      </c>
      <c r="C1417" s="240"/>
      <c r="D1417" s="241" t="s">
        <v>34</v>
      </c>
      <c r="E1417" s="242" t="s">
        <v>482</v>
      </c>
      <c r="F1417" s="243"/>
      <c r="G1417" s="244" t="s">
        <v>34</v>
      </c>
      <c r="H1417" s="241" t="s">
        <v>170</v>
      </c>
      <c r="I1417" s="349" t="s">
        <v>483</v>
      </c>
      <c r="J1417" s="244"/>
      <c r="K1417" s="245"/>
      <c r="L1417" s="246" t="s">
        <v>484</v>
      </c>
      <c r="M1417" s="247"/>
      <c r="N1417" s="248" t="s">
        <v>485</v>
      </c>
      <c r="O1417" s="248" t="s">
        <v>486</v>
      </c>
      <c r="P1417" s="248" t="s">
        <v>486</v>
      </c>
      <c r="Q1417" s="247" t="s">
        <v>487</v>
      </c>
      <c r="R1417" s="249"/>
      <c r="S1417" s="250" t="s">
        <v>485</v>
      </c>
      <c r="U1417" s="214" t="s">
        <v>556</v>
      </c>
      <c r="V1417" s="214">
        <f>H1448/1000</f>
        <v>2.2359</v>
      </c>
    </row>
    <row r="1418" spans="1:27">
      <c r="A1418" s="350" t="s">
        <v>488</v>
      </c>
      <c r="B1418" s="252" t="s">
        <v>0</v>
      </c>
      <c r="C1418" s="252" t="s">
        <v>489</v>
      </c>
      <c r="D1418" s="252" t="s">
        <v>490</v>
      </c>
      <c r="E1418" s="252" t="s">
        <v>491</v>
      </c>
      <c r="F1418" s="252" t="s">
        <v>489</v>
      </c>
      <c r="G1418" s="230" t="s">
        <v>490</v>
      </c>
      <c r="H1418" s="248"/>
      <c r="I1418" s="349" t="s">
        <v>492</v>
      </c>
      <c r="J1418" s="244"/>
      <c r="K1418" s="253" t="s">
        <v>488</v>
      </c>
      <c r="L1418" s="254" t="s">
        <v>88</v>
      </c>
      <c r="M1418" s="252" t="s">
        <v>34</v>
      </c>
      <c r="N1418" s="252" t="s">
        <v>493</v>
      </c>
      <c r="O1418" s="248" t="s">
        <v>494</v>
      </c>
      <c r="P1418" s="248" t="s">
        <v>495</v>
      </c>
      <c r="Q1418" s="230" t="s">
        <v>88</v>
      </c>
      <c r="R1418" s="248" t="s">
        <v>34</v>
      </c>
      <c r="S1418" s="255" t="s">
        <v>88</v>
      </c>
      <c r="U1418" s="214" t="s">
        <v>557</v>
      </c>
      <c r="V1418" s="214">
        <f>H1439/1000</f>
        <v>0.998</v>
      </c>
    </row>
    <row r="1419" spans="1:27">
      <c r="A1419" s="266"/>
      <c r="B1419" s="252" t="s">
        <v>496</v>
      </c>
      <c r="C1419" s="252" t="s">
        <v>496</v>
      </c>
      <c r="D1419" s="252" t="s">
        <v>496</v>
      </c>
      <c r="E1419" s="256" t="s">
        <v>473</v>
      </c>
      <c r="F1419" s="256" t="s">
        <v>473</v>
      </c>
      <c r="G1419" s="230" t="s">
        <v>451</v>
      </c>
      <c r="H1419" s="257" t="s">
        <v>497</v>
      </c>
      <c r="I1419" s="351" t="s">
        <v>498</v>
      </c>
      <c r="J1419" s="244"/>
      <c r="K1419" s="245"/>
      <c r="L1419" s="258" t="s">
        <v>496</v>
      </c>
      <c r="M1419" s="256" t="s">
        <v>496</v>
      </c>
      <c r="N1419" s="256"/>
      <c r="O1419" s="257" t="s">
        <v>79</v>
      </c>
      <c r="P1419" s="257" t="s">
        <v>79</v>
      </c>
      <c r="Q1419" s="259"/>
      <c r="R1419" s="257"/>
      <c r="S1419" s="260"/>
      <c r="U1419" s="214" t="s">
        <v>558</v>
      </c>
      <c r="V1419" s="214">
        <f>(H1436+H1437+H1438+H1440+H1442+H1444+H1445+H1446+H1447+H1449+H1450+H1451+H1452+H1453)/1000</f>
        <v>0.70120000000000005</v>
      </c>
    </row>
    <row r="1420" spans="1:27">
      <c r="A1420" s="352" t="s">
        <v>262</v>
      </c>
      <c r="B1420" s="365"/>
      <c r="C1420" s="366"/>
      <c r="D1420" s="365"/>
      <c r="E1420" s="320"/>
      <c r="F1420" s="367"/>
      <c r="G1420" s="368"/>
      <c r="H1420" s="369"/>
      <c r="I1420" s="370"/>
      <c r="J1420" s="244"/>
      <c r="K1420" s="265" t="s">
        <v>262</v>
      </c>
      <c r="L1420" s="266" t="e">
        <f>B1420/I1420</f>
        <v>#DIV/0!</v>
      </c>
      <c r="M1420" s="267" t="e">
        <f>D1420/I1420</f>
        <v>#DIV/0!</v>
      </c>
      <c r="N1420" s="267" t="e">
        <f>D1420/B1420</f>
        <v>#DIV/0!</v>
      </c>
      <c r="O1420" s="239" t="e">
        <f>(F1420*3.6+G1420)*100/H1420</f>
        <v>#DIV/0!</v>
      </c>
      <c r="P1420" s="267" t="e">
        <f>(E1420*3.6+G1420)*100/H1420</f>
        <v>#DIV/0!</v>
      </c>
      <c r="Q1420" s="267" t="e">
        <f>E1420/(B1420*8760)*1000</f>
        <v>#DIV/0!</v>
      </c>
      <c r="R1420" s="267" t="e">
        <f>G1420/(D1420*8761)*1000/3.6</f>
        <v>#DIV/0!</v>
      </c>
      <c r="S1420" s="268" t="e">
        <f>G1420/(E1420*3.6)</f>
        <v>#DIV/0!</v>
      </c>
      <c r="Z1420" s="214">
        <f t="shared" ref="Z1420:Z1427" si="483">C1420-B1420</f>
        <v>0</v>
      </c>
      <c r="AA1420" s="214">
        <f t="shared" ref="AA1420:AA1427" si="484">F1420-E1420</f>
        <v>0</v>
      </c>
    </row>
    <row r="1421" spans="1:27">
      <c r="A1421" s="266" t="s">
        <v>263</v>
      </c>
      <c r="B1421" s="320">
        <v>64.5</v>
      </c>
      <c r="C1421" s="474">
        <v>64.5</v>
      </c>
      <c r="D1421" s="474">
        <v>552.9</v>
      </c>
      <c r="E1421" s="474">
        <v>184.566</v>
      </c>
      <c r="F1421" s="474">
        <v>189.88800000000001</v>
      </c>
      <c r="G1421" s="475">
        <v>4798</v>
      </c>
      <c r="H1421" s="319">
        <v>8044.5940000000001</v>
      </c>
      <c r="I1421" s="370">
        <v>8</v>
      </c>
      <c r="J1421" s="244"/>
      <c r="K1421" s="245" t="s">
        <v>263</v>
      </c>
      <c r="L1421" s="266">
        <f>B1421/I1421</f>
        <v>8.0625</v>
      </c>
      <c r="M1421" s="267">
        <f>D1421/I1421</f>
        <v>69.112499999999997</v>
      </c>
      <c r="N1421" s="267">
        <f>D1421/B1421</f>
        <v>8.5720930232558139</v>
      </c>
      <c r="O1421" s="239">
        <f>(F1421*3.6+G1421)*100/H1421</f>
        <v>68.140129881010779</v>
      </c>
      <c r="P1421" s="267">
        <f>(E1421*3.6+G1421)*100/H1421</f>
        <v>67.901967457897811</v>
      </c>
      <c r="Q1421" s="267">
        <f>E1421/(B1421*8760)*1000</f>
        <v>0.32665392375491131</v>
      </c>
      <c r="R1421" s="267">
        <f>G1421/(D1421*8761)*1000/3.6</f>
        <v>0.27514236920187662</v>
      </c>
      <c r="S1421" s="268">
        <f>G1421/(E1421*3.6)</f>
        <v>7.2211446191485855</v>
      </c>
      <c r="U1421" s="239" t="s">
        <v>152</v>
      </c>
      <c r="V1421" s="492">
        <f>B1436/1000</f>
        <v>2.5000000000000001E-3</v>
      </c>
      <c r="Z1421" s="214">
        <f t="shared" si="483"/>
        <v>0</v>
      </c>
      <c r="AA1421" s="214">
        <f t="shared" si="484"/>
        <v>5.3220000000000027</v>
      </c>
    </row>
    <row r="1422" spans="1:27">
      <c r="A1422" s="266" t="s">
        <v>499</v>
      </c>
      <c r="B1422" s="320">
        <v>260</v>
      </c>
      <c r="C1422" s="474">
        <v>260</v>
      </c>
      <c r="D1422" s="474">
        <v>668.6</v>
      </c>
      <c r="E1422" s="474">
        <v>365.553</v>
      </c>
      <c r="F1422" s="474">
        <v>1055.1569999999999</v>
      </c>
      <c r="G1422" s="475">
        <v>3573.511</v>
      </c>
      <c r="H1422" s="319">
        <v>15267.06</v>
      </c>
      <c r="I1422" s="370">
        <v>8</v>
      </c>
      <c r="J1422" s="244"/>
      <c r="K1422" s="245" t="s">
        <v>499</v>
      </c>
      <c r="L1422" s="266">
        <f>B1422/I1422</f>
        <v>32.5</v>
      </c>
      <c r="M1422" s="267">
        <f>D1422/I1422</f>
        <v>83.575000000000003</v>
      </c>
      <c r="N1422" s="267">
        <f>D1422/B1422</f>
        <v>2.5715384615384616</v>
      </c>
      <c r="O1422" s="239">
        <f>(F1422*3.6+G1422)*100/H1422</f>
        <v>48.287464646107374</v>
      </c>
      <c r="P1422" s="267">
        <f>(E1422*3.6+G1422)*100/H1422</f>
        <v>32.026479230447777</v>
      </c>
      <c r="Q1422" s="267">
        <f>E1422/(B1422*8760)*1000</f>
        <v>0.16049920969441517</v>
      </c>
      <c r="R1422" s="267">
        <f>G1422/(D1422*8761)*1000/3.6</f>
        <v>0.16946209452997976</v>
      </c>
      <c r="S1422" s="268">
        <f>G1422/(E1422*3.6)</f>
        <v>2.7154528739866568</v>
      </c>
      <c r="U1422" s="239" t="s">
        <v>504</v>
      </c>
      <c r="V1422" s="492">
        <f t="shared" ref="V1422:V1438" si="485">B1437/1000</f>
        <v>0</v>
      </c>
      <c r="Z1422" s="214">
        <f t="shared" si="483"/>
        <v>0</v>
      </c>
      <c r="AA1422" s="214">
        <f t="shared" si="484"/>
        <v>689.60399999999993</v>
      </c>
    </row>
    <row r="1423" spans="1:27">
      <c r="A1423" s="266" t="s">
        <v>265</v>
      </c>
      <c r="B1423" s="320"/>
      <c r="C1423" s="474"/>
      <c r="D1423" s="474"/>
      <c r="E1423" s="474"/>
      <c r="F1423" s="474"/>
      <c r="G1423" s="475"/>
      <c r="H1423" s="319"/>
      <c r="I1423" s="370"/>
      <c r="J1423" s="244"/>
      <c r="K1423" s="245" t="s">
        <v>265</v>
      </c>
      <c r="L1423" s="266" t="e">
        <f>B1423/I1423</f>
        <v>#DIV/0!</v>
      </c>
      <c r="M1423" s="267" t="e">
        <f>D1423/I1423</f>
        <v>#DIV/0!</v>
      </c>
      <c r="N1423" s="267" t="e">
        <f>D1423/B1423</f>
        <v>#DIV/0!</v>
      </c>
      <c r="O1423" s="239" t="e">
        <f>(F1423*3.6+G1423)*100/H1423</f>
        <v>#DIV/0!</v>
      </c>
      <c r="P1423" s="267" t="e">
        <f>(E1423*3.6+G1423)*100/H1423</f>
        <v>#DIV/0!</v>
      </c>
      <c r="Q1423" s="267" t="e">
        <f>E1423/(B1423*8760)*1000</f>
        <v>#DIV/0!</v>
      </c>
      <c r="R1423" s="267" t="e">
        <f>G1423/(D1423*8761)*1000/3.6</f>
        <v>#DIV/0!</v>
      </c>
      <c r="S1423" s="268" t="e">
        <f>G1423/(E1423*3.6)</f>
        <v>#DIV/0!</v>
      </c>
      <c r="U1423" s="239" t="s">
        <v>505</v>
      </c>
      <c r="V1423" s="492">
        <f t="shared" si="485"/>
        <v>0</v>
      </c>
      <c r="Z1423" s="214">
        <f t="shared" si="483"/>
        <v>0</v>
      </c>
      <c r="AA1423" s="214">
        <f t="shared" si="484"/>
        <v>0</v>
      </c>
    </row>
    <row r="1424" spans="1:27">
      <c r="A1424" s="266" t="s">
        <v>266</v>
      </c>
      <c r="B1424" s="320">
        <v>3.6</v>
      </c>
      <c r="C1424" s="474">
        <v>3.6</v>
      </c>
      <c r="D1424" s="474">
        <v>4.0999999999999996</v>
      </c>
      <c r="E1424" s="474">
        <v>20.370999999999999</v>
      </c>
      <c r="F1424" s="474">
        <v>20.370999999999999</v>
      </c>
      <c r="G1424" s="475">
        <v>66</v>
      </c>
      <c r="H1424" s="319">
        <v>205.37899999999999</v>
      </c>
      <c r="I1424" s="370">
        <v>2</v>
      </c>
      <c r="J1424" s="244"/>
      <c r="K1424" s="245" t="s">
        <v>266</v>
      </c>
      <c r="L1424" s="266">
        <f>B1424/I1424</f>
        <v>1.8</v>
      </c>
      <c r="M1424" s="267">
        <f>D1424/I1424</f>
        <v>2.0499999999999998</v>
      </c>
      <c r="N1424" s="267">
        <f>D1424/B1424</f>
        <v>1.1388888888888888</v>
      </c>
      <c r="O1424" s="239">
        <f>(F1424*3.6+G1424)*100/H1424</f>
        <v>67.843158258634034</v>
      </c>
      <c r="P1424" s="267">
        <f>(E1424*3.6+G1424)*100/H1424</f>
        <v>67.843158258634034</v>
      </c>
      <c r="Q1424" s="267">
        <f>E1424/(B1424*8760)*1000</f>
        <v>0.64596017250126836</v>
      </c>
      <c r="R1424" s="267">
        <f>G1424/(D1424*8761)*1000/3.6</f>
        <v>0.51039204605035438</v>
      </c>
      <c r="S1424" s="268">
        <f>G1424/(E1424*3.6)</f>
        <v>0.89997218267798995</v>
      </c>
      <c r="U1424" s="239" t="s">
        <v>506</v>
      </c>
      <c r="V1424" s="492">
        <f t="shared" si="485"/>
        <v>0.01</v>
      </c>
      <c r="Z1424" s="214">
        <f t="shared" si="483"/>
        <v>0</v>
      </c>
      <c r="AA1424" s="214">
        <f t="shared" si="484"/>
        <v>0</v>
      </c>
    </row>
    <row r="1425" spans="1:27">
      <c r="A1425" s="353" t="s">
        <v>267</v>
      </c>
      <c r="B1425" s="372"/>
      <c r="C1425" s="373"/>
      <c r="D1425" s="372"/>
      <c r="E1425" s="374"/>
      <c r="F1425" s="375"/>
      <c r="G1425" s="374"/>
      <c r="H1425" s="374"/>
      <c r="I1425" s="273"/>
      <c r="J1425" s="244"/>
      <c r="K1425" s="245" t="s">
        <v>267</v>
      </c>
      <c r="L1425" s="266"/>
      <c r="M1425" s="267"/>
      <c r="N1425" s="267"/>
      <c r="O1425" s="239"/>
      <c r="P1425" s="267"/>
      <c r="Q1425" s="272"/>
      <c r="R1425" s="274"/>
      <c r="S1425" s="275"/>
      <c r="U1425" s="239" t="s">
        <v>507</v>
      </c>
      <c r="V1425" s="492">
        <f t="shared" si="485"/>
        <v>0</v>
      </c>
      <c r="Z1425" s="214">
        <f t="shared" si="483"/>
        <v>0</v>
      </c>
      <c r="AA1425" s="214">
        <f t="shared" si="484"/>
        <v>0</v>
      </c>
    </row>
    <row r="1426" spans="1:27">
      <c r="A1426" s="276" t="s">
        <v>500</v>
      </c>
      <c r="B1426" s="291">
        <f t="shared" ref="B1426:I1426" si="486">SUM(B1420:B1425)</f>
        <v>328.1</v>
      </c>
      <c r="C1426" s="291">
        <f t="shared" si="486"/>
        <v>328.1</v>
      </c>
      <c r="D1426" s="291">
        <f t="shared" si="486"/>
        <v>1225.5999999999999</v>
      </c>
      <c r="E1426" s="291">
        <f t="shared" si="486"/>
        <v>570.49</v>
      </c>
      <c r="F1426" s="291">
        <f t="shared" si="486"/>
        <v>1265.4159999999999</v>
      </c>
      <c r="G1426" s="291">
        <f t="shared" si="486"/>
        <v>8437.5110000000004</v>
      </c>
      <c r="H1426" s="291">
        <f t="shared" si="486"/>
        <v>23517.032999999999</v>
      </c>
      <c r="I1426" s="376">
        <f t="shared" si="486"/>
        <v>18</v>
      </c>
      <c r="J1426" s="244"/>
      <c r="K1426" s="279" t="s">
        <v>169</v>
      </c>
      <c r="L1426" s="280">
        <f>B1426/I1426</f>
        <v>18.227777777777778</v>
      </c>
      <c r="M1426" s="281">
        <f>D1426/I1426</f>
        <v>68.088888888888889</v>
      </c>
      <c r="N1426" s="281">
        <f>D1426/B1426</f>
        <v>3.7354465102103012</v>
      </c>
      <c r="O1426" s="294">
        <f>(F1426*3.6+G1426)*100/H1426</f>
        <v>55.249353096540716</v>
      </c>
      <c r="P1426" s="295">
        <f>(E1426*3.6+G1426)*100/H1426</f>
        <v>44.611388690061382</v>
      </c>
      <c r="Q1426" s="283">
        <f>E1426/(B1426*8760)*1000</f>
        <v>0.19848957398276224</v>
      </c>
      <c r="R1426" s="283">
        <f>G1426/(D1426*8761)*1000/3.6</f>
        <v>0.21827772497002984</v>
      </c>
      <c r="S1426" s="284">
        <f>G1426/(E1426*3.6)</f>
        <v>4.1083157558512076</v>
      </c>
      <c r="U1426" s="239" t="s">
        <v>156</v>
      </c>
      <c r="V1426" s="492">
        <f t="shared" si="485"/>
        <v>0</v>
      </c>
      <c r="Z1426" s="214">
        <f t="shared" si="483"/>
        <v>0</v>
      </c>
      <c r="AA1426" s="214">
        <f t="shared" si="484"/>
        <v>694.92599999999993</v>
      </c>
    </row>
    <row r="1427" spans="1:27" ht="13.5" thickBot="1">
      <c r="A1427" s="296" t="s">
        <v>502</v>
      </c>
      <c r="B1427" s="297">
        <f t="shared" ref="B1427:I1427" si="487">B1415+B1426</f>
        <v>450.46000000000004</v>
      </c>
      <c r="C1427" s="297">
        <f t="shared" si="487"/>
        <v>450.46000000000004</v>
      </c>
      <c r="D1427" s="297">
        <f t="shared" si="487"/>
        <v>1540.79</v>
      </c>
      <c r="E1427" s="297">
        <f t="shared" si="487"/>
        <v>938.64599999999996</v>
      </c>
      <c r="F1427" s="297">
        <f t="shared" si="487"/>
        <v>1633.5719999999999</v>
      </c>
      <c r="G1427" s="297">
        <f t="shared" si="487"/>
        <v>11303.511</v>
      </c>
      <c r="H1427" s="297">
        <f t="shared" si="487"/>
        <v>28669.386999999999</v>
      </c>
      <c r="I1427" s="378">
        <f t="shared" si="487"/>
        <v>24</v>
      </c>
      <c r="J1427" s="244"/>
      <c r="K1427" s="296" t="s">
        <v>502</v>
      </c>
      <c r="L1427" s="299">
        <f>B1427/I1427</f>
        <v>18.769166666666667</v>
      </c>
      <c r="M1427" s="300">
        <f>D1427/I1427</f>
        <v>64.199583333333337</v>
      </c>
      <c r="N1427" s="300">
        <f>D1427/B1427</f>
        <v>3.4204812857967406</v>
      </c>
      <c r="O1427" s="301">
        <f>(F1427*3.6+G1427)*100/H1427</f>
        <v>59.939789434632843</v>
      </c>
      <c r="P1427" s="301">
        <f>(E1427*3.6+G1427)*100/H1427</f>
        <v>51.213639831224853</v>
      </c>
      <c r="Q1427" s="301">
        <f>E1427/(B1427*8760)*1000</f>
        <v>0.23787099823072788</v>
      </c>
      <c r="R1427" s="301">
        <f>G1427/(D1427*8761)*1000/3.6</f>
        <v>0.23260215232027784</v>
      </c>
      <c r="S1427" s="302">
        <f>G1427/(E1427*3.6)</f>
        <v>3.3450993949440653</v>
      </c>
      <c r="U1427" s="239" t="s">
        <v>508</v>
      </c>
      <c r="V1427" s="492">
        <f t="shared" si="485"/>
        <v>0</v>
      </c>
      <c r="Z1427" s="214">
        <f t="shared" si="483"/>
        <v>0</v>
      </c>
      <c r="AA1427" s="214">
        <f t="shared" si="484"/>
        <v>694.92599999999993</v>
      </c>
    </row>
    <row r="1428" spans="1:27">
      <c r="U1428" s="239" t="s">
        <v>509</v>
      </c>
      <c r="V1428" s="492">
        <f t="shared" si="485"/>
        <v>0</v>
      </c>
    </row>
    <row r="1429" spans="1:27">
      <c r="A1429" s="251" t="s">
        <v>139</v>
      </c>
      <c r="B1429" s="227" t="s">
        <v>476</v>
      </c>
      <c r="C1429" s="228"/>
      <c r="D1429" s="286"/>
      <c r="E1429" s="227" t="s">
        <v>477</v>
      </c>
      <c r="F1429" s="228"/>
      <c r="G1429" s="229"/>
      <c r="H1429" s="200" t="s">
        <v>138</v>
      </c>
      <c r="I1429" s="200" t="s">
        <v>478</v>
      </c>
      <c r="J1429" s="230"/>
      <c r="K1429" s="303" t="s">
        <v>503</v>
      </c>
      <c r="L1429" s="227" t="s">
        <v>479</v>
      </c>
      <c r="M1429" s="228"/>
      <c r="N1429" s="286"/>
      <c r="O1429" s="227" t="s">
        <v>480</v>
      </c>
      <c r="P1429" s="228"/>
      <c r="Q1429" s="228"/>
      <c r="R1429" s="229"/>
      <c r="S1429" s="286"/>
      <c r="U1429" s="239" t="s">
        <v>510</v>
      </c>
      <c r="V1429" s="492">
        <f t="shared" si="485"/>
        <v>3.0999999999999999E-3</v>
      </c>
    </row>
    <row r="1430" spans="1:27">
      <c r="A1430" s="239"/>
      <c r="B1430" s="240" t="s">
        <v>9</v>
      </c>
      <c r="C1430" s="240"/>
      <c r="D1430" s="241" t="s">
        <v>34</v>
      </c>
      <c r="E1430" s="242" t="s">
        <v>88</v>
      </c>
      <c r="F1430" s="243"/>
      <c r="G1430" s="244" t="s">
        <v>34</v>
      </c>
      <c r="H1430" s="241" t="s">
        <v>170</v>
      </c>
      <c r="I1430" s="241" t="s">
        <v>483</v>
      </c>
      <c r="J1430" s="230"/>
      <c r="K1430" s="305"/>
      <c r="L1430" s="306" t="s">
        <v>484</v>
      </c>
      <c r="M1430" s="247"/>
      <c r="N1430" s="248" t="s">
        <v>485</v>
      </c>
      <c r="O1430" s="248" t="s">
        <v>486</v>
      </c>
      <c r="P1430" s="248" t="s">
        <v>486</v>
      </c>
      <c r="Q1430" s="247" t="s">
        <v>487</v>
      </c>
      <c r="R1430" s="249"/>
      <c r="S1430" s="307" t="s">
        <v>485</v>
      </c>
      <c r="U1430" s="239" t="s">
        <v>511</v>
      </c>
      <c r="V1430" s="492">
        <f t="shared" si="485"/>
        <v>0</v>
      </c>
    </row>
    <row r="1431" spans="1:27">
      <c r="A1431" s="239"/>
      <c r="B1431" s="252" t="s">
        <v>0</v>
      </c>
      <c r="C1431" s="252" t="s">
        <v>489</v>
      </c>
      <c r="D1431" s="252" t="s">
        <v>490</v>
      </c>
      <c r="E1431" s="252" t="s">
        <v>491</v>
      </c>
      <c r="F1431" s="252" t="s">
        <v>489</v>
      </c>
      <c r="G1431" s="230" t="s">
        <v>490</v>
      </c>
      <c r="H1431" s="248"/>
      <c r="I1431" s="241" t="s">
        <v>492</v>
      </c>
      <c r="J1431" s="230"/>
      <c r="K1431" s="305"/>
      <c r="L1431" s="248" t="s">
        <v>88</v>
      </c>
      <c r="M1431" s="252" t="s">
        <v>34</v>
      </c>
      <c r="N1431" s="252" t="s">
        <v>493</v>
      </c>
      <c r="O1431" s="248" t="s">
        <v>494</v>
      </c>
      <c r="P1431" s="248" t="s">
        <v>495</v>
      </c>
      <c r="Q1431" s="230" t="s">
        <v>88</v>
      </c>
      <c r="R1431" s="248" t="s">
        <v>34</v>
      </c>
      <c r="S1431" s="252" t="s">
        <v>88</v>
      </c>
      <c r="U1431" s="239" t="s">
        <v>512</v>
      </c>
      <c r="V1431" s="492">
        <f t="shared" si="485"/>
        <v>0</v>
      </c>
    </row>
    <row r="1432" spans="1:27">
      <c r="A1432" s="239"/>
      <c r="B1432" s="257" t="s">
        <v>496</v>
      </c>
      <c r="C1432" s="256" t="s">
        <v>496</v>
      </c>
      <c r="D1432" s="256" t="s">
        <v>496</v>
      </c>
      <c r="E1432" s="256" t="s">
        <v>473</v>
      </c>
      <c r="F1432" s="257" t="s">
        <v>473</v>
      </c>
      <c r="G1432" s="259" t="s">
        <v>451</v>
      </c>
      <c r="H1432" s="257" t="s">
        <v>497</v>
      </c>
      <c r="I1432" s="257" t="s">
        <v>498</v>
      </c>
      <c r="J1432" s="230"/>
      <c r="K1432" s="305"/>
      <c r="L1432" s="257" t="s">
        <v>496</v>
      </c>
      <c r="M1432" s="256" t="s">
        <v>496</v>
      </c>
      <c r="N1432" s="256"/>
      <c r="O1432" s="257" t="s">
        <v>79</v>
      </c>
      <c r="P1432" s="257" t="s">
        <v>79</v>
      </c>
      <c r="Q1432" s="259"/>
      <c r="R1432" s="257"/>
      <c r="S1432" s="256"/>
      <c r="U1432" s="239" t="s">
        <v>513</v>
      </c>
      <c r="V1432" s="492">
        <f t="shared" si="485"/>
        <v>0</v>
      </c>
    </row>
    <row r="1433" spans="1:27">
      <c r="A1433" s="251" t="s">
        <v>150</v>
      </c>
      <c r="B1433" s="356">
        <v>421</v>
      </c>
      <c r="C1433" s="356">
        <v>421</v>
      </c>
      <c r="D1433" s="358">
        <v>1355.1</v>
      </c>
      <c r="E1433" s="356">
        <v>834.32600000000002</v>
      </c>
      <c r="F1433" s="356">
        <v>1483.93</v>
      </c>
      <c r="G1433" s="356">
        <v>9095</v>
      </c>
      <c r="H1433" s="357">
        <v>24733.906999999999</v>
      </c>
      <c r="I1433" s="358">
        <v>13</v>
      </c>
      <c r="J1433" s="244"/>
      <c r="K1433" s="303" t="s">
        <v>150</v>
      </c>
      <c r="L1433" s="312">
        <f>B1433/I1433</f>
        <v>32.384615384615387</v>
      </c>
      <c r="M1433" s="313">
        <f>D1433/I1433</f>
        <v>104.23846153846154</v>
      </c>
      <c r="N1433" s="313">
        <f>D1433/B1433</f>
        <v>3.2187648456057003</v>
      </c>
      <c r="O1433" s="312">
        <f>(F1433*3.6+G1433)*100/H1433</f>
        <v>58.369864494113287</v>
      </c>
      <c r="P1433" s="313">
        <f>(E1433*3.6+G1433)*100/H1433</f>
        <v>48.914931231851071</v>
      </c>
      <c r="Q1433" s="313">
        <f>E1433/(B1433*8760)*1000</f>
        <v>0.22622967711146541</v>
      </c>
      <c r="R1433" s="313">
        <f>G1433/(D1433*8761)*1000/3.6</f>
        <v>0.21280174113500167</v>
      </c>
      <c r="S1433" s="313">
        <f>G1433/(E1433*3.6)</f>
        <v>3.0280596420210908</v>
      </c>
      <c r="U1433" s="239" t="s">
        <v>514</v>
      </c>
      <c r="V1433" s="492">
        <f t="shared" si="485"/>
        <v>0.01</v>
      </c>
      <c r="Z1433" s="214">
        <f>C1433-B1433</f>
        <v>0</v>
      </c>
      <c r="AA1433" s="214">
        <f>F1433-E1433</f>
        <v>649.60400000000004</v>
      </c>
    </row>
    <row r="1434" spans="1:27">
      <c r="A1434" s="239"/>
      <c r="B1434" s="252"/>
      <c r="C1434" s="380"/>
      <c r="D1434" s="252"/>
      <c r="E1434" s="267"/>
      <c r="F1434" s="381"/>
      <c r="G1434" s="248"/>
      <c r="H1434" s="252"/>
      <c r="I1434" s="248"/>
      <c r="J1434" s="230"/>
      <c r="K1434" s="239"/>
      <c r="L1434" s="312"/>
      <c r="M1434" s="267"/>
      <c r="N1434" s="267"/>
      <c r="O1434" s="239"/>
      <c r="P1434" s="313"/>
      <c r="Q1434" s="267"/>
      <c r="R1434" s="267"/>
      <c r="S1434" s="239"/>
      <c r="U1434" s="239" t="s">
        <v>515</v>
      </c>
      <c r="V1434" s="492">
        <f t="shared" si="485"/>
        <v>0</v>
      </c>
      <c r="Z1434" s="214">
        <f t="shared" ref="Z1434:Z1454" si="488">C1434-B1434</f>
        <v>0</v>
      </c>
      <c r="AA1434" s="214">
        <f t="shared" ref="AA1434:AA1454" si="489">F1434-E1434</f>
        <v>0</v>
      </c>
    </row>
    <row r="1435" spans="1:27">
      <c r="A1435" s="312" t="s">
        <v>7</v>
      </c>
      <c r="B1435" s="205">
        <f t="shared" ref="B1435:I1435" si="490">SUM(B1436:B1453)</f>
        <v>29.46</v>
      </c>
      <c r="C1435" s="205">
        <f t="shared" si="490"/>
        <v>29.46</v>
      </c>
      <c r="D1435" s="205">
        <f t="shared" si="490"/>
        <v>185.69000000000003</v>
      </c>
      <c r="E1435" s="205">
        <f t="shared" si="490"/>
        <v>104.32000000000001</v>
      </c>
      <c r="F1435" s="205">
        <f t="shared" si="490"/>
        <v>149.64200000000002</v>
      </c>
      <c r="G1435" s="205">
        <f t="shared" si="490"/>
        <v>2209</v>
      </c>
      <c r="H1435" s="205">
        <f t="shared" si="490"/>
        <v>3935.1</v>
      </c>
      <c r="I1435" s="205">
        <f t="shared" si="490"/>
        <v>11</v>
      </c>
      <c r="J1435" s="244"/>
      <c r="K1435" s="318" t="s">
        <v>7</v>
      </c>
      <c r="L1435" s="312">
        <f>B1435/I1435</f>
        <v>2.6781818181818182</v>
      </c>
      <c r="M1435" s="313">
        <f>D1435/I1435</f>
        <v>16.880909090909093</v>
      </c>
      <c r="N1435" s="313">
        <f>D1435/B1435</f>
        <v>6.3031228784792948</v>
      </c>
      <c r="O1435" s="312">
        <f t="shared" ref="O1435:O1452" si="491">(F1435*3.6+G1435)*100/H1435</f>
        <v>69.825702015196569</v>
      </c>
      <c r="P1435" s="313">
        <f>(E1435*3.6+G1435)*100/H1435</f>
        <v>65.679449061014978</v>
      </c>
      <c r="Q1435" s="313">
        <f>E1435/(B1435*8760)*1000</f>
        <v>0.40423203662887847</v>
      </c>
      <c r="R1435" s="313">
        <f>G1435/(D1435*8761)*1000/3.6</f>
        <v>0.37718205169853414</v>
      </c>
      <c r="S1435" s="313">
        <f>G1435/(E1435*3.6)</f>
        <v>5.8820083503749148</v>
      </c>
      <c r="U1435" s="239" t="s">
        <v>516</v>
      </c>
      <c r="V1435" s="492">
        <f t="shared" si="485"/>
        <v>0</v>
      </c>
      <c r="Z1435" s="214">
        <f t="shared" si="488"/>
        <v>0</v>
      </c>
      <c r="AA1435" s="214">
        <f t="shared" si="489"/>
        <v>45.322000000000017</v>
      </c>
    </row>
    <row r="1436" spans="1:27">
      <c r="A1436" s="239" t="s">
        <v>152</v>
      </c>
      <c r="B1436" s="216">
        <v>2.5</v>
      </c>
      <c r="C1436" s="216">
        <v>2.5</v>
      </c>
      <c r="D1436" s="216">
        <v>15</v>
      </c>
      <c r="E1436" s="216">
        <v>9.1969999999999992</v>
      </c>
      <c r="F1436" s="216">
        <v>9.1969999999999992</v>
      </c>
      <c r="G1436" s="216">
        <v>113</v>
      </c>
      <c r="H1436" s="216">
        <v>288</v>
      </c>
      <c r="I1436" s="216">
        <v>1</v>
      </c>
      <c r="J1436" s="230"/>
      <c r="K1436" s="305" t="s">
        <v>152</v>
      </c>
      <c r="L1436" s="239">
        <f t="shared" ref="L1436:L1452" si="492">B1436/I1436</f>
        <v>2.5</v>
      </c>
      <c r="M1436" s="267">
        <f t="shared" ref="M1436:M1452" si="493">D1436/I1436</f>
        <v>15</v>
      </c>
      <c r="N1436" s="267">
        <f t="shared" ref="N1436:N1452" si="494">D1436/B1436</f>
        <v>6</v>
      </c>
      <c r="O1436" s="239">
        <f t="shared" si="491"/>
        <v>50.732361111111103</v>
      </c>
      <c r="P1436" s="267">
        <f t="shared" ref="P1436:P1452" si="495">(E1436*3.6+G1436)*100/H1436</f>
        <v>50.732361111111103</v>
      </c>
      <c r="Q1436" s="267">
        <f t="shared" ref="Q1436:Q1452" si="496">E1436/(B1436*8760)*1000</f>
        <v>0.41995433789954334</v>
      </c>
      <c r="R1436" s="267">
        <f t="shared" ref="R1436:R1452" si="497">G1436/(D1436*8761)*1000/3.6</f>
        <v>0.23885316660114059</v>
      </c>
      <c r="S1436" s="267">
        <f t="shared" ref="S1436:S1452" si="498">G1436/(E1436*3.6)</f>
        <v>3.412948666835804</v>
      </c>
      <c r="U1436" s="239" t="s">
        <v>517</v>
      </c>
      <c r="V1436" s="492">
        <f t="shared" si="485"/>
        <v>0</v>
      </c>
      <c r="Z1436" s="214">
        <f t="shared" si="488"/>
        <v>0</v>
      </c>
      <c r="AA1436" s="214">
        <f t="shared" si="489"/>
        <v>0</v>
      </c>
    </row>
    <row r="1437" spans="1:27">
      <c r="A1437" s="239" t="s">
        <v>504</v>
      </c>
      <c r="B1437" s="216"/>
      <c r="C1437" s="216"/>
      <c r="D1437" s="216"/>
      <c r="E1437" s="385"/>
      <c r="F1437" s="385"/>
      <c r="G1437" s="386"/>
      <c r="H1437" s="215"/>
      <c r="I1437" s="215"/>
      <c r="J1437" s="230"/>
      <c r="K1437" s="305" t="s">
        <v>504</v>
      </c>
      <c r="L1437" s="239" t="e">
        <f t="shared" si="492"/>
        <v>#DIV/0!</v>
      </c>
      <c r="M1437" s="267" t="e">
        <f t="shared" si="493"/>
        <v>#DIV/0!</v>
      </c>
      <c r="N1437" s="267" t="e">
        <f t="shared" si="494"/>
        <v>#DIV/0!</v>
      </c>
      <c r="O1437" s="239" t="e">
        <f t="shared" si="491"/>
        <v>#DIV/0!</v>
      </c>
      <c r="P1437" s="267" t="e">
        <f t="shared" si="495"/>
        <v>#DIV/0!</v>
      </c>
      <c r="Q1437" s="267" t="e">
        <f t="shared" si="496"/>
        <v>#DIV/0!</v>
      </c>
      <c r="R1437" s="267" t="e">
        <f t="shared" si="497"/>
        <v>#DIV/0!</v>
      </c>
      <c r="S1437" s="267" t="e">
        <f t="shared" si="498"/>
        <v>#DIV/0!</v>
      </c>
      <c r="U1437" s="239" t="s">
        <v>518</v>
      </c>
      <c r="V1437" s="492">
        <f t="shared" si="485"/>
        <v>1.8E-3</v>
      </c>
      <c r="Z1437" s="214">
        <f t="shared" si="488"/>
        <v>0</v>
      </c>
      <c r="AA1437" s="214">
        <f t="shared" si="489"/>
        <v>0</v>
      </c>
    </row>
    <row r="1438" spans="1:27">
      <c r="A1438" s="239" t="s">
        <v>505</v>
      </c>
      <c r="B1438" s="216"/>
      <c r="C1438" s="216"/>
      <c r="D1438" s="216"/>
      <c r="E1438" s="385"/>
      <c r="F1438" s="385"/>
      <c r="G1438" s="386"/>
      <c r="H1438" s="215"/>
      <c r="I1438" s="215"/>
      <c r="J1438" s="230"/>
      <c r="K1438" s="305" t="s">
        <v>505</v>
      </c>
      <c r="L1438" s="239" t="e">
        <f t="shared" si="492"/>
        <v>#DIV/0!</v>
      </c>
      <c r="M1438" s="267" t="e">
        <f t="shared" si="493"/>
        <v>#DIV/0!</v>
      </c>
      <c r="N1438" s="267" t="e">
        <f t="shared" si="494"/>
        <v>#DIV/0!</v>
      </c>
      <c r="O1438" s="239" t="e">
        <f t="shared" si="491"/>
        <v>#DIV/0!</v>
      </c>
      <c r="P1438" s="267" t="e">
        <f t="shared" si="495"/>
        <v>#DIV/0!</v>
      </c>
      <c r="Q1438" s="267" t="e">
        <f t="shared" si="496"/>
        <v>#DIV/0!</v>
      </c>
      <c r="R1438" s="267" t="e">
        <f t="shared" si="497"/>
        <v>#DIV/0!</v>
      </c>
      <c r="S1438" s="267" t="e">
        <f t="shared" si="498"/>
        <v>#DIV/0!</v>
      </c>
      <c r="U1438" s="239" t="s">
        <v>519</v>
      </c>
      <c r="V1438" s="492">
        <f t="shared" si="485"/>
        <v>2.0600000000000002E-3</v>
      </c>
      <c r="Z1438" s="214">
        <f t="shared" si="488"/>
        <v>0</v>
      </c>
      <c r="AA1438" s="214">
        <f t="shared" si="489"/>
        <v>0</v>
      </c>
    </row>
    <row r="1439" spans="1:27">
      <c r="A1439" s="239" t="s">
        <v>506</v>
      </c>
      <c r="B1439" s="216">
        <v>10</v>
      </c>
      <c r="C1439" s="216">
        <v>10</v>
      </c>
      <c r="D1439" s="216">
        <v>81.3</v>
      </c>
      <c r="E1439" s="385">
        <v>21.145</v>
      </c>
      <c r="F1439" s="385">
        <v>54.201999999999998</v>
      </c>
      <c r="G1439" s="386">
        <v>475</v>
      </c>
      <c r="H1439" s="215">
        <v>998</v>
      </c>
      <c r="I1439" s="215">
        <v>2</v>
      </c>
      <c r="J1439" s="230"/>
      <c r="K1439" s="305" t="s">
        <v>506</v>
      </c>
      <c r="L1439" s="239">
        <f t="shared" si="492"/>
        <v>5</v>
      </c>
      <c r="M1439" s="267">
        <f t="shared" si="493"/>
        <v>40.65</v>
      </c>
      <c r="N1439" s="267">
        <f t="shared" si="494"/>
        <v>8.129999999999999</v>
      </c>
      <c r="O1439" s="239">
        <f t="shared" si="491"/>
        <v>67.14701402805612</v>
      </c>
      <c r="P1439" s="267">
        <f t="shared" si="495"/>
        <v>55.222645290581163</v>
      </c>
      <c r="Q1439" s="267">
        <f t="shared" si="496"/>
        <v>0.24138127853881278</v>
      </c>
      <c r="R1439" s="267">
        <f t="shared" si="497"/>
        <v>0.18524516561986379</v>
      </c>
      <c r="S1439" s="267">
        <f t="shared" si="498"/>
        <v>6.2399831848874179</v>
      </c>
      <c r="Z1439" s="214">
        <f t="shared" si="488"/>
        <v>0</v>
      </c>
      <c r="AA1439" s="214">
        <f t="shared" si="489"/>
        <v>33.057000000000002</v>
      </c>
    </row>
    <row r="1440" spans="1:27">
      <c r="A1440" s="239" t="s">
        <v>507</v>
      </c>
      <c r="B1440" s="216"/>
      <c r="C1440" s="216"/>
      <c r="D1440" s="216"/>
      <c r="E1440" s="385"/>
      <c r="F1440" s="385"/>
      <c r="G1440" s="386"/>
      <c r="H1440" s="215"/>
      <c r="I1440" s="215"/>
      <c r="J1440" s="230"/>
      <c r="K1440" s="305" t="s">
        <v>507</v>
      </c>
      <c r="L1440" s="239" t="e">
        <f t="shared" si="492"/>
        <v>#DIV/0!</v>
      </c>
      <c r="M1440" s="267" t="e">
        <f t="shared" si="493"/>
        <v>#DIV/0!</v>
      </c>
      <c r="N1440" s="267" t="e">
        <f t="shared" si="494"/>
        <v>#DIV/0!</v>
      </c>
      <c r="O1440" s="239" t="e">
        <f t="shared" si="491"/>
        <v>#DIV/0!</v>
      </c>
      <c r="P1440" s="267" t="e">
        <f t="shared" si="495"/>
        <v>#DIV/0!</v>
      </c>
      <c r="Q1440" s="267" t="e">
        <f t="shared" si="496"/>
        <v>#DIV/0!</v>
      </c>
      <c r="R1440" s="267" t="e">
        <f t="shared" si="497"/>
        <v>#DIV/0!</v>
      </c>
      <c r="S1440" s="267" t="e">
        <f t="shared" si="498"/>
        <v>#DIV/0!</v>
      </c>
      <c r="Z1440" s="214">
        <f t="shared" si="488"/>
        <v>0</v>
      </c>
      <c r="AA1440" s="214">
        <f t="shared" si="489"/>
        <v>0</v>
      </c>
    </row>
    <row r="1441" spans="1:27">
      <c r="A1441" s="239" t="s">
        <v>156</v>
      </c>
      <c r="B1441" s="216"/>
      <c r="C1441" s="216"/>
      <c r="D1441" s="216"/>
      <c r="E1441" s="385"/>
      <c r="F1441" s="385"/>
      <c r="G1441" s="386"/>
      <c r="H1441" s="215"/>
      <c r="I1441" s="215"/>
      <c r="J1441" s="230"/>
      <c r="K1441" s="305" t="s">
        <v>156</v>
      </c>
      <c r="L1441" s="239" t="e">
        <f t="shared" si="492"/>
        <v>#DIV/0!</v>
      </c>
      <c r="M1441" s="267" t="e">
        <f t="shared" si="493"/>
        <v>#DIV/0!</v>
      </c>
      <c r="N1441" s="267" t="e">
        <f t="shared" si="494"/>
        <v>#DIV/0!</v>
      </c>
      <c r="O1441" s="322" t="e">
        <f t="shared" si="491"/>
        <v>#DIV/0!</v>
      </c>
      <c r="P1441" s="323" t="e">
        <f t="shared" si="495"/>
        <v>#DIV/0!</v>
      </c>
      <c r="Q1441" s="267" t="e">
        <f t="shared" si="496"/>
        <v>#DIV/0!</v>
      </c>
      <c r="R1441" s="267" t="e">
        <f t="shared" si="497"/>
        <v>#DIV/0!</v>
      </c>
      <c r="S1441" s="267" t="e">
        <f t="shared" si="498"/>
        <v>#DIV/0!</v>
      </c>
      <c r="Z1441" s="214">
        <f t="shared" si="488"/>
        <v>0</v>
      </c>
      <c r="AA1441" s="214">
        <f t="shared" si="489"/>
        <v>0</v>
      </c>
    </row>
    <row r="1442" spans="1:27">
      <c r="A1442" s="239" t="s">
        <v>508</v>
      </c>
      <c r="B1442" s="216"/>
      <c r="C1442" s="216"/>
      <c r="D1442" s="216"/>
      <c r="E1442" s="385"/>
      <c r="F1442" s="385"/>
      <c r="G1442" s="386"/>
      <c r="H1442" s="215"/>
      <c r="I1442" s="215"/>
      <c r="J1442" s="230"/>
      <c r="K1442" s="305" t="s">
        <v>508</v>
      </c>
      <c r="L1442" s="239" t="e">
        <f t="shared" si="492"/>
        <v>#DIV/0!</v>
      </c>
      <c r="M1442" s="267" t="e">
        <f t="shared" si="493"/>
        <v>#DIV/0!</v>
      </c>
      <c r="N1442" s="267" t="e">
        <f t="shared" si="494"/>
        <v>#DIV/0!</v>
      </c>
      <c r="O1442" s="239" t="e">
        <f t="shared" si="491"/>
        <v>#DIV/0!</v>
      </c>
      <c r="P1442" s="267" t="e">
        <f t="shared" si="495"/>
        <v>#DIV/0!</v>
      </c>
      <c r="Q1442" s="267" t="e">
        <f t="shared" si="496"/>
        <v>#DIV/0!</v>
      </c>
      <c r="R1442" s="267" t="e">
        <f t="shared" si="497"/>
        <v>#DIV/0!</v>
      </c>
      <c r="S1442" s="267" t="e">
        <f t="shared" si="498"/>
        <v>#DIV/0!</v>
      </c>
      <c r="Z1442" s="214">
        <f t="shared" si="488"/>
        <v>0</v>
      </c>
      <c r="AA1442" s="214">
        <f t="shared" si="489"/>
        <v>0</v>
      </c>
    </row>
    <row r="1443" spans="1:27">
      <c r="A1443" s="239" t="s">
        <v>509</v>
      </c>
      <c r="B1443" s="216"/>
      <c r="C1443" s="216"/>
      <c r="D1443" s="216"/>
      <c r="E1443" s="385"/>
      <c r="F1443" s="385"/>
      <c r="G1443" s="386"/>
      <c r="H1443" s="215"/>
      <c r="I1443" s="215"/>
      <c r="J1443" s="230"/>
      <c r="K1443" s="305" t="s">
        <v>509</v>
      </c>
      <c r="L1443" s="239" t="e">
        <f t="shared" si="492"/>
        <v>#DIV/0!</v>
      </c>
      <c r="M1443" s="267" t="e">
        <f t="shared" si="493"/>
        <v>#DIV/0!</v>
      </c>
      <c r="N1443" s="267" t="e">
        <f t="shared" si="494"/>
        <v>#DIV/0!</v>
      </c>
      <c r="O1443" s="239" t="e">
        <f t="shared" si="491"/>
        <v>#DIV/0!</v>
      </c>
      <c r="P1443" s="267" t="e">
        <f t="shared" si="495"/>
        <v>#DIV/0!</v>
      </c>
      <c r="Q1443" s="267" t="e">
        <f t="shared" si="496"/>
        <v>#DIV/0!</v>
      </c>
      <c r="R1443" s="267" t="e">
        <f t="shared" si="497"/>
        <v>#DIV/0!</v>
      </c>
      <c r="S1443" s="267" t="e">
        <f t="shared" si="498"/>
        <v>#DIV/0!</v>
      </c>
      <c r="Z1443" s="214">
        <f t="shared" si="488"/>
        <v>0</v>
      </c>
      <c r="AA1443" s="214">
        <f t="shared" si="489"/>
        <v>0</v>
      </c>
    </row>
    <row r="1444" spans="1:27">
      <c r="A1444" s="239" t="s">
        <v>510</v>
      </c>
      <c r="B1444" s="216">
        <v>3.1</v>
      </c>
      <c r="C1444" s="216">
        <v>3.1</v>
      </c>
      <c r="D1444" s="216">
        <v>3.4</v>
      </c>
      <c r="E1444" s="385">
        <v>18.98</v>
      </c>
      <c r="F1444" s="385">
        <v>18.98</v>
      </c>
      <c r="G1444" s="386">
        <v>59</v>
      </c>
      <c r="H1444" s="215">
        <v>186</v>
      </c>
      <c r="I1444" s="215">
        <v>1</v>
      </c>
      <c r="J1444" s="230"/>
      <c r="K1444" s="305" t="s">
        <v>510</v>
      </c>
      <c r="L1444" s="239">
        <f t="shared" si="492"/>
        <v>3.1</v>
      </c>
      <c r="M1444" s="267">
        <f t="shared" si="493"/>
        <v>3.4</v>
      </c>
      <c r="N1444" s="267">
        <f t="shared" si="494"/>
        <v>1.096774193548387</v>
      </c>
      <c r="O1444" s="322">
        <f t="shared" si="491"/>
        <v>68.455913978494635</v>
      </c>
      <c r="P1444" s="323">
        <f t="shared" si="495"/>
        <v>68.455913978494635</v>
      </c>
      <c r="Q1444" s="267">
        <f t="shared" si="496"/>
        <v>0.69892473118279574</v>
      </c>
      <c r="R1444" s="267">
        <f t="shared" si="497"/>
        <v>0.55019534732433484</v>
      </c>
      <c r="S1444" s="267">
        <f t="shared" si="498"/>
        <v>0.86348202786558947</v>
      </c>
      <c r="Z1444" s="214">
        <f t="shared" si="488"/>
        <v>0</v>
      </c>
      <c r="AA1444" s="214">
        <f t="shared" si="489"/>
        <v>0</v>
      </c>
    </row>
    <row r="1445" spans="1:27">
      <c r="A1445" s="239" t="s">
        <v>511</v>
      </c>
      <c r="B1445" s="384"/>
      <c r="C1445" s="384"/>
      <c r="D1445" s="216"/>
      <c r="E1445" s="385"/>
      <c r="F1445" s="385"/>
      <c r="G1445" s="386"/>
      <c r="H1445" s="215"/>
      <c r="I1445" s="215"/>
      <c r="J1445" s="230"/>
      <c r="K1445" s="305" t="s">
        <v>511</v>
      </c>
      <c r="L1445" s="239" t="e">
        <f t="shared" si="492"/>
        <v>#DIV/0!</v>
      </c>
      <c r="M1445" s="267" t="e">
        <f t="shared" si="493"/>
        <v>#DIV/0!</v>
      </c>
      <c r="N1445" s="267" t="e">
        <f t="shared" si="494"/>
        <v>#DIV/0!</v>
      </c>
      <c r="O1445" s="239" t="e">
        <f t="shared" si="491"/>
        <v>#DIV/0!</v>
      </c>
      <c r="P1445" s="267" t="e">
        <f t="shared" si="495"/>
        <v>#DIV/0!</v>
      </c>
      <c r="Q1445" s="267" t="e">
        <f t="shared" si="496"/>
        <v>#DIV/0!</v>
      </c>
      <c r="R1445" s="267" t="e">
        <f t="shared" si="497"/>
        <v>#DIV/0!</v>
      </c>
      <c r="S1445" s="267" t="e">
        <f t="shared" si="498"/>
        <v>#DIV/0!</v>
      </c>
      <c r="Z1445" s="214">
        <f t="shared" si="488"/>
        <v>0</v>
      </c>
      <c r="AA1445" s="214">
        <f t="shared" si="489"/>
        <v>0</v>
      </c>
    </row>
    <row r="1446" spans="1:27">
      <c r="A1446" s="239" t="s">
        <v>512</v>
      </c>
      <c r="B1446" s="384"/>
      <c r="C1446" s="384"/>
      <c r="D1446" s="216"/>
      <c r="E1446" s="385"/>
      <c r="F1446" s="385"/>
      <c r="G1446" s="386"/>
      <c r="H1446" s="215"/>
      <c r="I1446" s="215"/>
      <c r="J1446" s="230"/>
      <c r="K1446" s="305" t="s">
        <v>512</v>
      </c>
      <c r="L1446" s="239" t="e">
        <f t="shared" si="492"/>
        <v>#DIV/0!</v>
      </c>
      <c r="M1446" s="267" t="e">
        <f t="shared" si="493"/>
        <v>#DIV/0!</v>
      </c>
      <c r="N1446" s="267" t="e">
        <f t="shared" si="494"/>
        <v>#DIV/0!</v>
      </c>
      <c r="O1446" s="239" t="e">
        <f t="shared" si="491"/>
        <v>#DIV/0!</v>
      </c>
      <c r="P1446" s="267" t="e">
        <f t="shared" si="495"/>
        <v>#DIV/0!</v>
      </c>
      <c r="Q1446" s="267" t="e">
        <f t="shared" si="496"/>
        <v>#DIV/0!</v>
      </c>
      <c r="R1446" s="267" t="e">
        <f t="shared" si="497"/>
        <v>#DIV/0!</v>
      </c>
      <c r="S1446" s="267" t="e">
        <f t="shared" si="498"/>
        <v>#DIV/0!</v>
      </c>
      <c r="Z1446" s="214">
        <f t="shared" si="488"/>
        <v>0</v>
      </c>
      <c r="AA1446" s="214">
        <f t="shared" si="489"/>
        <v>0</v>
      </c>
    </row>
    <row r="1447" spans="1:27">
      <c r="A1447" s="239" t="s">
        <v>513</v>
      </c>
      <c r="B1447" s="384"/>
      <c r="C1447" s="384"/>
      <c r="D1447" s="216"/>
      <c r="E1447" s="385"/>
      <c r="F1447" s="385"/>
      <c r="G1447" s="386"/>
      <c r="H1447" s="215"/>
      <c r="I1447" s="215"/>
      <c r="J1447" s="230"/>
      <c r="K1447" s="305" t="s">
        <v>513</v>
      </c>
      <c r="L1447" s="239" t="e">
        <f t="shared" si="492"/>
        <v>#DIV/0!</v>
      </c>
      <c r="M1447" s="267" t="e">
        <f t="shared" si="493"/>
        <v>#DIV/0!</v>
      </c>
      <c r="N1447" s="267" t="e">
        <f t="shared" si="494"/>
        <v>#DIV/0!</v>
      </c>
      <c r="O1447" s="239" t="e">
        <f t="shared" si="491"/>
        <v>#DIV/0!</v>
      </c>
      <c r="P1447" s="267" t="e">
        <f t="shared" si="495"/>
        <v>#DIV/0!</v>
      </c>
      <c r="Q1447" s="267" t="e">
        <f t="shared" si="496"/>
        <v>#DIV/0!</v>
      </c>
      <c r="R1447" s="267" t="e">
        <f t="shared" si="497"/>
        <v>#DIV/0!</v>
      </c>
      <c r="S1447" s="267" t="e">
        <f t="shared" si="498"/>
        <v>#DIV/0!</v>
      </c>
      <c r="Z1447" s="214">
        <f t="shared" si="488"/>
        <v>0</v>
      </c>
      <c r="AA1447" s="214">
        <f t="shared" si="489"/>
        <v>0</v>
      </c>
    </row>
    <row r="1448" spans="1:27">
      <c r="A1448" s="239" t="s">
        <v>514</v>
      </c>
      <c r="B1448" s="384">
        <v>10</v>
      </c>
      <c r="C1448" s="384">
        <v>10</v>
      </c>
      <c r="D1448" s="216">
        <v>80.599999999999994</v>
      </c>
      <c r="E1448" s="385">
        <v>30.733000000000001</v>
      </c>
      <c r="F1448" s="385">
        <v>42.997999999999998</v>
      </c>
      <c r="G1448" s="386">
        <v>1452</v>
      </c>
      <c r="H1448" s="215">
        <v>2235.9</v>
      </c>
      <c r="I1448" s="215">
        <v>2</v>
      </c>
      <c r="J1448" s="230"/>
      <c r="K1448" s="305" t="s">
        <v>514</v>
      </c>
      <c r="L1448" s="239">
        <f t="shared" si="492"/>
        <v>5</v>
      </c>
      <c r="M1448" s="267">
        <f t="shared" si="493"/>
        <v>40.299999999999997</v>
      </c>
      <c r="N1448" s="267">
        <f t="shared" si="494"/>
        <v>8.0599999999999987</v>
      </c>
      <c r="O1448" s="239">
        <f t="shared" si="491"/>
        <v>71.863357037434582</v>
      </c>
      <c r="P1448" s="267">
        <f t="shared" si="495"/>
        <v>69.888581779149334</v>
      </c>
      <c r="Q1448" s="267">
        <f t="shared" si="496"/>
        <v>0.35083333333333333</v>
      </c>
      <c r="R1448" s="267">
        <f t="shared" si="497"/>
        <v>0.57118315823501187</v>
      </c>
      <c r="S1448" s="267">
        <f t="shared" si="498"/>
        <v>13.123786592045466</v>
      </c>
      <c r="Z1448" s="214">
        <f t="shared" si="488"/>
        <v>0</v>
      </c>
      <c r="AA1448" s="214">
        <f t="shared" si="489"/>
        <v>12.264999999999997</v>
      </c>
    </row>
    <row r="1449" spans="1:27">
      <c r="A1449" s="239" t="s">
        <v>515</v>
      </c>
      <c r="B1449" s="384"/>
      <c r="C1449" s="384"/>
      <c r="D1449" s="216"/>
      <c r="E1449" s="385"/>
      <c r="F1449" s="385"/>
      <c r="G1449" s="386"/>
      <c r="H1449" s="215"/>
      <c r="I1449" s="215"/>
      <c r="J1449" s="230"/>
      <c r="K1449" s="305" t="s">
        <v>515</v>
      </c>
      <c r="L1449" s="239" t="e">
        <f t="shared" si="492"/>
        <v>#DIV/0!</v>
      </c>
      <c r="M1449" s="267" t="e">
        <f t="shared" si="493"/>
        <v>#DIV/0!</v>
      </c>
      <c r="N1449" s="267" t="e">
        <f t="shared" si="494"/>
        <v>#DIV/0!</v>
      </c>
      <c r="O1449" s="239" t="e">
        <f t="shared" si="491"/>
        <v>#DIV/0!</v>
      </c>
      <c r="P1449" s="267" t="e">
        <f t="shared" si="495"/>
        <v>#DIV/0!</v>
      </c>
      <c r="Q1449" s="267" t="e">
        <f t="shared" si="496"/>
        <v>#DIV/0!</v>
      </c>
      <c r="R1449" s="267" t="e">
        <f t="shared" si="497"/>
        <v>#DIV/0!</v>
      </c>
      <c r="S1449" s="267" t="e">
        <f t="shared" si="498"/>
        <v>#DIV/0!</v>
      </c>
      <c r="Z1449" s="214">
        <f t="shared" si="488"/>
        <v>0</v>
      </c>
      <c r="AA1449" s="214">
        <f t="shared" si="489"/>
        <v>0</v>
      </c>
    </row>
    <row r="1450" spans="1:27">
      <c r="A1450" s="239" t="s">
        <v>516</v>
      </c>
      <c r="B1450" s="216"/>
      <c r="C1450" s="216"/>
      <c r="D1450" s="215"/>
      <c r="E1450" s="385"/>
      <c r="F1450" s="385"/>
      <c r="G1450" s="386"/>
      <c r="H1450" s="215"/>
      <c r="I1450" s="215"/>
      <c r="J1450" s="244"/>
      <c r="K1450" s="239" t="s">
        <v>516</v>
      </c>
      <c r="L1450" s="239" t="e">
        <f t="shared" si="492"/>
        <v>#DIV/0!</v>
      </c>
      <c r="M1450" s="267" t="e">
        <f t="shared" si="493"/>
        <v>#DIV/0!</v>
      </c>
      <c r="N1450" s="267" t="e">
        <f t="shared" si="494"/>
        <v>#DIV/0!</v>
      </c>
      <c r="O1450" s="239" t="e">
        <f t="shared" si="491"/>
        <v>#DIV/0!</v>
      </c>
      <c r="P1450" s="267" t="e">
        <f t="shared" si="495"/>
        <v>#DIV/0!</v>
      </c>
      <c r="Q1450" s="267" t="e">
        <f t="shared" si="496"/>
        <v>#DIV/0!</v>
      </c>
      <c r="R1450" s="267" t="e">
        <f t="shared" si="497"/>
        <v>#DIV/0!</v>
      </c>
      <c r="S1450" s="267" t="e">
        <f t="shared" si="498"/>
        <v>#DIV/0!</v>
      </c>
      <c r="Z1450" s="214">
        <f t="shared" si="488"/>
        <v>0</v>
      </c>
      <c r="AA1450" s="214">
        <f t="shared" si="489"/>
        <v>0</v>
      </c>
    </row>
    <row r="1451" spans="1:27">
      <c r="A1451" s="239" t="s">
        <v>517</v>
      </c>
      <c r="B1451" s="216"/>
      <c r="C1451" s="216"/>
      <c r="D1451" s="216"/>
      <c r="E1451" s="385"/>
      <c r="F1451" s="385"/>
      <c r="G1451" s="386"/>
      <c r="H1451" s="215"/>
      <c r="I1451" s="215"/>
      <c r="K1451" s="239" t="s">
        <v>517</v>
      </c>
      <c r="L1451" s="239" t="e">
        <f t="shared" si="492"/>
        <v>#DIV/0!</v>
      </c>
      <c r="M1451" s="267" t="e">
        <f t="shared" si="493"/>
        <v>#DIV/0!</v>
      </c>
      <c r="N1451" s="267" t="e">
        <f t="shared" si="494"/>
        <v>#DIV/0!</v>
      </c>
      <c r="O1451" s="239" t="e">
        <f t="shared" si="491"/>
        <v>#DIV/0!</v>
      </c>
      <c r="P1451" s="267" t="e">
        <f t="shared" si="495"/>
        <v>#DIV/0!</v>
      </c>
      <c r="Q1451" s="267" t="e">
        <f t="shared" si="496"/>
        <v>#DIV/0!</v>
      </c>
      <c r="R1451" s="267" t="e">
        <f t="shared" si="497"/>
        <v>#DIV/0!</v>
      </c>
      <c r="S1451" s="267" t="e">
        <f t="shared" si="498"/>
        <v>#DIV/0!</v>
      </c>
      <c r="Z1451" s="214">
        <f t="shared" si="488"/>
        <v>0</v>
      </c>
      <c r="AA1451" s="214">
        <f t="shared" si="489"/>
        <v>0</v>
      </c>
    </row>
    <row r="1452" spans="1:27">
      <c r="A1452" s="239" t="s">
        <v>518</v>
      </c>
      <c r="B1452" s="216">
        <v>1.8</v>
      </c>
      <c r="C1452" s="216">
        <v>1.8</v>
      </c>
      <c r="D1452" s="216">
        <v>2.2999999999999998</v>
      </c>
      <c r="E1452" s="385">
        <v>11.994999999999999</v>
      </c>
      <c r="F1452" s="385">
        <v>11.994999999999999</v>
      </c>
      <c r="G1452" s="386">
        <v>46</v>
      </c>
      <c r="H1452" s="215">
        <v>107.6</v>
      </c>
      <c r="I1452" s="215">
        <v>3</v>
      </c>
      <c r="K1452" s="239" t="s">
        <v>518</v>
      </c>
      <c r="L1452" s="239">
        <f t="shared" si="492"/>
        <v>0.6</v>
      </c>
      <c r="M1452" s="267">
        <f t="shared" si="493"/>
        <v>0.76666666666666661</v>
      </c>
      <c r="N1452" s="267">
        <f t="shared" si="494"/>
        <v>1.2777777777777777</v>
      </c>
      <c r="O1452" s="239">
        <f t="shared" si="491"/>
        <v>82.882899628252787</v>
      </c>
      <c r="P1452" s="267">
        <f t="shared" si="495"/>
        <v>82.882899628252787</v>
      </c>
      <c r="Q1452" s="267">
        <f t="shared" si="496"/>
        <v>0.76071790969051245</v>
      </c>
      <c r="R1452" s="267">
        <f t="shared" si="497"/>
        <v>0.63412345115347046</v>
      </c>
      <c r="S1452" s="267">
        <f t="shared" si="498"/>
        <v>1.0652586725950628</v>
      </c>
      <c r="Z1452" s="214">
        <f t="shared" si="488"/>
        <v>0</v>
      </c>
      <c r="AA1452" s="214">
        <f t="shared" si="489"/>
        <v>0</v>
      </c>
    </row>
    <row r="1453" spans="1:27">
      <c r="A1453" s="239" t="s">
        <v>519</v>
      </c>
      <c r="B1453" s="216">
        <v>2.06</v>
      </c>
      <c r="C1453" s="216">
        <v>2.06</v>
      </c>
      <c r="D1453" s="216">
        <v>3.09</v>
      </c>
      <c r="E1453" s="385">
        <v>12.27</v>
      </c>
      <c r="F1453" s="385">
        <v>12.27</v>
      </c>
      <c r="G1453" s="386">
        <v>64</v>
      </c>
      <c r="H1453" s="215">
        <v>119.6</v>
      </c>
      <c r="I1453" s="215">
        <v>2</v>
      </c>
      <c r="K1453" s="239" t="s">
        <v>519</v>
      </c>
      <c r="L1453" s="239"/>
      <c r="M1453" s="267"/>
      <c r="N1453" s="267"/>
      <c r="O1453" s="239"/>
      <c r="P1453" s="267"/>
      <c r="Q1453" s="267"/>
      <c r="R1453" s="267"/>
      <c r="S1453" s="267"/>
      <c r="Z1453" s="214">
        <f t="shared" si="488"/>
        <v>0</v>
      </c>
      <c r="AA1453" s="214">
        <f t="shared" si="489"/>
        <v>0</v>
      </c>
    </row>
    <row r="1454" spans="1:27">
      <c r="A1454" s="282" t="s">
        <v>169</v>
      </c>
      <c r="B1454" s="360">
        <f>B1433+B1435</f>
        <v>450.46</v>
      </c>
      <c r="C1454" s="360">
        <f t="shared" ref="C1454:I1454" si="499">C1433+C1435</f>
        <v>450.46</v>
      </c>
      <c r="D1454" s="360">
        <f t="shared" si="499"/>
        <v>1540.79</v>
      </c>
      <c r="E1454" s="360">
        <f t="shared" si="499"/>
        <v>938.64600000000007</v>
      </c>
      <c r="F1454" s="360">
        <f t="shared" si="499"/>
        <v>1633.5720000000001</v>
      </c>
      <c r="G1454" s="360">
        <f t="shared" si="499"/>
        <v>11304</v>
      </c>
      <c r="H1454" s="360">
        <f t="shared" si="499"/>
        <v>28669.006999999998</v>
      </c>
      <c r="I1454" s="360">
        <f t="shared" si="499"/>
        <v>24</v>
      </c>
      <c r="K1454" s="328" t="s">
        <v>169</v>
      </c>
      <c r="L1454" s="282">
        <f>B1454/I1454</f>
        <v>18.769166666666667</v>
      </c>
      <c r="M1454" s="281">
        <f>D1454/I1454</f>
        <v>64.199583333333337</v>
      </c>
      <c r="N1454" s="281">
        <f>D1454/B1454</f>
        <v>3.420481285796741</v>
      </c>
      <c r="O1454" s="282">
        <f>(F1454*3.6+G1454)*100/H1454</f>
        <v>59.942289595171538</v>
      </c>
      <c r="P1454" s="282">
        <f>(E1454*3.6+G1454)*100/H1454</f>
        <v>51.216024328990542</v>
      </c>
      <c r="Q1454" s="281">
        <f>E1454/(B1454*8760)*1000</f>
        <v>0.23787099823072794</v>
      </c>
      <c r="R1454" s="281">
        <f>G1454/(D1454*8761)*1000/3.6</f>
        <v>0.23261221489751463</v>
      </c>
      <c r="S1454" s="281">
        <f>G1454/(E1454*3.6)</f>
        <v>3.3452441069370131</v>
      </c>
      <c r="Z1454" s="214">
        <f t="shared" si="488"/>
        <v>0</v>
      </c>
      <c r="AA1454" s="214">
        <f t="shared" si="489"/>
        <v>694.92600000000004</v>
      </c>
    </row>
    <row r="1455" spans="1:27">
      <c r="I1455" s="220"/>
    </row>
    <row r="1456" spans="1:27">
      <c r="A1456" s="251" t="s">
        <v>520</v>
      </c>
      <c r="B1456" s="227" t="s">
        <v>476</v>
      </c>
      <c r="C1456" s="228"/>
      <c r="D1456" s="286"/>
      <c r="E1456" s="227" t="s">
        <v>521</v>
      </c>
      <c r="F1456" s="228"/>
      <c r="G1456" s="286"/>
      <c r="H1456" s="200" t="s">
        <v>138</v>
      </c>
      <c r="I1456" s="200" t="s">
        <v>478</v>
      </c>
    </row>
    <row r="1457" spans="1:9">
      <c r="A1457" s="239"/>
      <c r="B1457" s="243" t="s">
        <v>88</v>
      </c>
      <c r="C1457" s="243"/>
      <c r="D1457" s="241" t="s">
        <v>34</v>
      </c>
      <c r="E1457" s="243" t="s">
        <v>88</v>
      </c>
      <c r="F1457" s="243"/>
      <c r="G1457" s="241" t="s">
        <v>34</v>
      </c>
      <c r="H1457" s="241" t="s">
        <v>170</v>
      </c>
      <c r="I1457" s="241" t="s">
        <v>483</v>
      </c>
    </row>
    <row r="1458" spans="1:9">
      <c r="A1458" s="239"/>
      <c r="B1458" s="252" t="s">
        <v>0</v>
      </c>
      <c r="C1458" s="252" t="s">
        <v>489</v>
      </c>
      <c r="D1458" s="252" t="s">
        <v>490</v>
      </c>
      <c r="E1458" s="252" t="s">
        <v>491</v>
      </c>
      <c r="F1458" s="252" t="s">
        <v>489</v>
      </c>
      <c r="G1458" s="252" t="s">
        <v>490</v>
      </c>
      <c r="H1458" s="248"/>
      <c r="I1458" s="241" t="s">
        <v>492</v>
      </c>
    </row>
    <row r="1459" spans="1:9">
      <c r="A1459" s="239"/>
      <c r="B1459" s="257" t="s">
        <v>496</v>
      </c>
      <c r="C1459" s="256" t="s">
        <v>496</v>
      </c>
      <c r="D1459" s="252" t="s">
        <v>496</v>
      </c>
      <c r="E1459" s="329" t="s">
        <v>473</v>
      </c>
      <c r="F1459" s="388" t="s">
        <v>473</v>
      </c>
      <c r="G1459" s="252" t="s">
        <v>496</v>
      </c>
      <c r="H1459" s="257" t="s">
        <v>497</v>
      </c>
      <c r="I1459" s="257" t="s">
        <v>498</v>
      </c>
    </row>
    <row r="1460" spans="1:9">
      <c r="A1460" s="251" t="s">
        <v>522</v>
      </c>
      <c r="B1460" s="389"/>
      <c r="C1460" s="390"/>
      <c r="D1460" s="200"/>
      <c r="E1460" s="389"/>
      <c r="F1460" s="389"/>
      <c r="G1460" s="200"/>
      <c r="H1460" s="200"/>
      <c r="I1460" s="200"/>
    </row>
    <row r="1461" spans="1:9">
      <c r="A1461" s="239" t="s">
        <v>523</v>
      </c>
      <c r="B1461" s="216"/>
      <c r="C1461" s="216">
        <v>20</v>
      </c>
      <c r="D1461" s="216">
        <v>225</v>
      </c>
      <c r="E1461" s="216"/>
      <c r="F1461" s="204"/>
      <c r="G1461" s="204"/>
      <c r="H1461" s="202"/>
      <c r="I1461" s="202">
        <v>2</v>
      </c>
    </row>
    <row r="1462" spans="1:9">
      <c r="A1462" s="239" t="s">
        <v>524</v>
      </c>
      <c r="B1462" s="216"/>
      <c r="C1462" s="216"/>
      <c r="D1462" s="216"/>
      <c r="E1462" s="216"/>
      <c r="F1462" s="204"/>
      <c r="G1462" s="204"/>
      <c r="H1462" s="202"/>
      <c r="I1462" s="202"/>
    </row>
    <row r="1463" spans="1:9">
      <c r="A1463" s="239" t="s">
        <v>525</v>
      </c>
      <c r="B1463" s="216"/>
      <c r="C1463" s="216">
        <v>210.16</v>
      </c>
      <c r="D1463" s="216">
        <v>486.39</v>
      </c>
      <c r="E1463" s="216"/>
      <c r="F1463" s="204"/>
      <c r="G1463" s="204"/>
      <c r="H1463" s="202"/>
      <c r="I1463" s="202">
        <v>9</v>
      </c>
    </row>
    <row r="1464" spans="1:9">
      <c r="A1464" s="239" t="s">
        <v>267</v>
      </c>
      <c r="B1464" s="216"/>
      <c r="C1464" s="216">
        <v>0.8</v>
      </c>
      <c r="D1464" s="216">
        <v>1</v>
      </c>
      <c r="E1464" s="216"/>
      <c r="F1464" s="204"/>
      <c r="G1464" s="204"/>
      <c r="H1464" s="202"/>
      <c r="I1464" s="202">
        <v>1</v>
      </c>
    </row>
    <row r="1465" spans="1:9">
      <c r="A1465" s="312" t="s">
        <v>526</v>
      </c>
      <c r="B1465" s="391"/>
      <c r="C1465" s="392"/>
      <c r="D1465" s="205"/>
      <c r="E1465" s="391"/>
      <c r="F1465" s="391"/>
      <c r="G1465" s="205"/>
      <c r="H1465" s="205"/>
      <c r="I1465" s="205"/>
    </row>
    <row r="1466" spans="1:9">
      <c r="A1466" s="239" t="s">
        <v>527</v>
      </c>
      <c r="B1466" s="216"/>
      <c r="C1466" s="216">
        <v>205.5</v>
      </c>
      <c r="D1466" s="216">
        <v>699</v>
      </c>
      <c r="E1466" s="216"/>
      <c r="F1466" s="204"/>
      <c r="G1466" s="204"/>
      <c r="H1466" s="202"/>
      <c r="I1466" s="202">
        <v>9</v>
      </c>
    </row>
    <row r="1467" spans="1:9">
      <c r="A1467" s="239" t="s">
        <v>528</v>
      </c>
      <c r="B1467" s="204"/>
      <c r="C1467" s="216">
        <v>10</v>
      </c>
      <c r="D1467" s="216">
        <v>80.599999999999994</v>
      </c>
      <c r="E1467" s="204"/>
      <c r="F1467" s="204"/>
      <c r="G1467" s="204"/>
      <c r="H1467" s="202"/>
      <c r="I1467" s="202">
        <v>2</v>
      </c>
    </row>
    <row r="1468" spans="1:9">
      <c r="A1468" s="239" t="s">
        <v>529</v>
      </c>
      <c r="B1468" s="204"/>
      <c r="C1468" s="216"/>
      <c r="D1468" s="216"/>
      <c r="E1468" s="204"/>
      <c r="F1468" s="204"/>
      <c r="G1468" s="204"/>
      <c r="H1468" s="202"/>
      <c r="I1468" s="202"/>
    </row>
    <row r="1469" spans="1:9">
      <c r="A1469" s="239" t="s">
        <v>530</v>
      </c>
      <c r="B1469" s="204"/>
      <c r="C1469" s="216">
        <v>4</v>
      </c>
      <c r="D1469" s="216">
        <v>48.8</v>
      </c>
      <c r="E1469" s="204"/>
      <c r="F1469" s="204"/>
      <c r="G1469" s="204"/>
      <c r="H1469" s="202"/>
      <c r="I1469" s="202">
        <v>1</v>
      </c>
    </row>
    <row r="1470" spans="1:9">
      <c r="A1470" s="282" t="s">
        <v>169</v>
      </c>
      <c r="B1470" s="360">
        <v>450.46</v>
      </c>
      <c r="C1470" s="360">
        <v>450.46</v>
      </c>
      <c r="D1470" s="360">
        <v>1540.79</v>
      </c>
      <c r="E1470" s="468">
        <v>938.64600000000007</v>
      </c>
      <c r="F1470" s="468">
        <v>1633.5720000000001</v>
      </c>
      <c r="G1470" s="468">
        <v>11304</v>
      </c>
      <c r="H1470" s="468">
        <v>28669.006999999998</v>
      </c>
      <c r="I1470" s="360">
        <v>24</v>
      </c>
    </row>
    <row r="1471" spans="1:9">
      <c r="A1471" s="222"/>
      <c r="D1471" s="220"/>
      <c r="I1471" s="220"/>
    </row>
    <row r="1472" spans="1:9">
      <c r="A1472" s="222"/>
      <c r="D1472" s="220"/>
    </row>
    <row r="1473" spans="1:27">
      <c r="A1473" s="221" t="s">
        <v>189</v>
      </c>
      <c r="D1473" s="220"/>
      <c r="I1473" s="221">
        <v>2002</v>
      </c>
      <c r="K1473" s="221" t="str">
        <f>+A1473</f>
        <v>Hungary</v>
      </c>
      <c r="M1473" s="220"/>
      <c r="S1473" s="221">
        <v>2002</v>
      </c>
    </row>
    <row r="1474" spans="1:27" ht="13.5" thickBot="1">
      <c r="B1474" s="223"/>
      <c r="C1474" s="223"/>
      <c r="D1474" s="223"/>
      <c r="E1474" s="223"/>
      <c r="F1474" s="223"/>
      <c r="G1474" s="223"/>
      <c r="H1474" s="223"/>
      <c r="I1474" s="223"/>
    </row>
    <row r="1475" spans="1:27">
      <c r="A1475" s="224" t="s">
        <v>475</v>
      </c>
      <c r="B1475" s="225" t="s">
        <v>476</v>
      </c>
      <c r="C1475" s="225"/>
      <c r="D1475" s="226"/>
      <c r="E1475" s="393" t="s">
        <v>477</v>
      </c>
      <c r="F1475" s="225"/>
      <c r="G1475" s="394"/>
      <c r="H1475" s="241" t="s">
        <v>138</v>
      </c>
      <c r="I1475" s="241" t="s">
        <v>478</v>
      </c>
      <c r="J1475" s="230"/>
      <c r="K1475" s="231" t="s">
        <v>475</v>
      </c>
      <c r="L1475" s="232" t="s">
        <v>479</v>
      </c>
      <c r="M1475" s="233"/>
      <c r="N1475" s="234"/>
      <c r="O1475" s="235" t="s">
        <v>480</v>
      </c>
      <c r="P1475" s="233"/>
      <c r="Q1475" s="233"/>
      <c r="R1475" s="236"/>
      <c r="S1475" s="237"/>
    </row>
    <row r="1476" spans="1:27">
      <c r="A1476" s="239"/>
      <c r="B1476" s="240" t="s">
        <v>481</v>
      </c>
      <c r="C1476" s="240"/>
      <c r="D1476" s="241" t="s">
        <v>34</v>
      </c>
      <c r="E1476" s="242" t="s">
        <v>482</v>
      </c>
      <c r="F1476" s="243"/>
      <c r="G1476" s="244" t="s">
        <v>34</v>
      </c>
      <c r="H1476" s="241" t="s">
        <v>170</v>
      </c>
      <c r="I1476" s="241" t="s">
        <v>483</v>
      </c>
      <c r="J1476" s="230"/>
      <c r="K1476" s="245"/>
      <c r="L1476" s="246" t="s">
        <v>484</v>
      </c>
      <c r="M1476" s="247"/>
      <c r="N1476" s="248" t="s">
        <v>485</v>
      </c>
      <c r="O1476" s="248" t="s">
        <v>486</v>
      </c>
      <c r="P1476" s="248" t="s">
        <v>486</v>
      </c>
      <c r="Q1476" s="247" t="s">
        <v>487</v>
      </c>
      <c r="R1476" s="249"/>
      <c r="S1476" s="250" t="s">
        <v>485</v>
      </c>
      <c r="U1476" s="214" t="str">
        <f>A1473</f>
        <v>Hungary</v>
      </c>
    </row>
    <row r="1477" spans="1:27">
      <c r="A1477" s="251" t="s">
        <v>488</v>
      </c>
      <c r="B1477" s="252" t="s">
        <v>0</v>
      </c>
      <c r="C1477" s="469" t="s">
        <v>489</v>
      </c>
      <c r="D1477" s="252" t="s">
        <v>490</v>
      </c>
      <c r="E1477" s="252" t="s">
        <v>491</v>
      </c>
      <c r="F1477" s="469" t="s">
        <v>489</v>
      </c>
      <c r="G1477" s="230" t="s">
        <v>490</v>
      </c>
      <c r="H1477" s="248"/>
      <c r="I1477" s="241" t="s">
        <v>492</v>
      </c>
      <c r="J1477" s="230"/>
      <c r="K1477" s="253" t="s">
        <v>488</v>
      </c>
      <c r="L1477" s="254" t="s">
        <v>88</v>
      </c>
      <c r="M1477" s="252" t="s">
        <v>34</v>
      </c>
      <c r="N1477" s="252" t="s">
        <v>493</v>
      </c>
      <c r="O1477" s="248" t="s">
        <v>494</v>
      </c>
      <c r="P1477" s="248" t="s">
        <v>495</v>
      </c>
      <c r="Q1477" s="230" t="s">
        <v>88</v>
      </c>
      <c r="R1477" s="248" t="s">
        <v>34</v>
      </c>
      <c r="S1477" s="255" t="s">
        <v>88</v>
      </c>
      <c r="U1477" s="214" t="s">
        <v>547</v>
      </c>
      <c r="V1477" s="214">
        <f>G1505/1000</f>
        <v>9.5770050000000015</v>
      </c>
    </row>
    <row r="1478" spans="1:27">
      <c r="A1478" s="239"/>
      <c r="B1478" s="252" t="s">
        <v>496</v>
      </c>
      <c r="C1478" s="469" t="s">
        <v>496</v>
      </c>
      <c r="D1478" s="252" t="s">
        <v>496</v>
      </c>
      <c r="E1478" s="256" t="s">
        <v>473</v>
      </c>
      <c r="F1478" s="476" t="s">
        <v>473</v>
      </c>
      <c r="G1478" s="230" t="s">
        <v>451</v>
      </c>
      <c r="H1478" s="257" t="s">
        <v>497</v>
      </c>
      <c r="I1478" s="257" t="s">
        <v>498</v>
      </c>
      <c r="J1478" s="230"/>
      <c r="K1478" s="245"/>
      <c r="L1478" s="258" t="s">
        <v>496</v>
      </c>
      <c r="M1478" s="256" t="s">
        <v>496</v>
      </c>
      <c r="N1478" s="256"/>
      <c r="O1478" s="257" t="s">
        <v>79</v>
      </c>
      <c r="P1478" s="257" t="s">
        <v>79</v>
      </c>
      <c r="Q1478" s="259"/>
      <c r="R1478" s="257"/>
      <c r="S1478" s="260"/>
      <c r="U1478" s="214" t="s">
        <v>548</v>
      </c>
      <c r="V1478" s="214">
        <f>G1511/1000</f>
        <v>0</v>
      </c>
    </row>
    <row r="1479" spans="1:27">
      <c r="A1479" s="261" t="s">
        <v>262</v>
      </c>
      <c r="B1479" s="365">
        <v>110</v>
      </c>
      <c r="C1479" s="460">
        <v>110</v>
      </c>
      <c r="D1479" s="365">
        <v>90</v>
      </c>
      <c r="E1479" s="320">
        <v>401.99799999999999</v>
      </c>
      <c r="F1479" s="462">
        <v>401.99799999999999</v>
      </c>
      <c r="G1479" s="368">
        <v>3127.6019999999999</v>
      </c>
      <c r="H1479" s="369">
        <v>5185.0709999999999</v>
      </c>
      <c r="I1479" s="320">
        <v>1</v>
      </c>
      <c r="J1479" s="230"/>
      <c r="K1479" s="265" t="s">
        <v>262</v>
      </c>
      <c r="L1479" s="266">
        <f>C1479/I1479</f>
        <v>110</v>
      </c>
      <c r="M1479" s="267">
        <f>D1479/I1479</f>
        <v>90</v>
      </c>
      <c r="N1479" s="267">
        <f>D1479/C1479</f>
        <v>0.81818181818181823</v>
      </c>
      <c r="O1479" s="239">
        <f>(F1479*3.6+G1479)*100/H1479</f>
        <v>88.230128382041443</v>
      </c>
      <c r="P1479" s="239">
        <f>(F1479*3.6+G1479)*100/H1479</f>
        <v>88.230128382041443</v>
      </c>
      <c r="Q1479" s="267">
        <f>F1479/(C1479*8760)*1000</f>
        <v>0.41718347862183475</v>
      </c>
      <c r="R1479" s="267">
        <f>G1479/(D1479*8761)*1000/3.6</f>
        <v>1.101825430041387</v>
      </c>
      <c r="S1479" s="268">
        <f>G1479/(F1479*3.6)</f>
        <v>2.1611508846644343</v>
      </c>
      <c r="U1479" s="214" t="s">
        <v>549</v>
      </c>
      <c r="V1479" s="214">
        <f>G1513/1000</f>
        <v>3.3601199999999998</v>
      </c>
      <c r="Z1479" s="214">
        <f t="shared" ref="Z1479:Z1484" si="500">C1479-B1479</f>
        <v>0</v>
      </c>
      <c r="AA1479" s="214">
        <f t="shared" ref="AA1479:AA1484" si="501">F1479-E1479</f>
        <v>0</v>
      </c>
    </row>
    <row r="1480" spans="1:27">
      <c r="A1480" s="239" t="s">
        <v>263</v>
      </c>
      <c r="B1480" s="320">
        <v>456.29500000000002</v>
      </c>
      <c r="C1480" s="462">
        <v>456.29500000000002</v>
      </c>
      <c r="D1480" s="320">
        <v>2797.56628062345</v>
      </c>
      <c r="E1480" s="320">
        <v>1085.6376009000001</v>
      </c>
      <c r="F1480" s="462">
        <v>1085.6376009000001</v>
      </c>
      <c r="G1480" s="321">
        <v>25798.819790000001</v>
      </c>
      <c r="H1480" s="319">
        <v>35161.8465</v>
      </c>
      <c r="I1480" s="320">
        <v>48</v>
      </c>
      <c r="J1480" s="230"/>
      <c r="K1480" s="245" t="s">
        <v>263</v>
      </c>
      <c r="L1480" s="266">
        <f>C1480/I1480</f>
        <v>9.5061458333333331</v>
      </c>
      <c r="M1480" s="267">
        <f>D1480/I1480</f>
        <v>58.282630846321872</v>
      </c>
      <c r="N1480" s="267">
        <f>D1480/C1480</f>
        <v>6.131047415867914</v>
      </c>
      <c r="O1480" s="239">
        <f>(F1480*3.6+G1480)*100/H1480</f>
        <v>84.486789262446734</v>
      </c>
      <c r="P1480" s="239">
        <f>(F1480*3.6+G1480)*100/H1480</f>
        <v>84.486789262446734</v>
      </c>
      <c r="Q1480" s="267">
        <f>F1480/(C1480*8760)*1000</f>
        <v>0.27160331140918059</v>
      </c>
      <c r="R1480" s="267">
        <f>G1480/(D1480*8761)*1000/3.6</f>
        <v>0.2923905101772144</v>
      </c>
      <c r="S1480" s="268">
        <f>G1480/(F1480*3.6)</f>
        <v>6.6010414751797635</v>
      </c>
      <c r="U1480" s="214" t="s">
        <v>550</v>
      </c>
      <c r="V1480" s="214">
        <f>G1518/1000</f>
        <v>1.735195</v>
      </c>
      <c r="Z1480" s="214">
        <f t="shared" si="500"/>
        <v>0</v>
      </c>
      <c r="AA1480" s="214">
        <f t="shared" si="501"/>
        <v>0</v>
      </c>
    </row>
    <row r="1481" spans="1:27">
      <c r="A1481" s="239" t="s">
        <v>499</v>
      </c>
      <c r="B1481" s="320">
        <v>8.9499999999999993</v>
      </c>
      <c r="C1481" s="462">
        <v>8.9499999999999993</v>
      </c>
      <c r="D1481" s="320">
        <v>56.7</v>
      </c>
      <c r="E1481" s="320">
        <v>16.789000000000001</v>
      </c>
      <c r="F1481" s="462">
        <v>16.789000000000001</v>
      </c>
      <c r="G1481" s="321">
        <v>518.62699999999995</v>
      </c>
      <c r="H1481" s="319">
        <v>651.27599999999995</v>
      </c>
      <c r="I1481" s="320">
        <v>3</v>
      </c>
      <c r="J1481" s="230"/>
      <c r="K1481" s="245" t="s">
        <v>499</v>
      </c>
      <c r="L1481" s="266">
        <f>C1481/I1481</f>
        <v>2.9833333333333329</v>
      </c>
      <c r="M1481" s="267">
        <f>D1481/I1481</f>
        <v>18.900000000000002</v>
      </c>
      <c r="N1481" s="267">
        <f>D1481/C1481</f>
        <v>6.3351955307262582</v>
      </c>
      <c r="O1481" s="239">
        <f>(F1481*3.6+G1481)*100/H1481</f>
        <v>88.912749740509398</v>
      </c>
      <c r="P1481" s="239">
        <f>(F1481*3.6+G1481)*100/H1481</f>
        <v>88.912749740509398</v>
      </c>
      <c r="Q1481" s="267">
        <f>F1481/(C1481*8760)*1000</f>
        <v>0.21413994540955589</v>
      </c>
      <c r="R1481" s="267">
        <f>G1481/(D1481*8761)*1000/3.6</f>
        <v>0.29001194277016834</v>
      </c>
      <c r="S1481" s="268">
        <f>G1481/(F1481*3.6)</f>
        <v>8.5808002594291217</v>
      </c>
      <c r="U1481" s="214" t="s">
        <v>551</v>
      </c>
      <c r="V1481" s="214">
        <f>G1509/1000</f>
        <v>0</v>
      </c>
      <c r="Z1481" s="214">
        <f t="shared" si="500"/>
        <v>0</v>
      </c>
      <c r="AA1481" s="214">
        <f t="shared" si="501"/>
        <v>0</v>
      </c>
    </row>
    <row r="1482" spans="1:27">
      <c r="A1482" s="239" t="s">
        <v>265</v>
      </c>
      <c r="B1482" s="320">
        <v>332.9</v>
      </c>
      <c r="C1482" s="462">
        <v>332.9</v>
      </c>
      <c r="D1482" s="320">
        <v>492.96</v>
      </c>
      <c r="E1482" s="320">
        <v>1898.2619999999999</v>
      </c>
      <c r="F1482" s="462">
        <v>1898.2619999999999</v>
      </c>
      <c r="G1482" s="321">
        <v>8852.7530000000006</v>
      </c>
      <c r="H1482" s="319">
        <v>19699.768100000001</v>
      </c>
      <c r="I1482" s="320">
        <v>5</v>
      </c>
      <c r="J1482" s="230"/>
      <c r="K1482" s="245" t="s">
        <v>265</v>
      </c>
      <c r="L1482" s="266">
        <f>C1482/I1482</f>
        <v>66.58</v>
      </c>
      <c r="M1482" s="267">
        <f>D1482/I1482</f>
        <v>98.591999999999999</v>
      </c>
      <c r="N1482" s="267">
        <f>D1482/C1482</f>
        <v>1.4808050465605287</v>
      </c>
      <c r="O1482" s="239">
        <f>(F1482*3.6+G1482)*100/H1482</f>
        <v>79.627821608722385</v>
      </c>
      <c r="P1482" s="239">
        <f>(F1482*3.6+G1482)*100/H1482</f>
        <v>79.627821608722385</v>
      </c>
      <c r="Q1482" s="267">
        <f>F1482/(C1482*8760)*1000</f>
        <v>0.65093594275297606</v>
      </c>
      <c r="R1482" s="267">
        <f>G1482/(D1482*8761)*1000/3.6</f>
        <v>0.56939085164812964</v>
      </c>
      <c r="S1482" s="268">
        <f>G1482/(F1482*3.6)</f>
        <v>1.2954471277176469</v>
      </c>
      <c r="U1482" s="214" t="s">
        <v>552</v>
      </c>
      <c r="V1482" s="214">
        <f>(G1506+G1507+G1508+G1510+G1512+G1514+G1515+G1516+G1517+G1519+G1520+G1521+G1522+G1523)/1000</f>
        <v>4.4816900000000004</v>
      </c>
      <c r="Z1482" s="214">
        <f t="shared" si="500"/>
        <v>0</v>
      </c>
      <c r="AA1482" s="214">
        <f t="shared" si="501"/>
        <v>0</v>
      </c>
    </row>
    <row r="1483" spans="1:27">
      <c r="A1483" s="239" t="s">
        <v>266</v>
      </c>
      <c r="B1483" s="320">
        <v>70.209999999999994</v>
      </c>
      <c r="C1483" s="462">
        <v>70.209999999999994</v>
      </c>
      <c r="D1483" s="320">
        <v>84.991</v>
      </c>
      <c r="E1483" s="320">
        <v>242.96710899999999</v>
      </c>
      <c r="F1483" s="462">
        <v>242.96710899999999</v>
      </c>
      <c r="G1483" s="321">
        <v>1612.8817999999999</v>
      </c>
      <c r="H1483" s="319">
        <v>2958.0890540000005</v>
      </c>
      <c r="I1483" s="320">
        <v>55</v>
      </c>
      <c r="J1483" s="230"/>
      <c r="K1483" s="245" t="s">
        <v>266</v>
      </c>
      <c r="L1483" s="266">
        <f>C1483/I1483</f>
        <v>1.2765454545454544</v>
      </c>
      <c r="M1483" s="267">
        <f>D1483/I1483</f>
        <v>1.545290909090909</v>
      </c>
      <c r="N1483" s="267">
        <f>D1483/C1483</f>
        <v>1.2105255661586669</v>
      </c>
      <c r="O1483" s="239">
        <f>(F1483*3.6+G1483)*100/H1483</f>
        <v>84.093593769134699</v>
      </c>
      <c r="P1483" s="239">
        <f>(F1483*3.6+G1483)*100/H1483</f>
        <v>84.093593769134699</v>
      </c>
      <c r="Q1483" s="267">
        <f>F1483/(C1483*8760)*1000</f>
        <v>0.39504303300145227</v>
      </c>
      <c r="R1483" s="267">
        <f>G1483/(D1483*8761)*1000/3.6</f>
        <v>0.60169086922063608</v>
      </c>
      <c r="S1483" s="268">
        <f>G1483/(F1483*3.6)</f>
        <v>1.8439644940674755</v>
      </c>
      <c r="Z1483" s="214">
        <f t="shared" si="500"/>
        <v>0</v>
      </c>
      <c r="AA1483" s="214">
        <f t="shared" si="501"/>
        <v>0</v>
      </c>
    </row>
    <row r="1484" spans="1:27">
      <c r="A1484" s="272" t="s">
        <v>267</v>
      </c>
      <c r="B1484" s="395"/>
      <c r="C1484" s="463"/>
      <c r="D1484" s="395"/>
      <c r="E1484" s="320"/>
      <c r="F1484" s="462"/>
      <c r="G1484" s="396"/>
      <c r="H1484" s="397"/>
      <c r="I1484" s="395"/>
      <c r="J1484" s="230"/>
      <c r="K1484" s="245" t="s">
        <v>267</v>
      </c>
      <c r="L1484" s="266"/>
      <c r="M1484" s="267"/>
      <c r="N1484" s="267"/>
      <c r="O1484" s="239"/>
      <c r="P1484" s="272"/>
      <c r="Q1484" s="272"/>
      <c r="R1484" s="274"/>
      <c r="S1484" s="275"/>
      <c r="U1484" s="214" t="s">
        <v>553</v>
      </c>
      <c r="V1484" s="214">
        <f>H1505/1000</f>
        <v>14.512726153999997</v>
      </c>
      <c r="Z1484" s="214">
        <f t="shared" si="500"/>
        <v>0</v>
      </c>
      <c r="AA1484" s="214">
        <f t="shared" si="501"/>
        <v>0</v>
      </c>
    </row>
    <row r="1485" spans="1:27">
      <c r="A1485" s="276" t="s">
        <v>500</v>
      </c>
      <c r="B1485" s="277">
        <f t="shared" ref="B1485:I1485" si="502">SUM(B1479:B1484)</f>
        <v>978.35500000000013</v>
      </c>
      <c r="C1485" s="277">
        <f t="shared" si="502"/>
        <v>978.35500000000013</v>
      </c>
      <c r="D1485" s="277">
        <f t="shared" si="502"/>
        <v>3522.2172806234498</v>
      </c>
      <c r="E1485" s="277">
        <f t="shared" si="502"/>
        <v>3645.6537099000002</v>
      </c>
      <c r="F1485" s="277">
        <f t="shared" si="502"/>
        <v>3645.6537099000002</v>
      </c>
      <c r="G1485" s="277">
        <f t="shared" si="502"/>
        <v>39910.683590000001</v>
      </c>
      <c r="H1485" s="277">
        <f t="shared" si="502"/>
        <v>63656.050653999999</v>
      </c>
      <c r="I1485" s="278">
        <f t="shared" si="502"/>
        <v>112</v>
      </c>
      <c r="J1485" s="244"/>
      <c r="K1485" s="279" t="s">
        <v>169</v>
      </c>
      <c r="L1485" s="280">
        <f>C1485/I1485</f>
        <v>8.7353125000000009</v>
      </c>
      <c r="M1485" s="281">
        <f>D1485/I1485</f>
        <v>31.448368576995087</v>
      </c>
      <c r="N1485" s="281">
        <f>D1485/C1485</f>
        <v>3.6001423620500219</v>
      </c>
      <c r="O1485" s="282">
        <f>(F1485*3.6+G1485)*100/H1485</f>
        <v>83.314997397356436</v>
      </c>
      <c r="P1485" s="282">
        <f>(F1485*3.6+G1485)*100/H1485</f>
        <v>83.314997397356436</v>
      </c>
      <c r="Q1485" s="283">
        <f>F1485/(C1485*8760)*1000</f>
        <v>0.42537781769272615</v>
      </c>
      <c r="R1485" s="283">
        <f>G1485/(D1485*8761)*1000/3.6</f>
        <v>0.35926659827620416</v>
      </c>
      <c r="S1485" s="284">
        <f>G1485/(F1485*3.6)</f>
        <v>3.0409638104454846</v>
      </c>
      <c r="U1485" s="214" t="s">
        <v>554</v>
      </c>
      <c r="V1485" s="214">
        <f>H1511/1000</f>
        <v>0</v>
      </c>
    </row>
    <row r="1486" spans="1:27">
      <c r="A1486" s="285" t="s">
        <v>501</v>
      </c>
      <c r="B1486" s="228" t="s">
        <v>476</v>
      </c>
      <c r="C1486" s="228"/>
      <c r="D1486" s="286"/>
      <c r="E1486" s="227" t="s">
        <v>477</v>
      </c>
      <c r="F1486" s="228"/>
      <c r="G1486" s="229"/>
      <c r="H1486" s="200" t="s">
        <v>138</v>
      </c>
      <c r="I1486" s="200" t="s">
        <v>478</v>
      </c>
      <c r="J1486" s="244"/>
      <c r="K1486" s="287" t="s">
        <v>501</v>
      </c>
      <c r="L1486" s="288" t="s">
        <v>479</v>
      </c>
      <c r="M1486" s="228"/>
      <c r="N1486" s="286"/>
      <c r="O1486" s="227" t="s">
        <v>480</v>
      </c>
      <c r="P1486" s="228"/>
      <c r="Q1486" s="228"/>
      <c r="R1486" s="229"/>
      <c r="S1486" s="289"/>
      <c r="U1486" s="214" t="s">
        <v>555</v>
      </c>
      <c r="V1486" s="214">
        <f>H1513/1000</f>
        <v>4.0563390000000004</v>
      </c>
    </row>
    <row r="1487" spans="1:27">
      <c r="A1487" s="239"/>
      <c r="B1487" s="240" t="s">
        <v>481</v>
      </c>
      <c r="C1487" s="240"/>
      <c r="D1487" s="241" t="s">
        <v>34</v>
      </c>
      <c r="E1487" s="242" t="s">
        <v>482</v>
      </c>
      <c r="F1487" s="243"/>
      <c r="G1487" s="244" t="s">
        <v>34</v>
      </c>
      <c r="H1487" s="241" t="s">
        <v>170</v>
      </c>
      <c r="I1487" s="241" t="s">
        <v>483</v>
      </c>
      <c r="J1487" s="244"/>
      <c r="K1487" s="245"/>
      <c r="L1487" s="246" t="s">
        <v>484</v>
      </c>
      <c r="M1487" s="247"/>
      <c r="N1487" s="248" t="s">
        <v>485</v>
      </c>
      <c r="O1487" s="248" t="s">
        <v>486</v>
      </c>
      <c r="P1487" s="248" t="s">
        <v>486</v>
      </c>
      <c r="Q1487" s="247" t="s">
        <v>487</v>
      </c>
      <c r="R1487" s="249"/>
      <c r="S1487" s="250" t="s">
        <v>485</v>
      </c>
      <c r="U1487" s="214" t="s">
        <v>556</v>
      </c>
      <c r="V1487" s="214">
        <f>H1518/1000</f>
        <v>2.3229859999999998</v>
      </c>
    </row>
    <row r="1488" spans="1:27">
      <c r="A1488" s="251" t="s">
        <v>488</v>
      </c>
      <c r="B1488" s="252" t="s">
        <v>0</v>
      </c>
      <c r="C1488" s="252" t="s">
        <v>489</v>
      </c>
      <c r="D1488" s="252" t="s">
        <v>490</v>
      </c>
      <c r="E1488" s="252" t="s">
        <v>491</v>
      </c>
      <c r="F1488" s="252" t="s">
        <v>489</v>
      </c>
      <c r="G1488" s="230" t="s">
        <v>490</v>
      </c>
      <c r="H1488" s="248"/>
      <c r="I1488" s="241" t="s">
        <v>492</v>
      </c>
      <c r="J1488" s="244"/>
      <c r="K1488" s="253" t="s">
        <v>488</v>
      </c>
      <c r="L1488" s="254" t="s">
        <v>88</v>
      </c>
      <c r="M1488" s="252" t="s">
        <v>34</v>
      </c>
      <c r="N1488" s="252" t="s">
        <v>493</v>
      </c>
      <c r="O1488" s="248" t="s">
        <v>494</v>
      </c>
      <c r="P1488" s="248" t="s">
        <v>495</v>
      </c>
      <c r="Q1488" s="230" t="s">
        <v>88</v>
      </c>
      <c r="R1488" s="248" t="s">
        <v>34</v>
      </c>
      <c r="S1488" s="255" t="s">
        <v>88</v>
      </c>
      <c r="U1488" s="214" t="s">
        <v>557</v>
      </c>
      <c r="V1488" s="214">
        <f>H1509/1000</f>
        <v>0</v>
      </c>
    </row>
    <row r="1489" spans="1:27">
      <c r="A1489" s="239"/>
      <c r="B1489" s="252" t="s">
        <v>496</v>
      </c>
      <c r="C1489" s="252" t="s">
        <v>496</v>
      </c>
      <c r="D1489" s="252" t="s">
        <v>496</v>
      </c>
      <c r="E1489" s="256" t="s">
        <v>473</v>
      </c>
      <c r="F1489" s="256" t="s">
        <v>473</v>
      </c>
      <c r="G1489" s="230" t="s">
        <v>451</v>
      </c>
      <c r="H1489" s="257" t="s">
        <v>497</v>
      </c>
      <c r="I1489" s="257" t="s">
        <v>498</v>
      </c>
      <c r="J1489" s="244"/>
      <c r="K1489" s="245"/>
      <c r="L1489" s="258" t="s">
        <v>496</v>
      </c>
      <c r="M1489" s="256" t="s">
        <v>496</v>
      </c>
      <c r="N1489" s="256"/>
      <c r="O1489" s="257" t="s">
        <v>79</v>
      </c>
      <c r="P1489" s="257" t="s">
        <v>79</v>
      </c>
      <c r="Q1489" s="259"/>
      <c r="R1489" s="257"/>
      <c r="S1489" s="260"/>
      <c r="U1489" s="214" t="s">
        <v>558</v>
      </c>
      <c r="V1489" s="214">
        <f>(H1506+H1507+H1508+H1510+H1512+H1514+H1515+H1516+H1517+H1519+H1520+H1521+H1522+H1523)/1000</f>
        <v>8.1334011539999995</v>
      </c>
    </row>
    <row r="1490" spans="1:27">
      <c r="A1490" s="261" t="s">
        <v>262</v>
      </c>
      <c r="B1490" s="365">
        <v>213.75</v>
      </c>
      <c r="C1490" s="365">
        <v>484</v>
      </c>
      <c r="D1490" s="365">
        <v>215</v>
      </c>
      <c r="E1490" s="320">
        <v>630.34136111111115</v>
      </c>
      <c r="F1490" s="319">
        <v>2757.3029999999999</v>
      </c>
      <c r="G1490" s="368">
        <v>2388.6619999999998</v>
      </c>
      <c r="H1490" s="369">
        <v>21499.4925</v>
      </c>
      <c r="I1490" s="320">
        <v>2</v>
      </c>
      <c r="J1490" s="244"/>
      <c r="K1490" s="265" t="s">
        <v>262</v>
      </c>
      <c r="L1490" s="266">
        <f>B1490/I1490</f>
        <v>106.875</v>
      </c>
      <c r="M1490" s="267">
        <f>D1490/I1490</f>
        <v>107.5</v>
      </c>
      <c r="N1490" s="267">
        <f>D1490/B1490</f>
        <v>1.0058479532163742</v>
      </c>
      <c r="O1490" s="239">
        <f>(F1490*3.6+G1490)*100/H1490</f>
        <v>57.280202311752241</v>
      </c>
      <c r="P1490" s="267">
        <f>(E1490*3.6+G1490)*100/H1490</f>
        <v>21.665120234814847</v>
      </c>
      <c r="Q1490" s="267">
        <f>E1490/(B1490*8760)*1000</f>
        <v>0.33663988950899149</v>
      </c>
      <c r="R1490" s="267">
        <f>G1490/(D1490*8761)*1000/3.6</f>
        <v>0.35225734676259335</v>
      </c>
      <c r="S1490" s="268">
        <f>G1490/(E1490*3.6)</f>
        <v>1.0526315789473684</v>
      </c>
      <c r="Z1490" s="214">
        <f t="shared" ref="Z1490:Z1497" si="503">C1490-B1490</f>
        <v>270.25</v>
      </c>
      <c r="AA1490" s="214">
        <f t="shared" ref="AA1490:AA1497" si="504">F1490-E1490</f>
        <v>2126.961638888889</v>
      </c>
    </row>
    <row r="1491" spans="1:27">
      <c r="A1491" s="239" t="s">
        <v>263</v>
      </c>
      <c r="B1491" s="320">
        <v>56.81</v>
      </c>
      <c r="C1491" s="320">
        <v>66.55</v>
      </c>
      <c r="D1491" s="320">
        <v>177.6</v>
      </c>
      <c r="E1491" s="477">
        <v>140.5214</v>
      </c>
      <c r="F1491" s="478">
        <v>140.5214</v>
      </c>
      <c r="G1491" s="321">
        <v>2198.4960000000001</v>
      </c>
      <c r="H1491" s="319">
        <v>4104.1869999999999</v>
      </c>
      <c r="I1491" s="320">
        <v>5</v>
      </c>
      <c r="J1491" s="244"/>
      <c r="K1491" s="245" t="s">
        <v>263</v>
      </c>
      <c r="L1491" s="266">
        <f>B1491/I1491</f>
        <v>11.362</v>
      </c>
      <c r="M1491" s="267">
        <f>D1491/I1491</f>
        <v>35.519999999999996</v>
      </c>
      <c r="N1491" s="267">
        <f>D1491/B1491</f>
        <v>3.1262101742650938</v>
      </c>
      <c r="O1491" s="239">
        <f>(F1491*3.6+G1491)*100/H1491</f>
        <v>65.893026804090553</v>
      </c>
      <c r="P1491" s="267">
        <f>(E1491*3.6+G1491)*100/H1491</f>
        <v>65.893026804090553</v>
      </c>
      <c r="Q1491" s="267">
        <f>E1491/(B1491*8760)*1000</f>
        <v>0.2823667612702439</v>
      </c>
      <c r="R1491" s="267">
        <f>G1491/(D1491*8761)*1000/3.6</f>
        <v>0.39248813932069271</v>
      </c>
      <c r="S1491" s="268">
        <f>G1491/(E1491*3.6)</f>
        <v>4.3459098282064748</v>
      </c>
      <c r="U1491" s="239" t="s">
        <v>152</v>
      </c>
      <c r="V1491" s="492">
        <f>B1506/1000</f>
        <v>0</v>
      </c>
      <c r="Z1491" s="214">
        <f t="shared" si="503"/>
        <v>9.7399999999999949</v>
      </c>
      <c r="AA1491" s="214">
        <f t="shared" si="504"/>
        <v>0</v>
      </c>
    </row>
    <row r="1492" spans="1:27">
      <c r="A1492" s="239" t="s">
        <v>499</v>
      </c>
      <c r="B1492" s="320">
        <v>138.6</v>
      </c>
      <c r="C1492" s="320">
        <v>399</v>
      </c>
      <c r="D1492" s="320">
        <v>322</v>
      </c>
      <c r="E1492" s="477">
        <v>139.49099999999999</v>
      </c>
      <c r="F1492" s="478">
        <v>147.375</v>
      </c>
      <c r="G1492" s="321">
        <v>1926.6080000000002</v>
      </c>
      <c r="H1492" s="319">
        <v>4251.1851999999999</v>
      </c>
      <c r="I1492" s="320">
        <v>7</v>
      </c>
      <c r="J1492" s="244"/>
      <c r="K1492" s="245" t="s">
        <v>499</v>
      </c>
      <c r="L1492" s="266">
        <f>B1492/I1492</f>
        <v>19.8</v>
      </c>
      <c r="M1492" s="267">
        <f>D1492/I1492</f>
        <v>46</v>
      </c>
      <c r="N1492" s="267">
        <f>D1492/B1492</f>
        <v>2.3232323232323235</v>
      </c>
      <c r="O1492" s="239">
        <f>(F1492*3.6+G1492)*100/H1492</f>
        <v>57.799363810355771</v>
      </c>
      <c r="P1492" s="267">
        <f>(E1492*3.6+G1492)*100/H1492</f>
        <v>57.131728817648309</v>
      </c>
      <c r="Q1492" s="267">
        <f>E1492/(B1492*8760)*1000</f>
        <v>0.11488910632746248</v>
      </c>
      <c r="R1492" s="267">
        <f>G1492/(D1492*8761)*1000/3.6</f>
        <v>0.18970610465526175</v>
      </c>
      <c r="S1492" s="268">
        <f>G1492/(E1492*3.6)</f>
        <v>3.8365836425926334</v>
      </c>
      <c r="U1492" s="239" t="s">
        <v>504</v>
      </c>
      <c r="V1492" s="492">
        <f t="shared" ref="V1492:V1508" si="505">B1507/1000</f>
        <v>0</v>
      </c>
      <c r="Z1492" s="214">
        <f t="shared" si="503"/>
        <v>260.39999999999998</v>
      </c>
      <c r="AA1492" s="214">
        <f t="shared" si="504"/>
        <v>7.8840000000000146</v>
      </c>
    </row>
    <row r="1493" spans="1:27">
      <c r="A1493" s="239" t="s">
        <v>265</v>
      </c>
      <c r="B1493" s="320">
        <v>14</v>
      </c>
      <c r="C1493" s="320">
        <v>14</v>
      </c>
      <c r="D1493" s="320">
        <v>63.3</v>
      </c>
      <c r="E1493" s="320">
        <v>83.091555555555558</v>
      </c>
      <c r="F1493" s="319">
        <v>99.054000000000002</v>
      </c>
      <c r="G1493" s="321">
        <v>747.82399999999996</v>
      </c>
      <c r="H1493" s="319">
        <v>1685.2833000000001</v>
      </c>
      <c r="I1493" s="320">
        <v>1</v>
      </c>
      <c r="J1493" s="244"/>
      <c r="K1493" s="245" t="s">
        <v>265</v>
      </c>
      <c r="L1493" s="266">
        <f>B1493/I1493</f>
        <v>14</v>
      </c>
      <c r="M1493" s="267">
        <f>D1493/I1493</f>
        <v>63.3</v>
      </c>
      <c r="N1493" s="267">
        <f>D1493/B1493</f>
        <v>4.5214285714285714</v>
      </c>
      <c r="O1493" s="239">
        <f>(F1493*3.6+G1493)*100/H1493</f>
        <v>65.533100577214526</v>
      </c>
      <c r="P1493" s="267">
        <f>(E1493*3.6+G1493)*100/H1493</f>
        <v>62.123299981670733</v>
      </c>
      <c r="Q1493" s="267">
        <f>E1493/(B1493*8760)*1000</f>
        <v>0.67752409944190772</v>
      </c>
      <c r="R1493" s="267">
        <f>G1493/(D1493*8761)*1000/3.6</f>
        <v>0.3745756206440703</v>
      </c>
      <c r="S1493" s="268">
        <f>G1493/(E1493*3.6)</f>
        <v>2.4999999999999996</v>
      </c>
      <c r="U1493" s="239" t="s">
        <v>505</v>
      </c>
      <c r="V1493" s="492">
        <f t="shared" si="505"/>
        <v>0</v>
      </c>
      <c r="Z1493" s="214">
        <f t="shared" si="503"/>
        <v>0</v>
      </c>
      <c r="AA1493" s="214">
        <f t="shared" si="504"/>
        <v>15.962444444444444</v>
      </c>
    </row>
    <row r="1494" spans="1:27">
      <c r="A1494" s="239" t="s">
        <v>266</v>
      </c>
      <c r="B1494" s="320">
        <v>32.384</v>
      </c>
      <c r="C1494" s="320">
        <v>34.758000000000003</v>
      </c>
      <c r="D1494" s="320">
        <v>41.042000000000002</v>
      </c>
      <c r="E1494" s="320">
        <v>102</v>
      </c>
      <c r="F1494" s="319">
        <v>156.64409499999999</v>
      </c>
      <c r="G1494" s="321">
        <v>526.19952999999998</v>
      </c>
      <c r="H1494" s="319">
        <v>1564.251</v>
      </c>
      <c r="I1494" s="320">
        <v>32</v>
      </c>
      <c r="J1494" s="244"/>
      <c r="K1494" s="245" t="s">
        <v>266</v>
      </c>
      <c r="L1494" s="266">
        <f>B1494/I1494</f>
        <v>1.012</v>
      </c>
      <c r="M1494" s="267">
        <f>D1494/I1494</f>
        <v>1.2825625</v>
      </c>
      <c r="N1494" s="267">
        <f>D1494/B1494</f>
        <v>1.2673542490118577</v>
      </c>
      <c r="O1494" s="239">
        <f>(F1494*3.6+G1494)*100/H1494</f>
        <v>69.68947259742842</v>
      </c>
      <c r="P1494" s="267">
        <f>(E1494*3.6+G1494)*100/H1494</f>
        <v>57.113566173203658</v>
      </c>
      <c r="Q1494" s="267">
        <f>E1494/(B1494*8760)*1000</f>
        <v>0.35955520060642154</v>
      </c>
      <c r="R1494" s="267">
        <f>G1494/(D1494*8761)*1000/3.6</f>
        <v>0.406504875443368</v>
      </c>
      <c r="S1494" s="268">
        <f>G1494/(E1494*3.6)</f>
        <v>1.4330052559912854</v>
      </c>
      <c r="U1494" s="239" t="s">
        <v>506</v>
      </c>
      <c r="V1494" s="492">
        <f t="shared" si="505"/>
        <v>0</v>
      </c>
      <c r="Z1494" s="214">
        <f t="shared" si="503"/>
        <v>2.3740000000000023</v>
      </c>
      <c r="AA1494" s="214">
        <f t="shared" si="504"/>
        <v>54.644094999999993</v>
      </c>
    </row>
    <row r="1495" spans="1:27">
      <c r="A1495" s="272" t="s">
        <v>267</v>
      </c>
      <c r="B1495" s="395"/>
      <c r="C1495" s="395"/>
      <c r="D1495" s="395"/>
      <c r="E1495" s="320"/>
      <c r="F1495" s="319"/>
      <c r="G1495" s="396"/>
      <c r="H1495" s="397"/>
      <c r="I1495" s="395"/>
      <c r="J1495" s="244"/>
      <c r="K1495" s="245" t="s">
        <v>267</v>
      </c>
      <c r="L1495" s="266"/>
      <c r="M1495" s="267"/>
      <c r="N1495" s="267"/>
      <c r="O1495" s="239"/>
      <c r="P1495" s="267"/>
      <c r="Q1495" s="272"/>
      <c r="R1495" s="274"/>
      <c r="S1495" s="275"/>
      <c r="U1495" s="239" t="s">
        <v>507</v>
      </c>
      <c r="V1495" s="492">
        <f t="shared" si="505"/>
        <v>0</v>
      </c>
      <c r="Z1495" s="214">
        <f t="shared" si="503"/>
        <v>0</v>
      </c>
      <c r="AA1495" s="214">
        <f t="shared" si="504"/>
        <v>0</v>
      </c>
    </row>
    <row r="1496" spans="1:27">
      <c r="A1496" s="276" t="s">
        <v>500</v>
      </c>
      <c r="B1496" s="291">
        <f t="shared" ref="B1496:I1496" si="506">SUM(B1490:B1495)</f>
        <v>455.54399999999998</v>
      </c>
      <c r="C1496" s="291">
        <f t="shared" si="506"/>
        <v>998.30799999999999</v>
      </c>
      <c r="D1496" s="291">
        <f t="shared" si="506"/>
        <v>818.94200000000001</v>
      </c>
      <c r="E1496" s="291">
        <f t="shared" si="506"/>
        <v>1095.4453166666667</v>
      </c>
      <c r="F1496" s="291">
        <f t="shared" si="506"/>
        <v>3300.8974950000002</v>
      </c>
      <c r="G1496" s="292">
        <f t="shared" si="506"/>
        <v>7787.7895299999991</v>
      </c>
      <c r="H1496" s="291">
        <f t="shared" si="506"/>
        <v>33104.398999999998</v>
      </c>
      <c r="I1496" s="293">
        <f t="shared" si="506"/>
        <v>47</v>
      </c>
      <c r="J1496" s="244"/>
      <c r="K1496" s="279" t="s">
        <v>169</v>
      </c>
      <c r="L1496" s="280">
        <f>B1496/I1496</f>
        <v>9.6924255319148926</v>
      </c>
      <c r="M1496" s="281">
        <f>D1496/I1496</f>
        <v>17.424297872340425</v>
      </c>
      <c r="N1496" s="281">
        <f>D1496/B1496</f>
        <v>1.7977231617582496</v>
      </c>
      <c r="O1496" s="294">
        <f>(F1496*3.6+G1496)*100/H1496</f>
        <v>59.421167899770666</v>
      </c>
      <c r="P1496" s="295">
        <f>(E1496*3.6+G1496)*100/H1496</f>
        <v>35.437564264495485</v>
      </c>
      <c r="Q1496" s="283">
        <f>E1496/(B1496*8760)*1000</f>
        <v>0.2745087965946667</v>
      </c>
      <c r="R1496" s="283">
        <f>G1496/(D1496*8761)*1000/3.6</f>
        <v>0.3015121933922344</v>
      </c>
      <c r="S1496" s="284">
        <f>G1496/(E1496*3.6)</f>
        <v>1.9747903765996084</v>
      </c>
      <c r="U1496" s="239" t="s">
        <v>156</v>
      </c>
      <c r="V1496" s="492">
        <f t="shared" si="505"/>
        <v>0</v>
      </c>
      <c r="Z1496" s="214">
        <f t="shared" si="503"/>
        <v>542.76400000000001</v>
      </c>
      <c r="AA1496" s="214">
        <f t="shared" si="504"/>
        <v>2205.4521783333334</v>
      </c>
    </row>
    <row r="1497" spans="1:27" ht="13.5" thickBot="1">
      <c r="A1497" s="296" t="s">
        <v>502</v>
      </c>
      <c r="B1497" s="297">
        <f t="shared" ref="B1497:I1497" si="507">B1485+B1496</f>
        <v>1433.8990000000001</v>
      </c>
      <c r="C1497" s="297">
        <f t="shared" si="507"/>
        <v>1976.663</v>
      </c>
      <c r="D1497" s="297">
        <f t="shared" si="507"/>
        <v>4341.1592806234494</v>
      </c>
      <c r="E1497" s="297">
        <f t="shared" si="507"/>
        <v>4741.0990265666669</v>
      </c>
      <c r="F1497" s="297">
        <f t="shared" si="507"/>
        <v>6946.5512049000008</v>
      </c>
      <c r="G1497" s="297">
        <f t="shared" si="507"/>
        <v>47698.473120000002</v>
      </c>
      <c r="H1497" s="297">
        <f t="shared" si="507"/>
        <v>96760.449653999996</v>
      </c>
      <c r="I1497" s="298">
        <f t="shared" si="507"/>
        <v>159</v>
      </c>
      <c r="J1497" s="244"/>
      <c r="K1497" s="296" t="s">
        <v>502</v>
      </c>
      <c r="L1497" s="299">
        <f>B1497/I1497</f>
        <v>9.0182327044025161</v>
      </c>
      <c r="M1497" s="300">
        <f>D1497/I1497</f>
        <v>27.302888557380186</v>
      </c>
      <c r="N1497" s="300">
        <f>D1497/B1497</f>
        <v>3.0275209625109225</v>
      </c>
      <c r="O1497" s="301">
        <f>(F1497*3.6+G1497)*100/H1497</f>
        <v>75.140264144725791</v>
      </c>
      <c r="P1497" s="301">
        <f>(E1497*3.6+G1497)*100/H1497</f>
        <v>66.934816701694217</v>
      </c>
      <c r="Q1497" s="301">
        <f>E1497/(B1497*8760)*1000</f>
        <v>0.37744733071484671</v>
      </c>
      <c r="R1497" s="301">
        <f>G1497/(D1497*8761)*1000/3.6</f>
        <v>0.34837146525134655</v>
      </c>
      <c r="S1497" s="302">
        <f>G1497/(E1497*3.6)</f>
        <v>2.7946212033165505</v>
      </c>
      <c r="U1497" s="239" t="s">
        <v>508</v>
      </c>
      <c r="V1497" s="492">
        <f t="shared" si="505"/>
        <v>0</v>
      </c>
      <c r="Z1497" s="214">
        <f t="shared" si="503"/>
        <v>542.7639999999999</v>
      </c>
      <c r="AA1497" s="214">
        <f t="shared" si="504"/>
        <v>2205.4521783333339</v>
      </c>
    </row>
    <row r="1498" spans="1:27">
      <c r="A1498" s="208" t="s">
        <v>532</v>
      </c>
      <c r="U1498" s="239" t="s">
        <v>509</v>
      </c>
      <c r="V1498" s="492">
        <f t="shared" si="505"/>
        <v>3.8899999999999997E-2</v>
      </c>
    </row>
    <row r="1499" spans="1:27">
      <c r="A1499" s="251" t="s">
        <v>139</v>
      </c>
      <c r="B1499" s="227" t="s">
        <v>476</v>
      </c>
      <c r="C1499" s="228"/>
      <c r="D1499" s="286"/>
      <c r="E1499" s="227" t="s">
        <v>477</v>
      </c>
      <c r="F1499" s="228"/>
      <c r="G1499" s="229"/>
      <c r="H1499" s="200" t="s">
        <v>138</v>
      </c>
      <c r="I1499" s="200" t="s">
        <v>478</v>
      </c>
      <c r="J1499" s="230"/>
      <c r="K1499" s="303" t="s">
        <v>503</v>
      </c>
      <c r="L1499" s="227" t="s">
        <v>479</v>
      </c>
      <c r="M1499" s="228"/>
      <c r="N1499" s="286"/>
      <c r="O1499" s="227" t="s">
        <v>480</v>
      </c>
      <c r="P1499" s="228"/>
      <c r="Q1499" s="228"/>
      <c r="R1499" s="229"/>
      <c r="S1499" s="286"/>
      <c r="U1499" s="239" t="s">
        <v>510</v>
      </c>
      <c r="V1499" s="492">
        <f t="shared" si="505"/>
        <v>0.01</v>
      </c>
    </row>
    <row r="1500" spans="1:27">
      <c r="A1500" s="239"/>
      <c r="B1500" s="240" t="s">
        <v>9</v>
      </c>
      <c r="C1500" s="240"/>
      <c r="D1500" s="241" t="s">
        <v>34</v>
      </c>
      <c r="E1500" s="242" t="s">
        <v>88</v>
      </c>
      <c r="F1500" s="243"/>
      <c r="G1500" s="244" t="s">
        <v>34</v>
      </c>
      <c r="H1500" s="241" t="s">
        <v>170</v>
      </c>
      <c r="I1500" s="241" t="s">
        <v>483</v>
      </c>
      <c r="J1500" s="230"/>
      <c r="K1500" s="305"/>
      <c r="L1500" s="306" t="s">
        <v>484</v>
      </c>
      <c r="M1500" s="247"/>
      <c r="N1500" s="248" t="s">
        <v>485</v>
      </c>
      <c r="O1500" s="248" t="s">
        <v>486</v>
      </c>
      <c r="P1500" s="248" t="s">
        <v>486</v>
      </c>
      <c r="Q1500" s="247" t="s">
        <v>487</v>
      </c>
      <c r="R1500" s="249"/>
      <c r="S1500" s="307" t="s">
        <v>485</v>
      </c>
      <c r="U1500" s="239" t="s">
        <v>511</v>
      </c>
      <c r="V1500" s="492">
        <f t="shared" si="505"/>
        <v>0</v>
      </c>
    </row>
    <row r="1501" spans="1:27">
      <c r="A1501" s="239"/>
      <c r="B1501" s="252" t="s">
        <v>0</v>
      </c>
      <c r="C1501" s="252" t="s">
        <v>489</v>
      </c>
      <c r="D1501" s="252" t="s">
        <v>490</v>
      </c>
      <c r="E1501" s="252" t="s">
        <v>491</v>
      </c>
      <c r="F1501" s="252" t="s">
        <v>489</v>
      </c>
      <c r="G1501" s="230" t="s">
        <v>490</v>
      </c>
      <c r="H1501" s="248"/>
      <c r="I1501" s="241" t="s">
        <v>492</v>
      </c>
      <c r="J1501" s="230"/>
      <c r="K1501" s="305"/>
      <c r="L1501" s="248" t="s">
        <v>88</v>
      </c>
      <c r="M1501" s="252" t="s">
        <v>34</v>
      </c>
      <c r="N1501" s="252" t="s">
        <v>493</v>
      </c>
      <c r="O1501" s="248" t="s">
        <v>494</v>
      </c>
      <c r="P1501" s="248" t="s">
        <v>495</v>
      </c>
      <c r="Q1501" s="230" t="s">
        <v>88</v>
      </c>
      <c r="R1501" s="248" t="s">
        <v>34</v>
      </c>
      <c r="S1501" s="252" t="s">
        <v>88</v>
      </c>
      <c r="U1501" s="239" t="s">
        <v>512</v>
      </c>
      <c r="V1501" s="492">
        <f t="shared" si="505"/>
        <v>9.7918999999999992E-2</v>
      </c>
    </row>
    <row r="1502" spans="1:27">
      <c r="A1502" s="239"/>
      <c r="B1502" s="257" t="s">
        <v>496</v>
      </c>
      <c r="C1502" s="256" t="s">
        <v>496</v>
      </c>
      <c r="D1502" s="256" t="s">
        <v>496</v>
      </c>
      <c r="E1502" s="256" t="s">
        <v>473</v>
      </c>
      <c r="F1502" s="256" t="s">
        <v>473</v>
      </c>
      <c r="G1502" s="257" t="s">
        <v>451</v>
      </c>
      <c r="H1502" s="257" t="s">
        <v>497</v>
      </c>
      <c r="I1502" s="257" t="s">
        <v>498</v>
      </c>
      <c r="J1502" s="230"/>
      <c r="K1502" s="305"/>
      <c r="L1502" s="257" t="s">
        <v>496</v>
      </c>
      <c r="M1502" s="256" t="s">
        <v>496</v>
      </c>
      <c r="N1502" s="256"/>
      <c r="O1502" s="257" t="s">
        <v>79</v>
      </c>
      <c r="P1502" s="257" t="s">
        <v>79</v>
      </c>
      <c r="Q1502" s="259"/>
      <c r="R1502" s="257"/>
      <c r="S1502" s="256"/>
      <c r="U1502" s="239" t="s">
        <v>513</v>
      </c>
      <c r="V1502" s="492">
        <f t="shared" si="505"/>
        <v>0</v>
      </c>
    </row>
    <row r="1503" spans="1:27">
      <c r="A1503" s="251" t="s">
        <v>150</v>
      </c>
      <c r="B1503" s="308">
        <v>1250.675</v>
      </c>
      <c r="C1503" s="309">
        <v>1780.5190000000002</v>
      </c>
      <c r="D1503" s="310">
        <v>3304.4342806234495</v>
      </c>
      <c r="E1503" s="308">
        <v>4336.3231114277769</v>
      </c>
      <c r="F1503" s="308">
        <v>6511.5727269000008</v>
      </c>
      <c r="G1503" s="309">
        <v>38121.468119999998</v>
      </c>
      <c r="H1503" s="311">
        <v>82247.723500000007</v>
      </c>
      <c r="I1503" s="310">
        <v>115</v>
      </c>
      <c r="J1503" s="244"/>
      <c r="K1503" s="303" t="s">
        <v>150</v>
      </c>
      <c r="L1503" s="312">
        <f>B1503/I1503</f>
        <v>10.875434782608695</v>
      </c>
      <c r="M1503" s="313">
        <f>D1503/I1503</f>
        <v>28.734211135856082</v>
      </c>
      <c r="N1503" s="313">
        <f>D1503/B1503</f>
        <v>2.6421206793319203</v>
      </c>
      <c r="O1503" s="312">
        <f>(F1503*3.6+G1503)*100/H1503</f>
        <v>74.850861904816128</v>
      </c>
      <c r="P1503" s="313">
        <f>(E1503*3.6+G1503)*100/H1503</f>
        <v>65.329749000457127</v>
      </c>
      <c r="Q1503" s="313">
        <f>E1503/(B1503*8760)*1000</f>
        <v>0.39579751239607114</v>
      </c>
      <c r="R1503" s="313">
        <f>G1503/(D1503*8761)*1000/3.6</f>
        <v>0.36577693599538824</v>
      </c>
      <c r="S1503" s="313">
        <f>G1503/(E1503*3.6)</f>
        <v>2.4419989995887024</v>
      </c>
      <c r="U1503" s="239" t="s">
        <v>514</v>
      </c>
      <c r="V1503" s="492">
        <f t="shared" si="505"/>
        <v>1.7250000000000001E-2</v>
      </c>
      <c r="Z1503" s="214">
        <f>C1503-B1503</f>
        <v>529.84400000000028</v>
      </c>
      <c r="AA1503" s="214">
        <f>F1503-E1503</f>
        <v>2175.2496154722239</v>
      </c>
    </row>
    <row r="1504" spans="1:27">
      <c r="A1504" s="239"/>
      <c r="B1504" s="314"/>
      <c r="C1504" s="315"/>
      <c r="D1504" s="315"/>
      <c r="E1504" s="316"/>
      <c r="F1504" s="316"/>
      <c r="G1504" s="317"/>
      <c r="H1504" s="314"/>
      <c r="I1504" s="314"/>
      <c r="J1504" s="230"/>
      <c r="K1504" s="239"/>
      <c r="L1504" s="312"/>
      <c r="M1504" s="267"/>
      <c r="N1504" s="267"/>
      <c r="O1504" s="239"/>
      <c r="P1504" s="313"/>
      <c r="Q1504" s="267"/>
      <c r="R1504" s="267"/>
      <c r="S1504" s="239"/>
      <c r="U1504" s="239" t="s">
        <v>515</v>
      </c>
      <c r="V1504" s="492">
        <f t="shared" si="505"/>
        <v>3.9500000000000001E-4</v>
      </c>
      <c r="Z1504" s="214">
        <f t="shared" ref="Z1504:Z1524" si="508">C1504-B1504</f>
        <v>0</v>
      </c>
      <c r="AA1504" s="214">
        <f t="shared" ref="AA1504:AA1524" si="509">F1504-E1504</f>
        <v>0</v>
      </c>
    </row>
    <row r="1505" spans="1:27">
      <c r="A1505" s="312" t="s">
        <v>7</v>
      </c>
      <c r="B1505" s="310">
        <f>SUM(B1506:B1523)</f>
        <v>183.22399999999999</v>
      </c>
      <c r="C1505" s="310">
        <f t="shared" ref="C1505:I1505" si="510">SUM(C1506:C1523)</f>
        <v>196.14399999999998</v>
      </c>
      <c r="D1505" s="310">
        <f t="shared" si="510"/>
        <v>1036.7249999999999</v>
      </c>
      <c r="E1505" s="310">
        <f t="shared" si="510"/>
        <v>404.93023388888889</v>
      </c>
      <c r="F1505" s="310">
        <f t="shared" si="510"/>
        <v>434.978478</v>
      </c>
      <c r="G1505" s="310">
        <f t="shared" si="510"/>
        <v>9577.005000000001</v>
      </c>
      <c r="H1505" s="310">
        <f t="shared" si="510"/>
        <v>14512.726153999998</v>
      </c>
      <c r="I1505" s="310">
        <f t="shared" si="510"/>
        <v>44</v>
      </c>
      <c r="J1505" s="244"/>
      <c r="K1505" s="318" t="s">
        <v>7</v>
      </c>
      <c r="L1505" s="312">
        <f>B1505/I1505</f>
        <v>4.1641818181818175</v>
      </c>
      <c r="M1505" s="313">
        <f>D1505/I1505</f>
        <v>23.561931818181815</v>
      </c>
      <c r="N1505" s="313">
        <f>D1505/B1505</f>
        <v>5.658238003754966</v>
      </c>
      <c r="O1505" s="312">
        <f t="shared" ref="O1505:O1522" si="511">(F1505*3.6+G1505)*100/H1505</f>
        <v>76.780388484962828</v>
      </c>
      <c r="P1505" s="313">
        <f>(E1505*3.6+G1505)*100/H1505</f>
        <v>76.035017300719915</v>
      </c>
      <c r="Q1505" s="313">
        <f>E1505/(B1505*8760)*1000</f>
        <v>0.25228634100551078</v>
      </c>
      <c r="R1505" s="313">
        <f>G1505/(D1505*8761)*1000/3.6</f>
        <v>0.29289365368415166</v>
      </c>
      <c r="S1505" s="313">
        <f>G1505/(E1505*3.6)</f>
        <v>6.5697222484914182</v>
      </c>
      <c r="U1505" s="239" t="s">
        <v>516</v>
      </c>
      <c r="V1505" s="492">
        <f t="shared" si="505"/>
        <v>1.6799999999999999E-3</v>
      </c>
      <c r="Z1505" s="214">
        <f t="shared" si="508"/>
        <v>12.919999999999987</v>
      </c>
      <c r="AA1505" s="214">
        <f t="shared" si="509"/>
        <v>30.048244111111103</v>
      </c>
    </row>
    <row r="1506" spans="1:27">
      <c r="A1506" s="239" t="s">
        <v>152</v>
      </c>
      <c r="B1506" s="319"/>
      <c r="C1506" s="320"/>
      <c r="D1506" s="320"/>
      <c r="E1506" s="316"/>
      <c r="F1506" s="316"/>
      <c r="G1506" s="321"/>
      <c r="H1506" s="319"/>
      <c r="I1506" s="319"/>
      <c r="J1506" s="230"/>
      <c r="K1506" s="305" t="s">
        <v>152</v>
      </c>
      <c r="L1506" s="239" t="e">
        <f t="shared" ref="L1506:L1522" si="512">B1506/I1506</f>
        <v>#DIV/0!</v>
      </c>
      <c r="M1506" s="267" t="e">
        <f t="shared" ref="M1506:M1522" si="513">D1506/I1506</f>
        <v>#DIV/0!</v>
      </c>
      <c r="N1506" s="267" t="e">
        <f t="shared" ref="N1506:N1522" si="514">D1506/B1506</f>
        <v>#DIV/0!</v>
      </c>
      <c r="O1506" s="239" t="e">
        <f t="shared" si="511"/>
        <v>#DIV/0!</v>
      </c>
      <c r="P1506" s="267" t="e">
        <f t="shared" ref="P1506:P1522" si="515">(E1506*3.6+G1506)*100/H1506</f>
        <v>#DIV/0!</v>
      </c>
      <c r="Q1506" s="267" t="e">
        <f t="shared" ref="Q1506:Q1522" si="516">E1506/(B1506*8760)*1000</f>
        <v>#DIV/0!</v>
      </c>
      <c r="R1506" s="267" t="e">
        <f t="shared" ref="R1506:R1522" si="517">G1506/(D1506*8761)*1000/3.6</f>
        <v>#DIV/0!</v>
      </c>
      <c r="S1506" s="267" t="e">
        <f t="shared" ref="S1506:S1522" si="518">G1506/(E1506*3.6)</f>
        <v>#DIV/0!</v>
      </c>
      <c r="U1506" s="239" t="s">
        <v>517</v>
      </c>
      <c r="V1506" s="492">
        <f t="shared" si="505"/>
        <v>0</v>
      </c>
      <c r="Z1506" s="214">
        <f t="shared" si="508"/>
        <v>0</v>
      </c>
      <c r="AA1506" s="214">
        <f t="shared" si="509"/>
        <v>0</v>
      </c>
    </row>
    <row r="1507" spans="1:27">
      <c r="A1507" s="239" t="s">
        <v>504</v>
      </c>
      <c r="B1507" s="319"/>
      <c r="C1507" s="320"/>
      <c r="D1507" s="320"/>
      <c r="E1507" s="316"/>
      <c r="F1507" s="316"/>
      <c r="G1507" s="321"/>
      <c r="H1507" s="319"/>
      <c r="I1507" s="319"/>
      <c r="J1507" s="230"/>
      <c r="K1507" s="305" t="s">
        <v>504</v>
      </c>
      <c r="L1507" s="239" t="e">
        <f t="shared" si="512"/>
        <v>#DIV/0!</v>
      </c>
      <c r="M1507" s="267" t="e">
        <f t="shared" si="513"/>
        <v>#DIV/0!</v>
      </c>
      <c r="N1507" s="267" t="e">
        <f t="shared" si="514"/>
        <v>#DIV/0!</v>
      </c>
      <c r="O1507" s="239" t="e">
        <f t="shared" si="511"/>
        <v>#DIV/0!</v>
      </c>
      <c r="P1507" s="267" t="e">
        <f t="shared" si="515"/>
        <v>#DIV/0!</v>
      </c>
      <c r="Q1507" s="267" t="e">
        <f t="shared" si="516"/>
        <v>#DIV/0!</v>
      </c>
      <c r="R1507" s="267" t="e">
        <f t="shared" si="517"/>
        <v>#DIV/0!</v>
      </c>
      <c r="S1507" s="267" t="e">
        <f t="shared" si="518"/>
        <v>#DIV/0!</v>
      </c>
      <c r="U1507" s="239" t="s">
        <v>518</v>
      </c>
      <c r="V1507" s="492">
        <f t="shared" si="505"/>
        <v>1.7079999999999998E-2</v>
      </c>
      <c r="Z1507" s="214">
        <f t="shared" si="508"/>
        <v>0</v>
      </c>
      <c r="AA1507" s="214">
        <f t="shared" si="509"/>
        <v>0</v>
      </c>
    </row>
    <row r="1508" spans="1:27">
      <c r="A1508" s="239" t="s">
        <v>505</v>
      </c>
      <c r="B1508" s="319"/>
      <c r="C1508" s="320"/>
      <c r="D1508" s="320"/>
      <c r="E1508" s="316"/>
      <c r="F1508" s="316"/>
      <c r="G1508" s="321"/>
      <c r="H1508" s="319"/>
      <c r="I1508" s="319"/>
      <c r="J1508" s="230"/>
      <c r="K1508" s="305" t="s">
        <v>505</v>
      </c>
      <c r="L1508" s="239" t="e">
        <f t="shared" si="512"/>
        <v>#DIV/0!</v>
      </c>
      <c r="M1508" s="267" t="e">
        <f t="shared" si="513"/>
        <v>#DIV/0!</v>
      </c>
      <c r="N1508" s="267" t="e">
        <f t="shared" si="514"/>
        <v>#DIV/0!</v>
      </c>
      <c r="O1508" s="239" t="e">
        <f t="shared" si="511"/>
        <v>#DIV/0!</v>
      </c>
      <c r="P1508" s="267" t="e">
        <f t="shared" si="515"/>
        <v>#DIV/0!</v>
      </c>
      <c r="Q1508" s="267" t="e">
        <f t="shared" si="516"/>
        <v>#DIV/0!</v>
      </c>
      <c r="R1508" s="267" t="e">
        <f t="shared" si="517"/>
        <v>#DIV/0!</v>
      </c>
      <c r="S1508" s="267" t="e">
        <f t="shared" si="518"/>
        <v>#DIV/0!</v>
      </c>
      <c r="U1508" s="239" t="s">
        <v>519</v>
      </c>
      <c r="V1508" s="492">
        <f t="shared" si="505"/>
        <v>0</v>
      </c>
      <c r="Z1508" s="214">
        <f t="shared" si="508"/>
        <v>0</v>
      </c>
      <c r="AA1508" s="214">
        <f t="shared" si="509"/>
        <v>0</v>
      </c>
    </row>
    <row r="1509" spans="1:27">
      <c r="A1509" s="239" t="s">
        <v>506</v>
      </c>
      <c r="B1509" s="319"/>
      <c r="C1509" s="320"/>
      <c r="D1509" s="320"/>
      <c r="E1509" s="316"/>
      <c r="F1509" s="316"/>
      <c r="G1509" s="321"/>
      <c r="H1509" s="319"/>
      <c r="I1509" s="319"/>
      <c r="J1509" s="230"/>
      <c r="K1509" s="305" t="s">
        <v>506</v>
      </c>
      <c r="L1509" s="239" t="e">
        <f t="shared" si="512"/>
        <v>#DIV/0!</v>
      </c>
      <c r="M1509" s="267" t="e">
        <f t="shared" si="513"/>
        <v>#DIV/0!</v>
      </c>
      <c r="N1509" s="267" t="e">
        <f t="shared" si="514"/>
        <v>#DIV/0!</v>
      </c>
      <c r="O1509" s="239" t="e">
        <f t="shared" si="511"/>
        <v>#DIV/0!</v>
      </c>
      <c r="P1509" s="267" t="e">
        <f t="shared" si="515"/>
        <v>#DIV/0!</v>
      </c>
      <c r="Q1509" s="267" t="e">
        <f t="shared" si="516"/>
        <v>#DIV/0!</v>
      </c>
      <c r="R1509" s="267" t="e">
        <f t="shared" si="517"/>
        <v>#DIV/0!</v>
      </c>
      <c r="S1509" s="267" t="e">
        <f t="shared" si="518"/>
        <v>#DIV/0!</v>
      </c>
      <c r="Z1509" s="214">
        <f t="shared" si="508"/>
        <v>0</v>
      </c>
      <c r="AA1509" s="214">
        <f t="shared" si="509"/>
        <v>0</v>
      </c>
    </row>
    <row r="1510" spans="1:27">
      <c r="A1510" s="239" t="s">
        <v>507</v>
      </c>
      <c r="B1510" s="319"/>
      <c r="C1510" s="320"/>
      <c r="D1510" s="320"/>
      <c r="E1510" s="316"/>
      <c r="F1510" s="316"/>
      <c r="G1510" s="321"/>
      <c r="H1510" s="319"/>
      <c r="I1510" s="319"/>
      <c r="J1510" s="230"/>
      <c r="K1510" s="305" t="s">
        <v>507</v>
      </c>
      <c r="L1510" s="239" t="e">
        <f t="shared" si="512"/>
        <v>#DIV/0!</v>
      </c>
      <c r="M1510" s="267" t="e">
        <f t="shared" si="513"/>
        <v>#DIV/0!</v>
      </c>
      <c r="N1510" s="267" t="e">
        <f t="shared" si="514"/>
        <v>#DIV/0!</v>
      </c>
      <c r="O1510" s="239" t="e">
        <f t="shared" si="511"/>
        <v>#DIV/0!</v>
      </c>
      <c r="P1510" s="267" t="e">
        <f t="shared" si="515"/>
        <v>#DIV/0!</v>
      </c>
      <c r="Q1510" s="267" t="e">
        <f t="shared" si="516"/>
        <v>#DIV/0!</v>
      </c>
      <c r="R1510" s="267" t="e">
        <f t="shared" si="517"/>
        <v>#DIV/0!</v>
      </c>
      <c r="S1510" s="267" t="e">
        <f t="shared" si="518"/>
        <v>#DIV/0!</v>
      </c>
      <c r="Z1510" s="214">
        <f t="shared" si="508"/>
        <v>0</v>
      </c>
      <c r="AA1510" s="214">
        <f t="shared" si="509"/>
        <v>0</v>
      </c>
    </row>
    <row r="1511" spans="1:27">
      <c r="A1511" s="239" t="s">
        <v>156</v>
      </c>
      <c r="B1511" s="319"/>
      <c r="C1511" s="320"/>
      <c r="D1511" s="320"/>
      <c r="E1511" s="316"/>
      <c r="F1511" s="316"/>
      <c r="G1511" s="321"/>
      <c r="H1511" s="319"/>
      <c r="I1511" s="319"/>
      <c r="J1511" s="230"/>
      <c r="K1511" s="305" t="s">
        <v>156</v>
      </c>
      <c r="L1511" s="239" t="e">
        <f t="shared" si="512"/>
        <v>#DIV/0!</v>
      </c>
      <c r="M1511" s="267" t="e">
        <f t="shared" si="513"/>
        <v>#DIV/0!</v>
      </c>
      <c r="N1511" s="267" t="e">
        <f t="shared" si="514"/>
        <v>#DIV/0!</v>
      </c>
      <c r="O1511" s="322" t="e">
        <f t="shared" si="511"/>
        <v>#DIV/0!</v>
      </c>
      <c r="P1511" s="323" t="e">
        <f t="shared" si="515"/>
        <v>#DIV/0!</v>
      </c>
      <c r="Q1511" s="267" t="e">
        <f t="shared" si="516"/>
        <v>#DIV/0!</v>
      </c>
      <c r="R1511" s="267" t="e">
        <f t="shared" si="517"/>
        <v>#DIV/0!</v>
      </c>
      <c r="S1511" s="267" t="e">
        <f t="shared" si="518"/>
        <v>#DIV/0!</v>
      </c>
      <c r="Z1511" s="214">
        <f t="shared" si="508"/>
        <v>0</v>
      </c>
      <c r="AA1511" s="214">
        <f t="shared" si="509"/>
        <v>0</v>
      </c>
    </row>
    <row r="1512" spans="1:27">
      <c r="A1512" s="239" t="s">
        <v>508</v>
      </c>
      <c r="B1512" s="319"/>
      <c r="C1512" s="320"/>
      <c r="D1512" s="320"/>
      <c r="E1512" s="316"/>
      <c r="F1512" s="316"/>
      <c r="G1512" s="321"/>
      <c r="H1512" s="319"/>
      <c r="I1512" s="319"/>
      <c r="J1512" s="230"/>
      <c r="K1512" s="305" t="s">
        <v>508</v>
      </c>
      <c r="L1512" s="239" t="e">
        <f t="shared" si="512"/>
        <v>#DIV/0!</v>
      </c>
      <c r="M1512" s="267" t="e">
        <f t="shared" si="513"/>
        <v>#DIV/0!</v>
      </c>
      <c r="N1512" s="267" t="e">
        <f t="shared" si="514"/>
        <v>#DIV/0!</v>
      </c>
      <c r="O1512" s="239" t="e">
        <f t="shared" si="511"/>
        <v>#DIV/0!</v>
      </c>
      <c r="P1512" s="267" t="e">
        <f t="shared" si="515"/>
        <v>#DIV/0!</v>
      </c>
      <c r="Q1512" s="267" t="e">
        <f t="shared" si="516"/>
        <v>#DIV/0!</v>
      </c>
      <c r="R1512" s="267" t="e">
        <f t="shared" si="517"/>
        <v>#DIV/0!</v>
      </c>
      <c r="S1512" s="267" t="e">
        <f t="shared" si="518"/>
        <v>#DIV/0!</v>
      </c>
      <c r="Z1512" s="214">
        <f t="shared" si="508"/>
        <v>0</v>
      </c>
      <c r="AA1512" s="214">
        <f t="shared" si="509"/>
        <v>0</v>
      </c>
    </row>
    <row r="1513" spans="1:27">
      <c r="A1513" s="239" t="s">
        <v>509</v>
      </c>
      <c r="B1513" s="319">
        <v>38.9</v>
      </c>
      <c r="C1513" s="320">
        <v>38.9</v>
      </c>
      <c r="D1513" s="320">
        <v>349.7</v>
      </c>
      <c r="E1513" s="316">
        <v>64.331999999999994</v>
      </c>
      <c r="F1513" s="316">
        <v>64.331999999999994</v>
      </c>
      <c r="G1513" s="321">
        <v>3360.12</v>
      </c>
      <c r="H1513" s="319">
        <v>4056.3389999999999</v>
      </c>
      <c r="I1513" s="319">
        <v>8</v>
      </c>
      <c r="J1513" s="230"/>
      <c r="K1513" s="305" t="s">
        <v>509</v>
      </c>
      <c r="L1513" s="239">
        <f t="shared" si="512"/>
        <v>4.8624999999999998</v>
      </c>
      <c r="M1513" s="267">
        <f t="shared" si="513"/>
        <v>43.712499999999999</v>
      </c>
      <c r="N1513" s="267">
        <f t="shared" si="514"/>
        <v>8.9897172236503859</v>
      </c>
      <c r="O1513" s="239">
        <f t="shared" si="511"/>
        <v>88.545735452584211</v>
      </c>
      <c r="P1513" s="267">
        <f t="shared" si="515"/>
        <v>88.545735452584211</v>
      </c>
      <c r="Q1513" s="267">
        <f t="shared" si="516"/>
        <v>0.18878754798042044</v>
      </c>
      <c r="R1513" s="267">
        <f t="shared" si="517"/>
        <v>0.30465125689016292</v>
      </c>
      <c r="S1513" s="267">
        <f t="shared" si="518"/>
        <v>14.508590851623868</v>
      </c>
      <c r="Z1513" s="214">
        <f t="shared" si="508"/>
        <v>0</v>
      </c>
      <c r="AA1513" s="214">
        <f t="shared" si="509"/>
        <v>0</v>
      </c>
    </row>
    <row r="1514" spans="1:27">
      <c r="A1514" s="239" t="s">
        <v>510</v>
      </c>
      <c r="B1514" s="319">
        <v>10</v>
      </c>
      <c r="C1514" s="320">
        <v>10</v>
      </c>
      <c r="D1514" s="320">
        <v>51</v>
      </c>
      <c r="E1514" s="316">
        <v>23.84</v>
      </c>
      <c r="F1514" s="316">
        <v>23.84</v>
      </c>
      <c r="G1514" s="321">
        <v>572.28499999999997</v>
      </c>
      <c r="H1514" s="319">
        <v>810.55070000000001</v>
      </c>
      <c r="I1514" s="319">
        <v>1</v>
      </c>
      <c r="J1514" s="230"/>
      <c r="K1514" s="305" t="s">
        <v>510</v>
      </c>
      <c r="L1514" s="239">
        <f t="shared" si="512"/>
        <v>10</v>
      </c>
      <c r="M1514" s="267">
        <f t="shared" si="513"/>
        <v>51</v>
      </c>
      <c r="N1514" s="267">
        <f t="shared" si="514"/>
        <v>5.0999999999999996</v>
      </c>
      <c r="O1514" s="322">
        <f t="shared" si="511"/>
        <v>81.192823595118725</v>
      </c>
      <c r="P1514" s="323">
        <f t="shared" si="515"/>
        <v>81.192823595118725</v>
      </c>
      <c r="Q1514" s="267">
        <f t="shared" si="516"/>
        <v>0.27214611872146116</v>
      </c>
      <c r="R1514" s="267">
        <f t="shared" si="517"/>
        <v>0.35578366592486654</v>
      </c>
      <c r="S1514" s="267">
        <f t="shared" si="518"/>
        <v>6.668123135719612</v>
      </c>
      <c r="Z1514" s="214">
        <f t="shared" si="508"/>
        <v>0</v>
      </c>
      <c r="AA1514" s="214">
        <f t="shared" si="509"/>
        <v>0</v>
      </c>
    </row>
    <row r="1515" spans="1:27">
      <c r="A1515" s="239" t="s">
        <v>511</v>
      </c>
      <c r="B1515" s="324"/>
      <c r="C1515" s="324"/>
      <c r="D1515" s="320"/>
      <c r="E1515" s="316"/>
      <c r="F1515" s="316"/>
      <c r="G1515" s="321"/>
      <c r="H1515" s="319"/>
      <c r="I1515" s="319"/>
      <c r="J1515" s="230"/>
      <c r="K1515" s="305" t="s">
        <v>511</v>
      </c>
      <c r="L1515" s="239" t="e">
        <f t="shared" si="512"/>
        <v>#DIV/0!</v>
      </c>
      <c r="M1515" s="267" t="e">
        <f t="shared" si="513"/>
        <v>#DIV/0!</v>
      </c>
      <c r="N1515" s="267" t="e">
        <f t="shared" si="514"/>
        <v>#DIV/0!</v>
      </c>
      <c r="O1515" s="239" t="e">
        <f t="shared" si="511"/>
        <v>#DIV/0!</v>
      </c>
      <c r="P1515" s="267" t="e">
        <f t="shared" si="515"/>
        <v>#DIV/0!</v>
      </c>
      <c r="Q1515" s="267" t="e">
        <f t="shared" si="516"/>
        <v>#DIV/0!</v>
      </c>
      <c r="R1515" s="267" t="e">
        <f t="shared" si="517"/>
        <v>#DIV/0!</v>
      </c>
      <c r="S1515" s="267" t="e">
        <f t="shared" si="518"/>
        <v>#DIV/0!</v>
      </c>
      <c r="Z1515" s="214">
        <f t="shared" si="508"/>
        <v>0</v>
      </c>
      <c r="AA1515" s="214">
        <f t="shared" si="509"/>
        <v>0</v>
      </c>
    </row>
    <row r="1516" spans="1:27">
      <c r="A1516" s="239" t="s">
        <v>512</v>
      </c>
      <c r="B1516" s="324">
        <v>97.918999999999997</v>
      </c>
      <c r="C1516" s="325">
        <v>97.918999999999997</v>
      </c>
      <c r="D1516" s="320">
        <v>516.65</v>
      </c>
      <c r="E1516" s="316">
        <v>176.90372222222223</v>
      </c>
      <c r="F1516" s="316">
        <v>195.50483299999999</v>
      </c>
      <c r="G1516" s="321">
        <v>3141.7139999999999</v>
      </c>
      <c r="H1516" s="319">
        <v>4948.1958999999997</v>
      </c>
      <c r="I1516" s="319">
        <v>14</v>
      </c>
      <c r="J1516" s="230"/>
      <c r="K1516" s="305" t="s">
        <v>512</v>
      </c>
      <c r="L1516" s="239">
        <f t="shared" si="512"/>
        <v>6.9942142857142855</v>
      </c>
      <c r="M1516" s="267">
        <f t="shared" si="513"/>
        <v>36.903571428571425</v>
      </c>
      <c r="N1516" s="267">
        <f t="shared" si="514"/>
        <v>5.2762997988133051</v>
      </c>
      <c r="O1516" s="239">
        <f t="shared" si="511"/>
        <v>77.715827677719872</v>
      </c>
      <c r="P1516" s="267">
        <f t="shared" si="515"/>
        <v>76.362526390679079</v>
      </c>
      <c r="Q1516" s="267">
        <f t="shared" si="516"/>
        <v>0.20623667355828004</v>
      </c>
      <c r="R1516" s="267">
        <f t="shared" si="517"/>
        <v>0.19280310889549743</v>
      </c>
      <c r="S1516" s="267">
        <f t="shared" si="518"/>
        <v>4.933182424715012</v>
      </c>
      <c r="Z1516" s="214">
        <f t="shared" si="508"/>
        <v>0</v>
      </c>
      <c r="AA1516" s="214">
        <f t="shared" si="509"/>
        <v>18.601110777777762</v>
      </c>
    </row>
    <row r="1517" spans="1:27">
      <c r="A1517" s="239" t="s">
        <v>513</v>
      </c>
      <c r="B1517" s="324"/>
      <c r="C1517" s="325"/>
      <c r="D1517" s="320"/>
      <c r="E1517" s="316"/>
      <c r="F1517" s="316"/>
      <c r="G1517" s="321"/>
      <c r="H1517" s="319"/>
      <c r="I1517" s="319"/>
      <c r="J1517" s="230"/>
      <c r="K1517" s="305" t="s">
        <v>513</v>
      </c>
      <c r="L1517" s="239" t="e">
        <f t="shared" si="512"/>
        <v>#DIV/0!</v>
      </c>
      <c r="M1517" s="267" t="e">
        <f t="shared" si="513"/>
        <v>#DIV/0!</v>
      </c>
      <c r="N1517" s="267" t="e">
        <f t="shared" si="514"/>
        <v>#DIV/0!</v>
      </c>
      <c r="O1517" s="239" t="e">
        <f t="shared" si="511"/>
        <v>#DIV/0!</v>
      </c>
      <c r="P1517" s="267" t="e">
        <f t="shared" si="515"/>
        <v>#DIV/0!</v>
      </c>
      <c r="Q1517" s="267" t="e">
        <f t="shared" si="516"/>
        <v>#DIV/0!</v>
      </c>
      <c r="R1517" s="267" t="e">
        <f t="shared" si="517"/>
        <v>#DIV/0!</v>
      </c>
      <c r="S1517" s="267" t="e">
        <f t="shared" si="518"/>
        <v>#DIV/0!</v>
      </c>
      <c r="Z1517" s="214">
        <f t="shared" si="508"/>
        <v>0</v>
      </c>
      <c r="AA1517" s="214">
        <f t="shared" si="509"/>
        <v>0</v>
      </c>
    </row>
    <row r="1518" spans="1:27">
      <c r="A1518" s="239" t="s">
        <v>514</v>
      </c>
      <c r="B1518" s="324">
        <v>17.25</v>
      </c>
      <c r="C1518" s="325">
        <v>17.25</v>
      </c>
      <c r="D1518" s="320">
        <v>67.099999999999994</v>
      </c>
      <c r="E1518" s="479">
        <v>58.494</v>
      </c>
      <c r="F1518" s="479">
        <v>58.494</v>
      </c>
      <c r="G1518" s="321">
        <v>1735.1949999999999</v>
      </c>
      <c r="H1518" s="319">
        <v>2322.9859999999999</v>
      </c>
      <c r="I1518" s="319">
        <v>4</v>
      </c>
      <c r="J1518" s="230"/>
      <c r="K1518" s="305" t="s">
        <v>514</v>
      </c>
      <c r="L1518" s="239">
        <f t="shared" si="512"/>
        <v>4.3125</v>
      </c>
      <c r="M1518" s="267">
        <f t="shared" si="513"/>
        <v>16.774999999999999</v>
      </c>
      <c r="N1518" s="267">
        <f t="shared" si="514"/>
        <v>3.8898550724637677</v>
      </c>
      <c r="O1518" s="239">
        <f t="shared" si="511"/>
        <v>83.761735972580126</v>
      </c>
      <c r="P1518" s="267">
        <f t="shared" si="515"/>
        <v>83.761735972580126</v>
      </c>
      <c r="Q1518" s="267">
        <f t="shared" si="516"/>
        <v>0.38709549334921584</v>
      </c>
      <c r="R1518" s="267">
        <f t="shared" si="517"/>
        <v>0.81991642460823122</v>
      </c>
      <c r="S1518" s="267">
        <f t="shared" si="518"/>
        <v>8.2401376399478767</v>
      </c>
      <c r="Z1518" s="214">
        <f t="shared" si="508"/>
        <v>0</v>
      </c>
      <c r="AA1518" s="214">
        <f t="shared" si="509"/>
        <v>0</v>
      </c>
    </row>
    <row r="1519" spans="1:27">
      <c r="A1519" s="239" t="s">
        <v>515</v>
      </c>
      <c r="B1519" s="324">
        <v>0.39500000000000002</v>
      </c>
      <c r="C1519" s="325">
        <v>0.39500000000000002</v>
      </c>
      <c r="D1519" s="320">
        <v>0.54300000000000004</v>
      </c>
      <c r="E1519" s="316">
        <v>2.1200999999999999</v>
      </c>
      <c r="F1519" s="316">
        <v>2.1200999999999999</v>
      </c>
      <c r="G1519" s="321">
        <v>9.8759999999999994</v>
      </c>
      <c r="H1519" s="319">
        <v>21.48</v>
      </c>
      <c r="I1519" s="319">
        <v>1</v>
      </c>
      <c r="J1519" s="230"/>
      <c r="K1519" s="305" t="s">
        <v>515</v>
      </c>
      <c r="L1519" s="239">
        <f t="shared" si="512"/>
        <v>0.39500000000000002</v>
      </c>
      <c r="M1519" s="267">
        <f t="shared" si="513"/>
        <v>0.54300000000000004</v>
      </c>
      <c r="N1519" s="267">
        <f t="shared" si="514"/>
        <v>1.3746835443037975</v>
      </c>
      <c r="O1519" s="239">
        <f t="shared" si="511"/>
        <v>81.510055865921785</v>
      </c>
      <c r="P1519" s="267">
        <f t="shared" si="515"/>
        <v>81.510055865921785</v>
      </c>
      <c r="Q1519" s="267">
        <f t="shared" si="516"/>
        <v>0.61271024796254536</v>
      </c>
      <c r="R1519" s="267">
        <f t="shared" si="517"/>
        <v>0.57666696165669196</v>
      </c>
      <c r="S1519" s="267">
        <f t="shared" si="518"/>
        <v>1.2939641211892521</v>
      </c>
      <c r="Z1519" s="214">
        <f t="shared" si="508"/>
        <v>0</v>
      </c>
      <c r="AA1519" s="214">
        <f t="shared" si="509"/>
        <v>0</v>
      </c>
    </row>
    <row r="1520" spans="1:27">
      <c r="A1520" s="239" t="s">
        <v>516</v>
      </c>
      <c r="B1520" s="319">
        <v>1.68</v>
      </c>
      <c r="C1520" s="320">
        <v>3.2</v>
      </c>
      <c r="D1520" s="319">
        <v>2.8</v>
      </c>
      <c r="E1520" s="316">
        <v>3.8591666666666669</v>
      </c>
      <c r="F1520" s="316">
        <v>5.1387999999999998</v>
      </c>
      <c r="G1520" s="321">
        <v>23.155000000000001</v>
      </c>
      <c r="H1520" s="319">
        <v>58.15</v>
      </c>
      <c r="I1520" s="319">
        <v>2</v>
      </c>
      <c r="J1520" s="244"/>
      <c r="K1520" s="239" t="s">
        <v>516</v>
      </c>
      <c r="L1520" s="239">
        <f t="shared" si="512"/>
        <v>0.84</v>
      </c>
      <c r="M1520" s="267">
        <f t="shared" si="513"/>
        <v>1.4</v>
      </c>
      <c r="N1520" s="267">
        <f t="shared" si="514"/>
        <v>1.6666666666666665</v>
      </c>
      <c r="O1520" s="239">
        <f t="shared" si="511"/>
        <v>71.633155631986241</v>
      </c>
      <c r="P1520" s="267">
        <f t="shared" si="515"/>
        <v>63.711092003439383</v>
      </c>
      <c r="Q1520" s="267">
        <f t="shared" si="516"/>
        <v>0.26222865478002466</v>
      </c>
      <c r="R1520" s="267">
        <f t="shared" si="517"/>
        <v>0.26219872341890377</v>
      </c>
      <c r="S1520" s="267">
        <f t="shared" si="518"/>
        <v>1.6666666666666667</v>
      </c>
      <c r="Z1520" s="214">
        <f t="shared" si="508"/>
        <v>1.5200000000000002</v>
      </c>
      <c r="AA1520" s="214">
        <f t="shared" si="509"/>
        <v>1.279633333333333</v>
      </c>
    </row>
    <row r="1521" spans="1:27">
      <c r="A1521" s="239" t="s">
        <v>517</v>
      </c>
      <c r="B1521" s="319"/>
      <c r="C1521" s="320"/>
      <c r="D1521" s="320"/>
      <c r="E1521" s="316"/>
      <c r="F1521" s="316"/>
      <c r="G1521" s="321"/>
      <c r="H1521" s="319"/>
      <c r="I1521" s="319"/>
      <c r="K1521" s="239" t="s">
        <v>517</v>
      </c>
      <c r="L1521" s="239" t="e">
        <f t="shared" si="512"/>
        <v>#DIV/0!</v>
      </c>
      <c r="M1521" s="267" t="e">
        <f t="shared" si="513"/>
        <v>#DIV/0!</v>
      </c>
      <c r="N1521" s="267" t="e">
        <f t="shared" si="514"/>
        <v>#DIV/0!</v>
      </c>
      <c r="O1521" s="239" t="e">
        <f t="shared" si="511"/>
        <v>#DIV/0!</v>
      </c>
      <c r="P1521" s="267" t="e">
        <f t="shared" si="515"/>
        <v>#DIV/0!</v>
      </c>
      <c r="Q1521" s="267" t="e">
        <f t="shared" si="516"/>
        <v>#DIV/0!</v>
      </c>
      <c r="R1521" s="267" t="e">
        <f t="shared" si="517"/>
        <v>#DIV/0!</v>
      </c>
      <c r="S1521" s="267" t="e">
        <f t="shared" si="518"/>
        <v>#DIV/0!</v>
      </c>
      <c r="Z1521" s="214">
        <f t="shared" si="508"/>
        <v>0</v>
      </c>
      <c r="AA1521" s="214">
        <f t="shared" si="509"/>
        <v>0</v>
      </c>
    </row>
    <row r="1522" spans="1:27">
      <c r="A1522" s="239" t="s">
        <v>518</v>
      </c>
      <c r="B1522" s="319">
        <v>17.079999999999998</v>
      </c>
      <c r="C1522" s="320">
        <v>28.48</v>
      </c>
      <c r="D1522" s="320">
        <v>48.932000000000002</v>
      </c>
      <c r="E1522" s="316">
        <v>75.381244999999993</v>
      </c>
      <c r="F1522" s="316">
        <v>85.548744999999997</v>
      </c>
      <c r="G1522" s="321">
        <v>734.66</v>
      </c>
      <c r="H1522" s="319">
        <v>2295.0245540000001</v>
      </c>
      <c r="I1522" s="319">
        <v>14</v>
      </c>
      <c r="K1522" s="239" t="s">
        <v>518</v>
      </c>
      <c r="L1522" s="239">
        <f t="shared" si="512"/>
        <v>1.22</v>
      </c>
      <c r="M1522" s="267">
        <f t="shared" si="513"/>
        <v>3.4951428571428571</v>
      </c>
      <c r="N1522" s="267">
        <f t="shared" si="514"/>
        <v>2.8648711943793916</v>
      </c>
      <c r="O1522" s="239">
        <f t="shared" si="511"/>
        <v>45.430253902198551</v>
      </c>
      <c r="P1522" s="267">
        <f t="shared" si="515"/>
        <v>43.835369004945292</v>
      </c>
      <c r="Q1522" s="267">
        <f t="shared" si="516"/>
        <v>0.50381527835701989</v>
      </c>
      <c r="R1522" s="267">
        <f t="shared" si="517"/>
        <v>0.4760332038588333</v>
      </c>
      <c r="S1522" s="267">
        <f t="shared" si="518"/>
        <v>2.7072015356369108</v>
      </c>
      <c r="Z1522" s="214">
        <f t="shared" si="508"/>
        <v>11.400000000000002</v>
      </c>
      <c r="AA1522" s="214">
        <f t="shared" si="509"/>
        <v>10.167500000000004</v>
      </c>
    </row>
    <row r="1523" spans="1:27">
      <c r="A1523" s="239" t="s">
        <v>519</v>
      </c>
      <c r="B1523" s="319"/>
      <c r="C1523" s="320"/>
      <c r="D1523" s="320"/>
      <c r="E1523" s="316"/>
      <c r="F1523" s="316"/>
      <c r="G1523" s="321"/>
      <c r="H1523" s="319"/>
      <c r="I1523" s="319"/>
      <c r="K1523" s="239" t="s">
        <v>519</v>
      </c>
      <c r="L1523" s="239"/>
      <c r="M1523" s="267"/>
      <c r="N1523" s="267"/>
      <c r="O1523" s="239"/>
      <c r="P1523" s="267"/>
      <c r="Q1523" s="267"/>
      <c r="R1523" s="267"/>
      <c r="S1523" s="267"/>
      <c r="Z1523" s="214">
        <f t="shared" si="508"/>
        <v>0</v>
      </c>
      <c r="AA1523" s="214">
        <f t="shared" si="509"/>
        <v>0</v>
      </c>
    </row>
    <row r="1524" spans="1:27">
      <c r="A1524" s="282" t="s">
        <v>169</v>
      </c>
      <c r="B1524" s="326">
        <f>(B1503+B1505)</f>
        <v>1433.8989999999999</v>
      </c>
      <c r="C1524" s="326">
        <f t="shared" ref="C1524:I1524" si="519">(C1503+C1505)</f>
        <v>1976.6630000000002</v>
      </c>
      <c r="D1524" s="326">
        <f t="shared" si="519"/>
        <v>4341.1592806234494</v>
      </c>
      <c r="E1524" s="326">
        <f t="shared" si="519"/>
        <v>4741.2533453166661</v>
      </c>
      <c r="F1524" s="326">
        <f t="shared" si="519"/>
        <v>6946.5512049000008</v>
      </c>
      <c r="G1524" s="327">
        <f t="shared" si="519"/>
        <v>47698.473119999995</v>
      </c>
      <c r="H1524" s="326">
        <f t="shared" si="519"/>
        <v>96760.449654000011</v>
      </c>
      <c r="I1524" s="326">
        <f t="shared" si="519"/>
        <v>159</v>
      </c>
      <c r="K1524" s="328" t="s">
        <v>169</v>
      </c>
      <c r="L1524" s="282">
        <f>B1524/I1524</f>
        <v>9.0182327044025143</v>
      </c>
      <c r="M1524" s="281">
        <f>D1524/I1524</f>
        <v>27.302888557380186</v>
      </c>
      <c r="N1524" s="281">
        <f>D1524/B1524</f>
        <v>3.027520962510923</v>
      </c>
      <c r="O1524" s="282">
        <f>(F1524*3.6+G1524)*100/H1524</f>
        <v>75.140264144725762</v>
      </c>
      <c r="P1524" s="282">
        <f>(E1524*3.6+G1524)*100/H1524</f>
        <v>66.935390848984724</v>
      </c>
      <c r="Q1524" s="281">
        <f>E1524/(B1524*8760)*1000</f>
        <v>0.37745961630515823</v>
      </c>
      <c r="R1524" s="281">
        <f>G1524/(D1524*8761)*1000/3.6</f>
        <v>0.34837146525134649</v>
      </c>
      <c r="S1524" s="281">
        <f>G1524/(E1524*3.6)</f>
        <v>2.7945302437285666</v>
      </c>
      <c r="Z1524" s="214">
        <f t="shared" si="508"/>
        <v>542.76400000000035</v>
      </c>
      <c r="AA1524" s="214">
        <f t="shared" si="509"/>
        <v>2205.2978595833347</v>
      </c>
    </row>
    <row r="1526" spans="1:27">
      <c r="A1526" s="251" t="s">
        <v>520</v>
      </c>
      <c r="B1526" s="227" t="s">
        <v>476</v>
      </c>
      <c r="C1526" s="228"/>
      <c r="D1526" s="286"/>
      <c r="E1526" s="227" t="s">
        <v>521</v>
      </c>
      <c r="F1526" s="228"/>
      <c r="G1526" s="286"/>
      <c r="H1526" s="200" t="s">
        <v>138</v>
      </c>
      <c r="I1526" s="200" t="s">
        <v>478</v>
      </c>
    </row>
    <row r="1527" spans="1:27">
      <c r="A1527" s="239"/>
      <c r="B1527" s="243" t="s">
        <v>88</v>
      </c>
      <c r="C1527" s="243"/>
      <c r="D1527" s="241" t="s">
        <v>34</v>
      </c>
      <c r="E1527" s="243" t="s">
        <v>88</v>
      </c>
      <c r="F1527" s="243"/>
      <c r="G1527" s="241" t="s">
        <v>34</v>
      </c>
      <c r="H1527" s="241" t="s">
        <v>170</v>
      </c>
      <c r="I1527" s="241" t="s">
        <v>483</v>
      </c>
    </row>
    <row r="1528" spans="1:27">
      <c r="A1528" s="239"/>
      <c r="B1528" s="252" t="s">
        <v>0</v>
      </c>
      <c r="C1528" s="252" t="s">
        <v>489</v>
      </c>
      <c r="D1528" s="252" t="s">
        <v>490</v>
      </c>
      <c r="E1528" s="252" t="s">
        <v>491</v>
      </c>
      <c r="F1528" s="252" t="s">
        <v>489</v>
      </c>
      <c r="G1528" s="252" t="s">
        <v>490</v>
      </c>
      <c r="H1528" s="248"/>
      <c r="I1528" s="241" t="s">
        <v>492</v>
      </c>
    </row>
    <row r="1529" spans="1:27">
      <c r="A1529" s="239"/>
      <c r="B1529" s="257" t="s">
        <v>496</v>
      </c>
      <c r="C1529" s="256" t="s">
        <v>496</v>
      </c>
      <c r="D1529" s="252" t="s">
        <v>496</v>
      </c>
      <c r="E1529" s="329" t="s">
        <v>473</v>
      </c>
      <c r="F1529" s="329" t="s">
        <v>473</v>
      </c>
      <c r="G1529" s="252" t="s">
        <v>496</v>
      </c>
      <c r="H1529" s="257" t="s">
        <v>497</v>
      </c>
      <c r="I1529" s="257" t="s">
        <v>498</v>
      </c>
    </row>
    <row r="1530" spans="1:27">
      <c r="A1530" s="251" t="s">
        <v>522</v>
      </c>
      <c r="B1530" s="389"/>
      <c r="C1530" s="389"/>
      <c r="D1530" s="200"/>
      <c r="E1530" s="389"/>
      <c r="F1530" s="389"/>
      <c r="G1530" s="200"/>
      <c r="H1530" s="200"/>
      <c r="I1530" s="200"/>
    </row>
    <row r="1531" spans="1:27">
      <c r="A1531" s="239" t="s">
        <v>523</v>
      </c>
      <c r="B1531" s="216"/>
      <c r="C1531" s="204"/>
      <c r="D1531" s="204"/>
      <c r="E1531" s="216"/>
      <c r="F1531" s="204"/>
      <c r="G1531" s="204"/>
      <c r="H1531" s="202"/>
      <c r="I1531" s="216"/>
    </row>
    <row r="1532" spans="1:27">
      <c r="A1532" s="239" t="s">
        <v>524</v>
      </c>
      <c r="B1532" s="216"/>
      <c r="C1532" s="204">
        <v>54.9</v>
      </c>
      <c r="D1532" s="204">
        <v>403</v>
      </c>
      <c r="E1532" s="216"/>
      <c r="F1532" s="204"/>
      <c r="G1532" s="204"/>
      <c r="H1532" s="202"/>
      <c r="I1532" s="216">
        <v>6</v>
      </c>
    </row>
    <row r="1533" spans="1:27">
      <c r="A1533" s="239" t="s">
        <v>525</v>
      </c>
      <c r="B1533" s="216"/>
      <c r="C1533" s="216">
        <v>720.86299999999994</v>
      </c>
      <c r="D1533" s="204">
        <v>784.39300000000003</v>
      </c>
      <c r="E1533" s="216"/>
      <c r="F1533" s="216"/>
      <c r="G1533" s="204"/>
      <c r="H1533" s="202"/>
      <c r="I1533" s="216">
        <v>104</v>
      </c>
    </row>
    <row r="1534" spans="1:27">
      <c r="A1534" s="239" t="s">
        <v>267</v>
      </c>
      <c r="B1534" s="216"/>
      <c r="C1534" s="204">
        <v>5.8</v>
      </c>
      <c r="D1534" s="204">
        <v>84</v>
      </c>
      <c r="E1534" s="216"/>
      <c r="F1534" s="204"/>
      <c r="G1534" s="204"/>
      <c r="H1534" s="202"/>
      <c r="I1534" s="216">
        <v>1</v>
      </c>
    </row>
    <row r="1535" spans="1:27">
      <c r="A1535" s="312" t="s">
        <v>526</v>
      </c>
      <c r="B1535" s="391"/>
      <c r="C1535" s="391"/>
      <c r="D1535" s="205"/>
      <c r="E1535" s="391"/>
      <c r="F1535" s="391"/>
      <c r="G1535" s="205"/>
      <c r="H1535" s="205"/>
      <c r="I1535" s="391"/>
    </row>
    <row r="1536" spans="1:27">
      <c r="A1536" s="239" t="s">
        <v>527</v>
      </c>
      <c r="B1536" s="216"/>
      <c r="C1536" s="204">
        <v>443.7</v>
      </c>
      <c r="D1536" s="204">
        <v>593</v>
      </c>
      <c r="E1536" s="216"/>
      <c r="F1536" s="204"/>
      <c r="G1536" s="204"/>
      <c r="H1536" s="202"/>
      <c r="I1536" s="216">
        <v>8</v>
      </c>
    </row>
    <row r="1537" spans="1:27">
      <c r="A1537" s="239" t="s">
        <v>528</v>
      </c>
      <c r="B1537" s="204"/>
      <c r="C1537" s="204">
        <v>565.04999999999995</v>
      </c>
      <c r="D1537" s="204">
        <v>1487.4662806234496</v>
      </c>
      <c r="E1537" s="204"/>
      <c r="F1537" s="204"/>
      <c r="G1537" s="204"/>
      <c r="H1537" s="202"/>
      <c r="I1537" s="204">
        <v>22</v>
      </c>
    </row>
    <row r="1538" spans="1:27">
      <c r="A1538" s="239" t="s">
        <v>529</v>
      </c>
      <c r="B1538" s="204"/>
      <c r="C1538" s="204">
        <v>81.400000000000006</v>
      </c>
      <c r="D1538" s="204">
        <v>439.8</v>
      </c>
      <c r="E1538" s="204"/>
      <c r="F1538" s="204"/>
      <c r="G1538" s="204"/>
      <c r="H1538" s="202"/>
      <c r="I1538" s="204">
        <v>6</v>
      </c>
    </row>
    <row r="1539" spans="1:27">
      <c r="A1539" s="239" t="s">
        <v>530</v>
      </c>
      <c r="B1539" s="204"/>
      <c r="C1539" s="204">
        <v>104.95</v>
      </c>
      <c r="D1539" s="204">
        <v>549.5</v>
      </c>
      <c r="E1539" s="204"/>
      <c r="F1539" s="204"/>
      <c r="G1539" s="204"/>
      <c r="H1539" s="202"/>
      <c r="I1539" s="204">
        <v>12</v>
      </c>
    </row>
    <row r="1540" spans="1:27">
      <c r="A1540" s="282" t="s">
        <v>169</v>
      </c>
      <c r="B1540" s="468">
        <v>1433.8989999999999</v>
      </c>
      <c r="C1540" s="360">
        <v>1976.6630000000002</v>
      </c>
      <c r="D1540" s="360">
        <v>4341.1592806234494</v>
      </c>
      <c r="E1540" s="468">
        <v>4741.2533453166661</v>
      </c>
      <c r="F1540" s="468">
        <v>6946.5512049000008</v>
      </c>
      <c r="G1540" s="468">
        <v>47698.473119999995</v>
      </c>
      <c r="H1540" s="468">
        <v>96760.449654000011</v>
      </c>
      <c r="I1540" s="360">
        <v>159</v>
      </c>
    </row>
    <row r="1543" spans="1:27">
      <c r="A1543" s="221" t="s">
        <v>219</v>
      </c>
      <c r="D1543" s="220"/>
      <c r="I1543" s="221">
        <v>2002</v>
      </c>
      <c r="K1543" s="221" t="str">
        <f>+A1543</f>
        <v>Latvia</v>
      </c>
      <c r="M1543" s="220"/>
      <c r="S1543" s="221">
        <v>2002</v>
      </c>
    </row>
    <row r="1544" spans="1:27" ht="13.5" thickBot="1">
      <c r="B1544" s="223"/>
      <c r="C1544" s="223"/>
      <c r="D1544" s="223"/>
    </row>
    <row r="1545" spans="1:27">
      <c r="A1545" s="224" t="s">
        <v>475</v>
      </c>
      <c r="B1545" s="225" t="s">
        <v>476</v>
      </c>
      <c r="C1545" s="225"/>
      <c r="D1545" s="226"/>
      <c r="E1545" s="227" t="s">
        <v>477</v>
      </c>
      <c r="F1545" s="228"/>
      <c r="G1545" s="229"/>
      <c r="H1545" s="200" t="s">
        <v>138</v>
      </c>
      <c r="I1545" s="200" t="s">
        <v>478</v>
      </c>
      <c r="J1545" s="230"/>
      <c r="K1545" s="231" t="s">
        <v>475</v>
      </c>
      <c r="L1545" s="232" t="s">
        <v>479</v>
      </c>
      <c r="M1545" s="233"/>
      <c r="N1545" s="234"/>
      <c r="O1545" s="235" t="s">
        <v>480</v>
      </c>
      <c r="P1545" s="233"/>
      <c r="Q1545" s="233"/>
      <c r="R1545" s="236"/>
      <c r="S1545" s="237"/>
    </row>
    <row r="1546" spans="1:27">
      <c r="A1546" s="239"/>
      <c r="B1546" s="240" t="s">
        <v>481</v>
      </c>
      <c r="C1546" s="240"/>
      <c r="D1546" s="241" t="s">
        <v>34</v>
      </c>
      <c r="E1546" s="242" t="s">
        <v>482</v>
      </c>
      <c r="F1546" s="243"/>
      <c r="G1546" s="244" t="s">
        <v>34</v>
      </c>
      <c r="H1546" s="241" t="s">
        <v>170</v>
      </c>
      <c r="I1546" s="241" t="s">
        <v>483</v>
      </c>
      <c r="J1546" s="230"/>
      <c r="K1546" s="245"/>
      <c r="L1546" s="246" t="s">
        <v>484</v>
      </c>
      <c r="M1546" s="247"/>
      <c r="N1546" s="248" t="s">
        <v>485</v>
      </c>
      <c r="O1546" s="248" t="s">
        <v>486</v>
      </c>
      <c r="P1546" s="248" t="s">
        <v>486</v>
      </c>
      <c r="Q1546" s="247" t="s">
        <v>487</v>
      </c>
      <c r="R1546" s="249"/>
      <c r="S1546" s="250" t="s">
        <v>485</v>
      </c>
      <c r="U1546" s="214" t="str">
        <f>A1543</f>
        <v>Latvia</v>
      </c>
    </row>
    <row r="1547" spans="1:27">
      <c r="A1547" s="251" t="s">
        <v>488</v>
      </c>
      <c r="B1547" s="252" t="s">
        <v>0</v>
      </c>
      <c r="C1547" s="469" t="s">
        <v>489</v>
      </c>
      <c r="D1547" s="252" t="s">
        <v>490</v>
      </c>
      <c r="E1547" s="252" t="s">
        <v>491</v>
      </c>
      <c r="F1547" s="469" t="s">
        <v>489</v>
      </c>
      <c r="G1547" s="230" t="s">
        <v>490</v>
      </c>
      <c r="H1547" s="248"/>
      <c r="I1547" s="241" t="s">
        <v>492</v>
      </c>
      <c r="J1547" s="230"/>
      <c r="K1547" s="253" t="s">
        <v>488</v>
      </c>
      <c r="L1547" s="254" t="s">
        <v>88</v>
      </c>
      <c r="M1547" s="252" t="s">
        <v>34</v>
      </c>
      <c r="N1547" s="252" t="s">
        <v>493</v>
      </c>
      <c r="O1547" s="248" t="s">
        <v>494</v>
      </c>
      <c r="P1547" s="248" t="s">
        <v>495</v>
      </c>
      <c r="Q1547" s="230" t="s">
        <v>88</v>
      </c>
      <c r="R1547" s="248" t="s">
        <v>34</v>
      </c>
      <c r="S1547" s="255" t="s">
        <v>88</v>
      </c>
      <c r="U1547" s="214" t="s">
        <v>547</v>
      </c>
      <c r="V1547" s="214">
        <f>G1575/1000</f>
        <v>0.70199999999999996</v>
      </c>
    </row>
    <row r="1548" spans="1:27">
      <c r="A1548" s="239"/>
      <c r="B1548" s="252" t="s">
        <v>496</v>
      </c>
      <c r="C1548" s="469" t="s">
        <v>496</v>
      </c>
      <c r="D1548" s="252" t="s">
        <v>496</v>
      </c>
      <c r="E1548" s="256" t="s">
        <v>473</v>
      </c>
      <c r="F1548" s="476" t="s">
        <v>473</v>
      </c>
      <c r="G1548" s="230" t="s">
        <v>451</v>
      </c>
      <c r="H1548" s="257" t="s">
        <v>497</v>
      </c>
      <c r="I1548" s="257" t="s">
        <v>498</v>
      </c>
      <c r="J1548" s="230"/>
      <c r="K1548" s="245"/>
      <c r="L1548" s="258" t="s">
        <v>496</v>
      </c>
      <c r="M1548" s="256" t="s">
        <v>496</v>
      </c>
      <c r="N1548" s="256"/>
      <c r="O1548" s="257" t="s">
        <v>79</v>
      </c>
      <c r="P1548" s="257" t="s">
        <v>79</v>
      </c>
      <c r="Q1548" s="259"/>
      <c r="R1548" s="257"/>
      <c r="S1548" s="260"/>
      <c r="U1548" s="214" t="s">
        <v>548</v>
      </c>
      <c r="V1548" s="214">
        <f>G1581/1000</f>
        <v>0</v>
      </c>
    </row>
    <row r="1549" spans="1:27">
      <c r="A1549" s="261" t="s">
        <v>262</v>
      </c>
      <c r="B1549" s="365"/>
      <c r="C1549" s="460"/>
      <c r="D1549" s="365"/>
      <c r="E1549" s="320"/>
      <c r="F1549" s="462"/>
      <c r="G1549" s="368"/>
      <c r="H1549" s="369"/>
      <c r="I1549" s="320"/>
      <c r="J1549" s="230"/>
      <c r="K1549" s="265" t="s">
        <v>262</v>
      </c>
      <c r="L1549" s="266" t="e">
        <f>C1549/I1549</f>
        <v>#DIV/0!</v>
      </c>
      <c r="M1549" s="267" t="e">
        <f>D1549/I1549</f>
        <v>#DIV/0!</v>
      </c>
      <c r="N1549" s="267" t="e">
        <f>D1549/C1549</f>
        <v>#DIV/0!</v>
      </c>
      <c r="O1549" s="239" t="e">
        <f>(F1549*3.6+G1549)*100/H1549</f>
        <v>#DIV/0!</v>
      </c>
      <c r="P1549" s="239" t="e">
        <f>(F1549*3.6+G1549)*100/H1549</f>
        <v>#DIV/0!</v>
      </c>
      <c r="Q1549" s="267" t="e">
        <f>F1549/(C1549*8760)*1000</f>
        <v>#DIV/0!</v>
      </c>
      <c r="R1549" s="267" t="e">
        <f>G1549/(D1549*8761)*1000/3.6</f>
        <v>#DIV/0!</v>
      </c>
      <c r="S1549" s="268" t="e">
        <f>G1549/(F1549*3.6)</f>
        <v>#DIV/0!</v>
      </c>
      <c r="U1549" s="214" t="s">
        <v>549</v>
      </c>
      <c r="V1549" s="214">
        <f>G1583/1000</f>
        <v>0</v>
      </c>
      <c r="Z1549" s="214">
        <f t="shared" ref="Z1549:Z1554" si="520">C1549-B1549</f>
        <v>0</v>
      </c>
      <c r="AA1549" s="214">
        <f t="shared" ref="AA1549:AA1554" si="521">F1549-E1549</f>
        <v>0</v>
      </c>
    </row>
    <row r="1550" spans="1:27">
      <c r="A1550" s="239" t="s">
        <v>263</v>
      </c>
      <c r="B1550" s="320">
        <v>38</v>
      </c>
      <c r="C1550" s="462">
        <v>38</v>
      </c>
      <c r="D1550" s="320">
        <v>362</v>
      </c>
      <c r="E1550" s="320">
        <v>113</v>
      </c>
      <c r="F1550" s="462">
        <v>113</v>
      </c>
      <c r="G1550" s="321">
        <v>3389</v>
      </c>
      <c r="H1550" s="319">
        <v>4697</v>
      </c>
      <c r="I1550" s="320">
        <v>7</v>
      </c>
      <c r="J1550" s="230"/>
      <c r="K1550" s="245" t="s">
        <v>263</v>
      </c>
      <c r="L1550" s="266">
        <f>C1550/I1550</f>
        <v>5.4285714285714288</v>
      </c>
      <c r="M1550" s="267">
        <f>D1550/I1550</f>
        <v>51.714285714285715</v>
      </c>
      <c r="N1550" s="267">
        <f>D1550/C1550</f>
        <v>9.526315789473685</v>
      </c>
      <c r="O1550" s="239">
        <f>(F1550*3.6+G1550)*100/H1550</f>
        <v>80.813285075580154</v>
      </c>
      <c r="P1550" s="239">
        <f>(F1550*3.6+G1550)*100/H1550</f>
        <v>80.813285075580154</v>
      </c>
      <c r="Q1550" s="267">
        <f>F1550/(C1550*8760)*1000</f>
        <v>0.3394616678683009</v>
      </c>
      <c r="R1550" s="267">
        <f>G1550/(D1550*8761)*1000/3.6</f>
        <v>0.29682933369600989</v>
      </c>
      <c r="S1550" s="268">
        <f>G1550/(F1550*3.6)</f>
        <v>8.3308751229105216</v>
      </c>
      <c r="U1550" s="214" t="s">
        <v>550</v>
      </c>
      <c r="V1550" s="214">
        <f>G1588/1000</f>
        <v>0</v>
      </c>
      <c r="Z1550" s="214">
        <f t="shared" si="520"/>
        <v>0</v>
      </c>
      <c r="AA1550" s="214">
        <f t="shared" si="521"/>
        <v>0</v>
      </c>
    </row>
    <row r="1551" spans="1:27">
      <c r="A1551" s="239" t="s">
        <v>499</v>
      </c>
      <c r="B1551" s="320"/>
      <c r="C1551" s="462"/>
      <c r="D1551" s="320"/>
      <c r="E1551" s="320"/>
      <c r="F1551" s="462"/>
      <c r="G1551" s="321"/>
      <c r="H1551" s="319"/>
      <c r="I1551" s="320"/>
      <c r="J1551" s="230"/>
      <c r="K1551" s="245" t="s">
        <v>499</v>
      </c>
      <c r="L1551" s="266" t="e">
        <f>C1551/I1551</f>
        <v>#DIV/0!</v>
      </c>
      <c r="M1551" s="267" t="e">
        <f>D1551/I1551</f>
        <v>#DIV/0!</v>
      </c>
      <c r="N1551" s="267" t="e">
        <f>D1551/C1551</f>
        <v>#DIV/0!</v>
      </c>
      <c r="O1551" s="239" t="e">
        <f>(F1551*3.6+G1551)*100/H1551</f>
        <v>#DIV/0!</v>
      </c>
      <c r="P1551" s="239" t="e">
        <f>(F1551*3.6+G1551)*100/H1551</f>
        <v>#DIV/0!</v>
      </c>
      <c r="Q1551" s="267" t="e">
        <f>F1551/(C1551*8760)*1000</f>
        <v>#DIV/0!</v>
      </c>
      <c r="R1551" s="267" t="e">
        <f>G1551/(D1551*8761)*1000/3.6</f>
        <v>#DIV/0!</v>
      </c>
      <c r="S1551" s="268" t="e">
        <f>G1551/(F1551*3.6)</f>
        <v>#DIV/0!</v>
      </c>
      <c r="U1551" s="214" t="s">
        <v>551</v>
      </c>
      <c r="V1551" s="214">
        <f>G1579/1000</f>
        <v>0</v>
      </c>
      <c r="Z1551" s="214">
        <f t="shared" si="520"/>
        <v>0</v>
      </c>
      <c r="AA1551" s="214">
        <f t="shared" si="521"/>
        <v>0</v>
      </c>
    </row>
    <row r="1552" spans="1:27">
      <c r="A1552" s="239" t="s">
        <v>265</v>
      </c>
      <c r="B1552" s="320">
        <v>1</v>
      </c>
      <c r="C1552" s="462">
        <v>1</v>
      </c>
      <c r="D1552" s="320">
        <v>3</v>
      </c>
      <c r="E1552" s="320">
        <v>1</v>
      </c>
      <c r="F1552" s="462">
        <v>1</v>
      </c>
      <c r="G1552" s="321">
        <v>7</v>
      </c>
      <c r="H1552" s="319">
        <v>12</v>
      </c>
      <c r="I1552" s="320">
        <v>1</v>
      </c>
      <c r="J1552" s="230"/>
      <c r="K1552" s="245" t="s">
        <v>265</v>
      </c>
      <c r="L1552" s="266">
        <f>C1552/I1552</f>
        <v>1</v>
      </c>
      <c r="M1552" s="267">
        <f>D1552/I1552</f>
        <v>3</v>
      </c>
      <c r="N1552" s="267">
        <f>D1552/C1552</f>
        <v>3</v>
      </c>
      <c r="O1552" s="239">
        <f>(F1552*3.6+G1552)*100/H1552</f>
        <v>88.333333333333329</v>
      </c>
      <c r="P1552" s="239">
        <f>(F1552*3.6+G1552)*100/H1552</f>
        <v>88.333333333333329</v>
      </c>
      <c r="Q1552" s="267">
        <f>F1552/(C1552*8760)*1000</f>
        <v>0.11415525114155251</v>
      </c>
      <c r="R1552" s="267">
        <f>G1552/(D1552*8761)*1000/3.6</f>
        <v>7.3981069301238239E-2</v>
      </c>
      <c r="S1552" s="268">
        <f>G1552/(F1552*3.6)</f>
        <v>1.9444444444444444</v>
      </c>
      <c r="U1552" s="214" t="s">
        <v>552</v>
      </c>
      <c r="V1552" s="214">
        <f>(G1576+G1577+G1578+G1580+G1582+G1584+G1585+G1586+G1587+G1589+G1590+G1591+G1592+G1593)/1000</f>
        <v>0.70199999999999996</v>
      </c>
      <c r="Z1552" s="214">
        <f t="shared" si="520"/>
        <v>0</v>
      </c>
      <c r="AA1552" s="214">
        <f t="shared" si="521"/>
        <v>0</v>
      </c>
    </row>
    <row r="1553" spans="1:27">
      <c r="A1553" s="239" t="s">
        <v>266</v>
      </c>
      <c r="B1553" s="320">
        <v>6</v>
      </c>
      <c r="C1553" s="462">
        <v>6</v>
      </c>
      <c r="D1553" s="320">
        <v>7</v>
      </c>
      <c r="E1553" s="320">
        <v>40</v>
      </c>
      <c r="F1553" s="462">
        <v>40</v>
      </c>
      <c r="G1553" s="321">
        <v>170</v>
      </c>
      <c r="H1553" s="319">
        <v>384</v>
      </c>
      <c r="I1553" s="320">
        <v>5</v>
      </c>
      <c r="J1553" s="230"/>
      <c r="K1553" s="245" t="s">
        <v>266</v>
      </c>
      <c r="L1553" s="266">
        <f>C1553/I1553</f>
        <v>1.2</v>
      </c>
      <c r="M1553" s="267">
        <f>D1553/I1553</f>
        <v>1.4</v>
      </c>
      <c r="N1553" s="267">
        <f>D1553/C1553</f>
        <v>1.1666666666666667</v>
      </c>
      <c r="O1553" s="239">
        <f>(F1553*3.6+G1553)*100/H1553</f>
        <v>81.770833333333329</v>
      </c>
      <c r="P1553" s="239">
        <f>(F1553*3.6+G1553)*100/H1553</f>
        <v>81.770833333333329</v>
      </c>
      <c r="Q1553" s="267">
        <f>F1553/(C1553*8760)*1000</f>
        <v>0.76103500761035003</v>
      </c>
      <c r="R1553" s="267">
        <f>G1553/(D1553*8761)*1000/3.6</f>
        <v>0.77000704782921425</v>
      </c>
      <c r="S1553" s="268">
        <f>G1553/(F1553*3.6)</f>
        <v>1.1805555555555556</v>
      </c>
      <c r="Z1553" s="214">
        <f t="shared" si="520"/>
        <v>0</v>
      </c>
      <c r="AA1553" s="214">
        <f t="shared" si="521"/>
        <v>0</v>
      </c>
    </row>
    <row r="1554" spans="1:27">
      <c r="A1554" s="272" t="s">
        <v>267</v>
      </c>
      <c r="B1554" s="395"/>
      <c r="C1554" s="463"/>
      <c r="D1554" s="395"/>
      <c r="E1554" s="320"/>
      <c r="F1554" s="462"/>
      <c r="G1554" s="396"/>
      <c r="H1554" s="397"/>
      <c r="I1554" s="397"/>
      <c r="J1554" s="230"/>
      <c r="K1554" s="245" t="s">
        <v>267</v>
      </c>
      <c r="L1554" s="266"/>
      <c r="M1554" s="267"/>
      <c r="N1554" s="267"/>
      <c r="O1554" s="239"/>
      <c r="P1554" s="272"/>
      <c r="Q1554" s="272"/>
      <c r="R1554" s="274"/>
      <c r="S1554" s="275"/>
      <c r="U1554" s="214" t="s">
        <v>553</v>
      </c>
      <c r="V1554" s="214">
        <f>H1575/1000</f>
        <v>0.98799999999999999</v>
      </c>
      <c r="Z1554" s="214">
        <f t="shared" si="520"/>
        <v>0</v>
      </c>
      <c r="AA1554" s="214">
        <f t="shared" si="521"/>
        <v>0</v>
      </c>
    </row>
    <row r="1555" spans="1:27">
      <c r="A1555" s="276" t="s">
        <v>500</v>
      </c>
      <c r="B1555" s="277">
        <f t="shared" ref="B1555:I1555" si="522">SUM(B1549:B1554)</f>
        <v>45</v>
      </c>
      <c r="C1555" s="277">
        <f t="shared" si="522"/>
        <v>45</v>
      </c>
      <c r="D1555" s="277">
        <f t="shared" si="522"/>
        <v>372</v>
      </c>
      <c r="E1555" s="277">
        <f t="shared" si="522"/>
        <v>154</v>
      </c>
      <c r="F1555" s="277">
        <f t="shared" si="522"/>
        <v>154</v>
      </c>
      <c r="G1555" s="277">
        <f t="shared" si="522"/>
        <v>3566</v>
      </c>
      <c r="H1555" s="277">
        <f t="shared" si="522"/>
        <v>5093</v>
      </c>
      <c r="I1555" s="278">
        <f t="shared" si="522"/>
        <v>13</v>
      </c>
      <c r="J1555" s="244"/>
      <c r="K1555" s="279" t="s">
        <v>169</v>
      </c>
      <c r="L1555" s="280">
        <f>C1555/I1555</f>
        <v>3.4615384615384617</v>
      </c>
      <c r="M1555" s="281">
        <f>D1555/I1555</f>
        <v>28.615384615384617</v>
      </c>
      <c r="N1555" s="281">
        <f>D1555/C1555</f>
        <v>8.2666666666666675</v>
      </c>
      <c r="O1555" s="282">
        <f>(F1555*3.6+G1555)*100/H1555</f>
        <v>80.90320047123501</v>
      </c>
      <c r="P1555" s="282">
        <f>(F1555*3.6+G1555)*100/H1555</f>
        <v>80.90320047123501</v>
      </c>
      <c r="Q1555" s="283">
        <f>F1555/(C1555*8760)*1000</f>
        <v>0.39066463723997968</v>
      </c>
      <c r="R1555" s="283">
        <f>G1555/(D1555*8761)*1000/3.6</f>
        <v>0.30393605199103169</v>
      </c>
      <c r="S1555" s="284">
        <f>G1555/(F1555*3.6)</f>
        <v>6.4321789321789327</v>
      </c>
      <c r="U1555" s="214" t="s">
        <v>554</v>
      </c>
      <c r="V1555" s="214">
        <f>H1581/1000</f>
        <v>0</v>
      </c>
    </row>
    <row r="1556" spans="1:27">
      <c r="A1556" s="285" t="s">
        <v>501</v>
      </c>
      <c r="B1556" s="228" t="s">
        <v>476</v>
      </c>
      <c r="C1556" s="228"/>
      <c r="D1556" s="286"/>
      <c r="E1556" s="227" t="s">
        <v>477</v>
      </c>
      <c r="F1556" s="228"/>
      <c r="G1556" s="229"/>
      <c r="H1556" s="200" t="s">
        <v>138</v>
      </c>
      <c r="I1556" s="200" t="s">
        <v>478</v>
      </c>
      <c r="J1556" s="244"/>
      <c r="K1556" s="287" t="s">
        <v>501</v>
      </c>
      <c r="L1556" s="288" t="s">
        <v>479</v>
      </c>
      <c r="M1556" s="228"/>
      <c r="N1556" s="286"/>
      <c r="O1556" s="227" t="s">
        <v>480</v>
      </c>
      <c r="P1556" s="228"/>
      <c r="Q1556" s="228"/>
      <c r="R1556" s="229"/>
      <c r="S1556" s="289"/>
      <c r="U1556" s="214" t="s">
        <v>555</v>
      </c>
      <c r="V1556" s="214">
        <f>H1583/1000</f>
        <v>0</v>
      </c>
    </row>
    <row r="1557" spans="1:27">
      <c r="A1557" s="239"/>
      <c r="B1557" s="240" t="s">
        <v>481</v>
      </c>
      <c r="C1557" s="240"/>
      <c r="D1557" s="241" t="s">
        <v>34</v>
      </c>
      <c r="E1557" s="242" t="s">
        <v>482</v>
      </c>
      <c r="F1557" s="243"/>
      <c r="G1557" s="244" t="s">
        <v>34</v>
      </c>
      <c r="H1557" s="241" t="s">
        <v>170</v>
      </c>
      <c r="I1557" s="241" t="s">
        <v>483</v>
      </c>
      <c r="J1557" s="244"/>
      <c r="K1557" s="245"/>
      <c r="L1557" s="246" t="s">
        <v>484</v>
      </c>
      <c r="M1557" s="247"/>
      <c r="N1557" s="248" t="s">
        <v>485</v>
      </c>
      <c r="O1557" s="248" t="s">
        <v>486</v>
      </c>
      <c r="P1557" s="248" t="s">
        <v>486</v>
      </c>
      <c r="Q1557" s="247" t="s">
        <v>487</v>
      </c>
      <c r="R1557" s="249"/>
      <c r="S1557" s="250" t="s">
        <v>485</v>
      </c>
      <c r="U1557" s="214" t="s">
        <v>556</v>
      </c>
      <c r="V1557" s="214">
        <f>H1588/1000</f>
        <v>0</v>
      </c>
    </row>
    <row r="1558" spans="1:27">
      <c r="A1558" s="251" t="s">
        <v>488</v>
      </c>
      <c r="B1558" s="252" t="s">
        <v>0</v>
      </c>
      <c r="C1558" s="252" t="s">
        <v>489</v>
      </c>
      <c r="D1558" s="252" t="s">
        <v>490</v>
      </c>
      <c r="E1558" s="252" t="s">
        <v>491</v>
      </c>
      <c r="F1558" s="252" t="s">
        <v>489</v>
      </c>
      <c r="G1558" s="230" t="s">
        <v>490</v>
      </c>
      <c r="H1558" s="248"/>
      <c r="I1558" s="241" t="s">
        <v>492</v>
      </c>
      <c r="J1558" s="244"/>
      <c r="K1558" s="253" t="s">
        <v>488</v>
      </c>
      <c r="L1558" s="254" t="s">
        <v>88</v>
      </c>
      <c r="M1558" s="252" t="s">
        <v>34</v>
      </c>
      <c r="N1558" s="252" t="s">
        <v>493</v>
      </c>
      <c r="O1558" s="248" t="s">
        <v>494</v>
      </c>
      <c r="P1558" s="248" t="s">
        <v>495</v>
      </c>
      <c r="Q1558" s="230" t="s">
        <v>88</v>
      </c>
      <c r="R1558" s="248" t="s">
        <v>34</v>
      </c>
      <c r="S1558" s="255" t="s">
        <v>88</v>
      </c>
      <c r="U1558" s="214" t="s">
        <v>557</v>
      </c>
      <c r="V1558" s="214">
        <f>H1579/1000</f>
        <v>0</v>
      </c>
    </row>
    <row r="1559" spans="1:27">
      <c r="A1559" s="239"/>
      <c r="B1559" s="252" t="s">
        <v>496</v>
      </c>
      <c r="C1559" s="252" t="s">
        <v>496</v>
      </c>
      <c r="D1559" s="252" t="s">
        <v>496</v>
      </c>
      <c r="E1559" s="256" t="s">
        <v>473</v>
      </c>
      <c r="F1559" s="256" t="s">
        <v>473</v>
      </c>
      <c r="G1559" s="230" t="s">
        <v>451</v>
      </c>
      <c r="H1559" s="257" t="s">
        <v>497</v>
      </c>
      <c r="I1559" s="257" t="s">
        <v>498</v>
      </c>
      <c r="J1559" s="244"/>
      <c r="K1559" s="245"/>
      <c r="L1559" s="258" t="s">
        <v>496</v>
      </c>
      <c r="M1559" s="256" t="s">
        <v>496</v>
      </c>
      <c r="N1559" s="256"/>
      <c r="O1559" s="257" t="s">
        <v>79</v>
      </c>
      <c r="P1559" s="257" t="s">
        <v>79</v>
      </c>
      <c r="Q1559" s="259"/>
      <c r="R1559" s="257"/>
      <c r="S1559" s="260"/>
      <c r="U1559" s="214" t="s">
        <v>558</v>
      </c>
      <c r="V1559" s="214">
        <f>(H1576+H1577+H1578+H1580+H1582+H1584+H1585+H1586+H1587+H1589+H1590+H1591+H1592+H1593)/1000</f>
        <v>0.98799999999999999</v>
      </c>
    </row>
    <row r="1560" spans="1:27">
      <c r="A1560" s="261" t="s">
        <v>533</v>
      </c>
      <c r="B1560" s="365"/>
      <c r="C1560" s="365"/>
      <c r="D1560" s="365"/>
      <c r="E1560" s="319"/>
      <c r="F1560" s="319"/>
      <c r="G1560" s="368"/>
      <c r="H1560" s="369"/>
      <c r="I1560" s="320"/>
      <c r="J1560" s="244"/>
      <c r="K1560" s="265" t="s">
        <v>262</v>
      </c>
      <c r="L1560" s="266" t="e">
        <f>B1560/I1560</f>
        <v>#DIV/0!</v>
      </c>
      <c r="M1560" s="267" t="e">
        <f>D1560/I1560</f>
        <v>#DIV/0!</v>
      </c>
      <c r="N1560" s="267" t="e">
        <f>D1560/B1560</f>
        <v>#DIV/0!</v>
      </c>
      <c r="O1560" s="239" t="e">
        <f>(F1560*3.6+G1560)*100/H1560</f>
        <v>#DIV/0!</v>
      </c>
      <c r="P1560" s="267" t="e">
        <f>(E1560*3.6+G1560)*100/H1560</f>
        <v>#DIV/0!</v>
      </c>
      <c r="Q1560" s="267" t="e">
        <f>E1560/(B1560*8760)*1000</f>
        <v>#DIV/0!</v>
      </c>
      <c r="R1560" s="267" t="e">
        <f>G1560/(D1560*8761)*1000/3.6</f>
        <v>#DIV/0!</v>
      </c>
      <c r="S1560" s="268" t="e">
        <f>G1560/(E1560*3.6)</f>
        <v>#DIV/0!</v>
      </c>
      <c r="Z1560" s="214">
        <f t="shared" ref="Z1560:Z1567" si="523">C1560-B1560</f>
        <v>0</v>
      </c>
      <c r="AA1560" s="214">
        <f t="shared" ref="AA1560:AA1567" si="524">F1560-E1560</f>
        <v>0</v>
      </c>
    </row>
    <row r="1561" spans="1:27">
      <c r="A1561" s="239" t="s">
        <v>263</v>
      </c>
      <c r="B1561" s="320"/>
      <c r="C1561" s="320"/>
      <c r="D1561" s="320"/>
      <c r="E1561" s="320"/>
      <c r="F1561" s="319"/>
      <c r="G1561" s="321"/>
      <c r="H1561" s="319"/>
      <c r="I1561" s="320"/>
      <c r="J1561" s="244"/>
      <c r="K1561" s="245" t="s">
        <v>263</v>
      </c>
      <c r="L1561" s="266" t="e">
        <f>B1561/I1561</f>
        <v>#DIV/0!</v>
      </c>
      <c r="M1561" s="267" t="e">
        <f>D1561/I1561</f>
        <v>#DIV/0!</v>
      </c>
      <c r="N1561" s="267" t="e">
        <f>D1561/B1561</f>
        <v>#DIV/0!</v>
      </c>
      <c r="O1561" s="239" t="e">
        <f>(F1561*3.6+G1561)*100/H1561</f>
        <v>#DIV/0!</v>
      </c>
      <c r="P1561" s="267" t="e">
        <f>(E1561*3.6+G1561)*100/H1561</f>
        <v>#DIV/0!</v>
      </c>
      <c r="Q1561" s="267" t="e">
        <f>E1561/(B1561*8760)*1000</f>
        <v>#DIV/0!</v>
      </c>
      <c r="R1561" s="267" t="e">
        <f>G1561/(D1561*8761)*1000/3.6</f>
        <v>#DIV/0!</v>
      </c>
      <c r="S1561" s="268" t="e">
        <f>G1561/(E1561*3.6)</f>
        <v>#DIV/0!</v>
      </c>
      <c r="U1561" s="239" t="s">
        <v>152</v>
      </c>
      <c r="V1561" s="492">
        <f>B1576/1000</f>
        <v>0</v>
      </c>
      <c r="Z1561" s="214">
        <f t="shared" si="523"/>
        <v>0</v>
      </c>
      <c r="AA1561" s="214">
        <f t="shared" si="524"/>
        <v>0</v>
      </c>
    </row>
    <row r="1562" spans="1:27">
      <c r="A1562" s="239" t="s">
        <v>499</v>
      </c>
      <c r="B1562" s="320">
        <v>519</v>
      </c>
      <c r="C1562" s="320">
        <v>519</v>
      </c>
      <c r="D1562" s="320">
        <v>846</v>
      </c>
      <c r="E1562" s="320">
        <v>1238</v>
      </c>
      <c r="F1562" s="319">
        <v>1238</v>
      </c>
      <c r="G1562" s="321">
        <v>8654</v>
      </c>
      <c r="H1562" s="319">
        <v>16644</v>
      </c>
      <c r="I1562" s="320">
        <v>2</v>
      </c>
      <c r="J1562" s="244"/>
      <c r="K1562" s="245" t="s">
        <v>499</v>
      </c>
      <c r="L1562" s="266">
        <f>B1562/I1562</f>
        <v>259.5</v>
      </c>
      <c r="M1562" s="267">
        <f>D1562/I1562</f>
        <v>423</v>
      </c>
      <c r="N1562" s="267">
        <f>D1562/B1562</f>
        <v>1.6300578034682081</v>
      </c>
      <c r="O1562" s="239">
        <f>(F1562*3.6+G1562)*100/H1562</f>
        <v>78.771929824561397</v>
      </c>
      <c r="P1562" s="267">
        <f>(E1562*3.6+G1562)*100/H1562</f>
        <v>78.771929824561397</v>
      </c>
      <c r="Q1562" s="267">
        <f>E1562/(B1562*8760)*1000</f>
        <v>0.2723009651507553</v>
      </c>
      <c r="R1562" s="267">
        <f>G1562/(D1562*8761)*1000/3.6</f>
        <v>0.32433240817270292</v>
      </c>
      <c r="S1562" s="268">
        <f>G1562/(E1562*3.6)</f>
        <v>1.9417519296356129</v>
      </c>
      <c r="U1562" s="239" t="s">
        <v>504</v>
      </c>
      <c r="V1562" s="492">
        <f t="shared" ref="V1562:V1578" si="525">B1577/1000</f>
        <v>0</v>
      </c>
      <c r="Z1562" s="214">
        <f t="shared" si="523"/>
        <v>0</v>
      </c>
      <c r="AA1562" s="214">
        <f t="shared" si="524"/>
        <v>0</v>
      </c>
    </row>
    <row r="1563" spans="1:27">
      <c r="A1563" s="239" t="s">
        <v>265</v>
      </c>
      <c r="B1563" s="320"/>
      <c r="C1563" s="320"/>
      <c r="D1563" s="320"/>
      <c r="E1563" s="320"/>
      <c r="F1563" s="319"/>
      <c r="G1563" s="321"/>
      <c r="H1563" s="319"/>
      <c r="I1563" s="320"/>
      <c r="J1563" s="244"/>
      <c r="K1563" s="245" t="s">
        <v>265</v>
      </c>
      <c r="L1563" s="266" t="e">
        <f>B1563/I1563</f>
        <v>#DIV/0!</v>
      </c>
      <c r="M1563" s="267" t="e">
        <f>D1563/I1563</f>
        <v>#DIV/0!</v>
      </c>
      <c r="N1563" s="267" t="e">
        <f>D1563/B1563</f>
        <v>#DIV/0!</v>
      </c>
      <c r="O1563" s="239" t="e">
        <f>(F1563*3.6+G1563)*100/H1563</f>
        <v>#DIV/0!</v>
      </c>
      <c r="P1563" s="267" t="e">
        <f>(E1563*3.6+G1563)*100/H1563</f>
        <v>#DIV/0!</v>
      </c>
      <c r="Q1563" s="267" t="e">
        <f>E1563/(B1563*8760)*1000</f>
        <v>#DIV/0!</v>
      </c>
      <c r="R1563" s="267" t="e">
        <f>G1563/(D1563*8761)*1000/3.6</f>
        <v>#DIV/0!</v>
      </c>
      <c r="S1563" s="268" t="e">
        <f>G1563/(E1563*3.6)</f>
        <v>#DIV/0!</v>
      </c>
      <c r="U1563" s="239" t="s">
        <v>505</v>
      </c>
      <c r="V1563" s="492">
        <f t="shared" si="525"/>
        <v>0</v>
      </c>
      <c r="Z1563" s="214">
        <f t="shared" si="523"/>
        <v>0</v>
      </c>
      <c r="AA1563" s="214">
        <f t="shared" si="524"/>
        <v>0</v>
      </c>
    </row>
    <row r="1564" spans="1:27">
      <c r="A1564" s="239" t="s">
        <v>266</v>
      </c>
      <c r="B1564" s="320">
        <v>16</v>
      </c>
      <c r="C1564" s="320">
        <v>16</v>
      </c>
      <c r="D1564" s="320">
        <v>13</v>
      </c>
      <c r="E1564" s="320">
        <v>99</v>
      </c>
      <c r="F1564" s="319">
        <v>99</v>
      </c>
      <c r="G1564" s="321">
        <v>280</v>
      </c>
      <c r="H1564" s="319">
        <v>973</v>
      </c>
      <c r="I1564" s="320">
        <v>7</v>
      </c>
      <c r="J1564" s="244"/>
      <c r="K1564" s="245" t="s">
        <v>266</v>
      </c>
      <c r="L1564" s="266">
        <f>B1564/I1564</f>
        <v>2.2857142857142856</v>
      </c>
      <c r="M1564" s="267">
        <f>D1564/I1564</f>
        <v>1.8571428571428572</v>
      </c>
      <c r="N1564" s="267">
        <f>D1564/B1564</f>
        <v>0.8125</v>
      </c>
      <c r="O1564" s="239">
        <f>(F1564*3.6+G1564)*100/H1564</f>
        <v>65.405960945529301</v>
      </c>
      <c r="P1564" s="267">
        <f>(E1564*3.6+G1564)*100/H1564</f>
        <v>65.405960945529301</v>
      </c>
      <c r="Q1564" s="267">
        <f>E1564/(B1564*8760)*1000</f>
        <v>0.70633561643835618</v>
      </c>
      <c r="R1564" s="267">
        <f>G1564/(D1564*8761)*1000/3.6</f>
        <v>0.68290217816527587</v>
      </c>
      <c r="S1564" s="268">
        <f>G1564/(E1564*3.6)</f>
        <v>0.78563411896745228</v>
      </c>
      <c r="U1564" s="239" t="s">
        <v>506</v>
      </c>
      <c r="V1564" s="492">
        <f t="shared" si="525"/>
        <v>0</v>
      </c>
      <c r="Z1564" s="214">
        <f t="shared" si="523"/>
        <v>0</v>
      </c>
      <c r="AA1564" s="214">
        <f t="shared" si="524"/>
        <v>0</v>
      </c>
    </row>
    <row r="1565" spans="1:27">
      <c r="A1565" s="272" t="s">
        <v>267</v>
      </c>
      <c r="B1565" s="395"/>
      <c r="C1565" s="395"/>
      <c r="D1565" s="395"/>
      <c r="E1565" s="320"/>
      <c r="F1565" s="319"/>
      <c r="G1565" s="396"/>
      <c r="H1565" s="397"/>
      <c r="I1565" s="395"/>
      <c r="J1565" s="244"/>
      <c r="K1565" s="245" t="s">
        <v>267</v>
      </c>
      <c r="L1565" s="266"/>
      <c r="M1565" s="267"/>
      <c r="N1565" s="267"/>
      <c r="O1565" s="239"/>
      <c r="P1565" s="267"/>
      <c r="Q1565" s="272"/>
      <c r="R1565" s="274"/>
      <c r="S1565" s="275"/>
      <c r="U1565" s="239" t="s">
        <v>507</v>
      </c>
      <c r="V1565" s="492">
        <f t="shared" si="525"/>
        <v>0</v>
      </c>
      <c r="Z1565" s="214">
        <f t="shared" si="523"/>
        <v>0</v>
      </c>
      <c r="AA1565" s="214">
        <f t="shared" si="524"/>
        <v>0</v>
      </c>
    </row>
    <row r="1566" spans="1:27">
      <c r="A1566" s="276" t="s">
        <v>500</v>
      </c>
      <c r="B1566" s="291">
        <f t="shared" ref="B1566:I1566" si="526">SUM(B1560:B1565)</f>
        <v>535</v>
      </c>
      <c r="C1566" s="291">
        <f t="shared" si="526"/>
        <v>535</v>
      </c>
      <c r="D1566" s="291">
        <f t="shared" si="526"/>
        <v>859</v>
      </c>
      <c r="E1566" s="291">
        <f t="shared" si="526"/>
        <v>1337</v>
      </c>
      <c r="F1566" s="291">
        <f t="shared" si="526"/>
        <v>1337</v>
      </c>
      <c r="G1566" s="292">
        <f t="shared" si="526"/>
        <v>8934</v>
      </c>
      <c r="H1566" s="291">
        <f t="shared" si="526"/>
        <v>17617</v>
      </c>
      <c r="I1566" s="293">
        <f t="shared" si="526"/>
        <v>9</v>
      </c>
      <c r="J1566" s="244"/>
      <c r="K1566" s="279" t="s">
        <v>169</v>
      </c>
      <c r="L1566" s="280">
        <f>B1566/I1566</f>
        <v>59.444444444444443</v>
      </c>
      <c r="M1566" s="281">
        <f>D1566/I1566</f>
        <v>95.444444444444443</v>
      </c>
      <c r="N1566" s="281">
        <f>D1566/B1566</f>
        <v>1.605607476635514</v>
      </c>
      <c r="O1566" s="294">
        <f>(F1566*3.6+G1566)*100/H1566</f>
        <v>78.033717432025881</v>
      </c>
      <c r="P1566" s="295">
        <f>(E1566*3.6+G1566)*100/H1566</f>
        <v>78.033717432025881</v>
      </c>
      <c r="Q1566" s="283">
        <f>E1566/(B1566*8760)*1000</f>
        <v>0.28528144070328165</v>
      </c>
      <c r="R1566" s="283">
        <f>G1566/(D1566*8761)*1000/3.6</f>
        <v>0.32975895882451139</v>
      </c>
      <c r="S1566" s="284">
        <f>G1566/(E1566*3.6)</f>
        <v>1.8561455996010972</v>
      </c>
      <c r="U1566" s="239" t="s">
        <v>156</v>
      </c>
      <c r="V1566" s="492">
        <f t="shared" si="525"/>
        <v>0</v>
      </c>
      <c r="Z1566" s="214">
        <f t="shared" si="523"/>
        <v>0</v>
      </c>
      <c r="AA1566" s="214">
        <f t="shared" si="524"/>
        <v>0</v>
      </c>
    </row>
    <row r="1567" spans="1:27" ht="13.5" thickBot="1">
      <c r="A1567" s="296" t="s">
        <v>502</v>
      </c>
      <c r="B1567" s="297">
        <f t="shared" ref="B1567:I1567" si="527">B1555+B1566</f>
        <v>580</v>
      </c>
      <c r="C1567" s="297">
        <f t="shared" si="527"/>
        <v>580</v>
      </c>
      <c r="D1567" s="297">
        <f t="shared" si="527"/>
        <v>1231</v>
      </c>
      <c r="E1567" s="297">
        <f t="shared" si="527"/>
        <v>1491</v>
      </c>
      <c r="F1567" s="297">
        <f t="shared" si="527"/>
        <v>1491</v>
      </c>
      <c r="G1567" s="297">
        <f t="shared" si="527"/>
        <v>12500</v>
      </c>
      <c r="H1567" s="297">
        <f t="shared" si="527"/>
        <v>22710</v>
      </c>
      <c r="I1567" s="298">
        <f t="shared" si="527"/>
        <v>22</v>
      </c>
      <c r="J1567" s="244"/>
      <c r="K1567" s="296" t="s">
        <v>502</v>
      </c>
      <c r="L1567" s="299">
        <f>B1567/I1567</f>
        <v>26.363636363636363</v>
      </c>
      <c r="M1567" s="300">
        <f>D1567/I1567</f>
        <v>55.954545454545453</v>
      </c>
      <c r="N1567" s="300">
        <f>D1567/B1567</f>
        <v>2.1224137931034481</v>
      </c>
      <c r="O1567" s="301">
        <f>(F1567*3.6+G1567)*100/H1567</f>
        <v>78.677234698370754</v>
      </c>
      <c r="P1567" s="301">
        <f>(E1567*3.6+G1567)*100/H1567</f>
        <v>78.677234698370754</v>
      </c>
      <c r="Q1567" s="301">
        <f>E1567/(B1567*8760)*1000</f>
        <v>0.29345772319319791</v>
      </c>
      <c r="R1567" s="301">
        <f>G1567/(D1567*8761)*1000/3.6</f>
        <v>0.32195544839229823</v>
      </c>
      <c r="S1567" s="302">
        <f>G1567/(E1567*3.6)</f>
        <v>2.3287875400551457</v>
      </c>
      <c r="U1567" s="239" t="s">
        <v>508</v>
      </c>
      <c r="V1567" s="492">
        <f t="shared" si="525"/>
        <v>0</v>
      </c>
      <c r="Z1567" s="214">
        <f t="shared" si="523"/>
        <v>0</v>
      </c>
      <c r="AA1567" s="214">
        <f t="shared" si="524"/>
        <v>0</v>
      </c>
    </row>
    <row r="1568" spans="1:27" ht="13.5">
      <c r="A1568" s="398" t="s">
        <v>534</v>
      </c>
      <c r="U1568" s="239" t="s">
        <v>509</v>
      </c>
      <c r="V1568" s="492">
        <f t="shared" si="525"/>
        <v>0</v>
      </c>
    </row>
    <row r="1569" spans="1:27">
      <c r="A1569" s="251" t="s">
        <v>139</v>
      </c>
      <c r="B1569" s="227" t="s">
        <v>476</v>
      </c>
      <c r="C1569" s="228"/>
      <c r="D1569" s="286"/>
      <c r="E1569" s="227" t="s">
        <v>477</v>
      </c>
      <c r="F1569" s="228"/>
      <c r="G1569" s="229"/>
      <c r="H1569" s="200" t="s">
        <v>138</v>
      </c>
      <c r="I1569" s="200" t="s">
        <v>478</v>
      </c>
      <c r="J1569" s="230"/>
      <c r="K1569" s="303" t="s">
        <v>503</v>
      </c>
      <c r="L1569" s="227" t="s">
        <v>479</v>
      </c>
      <c r="M1569" s="228"/>
      <c r="N1569" s="286"/>
      <c r="O1569" s="227" t="s">
        <v>480</v>
      </c>
      <c r="P1569" s="228"/>
      <c r="Q1569" s="228"/>
      <c r="R1569" s="229"/>
      <c r="S1569" s="286"/>
      <c r="U1569" s="239" t="s">
        <v>510</v>
      </c>
      <c r="V1569" s="492">
        <f t="shared" si="525"/>
        <v>0</v>
      </c>
    </row>
    <row r="1570" spans="1:27">
      <c r="A1570" s="239"/>
      <c r="B1570" s="240" t="s">
        <v>9</v>
      </c>
      <c r="C1570" s="240"/>
      <c r="D1570" s="241" t="s">
        <v>34</v>
      </c>
      <c r="E1570" s="242" t="s">
        <v>88</v>
      </c>
      <c r="F1570" s="243"/>
      <c r="G1570" s="244" t="s">
        <v>34</v>
      </c>
      <c r="H1570" s="241" t="s">
        <v>170</v>
      </c>
      <c r="I1570" s="241" t="s">
        <v>483</v>
      </c>
      <c r="J1570" s="230"/>
      <c r="K1570" s="305"/>
      <c r="L1570" s="306" t="s">
        <v>484</v>
      </c>
      <c r="M1570" s="247"/>
      <c r="N1570" s="248" t="s">
        <v>485</v>
      </c>
      <c r="O1570" s="248" t="s">
        <v>486</v>
      </c>
      <c r="P1570" s="248" t="s">
        <v>486</v>
      </c>
      <c r="Q1570" s="247" t="s">
        <v>487</v>
      </c>
      <c r="R1570" s="249"/>
      <c r="S1570" s="307" t="s">
        <v>485</v>
      </c>
      <c r="U1570" s="239" t="s">
        <v>511</v>
      </c>
      <c r="V1570" s="492">
        <f t="shared" si="525"/>
        <v>0</v>
      </c>
    </row>
    <row r="1571" spans="1:27">
      <c r="A1571" s="239"/>
      <c r="B1571" s="252" t="s">
        <v>0</v>
      </c>
      <c r="C1571" s="252" t="s">
        <v>489</v>
      </c>
      <c r="D1571" s="252" t="s">
        <v>490</v>
      </c>
      <c r="E1571" s="252" t="s">
        <v>491</v>
      </c>
      <c r="F1571" s="252" t="s">
        <v>489</v>
      </c>
      <c r="G1571" s="230" t="s">
        <v>490</v>
      </c>
      <c r="H1571" s="248"/>
      <c r="I1571" s="241" t="s">
        <v>492</v>
      </c>
      <c r="J1571" s="230"/>
      <c r="K1571" s="305"/>
      <c r="L1571" s="248" t="s">
        <v>88</v>
      </c>
      <c r="M1571" s="252" t="s">
        <v>34</v>
      </c>
      <c r="N1571" s="252" t="s">
        <v>493</v>
      </c>
      <c r="O1571" s="248" t="s">
        <v>494</v>
      </c>
      <c r="P1571" s="248" t="s">
        <v>495</v>
      </c>
      <c r="Q1571" s="230" t="s">
        <v>88</v>
      </c>
      <c r="R1571" s="248" t="s">
        <v>34</v>
      </c>
      <c r="S1571" s="252" t="s">
        <v>88</v>
      </c>
      <c r="U1571" s="239" t="s">
        <v>512</v>
      </c>
      <c r="V1571" s="492">
        <f t="shared" si="525"/>
        <v>1.4E-2</v>
      </c>
    </row>
    <row r="1572" spans="1:27">
      <c r="A1572" s="239"/>
      <c r="B1572" s="257" t="s">
        <v>496</v>
      </c>
      <c r="C1572" s="256" t="s">
        <v>496</v>
      </c>
      <c r="D1572" s="256" t="s">
        <v>496</v>
      </c>
      <c r="E1572" s="256" t="s">
        <v>473</v>
      </c>
      <c r="F1572" s="256" t="s">
        <v>473</v>
      </c>
      <c r="G1572" s="257" t="s">
        <v>451</v>
      </c>
      <c r="H1572" s="257" t="s">
        <v>497</v>
      </c>
      <c r="I1572" s="257" t="s">
        <v>498</v>
      </c>
      <c r="J1572" s="230"/>
      <c r="K1572" s="305"/>
      <c r="L1572" s="257" t="s">
        <v>496</v>
      </c>
      <c r="M1572" s="256" t="s">
        <v>496</v>
      </c>
      <c r="N1572" s="256"/>
      <c r="O1572" s="257" t="s">
        <v>79</v>
      </c>
      <c r="P1572" s="257" t="s">
        <v>79</v>
      </c>
      <c r="Q1572" s="259"/>
      <c r="R1572" s="257"/>
      <c r="S1572" s="256"/>
      <c r="U1572" s="239" t="s">
        <v>513</v>
      </c>
      <c r="V1572" s="492">
        <f t="shared" si="525"/>
        <v>1E-3</v>
      </c>
    </row>
    <row r="1573" spans="1:27">
      <c r="A1573" s="251" t="s">
        <v>150</v>
      </c>
      <c r="B1573" s="308">
        <v>561</v>
      </c>
      <c r="C1573" s="309">
        <v>561</v>
      </c>
      <c r="D1573" s="310">
        <v>1054</v>
      </c>
      <c r="E1573" s="308">
        <v>1450</v>
      </c>
      <c r="F1573" s="308">
        <v>1450</v>
      </c>
      <c r="G1573" s="309">
        <v>11798</v>
      </c>
      <c r="H1573" s="311">
        <v>21722</v>
      </c>
      <c r="I1573" s="310">
        <v>16</v>
      </c>
      <c r="J1573" s="244"/>
      <c r="K1573" s="303" t="s">
        <v>150</v>
      </c>
      <c r="L1573" s="312">
        <f>B1573/I1573</f>
        <v>35.0625</v>
      </c>
      <c r="M1573" s="313">
        <f>D1573/I1573</f>
        <v>65.875</v>
      </c>
      <c r="N1573" s="313">
        <f>D1573/B1573</f>
        <v>1.8787878787878789</v>
      </c>
      <c r="O1573" s="312">
        <f>(F1573*3.6+G1573)*100/H1573</f>
        <v>78.344535493969246</v>
      </c>
      <c r="P1573" s="313">
        <f>(E1573*3.6+G1573)*100/H1573</f>
        <v>78.344535493969246</v>
      </c>
      <c r="Q1573" s="313">
        <f>E1573/(B1573*8760)*1000</f>
        <v>0.29505367942112504</v>
      </c>
      <c r="R1573" s="313">
        <f>G1573/(D1573*8761)*1000/3.6</f>
        <v>0.35490457669395853</v>
      </c>
      <c r="S1573" s="313">
        <f>G1573/(E1573*3.6)</f>
        <v>2.2601532567049807</v>
      </c>
      <c r="U1573" s="239" t="s">
        <v>514</v>
      </c>
      <c r="V1573" s="492">
        <f t="shared" si="525"/>
        <v>0</v>
      </c>
      <c r="Z1573" s="214">
        <f>C1573-B1573</f>
        <v>0</v>
      </c>
      <c r="AA1573" s="214">
        <f>F1573-E1573</f>
        <v>0</v>
      </c>
    </row>
    <row r="1574" spans="1:27">
      <c r="A1574" s="239"/>
      <c r="B1574" s="314"/>
      <c r="C1574" s="315"/>
      <c r="D1574" s="315"/>
      <c r="E1574" s="316"/>
      <c r="F1574" s="316"/>
      <c r="G1574" s="317"/>
      <c r="H1574" s="314"/>
      <c r="I1574" s="314"/>
      <c r="J1574" s="230"/>
      <c r="K1574" s="239"/>
      <c r="L1574" s="312"/>
      <c r="M1574" s="267"/>
      <c r="N1574" s="267"/>
      <c r="O1574" s="239"/>
      <c r="P1574" s="313"/>
      <c r="Q1574" s="267"/>
      <c r="R1574" s="267"/>
      <c r="S1574" s="239"/>
      <c r="U1574" s="239" t="s">
        <v>515</v>
      </c>
      <c r="V1574" s="492">
        <f t="shared" si="525"/>
        <v>0</v>
      </c>
      <c r="Z1574" s="214">
        <f t="shared" ref="Z1574:Z1594" si="528">C1574-B1574</f>
        <v>0</v>
      </c>
      <c r="AA1574" s="214">
        <f t="shared" ref="AA1574:AA1594" si="529">F1574-E1574</f>
        <v>0</v>
      </c>
    </row>
    <row r="1575" spans="1:27">
      <c r="A1575" s="312" t="s">
        <v>7</v>
      </c>
      <c r="B1575" s="310">
        <f>SUM(B1576:B1593)</f>
        <v>19</v>
      </c>
      <c r="C1575" s="310">
        <f t="shared" ref="C1575:I1575" si="530">SUM(C1576:C1593)</f>
        <v>19</v>
      </c>
      <c r="D1575" s="310">
        <f t="shared" si="530"/>
        <v>177</v>
      </c>
      <c r="E1575" s="310">
        <f t="shared" si="530"/>
        <v>41.4</v>
      </c>
      <c r="F1575" s="310">
        <f t="shared" si="530"/>
        <v>41.4</v>
      </c>
      <c r="G1575" s="310">
        <f t="shared" si="530"/>
        <v>702</v>
      </c>
      <c r="H1575" s="310">
        <f t="shared" si="530"/>
        <v>988</v>
      </c>
      <c r="I1575" s="310">
        <f t="shared" si="530"/>
        <v>6</v>
      </c>
      <c r="J1575" s="244"/>
      <c r="K1575" s="318" t="s">
        <v>7</v>
      </c>
      <c r="L1575" s="312">
        <f>B1575/I1575</f>
        <v>3.1666666666666665</v>
      </c>
      <c r="M1575" s="313">
        <f>D1575/I1575</f>
        <v>29.5</v>
      </c>
      <c r="N1575" s="313">
        <f>D1575/B1575</f>
        <v>9.3157894736842106</v>
      </c>
      <c r="O1575" s="312">
        <f t="shared" ref="O1575:O1592" si="531">(F1575*3.6+G1575)*100/H1575</f>
        <v>86.137651821862349</v>
      </c>
      <c r="P1575" s="313">
        <f>(E1575*3.6+G1575)*100/H1575</f>
        <v>86.137651821862349</v>
      </c>
      <c r="Q1575" s="313">
        <f>E1575/(B1575*8760)*1000</f>
        <v>0.24873828406633022</v>
      </c>
      <c r="R1575" s="313">
        <f>G1575/(D1575*8761)*1000/3.6</f>
        <v>0.12574990472026451</v>
      </c>
      <c r="S1575" s="313">
        <f>G1575/(E1575*3.6)</f>
        <v>4.7101449275362324</v>
      </c>
      <c r="U1575" s="239" t="s">
        <v>516</v>
      </c>
      <c r="V1575" s="492">
        <f t="shared" si="525"/>
        <v>2E-3</v>
      </c>
      <c r="Z1575" s="214">
        <f t="shared" si="528"/>
        <v>0</v>
      </c>
      <c r="AA1575" s="214">
        <f t="shared" si="529"/>
        <v>0</v>
      </c>
    </row>
    <row r="1576" spans="1:27">
      <c r="A1576" s="239" t="s">
        <v>152</v>
      </c>
      <c r="B1576" s="319"/>
      <c r="C1576" s="320"/>
      <c r="D1576" s="320"/>
      <c r="E1576" s="316"/>
      <c r="F1576" s="316"/>
      <c r="G1576" s="321"/>
      <c r="H1576" s="319"/>
      <c r="I1576" s="319"/>
      <c r="J1576" s="230"/>
      <c r="K1576" s="305" t="s">
        <v>152</v>
      </c>
      <c r="L1576" s="239" t="e">
        <f t="shared" ref="L1576:L1592" si="532">B1576/I1576</f>
        <v>#DIV/0!</v>
      </c>
      <c r="M1576" s="267" t="e">
        <f t="shared" ref="M1576:M1592" si="533">D1576/I1576</f>
        <v>#DIV/0!</v>
      </c>
      <c r="N1576" s="267" t="e">
        <f t="shared" ref="N1576:N1592" si="534">D1576/B1576</f>
        <v>#DIV/0!</v>
      </c>
      <c r="O1576" s="239" t="e">
        <f t="shared" si="531"/>
        <v>#DIV/0!</v>
      </c>
      <c r="P1576" s="267" t="e">
        <f t="shared" ref="P1576:P1592" si="535">(E1576*3.6+G1576)*100/H1576</f>
        <v>#DIV/0!</v>
      </c>
      <c r="Q1576" s="267" t="e">
        <f t="shared" ref="Q1576:Q1592" si="536">E1576/(B1576*8760)*1000</f>
        <v>#DIV/0!</v>
      </c>
      <c r="R1576" s="267" t="e">
        <f t="shared" ref="R1576:R1592" si="537">G1576/(D1576*8761)*1000/3.6</f>
        <v>#DIV/0!</v>
      </c>
      <c r="S1576" s="267" t="e">
        <f t="shared" ref="S1576:S1592" si="538">G1576/(E1576*3.6)</f>
        <v>#DIV/0!</v>
      </c>
      <c r="U1576" s="239" t="s">
        <v>517</v>
      </c>
      <c r="V1576" s="492">
        <f t="shared" si="525"/>
        <v>0</v>
      </c>
      <c r="Z1576" s="214">
        <f t="shared" si="528"/>
        <v>0</v>
      </c>
      <c r="AA1576" s="214">
        <f t="shared" si="529"/>
        <v>0</v>
      </c>
    </row>
    <row r="1577" spans="1:27">
      <c r="A1577" s="239" t="s">
        <v>504</v>
      </c>
      <c r="B1577" s="319"/>
      <c r="C1577" s="320"/>
      <c r="D1577" s="320"/>
      <c r="E1577" s="316"/>
      <c r="F1577" s="316"/>
      <c r="G1577" s="321"/>
      <c r="H1577" s="319"/>
      <c r="I1577" s="319"/>
      <c r="J1577" s="230"/>
      <c r="K1577" s="305" t="s">
        <v>504</v>
      </c>
      <c r="L1577" s="239" t="e">
        <f t="shared" si="532"/>
        <v>#DIV/0!</v>
      </c>
      <c r="M1577" s="267" t="e">
        <f t="shared" si="533"/>
        <v>#DIV/0!</v>
      </c>
      <c r="N1577" s="267" t="e">
        <f t="shared" si="534"/>
        <v>#DIV/0!</v>
      </c>
      <c r="O1577" s="239" t="e">
        <f t="shared" si="531"/>
        <v>#DIV/0!</v>
      </c>
      <c r="P1577" s="267" t="e">
        <f t="shared" si="535"/>
        <v>#DIV/0!</v>
      </c>
      <c r="Q1577" s="267" t="e">
        <f t="shared" si="536"/>
        <v>#DIV/0!</v>
      </c>
      <c r="R1577" s="267" t="e">
        <f t="shared" si="537"/>
        <v>#DIV/0!</v>
      </c>
      <c r="S1577" s="267" t="e">
        <f t="shared" si="538"/>
        <v>#DIV/0!</v>
      </c>
      <c r="U1577" s="239" t="s">
        <v>518</v>
      </c>
      <c r="V1577" s="492">
        <f t="shared" si="525"/>
        <v>0</v>
      </c>
      <c r="Z1577" s="214">
        <f t="shared" si="528"/>
        <v>0</v>
      </c>
      <c r="AA1577" s="214">
        <f t="shared" si="529"/>
        <v>0</v>
      </c>
    </row>
    <row r="1578" spans="1:27">
      <c r="A1578" s="239" t="s">
        <v>505</v>
      </c>
      <c r="B1578" s="319"/>
      <c r="C1578" s="320"/>
      <c r="D1578" s="320"/>
      <c r="E1578" s="316"/>
      <c r="F1578" s="316"/>
      <c r="G1578" s="321"/>
      <c r="H1578" s="319"/>
      <c r="I1578" s="319"/>
      <c r="J1578" s="230"/>
      <c r="K1578" s="305" t="s">
        <v>505</v>
      </c>
      <c r="L1578" s="239" t="e">
        <f t="shared" si="532"/>
        <v>#DIV/0!</v>
      </c>
      <c r="M1578" s="267" t="e">
        <f t="shared" si="533"/>
        <v>#DIV/0!</v>
      </c>
      <c r="N1578" s="267" t="e">
        <f t="shared" si="534"/>
        <v>#DIV/0!</v>
      </c>
      <c r="O1578" s="239" t="e">
        <f t="shared" si="531"/>
        <v>#DIV/0!</v>
      </c>
      <c r="P1578" s="267" t="e">
        <f t="shared" si="535"/>
        <v>#DIV/0!</v>
      </c>
      <c r="Q1578" s="267" t="e">
        <f t="shared" si="536"/>
        <v>#DIV/0!</v>
      </c>
      <c r="R1578" s="267" t="e">
        <f t="shared" si="537"/>
        <v>#DIV/0!</v>
      </c>
      <c r="S1578" s="267" t="e">
        <f t="shared" si="538"/>
        <v>#DIV/0!</v>
      </c>
      <c r="U1578" s="239" t="s">
        <v>519</v>
      </c>
      <c r="V1578" s="492">
        <f t="shared" si="525"/>
        <v>2E-3</v>
      </c>
      <c r="Z1578" s="214">
        <f t="shared" si="528"/>
        <v>0</v>
      </c>
      <c r="AA1578" s="214">
        <f t="shared" si="529"/>
        <v>0</v>
      </c>
    </row>
    <row r="1579" spans="1:27">
      <c r="A1579" s="239" t="s">
        <v>506</v>
      </c>
      <c r="B1579" s="320"/>
      <c r="C1579" s="320"/>
      <c r="D1579" s="320"/>
      <c r="E1579" s="316"/>
      <c r="F1579" s="316"/>
      <c r="G1579" s="321"/>
      <c r="H1579" s="319"/>
      <c r="I1579" s="319"/>
      <c r="J1579" s="230"/>
      <c r="K1579" s="305" t="s">
        <v>506</v>
      </c>
      <c r="L1579" s="239" t="e">
        <f t="shared" si="532"/>
        <v>#DIV/0!</v>
      </c>
      <c r="M1579" s="267" t="e">
        <f t="shared" si="533"/>
        <v>#DIV/0!</v>
      </c>
      <c r="N1579" s="267" t="e">
        <f t="shared" si="534"/>
        <v>#DIV/0!</v>
      </c>
      <c r="O1579" s="239" t="e">
        <f t="shared" si="531"/>
        <v>#DIV/0!</v>
      </c>
      <c r="P1579" s="267" t="e">
        <f t="shared" si="535"/>
        <v>#DIV/0!</v>
      </c>
      <c r="Q1579" s="267" t="e">
        <f t="shared" si="536"/>
        <v>#DIV/0!</v>
      </c>
      <c r="R1579" s="267" t="e">
        <f t="shared" si="537"/>
        <v>#DIV/0!</v>
      </c>
      <c r="S1579" s="267" t="e">
        <f t="shared" si="538"/>
        <v>#DIV/0!</v>
      </c>
      <c r="Z1579" s="214">
        <f t="shared" si="528"/>
        <v>0</v>
      </c>
      <c r="AA1579" s="214">
        <f t="shared" si="529"/>
        <v>0</v>
      </c>
    </row>
    <row r="1580" spans="1:27">
      <c r="A1580" s="239" t="s">
        <v>507</v>
      </c>
      <c r="B1580" s="319"/>
      <c r="C1580" s="320"/>
      <c r="D1580" s="320"/>
      <c r="E1580" s="316"/>
      <c r="F1580" s="316"/>
      <c r="G1580" s="321"/>
      <c r="H1580" s="319"/>
      <c r="I1580" s="319"/>
      <c r="J1580" s="230"/>
      <c r="K1580" s="305" t="s">
        <v>507</v>
      </c>
      <c r="L1580" s="239" t="e">
        <f t="shared" si="532"/>
        <v>#DIV/0!</v>
      </c>
      <c r="M1580" s="267" t="e">
        <f t="shared" si="533"/>
        <v>#DIV/0!</v>
      </c>
      <c r="N1580" s="267" t="e">
        <f t="shared" si="534"/>
        <v>#DIV/0!</v>
      </c>
      <c r="O1580" s="239" t="e">
        <f t="shared" si="531"/>
        <v>#DIV/0!</v>
      </c>
      <c r="P1580" s="267" t="e">
        <f t="shared" si="535"/>
        <v>#DIV/0!</v>
      </c>
      <c r="Q1580" s="267" t="e">
        <f t="shared" si="536"/>
        <v>#DIV/0!</v>
      </c>
      <c r="R1580" s="267" t="e">
        <f t="shared" si="537"/>
        <v>#DIV/0!</v>
      </c>
      <c r="S1580" s="267" t="e">
        <f t="shared" si="538"/>
        <v>#DIV/0!</v>
      </c>
      <c r="Z1580" s="214">
        <f t="shared" si="528"/>
        <v>0</v>
      </c>
      <c r="AA1580" s="214">
        <f t="shared" si="529"/>
        <v>0</v>
      </c>
    </row>
    <row r="1581" spans="1:27">
      <c r="A1581" s="239" t="s">
        <v>156</v>
      </c>
      <c r="B1581" s="319"/>
      <c r="C1581" s="320"/>
      <c r="D1581" s="320"/>
      <c r="E1581" s="316"/>
      <c r="F1581" s="316"/>
      <c r="G1581" s="321"/>
      <c r="H1581" s="319"/>
      <c r="I1581" s="319"/>
      <c r="J1581" s="230"/>
      <c r="K1581" s="305" t="s">
        <v>156</v>
      </c>
      <c r="L1581" s="239" t="e">
        <f t="shared" si="532"/>
        <v>#DIV/0!</v>
      </c>
      <c r="M1581" s="267" t="e">
        <f t="shared" si="533"/>
        <v>#DIV/0!</v>
      </c>
      <c r="N1581" s="267" t="e">
        <f t="shared" si="534"/>
        <v>#DIV/0!</v>
      </c>
      <c r="O1581" s="322" t="e">
        <f t="shared" si="531"/>
        <v>#DIV/0!</v>
      </c>
      <c r="P1581" s="323" t="e">
        <f t="shared" si="535"/>
        <v>#DIV/0!</v>
      </c>
      <c r="Q1581" s="267" t="e">
        <f t="shared" si="536"/>
        <v>#DIV/0!</v>
      </c>
      <c r="R1581" s="267" t="e">
        <f t="shared" si="537"/>
        <v>#DIV/0!</v>
      </c>
      <c r="S1581" s="267" t="e">
        <f t="shared" si="538"/>
        <v>#DIV/0!</v>
      </c>
      <c r="Z1581" s="214">
        <f t="shared" si="528"/>
        <v>0</v>
      </c>
      <c r="AA1581" s="214">
        <f t="shared" si="529"/>
        <v>0</v>
      </c>
    </row>
    <row r="1582" spans="1:27">
      <c r="A1582" s="239" t="s">
        <v>508</v>
      </c>
      <c r="B1582" s="319"/>
      <c r="C1582" s="320"/>
      <c r="D1582" s="320"/>
      <c r="E1582" s="316"/>
      <c r="F1582" s="316"/>
      <c r="G1582" s="321"/>
      <c r="H1582" s="319"/>
      <c r="I1582" s="319"/>
      <c r="J1582" s="230"/>
      <c r="K1582" s="305" t="s">
        <v>508</v>
      </c>
      <c r="L1582" s="239" t="e">
        <f t="shared" si="532"/>
        <v>#DIV/0!</v>
      </c>
      <c r="M1582" s="267" t="e">
        <f t="shared" si="533"/>
        <v>#DIV/0!</v>
      </c>
      <c r="N1582" s="267" t="e">
        <f t="shared" si="534"/>
        <v>#DIV/0!</v>
      </c>
      <c r="O1582" s="239" t="e">
        <f t="shared" si="531"/>
        <v>#DIV/0!</v>
      </c>
      <c r="P1582" s="267" t="e">
        <f t="shared" si="535"/>
        <v>#DIV/0!</v>
      </c>
      <c r="Q1582" s="267" t="e">
        <f t="shared" si="536"/>
        <v>#DIV/0!</v>
      </c>
      <c r="R1582" s="267" t="e">
        <f t="shared" si="537"/>
        <v>#DIV/0!</v>
      </c>
      <c r="S1582" s="267" t="e">
        <f t="shared" si="538"/>
        <v>#DIV/0!</v>
      </c>
      <c r="Z1582" s="214">
        <f t="shared" si="528"/>
        <v>0</v>
      </c>
      <c r="AA1582" s="214">
        <f t="shared" si="529"/>
        <v>0</v>
      </c>
    </row>
    <row r="1583" spans="1:27">
      <c r="A1583" s="239" t="s">
        <v>509</v>
      </c>
      <c r="B1583" s="319"/>
      <c r="C1583" s="320"/>
      <c r="D1583" s="320"/>
      <c r="E1583" s="316"/>
      <c r="F1583" s="316"/>
      <c r="G1583" s="321"/>
      <c r="H1583" s="319"/>
      <c r="I1583" s="319"/>
      <c r="J1583" s="230"/>
      <c r="K1583" s="305" t="s">
        <v>509</v>
      </c>
      <c r="L1583" s="239" t="e">
        <f t="shared" si="532"/>
        <v>#DIV/0!</v>
      </c>
      <c r="M1583" s="267" t="e">
        <f t="shared" si="533"/>
        <v>#DIV/0!</v>
      </c>
      <c r="N1583" s="267" t="e">
        <f t="shared" si="534"/>
        <v>#DIV/0!</v>
      </c>
      <c r="O1583" s="239" t="e">
        <f t="shared" si="531"/>
        <v>#DIV/0!</v>
      </c>
      <c r="P1583" s="267" t="e">
        <f t="shared" si="535"/>
        <v>#DIV/0!</v>
      </c>
      <c r="Q1583" s="267" t="e">
        <f t="shared" si="536"/>
        <v>#DIV/0!</v>
      </c>
      <c r="R1583" s="267" t="e">
        <f t="shared" si="537"/>
        <v>#DIV/0!</v>
      </c>
      <c r="S1583" s="267" t="e">
        <f t="shared" si="538"/>
        <v>#DIV/0!</v>
      </c>
      <c r="Z1583" s="214">
        <f t="shared" si="528"/>
        <v>0</v>
      </c>
      <c r="AA1583" s="214">
        <f t="shared" si="529"/>
        <v>0</v>
      </c>
    </row>
    <row r="1584" spans="1:27">
      <c r="A1584" s="239" t="s">
        <v>510</v>
      </c>
      <c r="B1584" s="319"/>
      <c r="C1584" s="320"/>
      <c r="D1584" s="320"/>
      <c r="E1584" s="316"/>
      <c r="F1584" s="316"/>
      <c r="G1584" s="321"/>
      <c r="H1584" s="319"/>
      <c r="I1584" s="319"/>
      <c r="J1584" s="230"/>
      <c r="K1584" s="305" t="s">
        <v>510</v>
      </c>
      <c r="L1584" s="239" t="e">
        <f t="shared" si="532"/>
        <v>#DIV/0!</v>
      </c>
      <c r="M1584" s="267" t="e">
        <f t="shared" si="533"/>
        <v>#DIV/0!</v>
      </c>
      <c r="N1584" s="267" t="e">
        <f t="shared" si="534"/>
        <v>#DIV/0!</v>
      </c>
      <c r="O1584" s="322" t="e">
        <f t="shared" si="531"/>
        <v>#DIV/0!</v>
      </c>
      <c r="P1584" s="323" t="e">
        <f t="shared" si="535"/>
        <v>#DIV/0!</v>
      </c>
      <c r="Q1584" s="267" t="e">
        <f t="shared" si="536"/>
        <v>#DIV/0!</v>
      </c>
      <c r="R1584" s="267" t="e">
        <f t="shared" si="537"/>
        <v>#DIV/0!</v>
      </c>
      <c r="S1584" s="267" t="e">
        <f t="shared" si="538"/>
        <v>#DIV/0!</v>
      </c>
      <c r="Z1584" s="214">
        <f t="shared" si="528"/>
        <v>0</v>
      </c>
      <c r="AA1584" s="214">
        <f t="shared" si="529"/>
        <v>0</v>
      </c>
    </row>
    <row r="1585" spans="1:27">
      <c r="A1585" s="239" t="s">
        <v>511</v>
      </c>
      <c r="B1585" s="324"/>
      <c r="C1585" s="325"/>
      <c r="D1585" s="320"/>
      <c r="E1585" s="316"/>
      <c r="F1585" s="316"/>
      <c r="G1585" s="321"/>
      <c r="H1585" s="319"/>
      <c r="I1585" s="319"/>
      <c r="J1585" s="230"/>
      <c r="K1585" s="305" t="s">
        <v>511</v>
      </c>
      <c r="L1585" s="239" t="e">
        <f t="shared" si="532"/>
        <v>#DIV/0!</v>
      </c>
      <c r="M1585" s="267" t="e">
        <f t="shared" si="533"/>
        <v>#DIV/0!</v>
      </c>
      <c r="N1585" s="267" t="e">
        <f t="shared" si="534"/>
        <v>#DIV/0!</v>
      </c>
      <c r="O1585" s="239" t="e">
        <f t="shared" si="531"/>
        <v>#DIV/0!</v>
      </c>
      <c r="P1585" s="267" t="e">
        <f t="shared" si="535"/>
        <v>#DIV/0!</v>
      </c>
      <c r="Q1585" s="267" t="e">
        <f t="shared" si="536"/>
        <v>#DIV/0!</v>
      </c>
      <c r="R1585" s="267" t="e">
        <f t="shared" si="537"/>
        <v>#DIV/0!</v>
      </c>
      <c r="S1585" s="267" t="e">
        <f t="shared" si="538"/>
        <v>#DIV/0!</v>
      </c>
      <c r="Z1585" s="214">
        <f t="shared" si="528"/>
        <v>0</v>
      </c>
      <c r="AA1585" s="214">
        <f t="shared" si="529"/>
        <v>0</v>
      </c>
    </row>
    <row r="1586" spans="1:27">
      <c r="A1586" s="239" t="s">
        <v>512</v>
      </c>
      <c r="B1586" s="324">
        <v>14</v>
      </c>
      <c r="C1586" s="325">
        <v>14</v>
      </c>
      <c r="D1586" s="320">
        <v>129</v>
      </c>
      <c r="E1586" s="316">
        <v>23</v>
      </c>
      <c r="F1586" s="316">
        <v>23</v>
      </c>
      <c r="G1586" s="321">
        <v>544</v>
      </c>
      <c r="H1586" s="319">
        <v>723</v>
      </c>
      <c r="I1586" s="319">
        <v>2</v>
      </c>
      <c r="J1586" s="230"/>
      <c r="K1586" s="305" t="s">
        <v>512</v>
      </c>
      <c r="L1586" s="239">
        <f t="shared" si="532"/>
        <v>7</v>
      </c>
      <c r="M1586" s="267">
        <f t="shared" si="533"/>
        <v>64.5</v>
      </c>
      <c r="N1586" s="267">
        <f t="shared" si="534"/>
        <v>9.2142857142857135</v>
      </c>
      <c r="O1586" s="239">
        <f t="shared" si="531"/>
        <v>86.69432918395573</v>
      </c>
      <c r="P1586" s="267">
        <f t="shared" si="535"/>
        <v>86.69432918395573</v>
      </c>
      <c r="Q1586" s="267">
        <f t="shared" si="536"/>
        <v>0.18754076973255054</v>
      </c>
      <c r="R1586" s="267">
        <f t="shared" si="537"/>
        <v>0.13370665016569303</v>
      </c>
      <c r="S1586" s="267">
        <f t="shared" si="538"/>
        <v>6.5700483091787438</v>
      </c>
      <c r="Z1586" s="214">
        <f t="shared" si="528"/>
        <v>0</v>
      </c>
      <c r="AA1586" s="214">
        <f t="shared" si="529"/>
        <v>0</v>
      </c>
    </row>
    <row r="1587" spans="1:27">
      <c r="A1587" s="239" t="s">
        <v>513</v>
      </c>
      <c r="B1587" s="324">
        <v>1</v>
      </c>
      <c r="C1587" s="325">
        <v>1</v>
      </c>
      <c r="D1587" s="320">
        <v>42</v>
      </c>
      <c r="E1587" s="316">
        <v>0.4</v>
      </c>
      <c r="F1587" s="316">
        <v>0.4</v>
      </c>
      <c r="G1587" s="321">
        <v>79</v>
      </c>
      <c r="H1587" s="319">
        <v>93</v>
      </c>
      <c r="I1587" s="319">
        <v>1</v>
      </c>
      <c r="J1587" s="230"/>
      <c r="K1587" s="305" t="s">
        <v>513</v>
      </c>
      <c r="L1587" s="239">
        <f t="shared" si="532"/>
        <v>1</v>
      </c>
      <c r="M1587" s="267">
        <f t="shared" si="533"/>
        <v>42</v>
      </c>
      <c r="N1587" s="267">
        <f t="shared" si="534"/>
        <v>42</v>
      </c>
      <c r="O1587" s="239">
        <f t="shared" si="531"/>
        <v>86.494623655913983</v>
      </c>
      <c r="P1587" s="267">
        <f t="shared" si="535"/>
        <v>86.494623655913983</v>
      </c>
      <c r="Q1587" s="267">
        <f t="shared" si="536"/>
        <v>4.5662100456621009E-2</v>
      </c>
      <c r="R1587" s="267">
        <f t="shared" si="537"/>
        <v>5.9637800763243064E-2</v>
      </c>
      <c r="S1587" s="267">
        <f t="shared" si="538"/>
        <v>54.861111111111107</v>
      </c>
      <c r="Z1587" s="214">
        <f t="shared" si="528"/>
        <v>0</v>
      </c>
      <c r="AA1587" s="214">
        <f t="shared" si="529"/>
        <v>0</v>
      </c>
    </row>
    <row r="1588" spans="1:27">
      <c r="A1588" s="239" t="s">
        <v>514</v>
      </c>
      <c r="B1588" s="324"/>
      <c r="C1588" s="325"/>
      <c r="D1588" s="320"/>
      <c r="E1588" s="316"/>
      <c r="F1588" s="316"/>
      <c r="G1588" s="321"/>
      <c r="H1588" s="319"/>
      <c r="I1588" s="319"/>
      <c r="J1588" s="230"/>
      <c r="K1588" s="305" t="s">
        <v>514</v>
      </c>
      <c r="L1588" s="239" t="e">
        <f t="shared" si="532"/>
        <v>#DIV/0!</v>
      </c>
      <c r="M1588" s="267" t="e">
        <f t="shared" si="533"/>
        <v>#DIV/0!</v>
      </c>
      <c r="N1588" s="267" t="e">
        <f t="shared" si="534"/>
        <v>#DIV/0!</v>
      </c>
      <c r="O1588" s="239" t="e">
        <f t="shared" si="531"/>
        <v>#DIV/0!</v>
      </c>
      <c r="P1588" s="267" t="e">
        <f t="shared" si="535"/>
        <v>#DIV/0!</v>
      </c>
      <c r="Q1588" s="267" t="e">
        <f t="shared" si="536"/>
        <v>#DIV/0!</v>
      </c>
      <c r="R1588" s="267" t="e">
        <f t="shared" si="537"/>
        <v>#DIV/0!</v>
      </c>
      <c r="S1588" s="267" t="e">
        <f t="shared" si="538"/>
        <v>#DIV/0!</v>
      </c>
      <c r="Z1588" s="214">
        <f t="shared" si="528"/>
        <v>0</v>
      </c>
      <c r="AA1588" s="214">
        <f t="shared" si="529"/>
        <v>0</v>
      </c>
    </row>
    <row r="1589" spans="1:27">
      <c r="A1589" s="239" t="s">
        <v>515</v>
      </c>
      <c r="B1589" s="324"/>
      <c r="C1589" s="325"/>
      <c r="D1589" s="320"/>
      <c r="E1589" s="316"/>
      <c r="F1589" s="316"/>
      <c r="G1589" s="321"/>
      <c r="H1589" s="319"/>
      <c r="I1589" s="319"/>
      <c r="J1589" s="230"/>
      <c r="K1589" s="305" t="s">
        <v>515</v>
      </c>
      <c r="L1589" s="239" t="e">
        <f t="shared" si="532"/>
        <v>#DIV/0!</v>
      </c>
      <c r="M1589" s="267" t="e">
        <f t="shared" si="533"/>
        <v>#DIV/0!</v>
      </c>
      <c r="N1589" s="267" t="e">
        <f t="shared" si="534"/>
        <v>#DIV/0!</v>
      </c>
      <c r="O1589" s="239" t="e">
        <f t="shared" si="531"/>
        <v>#DIV/0!</v>
      </c>
      <c r="P1589" s="267" t="e">
        <f t="shared" si="535"/>
        <v>#DIV/0!</v>
      </c>
      <c r="Q1589" s="267" t="e">
        <f t="shared" si="536"/>
        <v>#DIV/0!</v>
      </c>
      <c r="R1589" s="267" t="e">
        <f t="shared" si="537"/>
        <v>#DIV/0!</v>
      </c>
      <c r="S1589" s="267" t="e">
        <f t="shared" si="538"/>
        <v>#DIV/0!</v>
      </c>
      <c r="Z1589" s="214">
        <f t="shared" si="528"/>
        <v>0</v>
      </c>
      <c r="AA1589" s="214">
        <f t="shared" si="529"/>
        <v>0</v>
      </c>
    </row>
    <row r="1590" spans="1:27">
      <c r="A1590" s="239" t="s">
        <v>516</v>
      </c>
      <c r="B1590" s="319">
        <v>2</v>
      </c>
      <c r="C1590" s="320">
        <v>2</v>
      </c>
      <c r="D1590" s="319">
        <v>4</v>
      </c>
      <c r="E1590" s="316">
        <v>4</v>
      </c>
      <c r="F1590" s="316">
        <v>4</v>
      </c>
      <c r="G1590" s="321">
        <v>18</v>
      </c>
      <c r="H1590" s="319">
        <v>42</v>
      </c>
      <c r="I1590" s="319">
        <v>2</v>
      </c>
      <c r="J1590" s="244"/>
      <c r="K1590" s="239" t="s">
        <v>516</v>
      </c>
      <c r="L1590" s="239">
        <f t="shared" si="532"/>
        <v>1</v>
      </c>
      <c r="M1590" s="267">
        <f t="shared" si="533"/>
        <v>2</v>
      </c>
      <c r="N1590" s="267">
        <f t="shared" si="534"/>
        <v>2</v>
      </c>
      <c r="O1590" s="239">
        <f t="shared" si="531"/>
        <v>77.142857142857139</v>
      </c>
      <c r="P1590" s="267">
        <f t="shared" si="535"/>
        <v>77.142857142857139</v>
      </c>
      <c r="Q1590" s="267">
        <f t="shared" si="536"/>
        <v>0.22831050228310501</v>
      </c>
      <c r="R1590" s="267">
        <f t="shared" si="537"/>
        <v>0.14267777650953087</v>
      </c>
      <c r="S1590" s="267">
        <f t="shared" si="538"/>
        <v>1.25</v>
      </c>
      <c r="Z1590" s="214">
        <f t="shared" si="528"/>
        <v>0</v>
      </c>
      <c r="AA1590" s="214">
        <f t="shared" si="529"/>
        <v>0</v>
      </c>
    </row>
    <row r="1591" spans="1:27">
      <c r="A1591" s="239" t="s">
        <v>517</v>
      </c>
      <c r="B1591" s="319"/>
      <c r="C1591" s="320"/>
      <c r="D1591" s="320"/>
      <c r="E1591" s="316"/>
      <c r="F1591" s="316"/>
      <c r="G1591" s="321"/>
      <c r="H1591" s="319"/>
      <c r="I1591" s="319"/>
      <c r="K1591" s="239" t="s">
        <v>517</v>
      </c>
      <c r="L1591" s="239" t="e">
        <f t="shared" si="532"/>
        <v>#DIV/0!</v>
      </c>
      <c r="M1591" s="267" t="e">
        <f t="shared" si="533"/>
        <v>#DIV/0!</v>
      </c>
      <c r="N1591" s="267" t="e">
        <f t="shared" si="534"/>
        <v>#DIV/0!</v>
      </c>
      <c r="O1591" s="239" t="e">
        <f t="shared" si="531"/>
        <v>#DIV/0!</v>
      </c>
      <c r="P1591" s="267" t="e">
        <f t="shared" si="535"/>
        <v>#DIV/0!</v>
      </c>
      <c r="Q1591" s="267" t="e">
        <f t="shared" si="536"/>
        <v>#DIV/0!</v>
      </c>
      <c r="R1591" s="267" t="e">
        <f t="shared" si="537"/>
        <v>#DIV/0!</v>
      </c>
      <c r="S1591" s="267" t="e">
        <f t="shared" si="538"/>
        <v>#DIV/0!</v>
      </c>
      <c r="Z1591" s="214">
        <f t="shared" si="528"/>
        <v>0</v>
      </c>
      <c r="AA1591" s="214">
        <f t="shared" si="529"/>
        <v>0</v>
      </c>
    </row>
    <row r="1592" spans="1:27">
      <c r="A1592" s="239" t="s">
        <v>518</v>
      </c>
      <c r="B1592" s="319"/>
      <c r="C1592" s="320"/>
      <c r="D1592" s="320"/>
      <c r="E1592" s="316"/>
      <c r="F1592" s="316"/>
      <c r="G1592" s="321"/>
      <c r="H1592" s="319"/>
      <c r="I1592" s="319"/>
      <c r="K1592" s="239" t="s">
        <v>518</v>
      </c>
      <c r="L1592" s="239" t="e">
        <f t="shared" si="532"/>
        <v>#DIV/0!</v>
      </c>
      <c r="M1592" s="267" t="e">
        <f t="shared" si="533"/>
        <v>#DIV/0!</v>
      </c>
      <c r="N1592" s="267" t="e">
        <f t="shared" si="534"/>
        <v>#DIV/0!</v>
      </c>
      <c r="O1592" s="239" t="e">
        <f t="shared" si="531"/>
        <v>#DIV/0!</v>
      </c>
      <c r="P1592" s="267" t="e">
        <f t="shared" si="535"/>
        <v>#DIV/0!</v>
      </c>
      <c r="Q1592" s="267" t="e">
        <f t="shared" si="536"/>
        <v>#DIV/0!</v>
      </c>
      <c r="R1592" s="267" t="e">
        <f t="shared" si="537"/>
        <v>#DIV/0!</v>
      </c>
      <c r="S1592" s="267" t="e">
        <f t="shared" si="538"/>
        <v>#DIV/0!</v>
      </c>
      <c r="Z1592" s="214">
        <f t="shared" si="528"/>
        <v>0</v>
      </c>
      <c r="AA1592" s="214">
        <f t="shared" si="529"/>
        <v>0</v>
      </c>
    </row>
    <row r="1593" spans="1:27">
      <c r="A1593" s="239" t="s">
        <v>519</v>
      </c>
      <c r="B1593" s="319">
        <v>2</v>
      </c>
      <c r="C1593" s="320">
        <v>2</v>
      </c>
      <c r="D1593" s="320">
        <v>2</v>
      </c>
      <c r="E1593" s="316">
        <v>14</v>
      </c>
      <c r="F1593" s="316">
        <v>14</v>
      </c>
      <c r="G1593" s="321">
        <v>61</v>
      </c>
      <c r="H1593" s="319">
        <v>130</v>
      </c>
      <c r="I1593" s="319">
        <v>1</v>
      </c>
      <c r="K1593" s="239" t="s">
        <v>519</v>
      </c>
      <c r="L1593" s="239"/>
      <c r="M1593" s="267"/>
      <c r="N1593" s="267"/>
      <c r="O1593" s="239"/>
      <c r="P1593" s="267"/>
      <c r="Q1593" s="267"/>
      <c r="R1593" s="267"/>
      <c r="S1593" s="267"/>
      <c r="Z1593" s="214">
        <f t="shared" si="528"/>
        <v>0</v>
      </c>
      <c r="AA1593" s="214">
        <f t="shared" si="529"/>
        <v>0</v>
      </c>
    </row>
    <row r="1594" spans="1:27">
      <c r="A1594" s="282" t="s">
        <v>169</v>
      </c>
      <c r="B1594" s="326">
        <f>(B1573+B1575)</f>
        <v>580</v>
      </c>
      <c r="C1594" s="326">
        <f t="shared" ref="C1594:I1594" si="539">(C1573+C1575)</f>
        <v>580</v>
      </c>
      <c r="D1594" s="326">
        <f t="shared" si="539"/>
        <v>1231</v>
      </c>
      <c r="E1594" s="326">
        <f t="shared" si="539"/>
        <v>1491.4</v>
      </c>
      <c r="F1594" s="326">
        <f t="shared" si="539"/>
        <v>1491.4</v>
      </c>
      <c r="G1594" s="327">
        <f t="shared" si="539"/>
        <v>12500</v>
      </c>
      <c r="H1594" s="326">
        <f t="shared" si="539"/>
        <v>22710</v>
      </c>
      <c r="I1594" s="326">
        <f t="shared" si="539"/>
        <v>22</v>
      </c>
      <c r="K1594" s="328" t="s">
        <v>169</v>
      </c>
      <c r="L1594" s="282">
        <f>B1594/I1594</f>
        <v>26.363636363636363</v>
      </c>
      <c r="M1594" s="281">
        <f>D1594/I1594</f>
        <v>55.954545454545453</v>
      </c>
      <c r="N1594" s="281">
        <f>D1594/B1594</f>
        <v>2.1224137931034481</v>
      </c>
      <c r="O1594" s="282">
        <f>(F1594*3.6+G1594)*100/H1594</f>
        <v>78.683575517393223</v>
      </c>
      <c r="P1594" s="282">
        <f>(E1594*3.6+G1594)*100/H1594</f>
        <v>78.683575517393223</v>
      </c>
      <c r="Q1594" s="281">
        <f>E1594/(B1594*8760)*1000</f>
        <v>0.29353645095260589</v>
      </c>
      <c r="R1594" s="281">
        <f>G1594/(D1594*8761)*1000/3.6</f>
        <v>0.32195544839229823</v>
      </c>
      <c r="S1594" s="281">
        <f>G1594/(E1594*3.6)</f>
        <v>2.3281629490560691</v>
      </c>
      <c r="Z1594" s="214">
        <f t="shared" si="528"/>
        <v>0</v>
      </c>
      <c r="AA1594" s="214">
        <f t="shared" si="529"/>
        <v>0</v>
      </c>
    </row>
    <row r="1596" spans="1:27">
      <c r="A1596" s="251" t="s">
        <v>520</v>
      </c>
      <c r="B1596" s="227" t="s">
        <v>476</v>
      </c>
      <c r="C1596" s="228"/>
      <c r="D1596" s="286"/>
      <c r="E1596" s="227" t="s">
        <v>521</v>
      </c>
      <c r="F1596" s="228"/>
      <c r="G1596" s="286"/>
      <c r="H1596" s="200" t="s">
        <v>138</v>
      </c>
      <c r="I1596" s="200" t="s">
        <v>478</v>
      </c>
    </row>
    <row r="1597" spans="1:27">
      <c r="A1597" s="239"/>
      <c r="B1597" s="243" t="s">
        <v>88</v>
      </c>
      <c r="C1597" s="243"/>
      <c r="D1597" s="241" t="s">
        <v>34</v>
      </c>
      <c r="E1597" s="243" t="s">
        <v>88</v>
      </c>
      <c r="F1597" s="243"/>
      <c r="G1597" s="241" t="s">
        <v>34</v>
      </c>
      <c r="H1597" s="241" t="s">
        <v>170</v>
      </c>
      <c r="I1597" s="241" t="s">
        <v>483</v>
      </c>
    </row>
    <row r="1598" spans="1:27">
      <c r="A1598" s="239"/>
      <c r="B1598" s="252" t="s">
        <v>0</v>
      </c>
      <c r="C1598" s="252" t="s">
        <v>489</v>
      </c>
      <c r="D1598" s="252" t="s">
        <v>490</v>
      </c>
      <c r="E1598" s="252" t="s">
        <v>491</v>
      </c>
      <c r="F1598" s="252" t="s">
        <v>489</v>
      </c>
      <c r="G1598" s="252" t="s">
        <v>490</v>
      </c>
      <c r="H1598" s="248"/>
      <c r="I1598" s="241" t="s">
        <v>492</v>
      </c>
    </row>
    <row r="1599" spans="1:27">
      <c r="A1599" s="239"/>
      <c r="B1599" s="257" t="s">
        <v>496</v>
      </c>
      <c r="C1599" s="256" t="s">
        <v>496</v>
      </c>
      <c r="D1599" s="252" t="s">
        <v>496</v>
      </c>
      <c r="E1599" s="329" t="s">
        <v>473</v>
      </c>
      <c r="F1599" s="329" t="s">
        <v>473</v>
      </c>
      <c r="G1599" s="252" t="s">
        <v>496</v>
      </c>
      <c r="H1599" s="257" t="s">
        <v>497</v>
      </c>
      <c r="I1599" s="257" t="s">
        <v>498</v>
      </c>
    </row>
    <row r="1600" spans="1:27">
      <c r="A1600" s="251" t="s">
        <v>522</v>
      </c>
      <c r="B1600" s="389"/>
      <c r="C1600" s="389"/>
      <c r="D1600" s="200"/>
      <c r="E1600" s="389"/>
      <c r="F1600" s="389"/>
      <c r="G1600" s="200"/>
      <c r="H1600" s="200"/>
      <c r="I1600" s="200"/>
    </row>
    <row r="1601" spans="1:21">
      <c r="A1601" s="239" t="s">
        <v>523</v>
      </c>
      <c r="B1601" s="204"/>
      <c r="C1601" s="204"/>
      <c r="D1601" s="204"/>
      <c r="E1601" s="216"/>
      <c r="F1601" s="204"/>
      <c r="G1601" s="204"/>
      <c r="H1601" s="202"/>
      <c r="I1601" s="216"/>
    </row>
    <row r="1602" spans="1:21">
      <c r="A1602" s="239" t="s">
        <v>524</v>
      </c>
      <c r="B1602" s="204"/>
      <c r="C1602" s="204">
        <v>13</v>
      </c>
      <c r="D1602" s="204">
        <v>11</v>
      </c>
      <c r="E1602" s="216"/>
      <c r="F1602" s="204"/>
      <c r="G1602" s="204"/>
      <c r="H1602" s="202"/>
      <c r="I1602" s="216">
        <v>1</v>
      </c>
    </row>
    <row r="1603" spans="1:21">
      <c r="A1603" s="239" t="s">
        <v>525</v>
      </c>
      <c r="B1603" s="204"/>
      <c r="C1603" s="204">
        <v>46</v>
      </c>
      <c r="D1603" s="204">
        <v>351</v>
      </c>
      <c r="E1603" s="216"/>
      <c r="F1603" s="204"/>
      <c r="G1603" s="204"/>
      <c r="H1603" s="202"/>
      <c r="I1603" s="216">
        <v>17</v>
      </c>
    </row>
    <row r="1604" spans="1:21">
      <c r="A1604" s="239" t="s">
        <v>267</v>
      </c>
      <c r="B1604" s="204"/>
      <c r="C1604" s="204"/>
      <c r="D1604" s="204"/>
      <c r="E1604" s="216"/>
      <c r="F1604" s="204"/>
      <c r="G1604" s="204"/>
      <c r="H1604" s="202"/>
      <c r="I1604" s="216"/>
    </row>
    <row r="1605" spans="1:21">
      <c r="A1605" s="312" t="s">
        <v>526</v>
      </c>
      <c r="B1605" s="391"/>
      <c r="C1605" s="391"/>
      <c r="D1605" s="205"/>
      <c r="E1605" s="391"/>
      <c r="F1605" s="391"/>
      <c r="G1605" s="205"/>
      <c r="H1605" s="205"/>
      <c r="I1605" s="391"/>
    </row>
    <row r="1606" spans="1:21">
      <c r="A1606" s="239" t="s">
        <v>527</v>
      </c>
      <c r="B1606" s="216"/>
      <c r="C1606" s="216">
        <v>131</v>
      </c>
      <c r="D1606" s="204">
        <v>344</v>
      </c>
      <c r="E1606" s="216"/>
      <c r="F1606" s="204"/>
      <c r="G1606" s="204"/>
      <c r="H1606" s="202"/>
      <c r="I1606" s="216">
        <v>2</v>
      </c>
    </row>
    <row r="1607" spans="1:21">
      <c r="A1607" s="239" t="s">
        <v>528</v>
      </c>
      <c r="B1607" s="204"/>
      <c r="C1607" s="204">
        <v>390</v>
      </c>
      <c r="D1607" s="204">
        <v>525</v>
      </c>
      <c r="E1607" s="204"/>
      <c r="F1607" s="204"/>
      <c r="G1607" s="204"/>
      <c r="H1607" s="202"/>
      <c r="I1607" s="204">
        <v>1</v>
      </c>
    </row>
    <row r="1608" spans="1:21">
      <c r="A1608" s="239" t="s">
        <v>529</v>
      </c>
      <c r="B1608" s="204"/>
      <c r="C1608" s="204"/>
      <c r="D1608" s="204"/>
      <c r="E1608" s="204"/>
      <c r="F1608" s="204"/>
      <c r="G1608" s="204"/>
      <c r="H1608" s="202"/>
      <c r="I1608" s="204"/>
    </row>
    <row r="1609" spans="1:21">
      <c r="A1609" s="239" t="s">
        <v>530</v>
      </c>
      <c r="B1609" s="204"/>
      <c r="C1609" s="204"/>
      <c r="D1609" s="204"/>
      <c r="E1609" s="204"/>
      <c r="F1609" s="204"/>
      <c r="G1609" s="204"/>
      <c r="H1609" s="202"/>
      <c r="I1609" s="204">
        <v>1</v>
      </c>
    </row>
    <row r="1610" spans="1:21">
      <c r="A1610" s="282" t="s">
        <v>169</v>
      </c>
      <c r="B1610" s="468">
        <v>580</v>
      </c>
      <c r="C1610" s="360">
        <v>580</v>
      </c>
      <c r="D1610" s="360">
        <v>1231</v>
      </c>
      <c r="E1610" s="468">
        <v>1491.4</v>
      </c>
      <c r="F1610" s="468">
        <v>1491.4</v>
      </c>
      <c r="G1610" s="468">
        <v>12500</v>
      </c>
      <c r="H1610" s="468">
        <v>22710</v>
      </c>
      <c r="I1610" s="360">
        <v>22</v>
      </c>
    </row>
    <row r="1611" spans="1:21">
      <c r="D1611" s="220"/>
    </row>
    <row r="1612" spans="1:21">
      <c r="D1612" s="220"/>
    </row>
    <row r="1613" spans="1:21">
      <c r="A1613" s="221" t="s">
        <v>188</v>
      </c>
      <c r="D1613" s="220"/>
      <c r="I1613" s="399">
        <v>2002</v>
      </c>
      <c r="K1613" s="399" t="str">
        <f>+A1613</f>
        <v>Lithuania</v>
      </c>
      <c r="M1613" s="220"/>
      <c r="S1613" s="399">
        <v>2002</v>
      </c>
    </row>
    <row r="1614" spans="1:21" ht="13.5" thickBot="1"/>
    <row r="1615" spans="1:21">
      <c r="A1615" s="346" t="s">
        <v>475</v>
      </c>
      <c r="B1615" s="233" t="s">
        <v>476</v>
      </c>
      <c r="C1615" s="233"/>
      <c r="D1615" s="234"/>
      <c r="E1615" s="235" t="s">
        <v>477</v>
      </c>
      <c r="F1615" s="233"/>
      <c r="G1615" s="236"/>
      <c r="H1615" s="347" t="s">
        <v>138</v>
      </c>
      <c r="I1615" s="348" t="s">
        <v>478</v>
      </c>
      <c r="J1615" s="230"/>
      <c r="K1615" s="231" t="s">
        <v>475</v>
      </c>
      <c r="L1615" s="232" t="s">
        <v>479</v>
      </c>
      <c r="M1615" s="233"/>
      <c r="N1615" s="234"/>
      <c r="O1615" s="235" t="s">
        <v>480</v>
      </c>
      <c r="P1615" s="233"/>
      <c r="Q1615" s="233"/>
      <c r="R1615" s="236"/>
      <c r="S1615" s="237"/>
    </row>
    <row r="1616" spans="1:21">
      <c r="A1616" s="266"/>
      <c r="B1616" s="240" t="s">
        <v>9</v>
      </c>
      <c r="C1616" s="240"/>
      <c r="D1616" s="241" t="s">
        <v>34</v>
      </c>
      <c r="E1616" s="242" t="s">
        <v>88</v>
      </c>
      <c r="F1616" s="243"/>
      <c r="G1616" s="244" t="s">
        <v>34</v>
      </c>
      <c r="H1616" s="241" t="s">
        <v>170</v>
      </c>
      <c r="I1616" s="349" t="s">
        <v>483</v>
      </c>
      <c r="J1616" s="230"/>
      <c r="K1616" s="245"/>
      <c r="L1616" s="246" t="s">
        <v>484</v>
      </c>
      <c r="M1616" s="247"/>
      <c r="N1616" s="248" t="s">
        <v>485</v>
      </c>
      <c r="O1616" s="248" t="s">
        <v>486</v>
      </c>
      <c r="P1616" s="248" t="s">
        <v>486</v>
      </c>
      <c r="Q1616" s="247" t="s">
        <v>487</v>
      </c>
      <c r="R1616" s="249"/>
      <c r="S1616" s="250" t="s">
        <v>485</v>
      </c>
      <c r="U1616" s="214" t="str">
        <f>A1613</f>
        <v>Lithuania</v>
      </c>
    </row>
    <row r="1617" spans="1:27">
      <c r="A1617" s="350" t="s">
        <v>488</v>
      </c>
      <c r="B1617" s="252" t="s">
        <v>0</v>
      </c>
      <c r="C1617" s="469" t="s">
        <v>489</v>
      </c>
      <c r="D1617" s="252" t="s">
        <v>490</v>
      </c>
      <c r="E1617" s="252" t="s">
        <v>491</v>
      </c>
      <c r="F1617" s="469" t="s">
        <v>489</v>
      </c>
      <c r="G1617" s="230" t="s">
        <v>490</v>
      </c>
      <c r="H1617" s="248"/>
      <c r="I1617" s="349" t="s">
        <v>492</v>
      </c>
      <c r="J1617" s="230"/>
      <c r="K1617" s="253" t="s">
        <v>488</v>
      </c>
      <c r="L1617" s="254" t="s">
        <v>88</v>
      </c>
      <c r="M1617" s="252" t="s">
        <v>34</v>
      </c>
      <c r="N1617" s="252" t="s">
        <v>493</v>
      </c>
      <c r="O1617" s="248" t="s">
        <v>494</v>
      </c>
      <c r="P1617" s="248" t="s">
        <v>495</v>
      </c>
      <c r="Q1617" s="230" t="s">
        <v>88</v>
      </c>
      <c r="R1617" s="248" t="s">
        <v>34</v>
      </c>
      <c r="S1617" s="255" t="s">
        <v>88</v>
      </c>
      <c r="U1617" s="214" t="s">
        <v>547</v>
      </c>
      <c r="V1617" s="214">
        <f>G1645/1000</f>
        <v>1.014</v>
      </c>
    </row>
    <row r="1618" spans="1:27">
      <c r="A1618" s="266"/>
      <c r="B1618" s="252" t="s">
        <v>496</v>
      </c>
      <c r="C1618" s="469" t="s">
        <v>496</v>
      </c>
      <c r="D1618" s="252" t="s">
        <v>496</v>
      </c>
      <c r="E1618" s="256" t="s">
        <v>473</v>
      </c>
      <c r="F1618" s="470" t="s">
        <v>473</v>
      </c>
      <c r="G1618" s="230" t="s">
        <v>451</v>
      </c>
      <c r="H1618" s="257" t="s">
        <v>497</v>
      </c>
      <c r="I1618" s="351" t="s">
        <v>498</v>
      </c>
      <c r="J1618" s="230"/>
      <c r="K1618" s="245"/>
      <c r="L1618" s="258" t="s">
        <v>496</v>
      </c>
      <c r="M1618" s="256" t="s">
        <v>496</v>
      </c>
      <c r="N1618" s="256"/>
      <c r="O1618" s="257" t="s">
        <v>79</v>
      </c>
      <c r="P1618" s="257" t="s">
        <v>79</v>
      </c>
      <c r="Q1618" s="259"/>
      <c r="R1618" s="257"/>
      <c r="S1618" s="260"/>
      <c r="U1618" s="214" t="s">
        <v>548</v>
      </c>
      <c r="V1618" s="214">
        <f>G1651/1000</f>
        <v>0</v>
      </c>
    </row>
    <row r="1619" spans="1:27">
      <c r="A1619" s="352" t="s">
        <v>262</v>
      </c>
      <c r="B1619" s="201"/>
      <c r="C1619" s="417"/>
      <c r="D1619" s="201"/>
      <c r="E1619" s="204"/>
      <c r="F1619" s="471"/>
      <c r="G1619" s="207"/>
      <c r="H1619" s="213"/>
      <c r="I1619" s="363"/>
      <c r="J1619" s="230"/>
      <c r="K1619" s="265" t="s">
        <v>262</v>
      </c>
      <c r="L1619" s="266" t="e">
        <f t="shared" ref="L1619:L1625" si="540">C1619/I1619</f>
        <v>#DIV/0!</v>
      </c>
      <c r="M1619" s="267" t="e">
        <f t="shared" ref="M1619:M1625" si="541">D1619/I1619</f>
        <v>#DIV/0!</v>
      </c>
      <c r="N1619" s="267" t="e">
        <f t="shared" ref="N1619:N1625" si="542">D1619/C1619</f>
        <v>#DIV/0!</v>
      </c>
      <c r="O1619" s="239" t="e">
        <f t="shared" ref="O1619:O1625" si="543">(F1619*3.6+G1619)*100/H1619</f>
        <v>#DIV/0!</v>
      </c>
      <c r="P1619" s="239" t="e">
        <f t="shared" ref="P1619:P1625" si="544">(F1619*3.6+G1619)*100/H1619</f>
        <v>#DIV/0!</v>
      </c>
      <c r="Q1619" s="267" t="e">
        <f t="shared" ref="Q1619:Q1625" si="545">F1619/(C1619*8760)*1000</f>
        <v>#DIV/0!</v>
      </c>
      <c r="R1619" s="267" t="e">
        <f t="shared" ref="R1619:R1625" si="546">G1619/(D1619*8761)*1000/3.6</f>
        <v>#DIV/0!</v>
      </c>
      <c r="S1619" s="268" t="e">
        <f t="shared" ref="S1619:S1625" si="547">G1619/(F1619*3.6)</f>
        <v>#DIV/0!</v>
      </c>
      <c r="U1619" s="214" t="s">
        <v>549</v>
      </c>
      <c r="V1619" s="214">
        <f>G1653/1000</f>
        <v>0</v>
      </c>
      <c r="Z1619" s="214">
        <f t="shared" ref="Z1619:Z1624" si="548">C1619-B1619</f>
        <v>0</v>
      </c>
      <c r="AA1619" s="214">
        <f t="shared" ref="AA1619:AA1624" si="549">F1619-E1619</f>
        <v>0</v>
      </c>
    </row>
    <row r="1620" spans="1:27">
      <c r="A1620" s="266" t="s">
        <v>263</v>
      </c>
      <c r="B1620" s="216">
        <v>40.1</v>
      </c>
      <c r="C1620" s="419">
        <v>40.1</v>
      </c>
      <c r="D1620" s="204">
        <v>275</v>
      </c>
      <c r="E1620" s="216">
        <v>153.4</v>
      </c>
      <c r="F1620" s="419">
        <v>153.4</v>
      </c>
      <c r="G1620" s="206">
        <v>3396</v>
      </c>
      <c r="H1620" s="202">
        <v>4894</v>
      </c>
      <c r="I1620" s="363">
        <v>7</v>
      </c>
      <c r="J1620" s="230"/>
      <c r="K1620" s="245" t="s">
        <v>263</v>
      </c>
      <c r="L1620" s="266">
        <f t="shared" si="540"/>
        <v>5.7285714285714286</v>
      </c>
      <c r="M1620" s="267">
        <f t="shared" si="541"/>
        <v>39.285714285714285</v>
      </c>
      <c r="N1620" s="267">
        <f t="shared" si="542"/>
        <v>6.8578553615960098</v>
      </c>
      <c r="O1620" s="239">
        <f t="shared" si="543"/>
        <v>80.675112382509198</v>
      </c>
      <c r="P1620" s="239">
        <f t="shared" si="544"/>
        <v>80.675112382509198</v>
      </c>
      <c r="Q1620" s="267">
        <f t="shared" si="545"/>
        <v>0.43669365399287174</v>
      </c>
      <c r="R1620" s="267">
        <f t="shared" si="546"/>
        <v>0.39154240729403383</v>
      </c>
      <c r="S1620" s="268">
        <f t="shared" si="547"/>
        <v>6.1495002172968274</v>
      </c>
      <c r="U1620" s="214" t="s">
        <v>550</v>
      </c>
      <c r="V1620" s="214">
        <f>G1658/1000</f>
        <v>0</v>
      </c>
      <c r="Z1620" s="214">
        <f t="shared" si="548"/>
        <v>0</v>
      </c>
      <c r="AA1620" s="214">
        <f t="shared" si="549"/>
        <v>0</v>
      </c>
    </row>
    <row r="1621" spans="1:27">
      <c r="A1621" s="266" t="s">
        <v>499</v>
      </c>
      <c r="B1621" s="216">
        <v>549</v>
      </c>
      <c r="C1621" s="419">
        <v>549</v>
      </c>
      <c r="D1621" s="204">
        <v>1221</v>
      </c>
      <c r="E1621" s="216">
        <v>1473</v>
      </c>
      <c r="F1621" s="419">
        <v>1473</v>
      </c>
      <c r="G1621" s="206">
        <v>10472</v>
      </c>
      <c r="H1621" s="202">
        <v>18378</v>
      </c>
      <c r="I1621" s="363">
        <v>5</v>
      </c>
      <c r="J1621" s="230"/>
      <c r="K1621" s="245" t="s">
        <v>499</v>
      </c>
      <c r="L1621" s="266">
        <f t="shared" si="540"/>
        <v>109.8</v>
      </c>
      <c r="M1621" s="267">
        <f t="shared" si="541"/>
        <v>244.2</v>
      </c>
      <c r="N1621" s="267">
        <f t="shared" si="542"/>
        <v>2.2240437158469946</v>
      </c>
      <c r="O1621" s="239">
        <f t="shared" si="543"/>
        <v>85.835237784307324</v>
      </c>
      <c r="P1621" s="239">
        <f t="shared" si="544"/>
        <v>85.835237784307324</v>
      </c>
      <c r="Q1621" s="267">
        <f t="shared" si="545"/>
        <v>0.30628540060383758</v>
      </c>
      <c r="R1621" s="267">
        <f t="shared" si="546"/>
        <v>0.27193041689103786</v>
      </c>
      <c r="S1621" s="268">
        <f t="shared" si="547"/>
        <v>1.9748057629931357</v>
      </c>
      <c r="U1621" s="214" t="s">
        <v>551</v>
      </c>
      <c r="V1621" s="214">
        <f>G1649/1000</f>
        <v>0</v>
      </c>
      <c r="Z1621" s="214">
        <f t="shared" si="548"/>
        <v>0</v>
      </c>
      <c r="AA1621" s="214">
        <f t="shared" si="549"/>
        <v>0</v>
      </c>
    </row>
    <row r="1622" spans="1:27">
      <c r="A1622" s="266" t="s">
        <v>265</v>
      </c>
      <c r="B1622" s="216"/>
      <c r="C1622" s="419"/>
      <c r="D1622" s="204"/>
      <c r="E1622" s="216"/>
      <c r="F1622" s="419"/>
      <c r="G1622" s="206"/>
      <c r="H1622" s="202"/>
      <c r="I1622" s="363"/>
      <c r="J1622" s="230"/>
      <c r="K1622" s="245" t="s">
        <v>265</v>
      </c>
      <c r="L1622" s="266" t="e">
        <f t="shared" si="540"/>
        <v>#DIV/0!</v>
      </c>
      <c r="M1622" s="267" t="e">
        <f t="shared" si="541"/>
        <v>#DIV/0!</v>
      </c>
      <c r="N1622" s="267" t="e">
        <f t="shared" si="542"/>
        <v>#DIV/0!</v>
      </c>
      <c r="O1622" s="239" t="e">
        <f t="shared" si="543"/>
        <v>#DIV/0!</v>
      </c>
      <c r="P1622" s="239" t="e">
        <f t="shared" si="544"/>
        <v>#DIV/0!</v>
      </c>
      <c r="Q1622" s="267" t="e">
        <f t="shared" si="545"/>
        <v>#DIV/0!</v>
      </c>
      <c r="R1622" s="267" t="e">
        <f t="shared" si="546"/>
        <v>#DIV/0!</v>
      </c>
      <c r="S1622" s="268" t="e">
        <f t="shared" si="547"/>
        <v>#DIV/0!</v>
      </c>
      <c r="U1622" s="214" t="s">
        <v>552</v>
      </c>
      <c r="V1622" s="214">
        <f>(G1646+G1647+G1648+G1650+G1652+G1654+G1655+G1656+G1657+G1659+G1660+G1661+G1662+G1663)/1000</f>
        <v>1.014</v>
      </c>
      <c r="Z1622" s="214">
        <f t="shared" si="548"/>
        <v>0</v>
      </c>
      <c r="AA1622" s="214">
        <f t="shared" si="549"/>
        <v>0</v>
      </c>
    </row>
    <row r="1623" spans="1:27">
      <c r="A1623" s="266" t="s">
        <v>266</v>
      </c>
      <c r="B1623" s="216"/>
      <c r="C1623" s="419"/>
      <c r="D1623" s="204"/>
      <c r="E1623" s="216"/>
      <c r="F1623" s="419"/>
      <c r="G1623" s="206"/>
      <c r="H1623" s="202"/>
      <c r="I1623" s="363"/>
      <c r="J1623" s="230"/>
      <c r="K1623" s="245" t="s">
        <v>266</v>
      </c>
      <c r="L1623" s="266" t="e">
        <f t="shared" si="540"/>
        <v>#DIV/0!</v>
      </c>
      <c r="M1623" s="267" t="e">
        <f t="shared" si="541"/>
        <v>#DIV/0!</v>
      </c>
      <c r="N1623" s="267" t="e">
        <f t="shared" si="542"/>
        <v>#DIV/0!</v>
      </c>
      <c r="O1623" s="239" t="e">
        <f t="shared" si="543"/>
        <v>#DIV/0!</v>
      </c>
      <c r="P1623" s="239" t="e">
        <f t="shared" si="544"/>
        <v>#DIV/0!</v>
      </c>
      <c r="Q1623" s="267" t="e">
        <f t="shared" si="545"/>
        <v>#DIV/0!</v>
      </c>
      <c r="R1623" s="267" t="e">
        <f t="shared" si="546"/>
        <v>#DIV/0!</v>
      </c>
      <c r="S1623" s="268" t="e">
        <f t="shared" si="547"/>
        <v>#DIV/0!</v>
      </c>
      <c r="Z1623" s="214">
        <f t="shared" si="548"/>
        <v>0</v>
      </c>
      <c r="AA1623" s="214">
        <f t="shared" si="549"/>
        <v>0</v>
      </c>
    </row>
    <row r="1624" spans="1:27">
      <c r="A1624" s="353" t="s">
        <v>267</v>
      </c>
      <c r="B1624" s="218"/>
      <c r="C1624" s="473"/>
      <c r="D1624" s="210"/>
      <c r="E1624" s="204"/>
      <c r="F1624" s="418"/>
      <c r="G1624" s="400"/>
      <c r="H1624" s="203"/>
      <c r="I1624" s="401"/>
      <c r="J1624" s="230"/>
      <c r="K1624" s="245" t="s">
        <v>267</v>
      </c>
      <c r="L1624" s="266" t="e">
        <f t="shared" si="540"/>
        <v>#DIV/0!</v>
      </c>
      <c r="M1624" s="267" t="e">
        <f t="shared" si="541"/>
        <v>#DIV/0!</v>
      </c>
      <c r="N1624" s="267" t="e">
        <f t="shared" si="542"/>
        <v>#DIV/0!</v>
      </c>
      <c r="O1624" s="239" t="e">
        <f t="shared" si="543"/>
        <v>#DIV/0!</v>
      </c>
      <c r="P1624" s="272" t="e">
        <f t="shared" si="544"/>
        <v>#DIV/0!</v>
      </c>
      <c r="Q1624" s="272" t="e">
        <f t="shared" si="545"/>
        <v>#DIV/0!</v>
      </c>
      <c r="R1624" s="274" t="e">
        <f t="shared" si="546"/>
        <v>#DIV/0!</v>
      </c>
      <c r="S1624" s="275" t="e">
        <f t="shared" si="547"/>
        <v>#DIV/0!</v>
      </c>
      <c r="U1624" s="214" t="s">
        <v>553</v>
      </c>
      <c r="V1624" s="214">
        <f>H1645/1000</f>
        <v>1.38</v>
      </c>
      <c r="Z1624" s="214">
        <f t="shared" si="548"/>
        <v>0</v>
      </c>
      <c r="AA1624" s="214">
        <f t="shared" si="549"/>
        <v>0</v>
      </c>
    </row>
    <row r="1625" spans="1:27">
      <c r="A1625" s="276" t="s">
        <v>500</v>
      </c>
      <c r="B1625" s="277">
        <f t="shared" ref="B1625:I1625" si="550">SUM(B1619:B1624)</f>
        <v>589.1</v>
      </c>
      <c r="C1625" s="277">
        <f t="shared" si="550"/>
        <v>589.1</v>
      </c>
      <c r="D1625" s="277">
        <f t="shared" si="550"/>
        <v>1496</v>
      </c>
      <c r="E1625" s="277">
        <f t="shared" si="550"/>
        <v>1626.4</v>
      </c>
      <c r="F1625" s="277">
        <f t="shared" si="550"/>
        <v>1626.4</v>
      </c>
      <c r="G1625" s="277">
        <f t="shared" si="550"/>
        <v>13868</v>
      </c>
      <c r="H1625" s="277">
        <f t="shared" si="550"/>
        <v>23272</v>
      </c>
      <c r="I1625" s="278">
        <f t="shared" si="550"/>
        <v>12</v>
      </c>
      <c r="J1625" s="244"/>
      <c r="K1625" s="279" t="s">
        <v>169</v>
      </c>
      <c r="L1625" s="280">
        <f t="shared" si="540"/>
        <v>49.091666666666669</v>
      </c>
      <c r="M1625" s="281">
        <f t="shared" si="541"/>
        <v>124.66666666666667</v>
      </c>
      <c r="N1625" s="281">
        <f t="shared" si="542"/>
        <v>2.5394669835342047</v>
      </c>
      <c r="O1625" s="282">
        <f t="shared" si="543"/>
        <v>84.750085940185627</v>
      </c>
      <c r="P1625" s="282">
        <f t="shared" si="544"/>
        <v>84.750085940185627</v>
      </c>
      <c r="Q1625" s="283">
        <f t="shared" si="545"/>
        <v>0.31516228222139026</v>
      </c>
      <c r="R1625" s="283">
        <f t="shared" si="546"/>
        <v>0.2939179151268827</v>
      </c>
      <c r="S1625" s="284">
        <f t="shared" si="547"/>
        <v>2.368557687052522</v>
      </c>
      <c r="U1625" s="214" t="s">
        <v>554</v>
      </c>
      <c r="V1625" s="214">
        <f>H1651/1000</f>
        <v>0</v>
      </c>
    </row>
    <row r="1626" spans="1:27">
      <c r="A1626" s="285" t="s">
        <v>501</v>
      </c>
      <c r="B1626" s="228" t="s">
        <v>476</v>
      </c>
      <c r="C1626" s="228"/>
      <c r="D1626" s="286"/>
      <c r="E1626" s="227" t="s">
        <v>477</v>
      </c>
      <c r="F1626" s="228"/>
      <c r="G1626" s="229"/>
      <c r="H1626" s="200" t="s">
        <v>138</v>
      </c>
      <c r="I1626" s="354" t="s">
        <v>478</v>
      </c>
      <c r="J1626" s="244"/>
      <c r="K1626" s="287" t="s">
        <v>501</v>
      </c>
      <c r="L1626" s="288" t="s">
        <v>479</v>
      </c>
      <c r="M1626" s="228"/>
      <c r="N1626" s="286"/>
      <c r="O1626" s="227" t="s">
        <v>480</v>
      </c>
      <c r="P1626" s="228"/>
      <c r="Q1626" s="228"/>
      <c r="R1626" s="229"/>
      <c r="S1626" s="289"/>
      <c r="U1626" s="214" t="s">
        <v>555</v>
      </c>
      <c r="V1626" s="214">
        <f>H1653/1000</f>
        <v>0</v>
      </c>
    </row>
    <row r="1627" spans="1:27">
      <c r="A1627" s="266"/>
      <c r="B1627" s="240" t="s">
        <v>481</v>
      </c>
      <c r="C1627" s="240"/>
      <c r="D1627" s="241" t="s">
        <v>34</v>
      </c>
      <c r="E1627" s="242" t="s">
        <v>482</v>
      </c>
      <c r="F1627" s="243"/>
      <c r="G1627" s="244" t="s">
        <v>34</v>
      </c>
      <c r="H1627" s="241" t="s">
        <v>170</v>
      </c>
      <c r="I1627" s="349" t="s">
        <v>483</v>
      </c>
      <c r="J1627" s="244"/>
      <c r="K1627" s="245"/>
      <c r="L1627" s="246" t="s">
        <v>484</v>
      </c>
      <c r="M1627" s="247"/>
      <c r="N1627" s="248" t="s">
        <v>485</v>
      </c>
      <c r="O1627" s="248" t="s">
        <v>486</v>
      </c>
      <c r="P1627" s="248" t="s">
        <v>486</v>
      </c>
      <c r="Q1627" s="247" t="s">
        <v>487</v>
      </c>
      <c r="R1627" s="249"/>
      <c r="S1627" s="250" t="s">
        <v>485</v>
      </c>
      <c r="U1627" s="214" t="s">
        <v>556</v>
      </c>
      <c r="V1627" s="214">
        <f>H1658/1000</f>
        <v>0</v>
      </c>
    </row>
    <row r="1628" spans="1:27">
      <c r="A1628" s="350" t="s">
        <v>488</v>
      </c>
      <c r="B1628" s="252" t="s">
        <v>0</v>
      </c>
      <c r="C1628" s="252" t="s">
        <v>489</v>
      </c>
      <c r="D1628" s="252" t="s">
        <v>490</v>
      </c>
      <c r="E1628" s="252" t="s">
        <v>491</v>
      </c>
      <c r="F1628" s="252" t="s">
        <v>489</v>
      </c>
      <c r="G1628" s="230" t="s">
        <v>490</v>
      </c>
      <c r="H1628" s="248"/>
      <c r="I1628" s="349" t="s">
        <v>492</v>
      </c>
      <c r="J1628" s="244"/>
      <c r="K1628" s="253" t="s">
        <v>488</v>
      </c>
      <c r="L1628" s="254" t="s">
        <v>88</v>
      </c>
      <c r="M1628" s="252" t="s">
        <v>34</v>
      </c>
      <c r="N1628" s="252" t="s">
        <v>493</v>
      </c>
      <c r="O1628" s="248" t="s">
        <v>494</v>
      </c>
      <c r="P1628" s="248" t="s">
        <v>495</v>
      </c>
      <c r="Q1628" s="230" t="s">
        <v>88</v>
      </c>
      <c r="R1628" s="248" t="s">
        <v>34</v>
      </c>
      <c r="S1628" s="255" t="s">
        <v>88</v>
      </c>
      <c r="U1628" s="214" t="s">
        <v>557</v>
      </c>
      <c r="V1628" s="214">
        <f>H1649/1000</f>
        <v>0</v>
      </c>
    </row>
    <row r="1629" spans="1:27">
      <c r="A1629" s="266"/>
      <c r="B1629" s="252" t="s">
        <v>496</v>
      </c>
      <c r="C1629" s="252" t="s">
        <v>496</v>
      </c>
      <c r="D1629" s="252" t="s">
        <v>496</v>
      </c>
      <c r="E1629" s="256" t="s">
        <v>473</v>
      </c>
      <c r="F1629" s="256" t="s">
        <v>473</v>
      </c>
      <c r="G1629" s="230" t="s">
        <v>451</v>
      </c>
      <c r="H1629" s="257" t="s">
        <v>497</v>
      </c>
      <c r="I1629" s="351" t="s">
        <v>498</v>
      </c>
      <c r="J1629" s="244"/>
      <c r="K1629" s="245"/>
      <c r="L1629" s="258" t="s">
        <v>496</v>
      </c>
      <c r="M1629" s="256" t="s">
        <v>496</v>
      </c>
      <c r="N1629" s="256"/>
      <c r="O1629" s="257" t="s">
        <v>79</v>
      </c>
      <c r="P1629" s="257" t="s">
        <v>79</v>
      </c>
      <c r="Q1629" s="259"/>
      <c r="R1629" s="257"/>
      <c r="S1629" s="260"/>
      <c r="U1629" s="214" t="s">
        <v>558</v>
      </c>
      <c r="V1629" s="214">
        <f>(H1646+H1647+H1648+H1650+H1652+H1654+H1655+H1656+H1657+H1659+H1660+H1661+H1662+H1663)/1000</f>
        <v>1.38</v>
      </c>
    </row>
    <row r="1630" spans="1:27">
      <c r="A1630" s="352" t="s">
        <v>262</v>
      </c>
      <c r="B1630" s="365"/>
      <c r="C1630" s="365"/>
      <c r="D1630" s="365"/>
      <c r="E1630" s="320"/>
      <c r="F1630" s="319"/>
      <c r="G1630" s="368"/>
      <c r="H1630" s="369"/>
      <c r="I1630" s="370"/>
      <c r="J1630" s="244"/>
      <c r="K1630" s="265" t="s">
        <v>262</v>
      </c>
      <c r="L1630" s="266" t="e">
        <f>B1630/I1630</f>
        <v>#DIV/0!</v>
      </c>
      <c r="M1630" s="267" t="e">
        <f t="shared" ref="M1630:M1637" si="551">D1630/I1630</f>
        <v>#DIV/0!</v>
      </c>
      <c r="N1630" s="267" t="e">
        <f>D1630/B1630</f>
        <v>#DIV/0!</v>
      </c>
      <c r="O1630" s="239" t="e">
        <f t="shared" ref="O1630:O1637" si="552">(F1630*3.6+G1630)*100/H1630</f>
        <v>#DIV/0!</v>
      </c>
      <c r="P1630" s="267" t="e">
        <f>(E1630*3.6+G1630)*100/H1630</f>
        <v>#DIV/0!</v>
      </c>
      <c r="Q1630" s="267" t="e">
        <f>E1630/(B1630*8760)*1000</f>
        <v>#DIV/0!</v>
      </c>
      <c r="R1630" s="267" t="e">
        <f t="shared" ref="R1630:R1637" si="553">G1630/(D1630*8761)*1000/3.6</f>
        <v>#DIV/0!</v>
      </c>
      <c r="S1630" s="268" t="e">
        <f>G1630/(E1630*3.6)</f>
        <v>#DIV/0!</v>
      </c>
      <c r="Z1630" s="214">
        <f t="shared" ref="Z1630:Z1637" si="554">C1630-B1630</f>
        <v>0</v>
      </c>
      <c r="AA1630" s="214">
        <f t="shared" ref="AA1630:AA1637" si="555">F1630-E1630</f>
        <v>0</v>
      </c>
    </row>
    <row r="1631" spans="1:27">
      <c r="A1631" s="266" t="s">
        <v>263</v>
      </c>
      <c r="B1631" s="320"/>
      <c r="C1631" s="320"/>
      <c r="D1631" s="320"/>
      <c r="E1631" s="320"/>
      <c r="F1631" s="319"/>
      <c r="G1631" s="321"/>
      <c r="H1631" s="319"/>
      <c r="I1631" s="370"/>
      <c r="J1631" s="244"/>
      <c r="K1631" s="245" t="s">
        <v>263</v>
      </c>
      <c r="L1631" s="266" t="e">
        <f>B1631/I1631</f>
        <v>#DIV/0!</v>
      </c>
      <c r="M1631" s="267" t="e">
        <f t="shared" si="551"/>
        <v>#DIV/0!</v>
      </c>
      <c r="N1631" s="267" t="e">
        <f>D1631/B1631</f>
        <v>#DIV/0!</v>
      </c>
      <c r="O1631" s="239" t="e">
        <f t="shared" si="552"/>
        <v>#DIV/0!</v>
      </c>
      <c r="P1631" s="267" t="e">
        <f>(E1631*3.6+G1631)*100/H1631</f>
        <v>#DIV/0!</v>
      </c>
      <c r="Q1631" s="267" t="e">
        <f>E1631/(B1631*8760)*1000</f>
        <v>#DIV/0!</v>
      </c>
      <c r="R1631" s="267" t="e">
        <f t="shared" si="553"/>
        <v>#DIV/0!</v>
      </c>
      <c r="S1631" s="268" t="e">
        <f>G1631/(E1631*3.6)</f>
        <v>#DIV/0!</v>
      </c>
      <c r="U1631" s="239" t="s">
        <v>152</v>
      </c>
      <c r="V1631" s="492">
        <f>B1646/1000</f>
        <v>0</v>
      </c>
      <c r="Z1631" s="214">
        <f t="shared" si="554"/>
        <v>0</v>
      </c>
      <c r="AA1631" s="214">
        <f t="shared" si="555"/>
        <v>0</v>
      </c>
    </row>
    <row r="1632" spans="1:27">
      <c r="A1632" s="266" t="s">
        <v>499</v>
      </c>
      <c r="B1632" s="320">
        <v>1890</v>
      </c>
      <c r="C1632" s="320">
        <v>1960</v>
      </c>
      <c r="D1632" s="320">
        <v>805</v>
      </c>
      <c r="E1632" s="320">
        <v>100</v>
      </c>
      <c r="F1632" s="319">
        <v>1033</v>
      </c>
      <c r="G1632" s="321">
        <v>1624</v>
      </c>
      <c r="H1632" s="319">
        <v>12506</v>
      </c>
      <c r="I1632" s="370">
        <v>10</v>
      </c>
      <c r="J1632" s="244"/>
      <c r="K1632" s="245" t="s">
        <v>499</v>
      </c>
      <c r="L1632" s="266">
        <f>B1632/I1632</f>
        <v>189</v>
      </c>
      <c r="M1632" s="267">
        <f t="shared" si="551"/>
        <v>80.5</v>
      </c>
      <c r="N1632" s="267">
        <f>D1632/B1632</f>
        <v>0.42592592592592593</v>
      </c>
      <c r="O1632" s="239">
        <f t="shared" si="552"/>
        <v>42.721893491124263</v>
      </c>
      <c r="P1632" s="267">
        <f>(E1632*3.6+G1632)*100/H1632</f>
        <v>15.864385095154326</v>
      </c>
      <c r="Q1632" s="267">
        <f>E1632/(B1632*8760)*1000</f>
        <v>6.0399603778599209E-3</v>
      </c>
      <c r="R1632" s="267">
        <f t="shared" si="553"/>
        <v>6.396375681200224E-2</v>
      </c>
      <c r="S1632" s="268">
        <f>G1632/(E1632*3.6)</f>
        <v>4.5111111111111111</v>
      </c>
      <c r="U1632" s="239" t="s">
        <v>504</v>
      </c>
      <c r="V1632" s="492">
        <f t="shared" ref="V1632:V1648" si="556">B1647/1000</f>
        <v>0</v>
      </c>
      <c r="Z1632" s="214">
        <f t="shared" si="554"/>
        <v>70</v>
      </c>
      <c r="AA1632" s="214">
        <f t="shared" si="555"/>
        <v>933</v>
      </c>
    </row>
    <row r="1633" spans="1:27">
      <c r="A1633" s="266" t="s">
        <v>265</v>
      </c>
      <c r="B1633" s="320"/>
      <c r="C1633" s="320"/>
      <c r="D1633" s="320"/>
      <c r="E1633" s="320"/>
      <c r="F1633" s="319"/>
      <c r="G1633" s="321"/>
      <c r="H1633" s="319"/>
      <c r="I1633" s="370"/>
      <c r="J1633" s="244"/>
      <c r="K1633" s="245" t="s">
        <v>265</v>
      </c>
      <c r="L1633" s="266" t="e">
        <f>B1633/I1633</f>
        <v>#DIV/0!</v>
      </c>
      <c r="M1633" s="267" t="e">
        <f t="shared" si="551"/>
        <v>#DIV/0!</v>
      </c>
      <c r="N1633" s="267" t="e">
        <f>D1633/B1633</f>
        <v>#DIV/0!</v>
      </c>
      <c r="O1633" s="239" t="e">
        <f t="shared" si="552"/>
        <v>#DIV/0!</v>
      </c>
      <c r="P1633" s="267" t="e">
        <f>(E1633*3.6+G1633)*100/H1633</f>
        <v>#DIV/0!</v>
      </c>
      <c r="Q1633" s="267" t="e">
        <f>E1633/(B1633*8760)*1000</f>
        <v>#DIV/0!</v>
      </c>
      <c r="R1633" s="267" t="e">
        <f t="shared" si="553"/>
        <v>#DIV/0!</v>
      </c>
      <c r="S1633" s="268" t="e">
        <f>G1633/(E1633*3.6)</f>
        <v>#DIV/0!</v>
      </c>
      <c r="U1633" s="239" t="s">
        <v>505</v>
      </c>
      <c r="V1633" s="492">
        <f t="shared" si="556"/>
        <v>0</v>
      </c>
      <c r="Z1633" s="214">
        <f t="shared" si="554"/>
        <v>0</v>
      </c>
      <c r="AA1633" s="214">
        <f t="shared" si="555"/>
        <v>0</v>
      </c>
    </row>
    <row r="1634" spans="1:27">
      <c r="A1634" s="266" t="s">
        <v>266</v>
      </c>
      <c r="B1634" s="320"/>
      <c r="C1634" s="320"/>
      <c r="D1634" s="320"/>
      <c r="E1634" s="320"/>
      <c r="F1634" s="319"/>
      <c r="G1634" s="321"/>
      <c r="H1634" s="319"/>
      <c r="I1634" s="370"/>
      <c r="J1634" s="244"/>
      <c r="K1634" s="245" t="s">
        <v>266</v>
      </c>
      <c r="L1634" s="266" t="e">
        <f>B1634/I1634</f>
        <v>#DIV/0!</v>
      </c>
      <c r="M1634" s="267" t="e">
        <f t="shared" si="551"/>
        <v>#DIV/0!</v>
      </c>
      <c r="N1634" s="267" t="e">
        <f>D1634/B1634</f>
        <v>#DIV/0!</v>
      </c>
      <c r="O1634" s="239" t="e">
        <f t="shared" si="552"/>
        <v>#DIV/0!</v>
      </c>
      <c r="P1634" s="267" t="e">
        <f>(E1634*3.6+G1634)*100/H1634</f>
        <v>#DIV/0!</v>
      </c>
      <c r="Q1634" s="267" t="e">
        <f>E1634/(B1634*8760)*1000</f>
        <v>#DIV/0!</v>
      </c>
      <c r="R1634" s="267" t="e">
        <f t="shared" si="553"/>
        <v>#DIV/0!</v>
      </c>
      <c r="S1634" s="268" t="e">
        <f>G1634/(E1634*3.6)</f>
        <v>#DIV/0!</v>
      </c>
      <c r="U1634" s="239" t="s">
        <v>506</v>
      </c>
      <c r="V1634" s="492">
        <f t="shared" si="556"/>
        <v>0</v>
      </c>
      <c r="Z1634" s="214">
        <f t="shared" si="554"/>
        <v>0</v>
      </c>
      <c r="AA1634" s="214">
        <f t="shared" si="555"/>
        <v>0</v>
      </c>
    </row>
    <row r="1635" spans="1:27">
      <c r="A1635" s="353" t="s">
        <v>267</v>
      </c>
      <c r="B1635" s="262"/>
      <c r="C1635" s="262"/>
      <c r="D1635" s="262"/>
      <c r="E1635" s="262"/>
      <c r="F1635" s="262"/>
      <c r="G1635" s="262"/>
      <c r="H1635" s="262"/>
      <c r="I1635" s="355"/>
      <c r="J1635" s="244"/>
      <c r="K1635" s="245" t="s">
        <v>267</v>
      </c>
      <c r="L1635" s="266" t="e">
        <f>C1635/I1635</f>
        <v>#DIV/0!</v>
      </c>
      <c r="M1635" s="267" t="e">
        <f t="shared" si="551"/>
        <v>#DIV/0!</v>
      </c>
      <c r="N1635" s="267" t="e">
        <f>D1635/C1635</f>
        <v>#DIV/0!</v>
      </c>
      <c r="O1635" s="239" t="e">
        <f t="shared" si="552"/>
        <v>#DIV/0!</v>
      </c>
      <c r="P1635" s="267" t="e">
        <f>(F1635*3.6+G1635)*100/H1635</f>
        <v>#DIV/0!</v>
      </c>
      <c r="Q1635" s="272" t="e">
        <f>F1635/(C1635*8760)*1000</f>
        <v>#DIV/0!</v>
      </c>
      <c r="R1635" s="274" t="e">
        <f t="shared" si="553"/>
        <v>#DIV/0!</v>
      </c>
      <c r="S1635" s="275" t="e">
        <f>G1635/(F1635*3.6)</f>
        <v>#DIV/0!</v>
      </c>
      <c r="U1635" s="239" t="s">
        <v>507</v>
      </c>
      <c r="V1635" s="492">
        <f t="shared" si="556"/>
        <v>0</v>
      </c>
      <c r="Z1635" s="214">
        <f t="shared" si="554"/>
        <v>0</v>
      </c>
      <c r="AA1635" s="214">
        <f t="shared" si="555"/>
        <v>0</v>
      </c>
    </row>
    <row r="1636" spans="1:27">
      <c r="A1636" s="276" t="s">
        <v>500</v>
      </c>
      <c r="B1636" s="291">
        <f t="shared" ref="B1636:I1636" si="557">SUM(B1630:B1635)</f>
        <v>1890</v>
      </c>
      <c r="C1636" s="291">
        <f t="shared" si="557"/>
        <v>1960</v>
      </c>
      <c r="D1636" s="291">
        <f t="shared" si="557"/>
        <v>805</v>
      </c>
      <c r="E1636" s="291">
        <f t="shared" si="557"/>
        <v>100</v>
      </c>
      <c r="F1636" s="291">
        <f t="shared" si="557"/>
        <v>1033</v>
      </c>
      <c r="G1636" s="292">
        <f t="shared" si="557"/>
        <v>1624</v>
      </c>
      <c r="H1636" s="291">
        <f t="shared" si="557"/>
        <v>12506</v>
      </c>
      <c r="I1636" s="293">
        <f t="shared" si="557"/>
        <v>10</v>
      </c>
      <c r="J1636" s="244"/>
      <c r="K1636" s="279" t="s">
        <v>169</v>
      </c>
      <c r="L1636" s="280">
        <f>B1636/I1636</f>
        <v>189</v>
      </c>
      <c r="M1636" s="281">
        <f t="shared" si="551"/>
        <v>80.5</v>
      </c>
      <c r="N1636" s="281">
        <f>D1636/B1636</f>
        <v>0.42592592592592593</v>
      </c>
      <c r="O1636" s="294">
        <f t="shared" si="552"/>
        <v>42.721893491124263</v>
      </c>
      <c r="P1636" s="295">
        <f>(E1636*3.6+G1636)*100/H1636</f>
        <v>15.864385095154326</v>
      </c>
      <c r="Q1636" s="283">
        <f>E1636/(B1636*8760)*1000</f>
        <v>6.0399603778599209E-3</v>
      </c>
      <c r="R1636" s="283">
        <f t="shared" si="553"/>
        <v>6.396375681200224E-2</v>
      </c>
      <c r="S1636" s="284">
        <f>G1636/(E1636*3.6)</f>
        <v>4.5111111111111111</v>
      </c>
      <c r="U1636" s="239" t="s">
        <v>156</v>
      </c>
      <c r="V1636" s="492">
        <f t="shared" si="556"/>
        <v>0</v>
      </c>
      <c r="Z1636" s="214">
        <f t="shared" si="554"/>
        <v>70</v>
      </c>
      <c r="AA1636" s="214">
        <f t="shared" si="555"/>
        <v>933</v>
      </c>
    </row>
    <row r="1637" spans="1:27" ht="13.5" thickBot="1">
      <c r="A1637" s="296" t="s">
        <v>502</v>
      </c>
      <c r="B1637" s="297">
        <f t="shared" ref="B1637:I1637" si="558">B1625+B1636</f>
        <v>2479.1</v>
      </c>
      <c r="C1637" s="297">
        <f t="shared" si="558"/>
        <v>2549.1</v>
      </c>
      <c r="D1637" s="297">
        <f t="shared" si="558"/>
        <v>2301</v>
      </c>
      <c r="E1637" s="297">
        <f t="shared" si="558"/>
        <v>1726.4</v>
      </c>
      <c r="F1637" s="297">
        <f t="shared" si="558"/>
        <v>2659.4</v>
      </c>
      <c r="G1637" s="297">
        <f t="shared" si="558"/>
        <v>15492</v>
      </c>
      <c r="H1637" s="297">
        <f t="shared" si="558"/>
        <v>35778</v>
      </c>
      <c r="I1637" s="298">
        <f t="shared" si="558"/>
        <v>22</v>
      </c>
      <c r="J1637" s="244"/>
      <c r="K1637" s="296" t="s">
        <v>502</v>
      </c>
      <c r="L1637" s="299">
        <f>B1637/I1637</f>
        <v>112.68636363636364</v>
      </c>
      <c r="M1637" s="300">
        <f t="shared" si="551"/>
        <v>104.59090909090909</v>
      </c>
      <c r="N1637" s="300">
        <f>D1637/B1637</f>
        <v>0.92815941269008917</v>
      </c>
      <c r="O1637" s="301">
        <f t="shared" si="552"/>
        <v>70.059366090893846</v>
      </c>
      <c r="P1637" s="301">
        <f>(E1637*3.6+G1637)*100/H1637</f>
        <v>60.671474090223043</v>
      </c>
      <c r="Q1637" s="301">
        <f>E1637/(B1637*8760)*1000</f>
        <v>7.949563372626206E-2</v>
      </c>
      <c r="R1637" s="301">
        <f t="shared" si="553"/>
        <v>0.21346893753301968</v>
      </c>
      <c r="S1637" s="302">
        <f>G1637/(E1637*3.6)</f>
        <v>2.492662959530429</v>
      </c>
      <c r="U1637" s="239" t="s">
        <v>508</v>
      </c>
      <c r="V1637" s="492">
        <f t="shared" si="556"/>
        <v>0</v>
      </c>
      <c r="Z1637" s="214">
        <f t="shared" si="554"/>
        <v>70</v>
      </c>
      <c r="AA1637" s="214">
        <f t="shared" si="555"/>
        <v>933</v>
      </c>
    </row>
    <row r="1638" spans="1:27">
      <c r="U1638" s="239" t="s">
        <v>509</v>
      </c>
      <c r="V1638" s="492">
        <f t="shared" si="556"/>
        <v>0</v>
      </c>
    </row>
    <row r="1639" spans="1:27">
      <c r="A1639" s="251" t="s">
        <v>139</v>
      </c>
      <c r="B1639" s="227" t="s">
        <v>476</v>
      </c>
      <c r="C1639" s="228"/>
      <c r="D1639" s="286"/>
      <c r="E1639" s="227" t="s">
        <v>477</v>
      </c>
      <c r="F1639" s="228"/>
      <c r="G1639" s="229"/>
      <c r="H1639" s="200" t="s">
        <v>138</v>
      </c>
      <c r="I1639" s="200" t="s">
        <v>478</v>
      </c>
      <c r="J1639" s="230"/>
      <c r="K1639" s="303" t="s">
        <v>503</v>
      </c>
      <c r="L1639" s="227" t="s">
        <v>479</v>
      </c>
      <c r="M1639" s="228"/>
      <c r="N1639" s="286"/>
      <c r="O1639" s="227" t="s">
        <v>480</v>
      </c>
      <c r="P1639" s="228"/>
      <c r="Q1639" s="228"/>
      <c r="R1639" s="229"/>
      <c r="S1639" s="286"/>
      <c r="U1639" s="239" t="s">
        <v>510</v>
      </c>
      <c r="V1639" s="492">
        <f t="shared" si="556"/>
        <v>0</v>
      </c>
    </row>
    <row r="1640" spans="1:27">
      <c r="A1640" s="239"/>
      <c r="B1640" s="240" t="s">
        <v>9</v>
      </c>
      <c r="C1640" s="240"/>
      <c r="D1640" s="241" t="s">
        <v>34</v>
      </c>
      <c r="E1640" s="242" t="s">
        <v>88</v>
      </c>
      <c r="F1640" s="243"/>
      <c r="G1640" s="244" t="s">
        <v>34</v>
      </c>
      <c r="H1640" s="241" t="s">
        <v>170</v>
      </c>
      <c r="I1640" s="241" t="s">
        <v>483</v>
      </c>
      <c r="J1640" s="230"/>
      <c r="K1640" s="305"/>
      <c r="L1640" s="306" t="s">
        <v>484</v>
      </c>
      <c r="M1640" s="247"/>
      <c r="N1640" s="248" t="s">
        <v>485</v>
      </c>
      <c r="O1640" s="248" t="s">
        <v>486</v>
      </c>
      <c r="P1640" s="248" t="s">
        <v>486</v>
      </c>
      <c r="Q1640" s="247" t="s">
        <v>487</v>
      </c>
      <c r="R1640" s="249"/>
      <c r="S1640" s="307" t="s">
        <v>485</v>
      </c>
      <c r="U1640" s="239" t="s">
        <v>511</v>
      </c>
      <c r="V1640" s="492">
        <f t="shared" si="556"/>
        <v>0</v>
      </c>
    </row>
    <row r="1641" spans="1:27">
      <c r="A1641" s="239"/>
      <c r="B1641" s="252" t="s">
        <v>0</v>
      </c>
      <c r="C1641" s="252" t="s">
        <v>489</v>
      </c>
      <c r="D1641" s="252" t="s">
        <v>490</v>
      </c>
      <c r="E1641" s="252" t="s">
        <v>491</v>
      </c>
      <c r="F1641" s="252" t="s">
        <v>489</v>
      </c>
      <c r="G1641" s="230" t="s">
        <v>490</v>
      </c>
      <c r="H1641" s="248"/>
      <c r="I1641" s="241" t="s">
        <v>492</v>
      </c>
      <c r="J1641" s="230"/>
      <c r="K1641" s="305"/>
      <c r="L1641" s="248" t="s">
        <v>88</v>
      </c>
      <c r="M1641" s="252" t="s">
        <v>34</v>
      </c>
      <c r="N1641" s="252" t="s">
        <v>493</v>
      </c>
      <c r="O1641" s="248" t="s">
        <v>494</v>
      </c>
      <c r="P1641" s="248" t="s">
        <v>495</v>
      </c>
      <c r="Q1641" s="230" t="s">
        <v>88</v>
      </c>
      <c r="R1641" s="248" t="s">
        <v>34</v>
      </c>
      <c r="S1641" s="252" t="s">
        <v>88</v>
      </c>
      <c r="U1641" s="239" t="s">
        <v>512</v>
      </c>
      <c r="V1641" s="492">
        <f t="shared" si="556"/>
        <v>9.5999999999999992E-3</v>
      </c>
    </row>
    <row r="1642" spans="1:27">
      <c r="A1642" s="239"/>
      <c r="B1642" s="257" t="s">
        <v>496</v>
      </c>
      <c r="C1642" s="256" t="s">
        <v>496</v>
      </c>
      <c r="D1642" s="256" t="s">
        <v>496</v>
      </c>
      <c r="E1642" s="256" t="s">
        <v>473</v>
      </c>
      <c r="F1642" s="257" t="s">
        <v>473</v>
      </c>
      <c r="G1642" s="259" t="s">
        <v>451</v>
      </c>
      <c r="H1642" s="257" t="s">
        <v>497</v>
      </c>
      <c r="I1642" s="257" t="s">
        <v>498</v>
      </c>
      <c r="J1642" s="230"/>
      <c r="K1642" s="305"/>
      <c r="L1642" s="257" t="s">
        <v>496</v>
      </c>
      <c r="M1642" s="256" t="s">
        <v>496</v>
      </c>
      <c r="N1642" s="256"/>
      <c r="O1642" s="257" t="s">
        <v>79</v>
      </c>
      <c r="P1642" s="257" t="s">
        <v>79</v>
      </c>
      <c r="Q1642" s="259"/>
      <c r="R1642" s="257"/>
      <c r="S1642" s="256"/>
      <c r="U1642" s="239" t="s">
        <v>513</v>
      </c>
      <c r="V1642" s="492">
        <f t="shared" si="556"/>
        <v>0</v>
      </c>
    </row>
    <row r="1643" spans="1:27">
      <c r="A1643" s="251" t="s">
        <v>150</v>
      </c>
      <c r="B1643" s="356">
        <v>2465</v>
      </c>
      <c r="C1643" s="357">
        <v>2535.3000000000002</v>
      </c>
      <c r="D1643" s="358">
        <v>2153</v>
      </c>
      <c r="E1643" s="356">
        <v>1705</v>
      </c>
      <c r="F1643" s="217">
        <v>2638</v>
      </c>
      <c r="G1643" s="219">
        <v>14478.4</v>
      </c>
      <c r="H1643" s="359">
        <v>34398.1</v>
      </c>
      <c r="I1643" s="205">
        <v>17</v>
      </c>
      <c r="J1643" s="244"/>
      <c r="K1643" s="303" t="s">
        <v>150</v>
      </c>
      <c r="L1643" s="312">
        <f>B1643/I1643</f>
        <v>145</v>
      </c>
      <c r="M1643" s="313">
        <f>D1643/I1643</f>
        <v>126.64705882352941</v>
      </c>
      <c r="N1643" s="313">
        <f>D1643/B1643</f>
        <v>0.87342799188640974</v>
      </c>
      <c r="O1643" s="312">
        <f>(F1643*3.6+G1643)*100/H1643</f>
        <v>69.699198502242865</v>
      </c>
      <c r="P1643" s="313">
        <f>(E1643*3.6+G1643)*100/H1643</f>
        <v>59.934705695954143</v>
      </c>
      <c r="Q1643" s="313">
        <f>E1643/(B1643*8760)*1000</f>
        <v>7.8959311641520105E-2</v>
      </c>
      <c r="R1643" s="313">
        <f>G1643/(D1643*8761)*1000/3.6</f>
        <v>0.21321627903345117</v>
      </c>
      <c r="S1643" s="313">
        <f>G1643/(E1643*3.6)</f>
        <v>2.35881394591072</v>
      </c>
      <c r="U1643" s="239" t="s">
        <v>514</v>
      </c>
      <c r="V1643" s="492">
        <f t="shared" si="556"/>
        <v>0</v>
      </c>
      <c r="Z1643" s="214">
        <f>C1643-B1643</f>
        <v>70.300000000000182</v>
      </c>
      <c r="AA1643" s="214">
        <f>F1643-E1643</f>
        <v>933</v>
      </c>
    </row>
    <row r="1644" spans="1:27">
      <c r="A1644" s="239"/>
      <c r="B1644" s="252"/>
      <c r="C1644" s="252"/>
      <c r="D1644" s="252"/>
      <c r="E1644" s="267"/>
      <c r="F1644" s="267"/>
      <c r="G1644" s="248"/>
      <c r="H1644" s="252"/>
      <c r="I1644" s="248"/>
      <c r="J1644" s="230"/>
      <c r="K1644" s="239"/>
      <c r="L1644" s="312"/>
      <c r="M1644" s="267"/>
      <c r="N1644" s="267"/>
      <c r="O1644" s="239"/>
      <c r="P1644" s="313"/>
      <c r="Q1644" s="267"/>
      <c r="R1644" s="267"/>
      <c r="S1644" s="239"/>
      <c r="U1644" s="239" t="s">
        <v>515</v>
      </c>
      <c r="V1644" s="492">
        <f t="shared" si="556"/>
        <v>0</v>
      </c>
      <c r="Z1644" s="214">
        <f t="shared" ref="Z1644:Z1664" si="559">C1644-B1644</f>
        <v>0</v>
      </c>
      <c r="AA1644" s="214">
        <f t="shared" ref="AA1644:AA1664" si="560">F1644-E1644</f>
        <v>0</v>
      </c>
    </row>
    <row r="1645" spans="1:27">
      <c r="A1645" s="312" t="s">
        <v>7</v>
      </c>
      <c r="B1645" s="310">
        <f>SUM(B1646:B1663)</f>
        <v>13.6</v>
      </c>
      <c r="C1645" s="310">
        <f t="shared" ref="C1645:I1645" si="561">SUM(C1646:C1663)</f>
        <v>13.6</v>
      </c>
      <c r="D1645" s="310">
        <f t="shared" si="561"/>
        <v>148</v>
      </c>
      <c r="E1645" s="310">
        <f t="shared" si="561"/>
        <v>21</v>
      </c>
      <c r="F1645" s="310">
        <f t="shared" si="561"/>
        <v>21</v>
      </c>
      <c r="G1645" s="310">
        <f t="shared" si="561"/>
        <v>1014</v>
      </c>
      <c r="H1645" s="310">
        <f t="shared" si="561"/>
        <v>1380</v>
      </c>
      <c r="I1645" s="310">
        <f t="shared" si="561"/>
        <v>5</v>
      </c>
      <c r="J1645" s="244"/>
      <c r="K1645" s="318" t="s">
        <v>7</v>
      </c>
      <c r="L1645" s="312">
        <f>B1645/I1645</f>
        <v>2.7199999999999998</v>
      </c>
      <c r="M1645" s="313">
        <f>D1645/I1645</f>
        <v>29.6</v>
      </c>
      <c r="N1645" s="313">
        <f>D1645/B1645</f>
        <v>10.882352941176471</v>
      </c>
      <c r="O1645" s="312">
        <f t="shared" ref="O1645:O1662" si="562">(F1645*3.6+G1645)*100/H1645</f>
        <v>78.956521739130423</v>
      </c>
      <c r="P1645" s="313">
        <f>(E1645*3.6+G1645)*100/H1645</f>
        <v>78.956521739130423</v>
      </c>
      <c r="Q1645" s="313">
        <f>E1645/(B1645*8760)*1000</f>
        <v>0.17626913779210315</v>
      </c>
      <c r="R1645" s="313">
        <f>G1645/(D1645*8761)*1000/3.6</f>
        <v>0.21723012819919565</v>
      </c>
      <c r="S1645" s="313">
        <f>G1645/(E1645*3.6)</f>
        <v>13.412698412698411</v>
      </c>
      <c r="U1645" s="239" t="s">
        <v>516</v>
      </c>
      <c r="V1645" s="492">
        <f t="shared" si="556"/>
        <v>4.0000000000000001E-3</v>
      </c>
      <c r="Z1645" s="214">
        <f t="shared" si="559"/>
        <v>0</v>
      </c>
      <c r="AA1645" s="214">
        <f t="shared" si="560"/>
        <v>0</v>
      </c>
    </row>
    <row r="1646" spans="1:27">
      <c r="A1646" s="239" t="s">
        <v>152</v>
      </c>
      <c r="B1646" s="391"/>
      <c r="C1646" s="391"/>
      <c r="D1646" s="391"/>
      <c r="E1646" s="391"/>
      <c r="F1646" s="391"/>
      <c r="G1646" s="391"/>
      <c r="H1646" s="391"/>
      <c r="I1646" s="391"/>
      <c r="J1646" s="230"/>
      <c r="K1646" s="305" t="s">
        <v>152</v>
      </c>
      <c r="L1646" s="239" t="e">
        <f t="shared" ref="L1646:L1662" si="563">B1646/I1646</f>
        <v>#DIV/0!</v>
      </c>
      <c r="M1646" s="267" t="e">
        <f t="shared" ref="M1646:M1662" si="564">D1646/I1646</f>
        <v>#DIV/0!</v>
      </c>
      <c r="N1646" s="267" t="e">
        <f t="shared" ref="N1646:N1662" si="565">D1646/B1646</f>
        <v>#DIV/0!</v>
      </c>
      <c r="O1646" s="239" t="e">
        <f t="shared" si="562"/>
        <v>#DIV/0!</v>
      </c>
      <c r="P1646" s="267" t="e">
        <f t="shared" ref="P1646:P1662" si="566">(E1646*3.6+G1646)*100/H1646</f>
        <v>#DIV/0!</v>
      </c>
      <c r="Q1646" s="267" t="e">
        <f t="shared" ref="Q1646:Q1662" si="567">E1646/(B1646*8760)*1000</f>
        <v>#DIV/0!</v>
      </c>
      <c r="R1646" s="267" t="e">
        <f t="shared" ref="R1646:R1662" si="568">G1646/(D1646*8761)*1000/3.6</f>
        <v>#DIV/0!</v>
      </c>
      <c r="S1646" s="267" t="e">
        <f t="shared" ref="S1646:S1662" si="569">G1646/(E1646*3.6)</f>
        <v>#DIV/0!</v>
      </c>
      <c r="U1646" s="239" t="s">
        <v>517</v>
      </c>
      <c r="V1646" s="492">
        <f t="shared" si="556"/>
        <v>0</v>
      </c>
      <c r="Z1646" s="214">
        <f t="shared" si="559"/>
        <v>0</v>
      </c>
      <c r="AA1646" s="214">
        <f t="shared" si="560"/>
        <v>0</v>
      </c>
    </row>
    <row r="1647" spans="1:27">
      <c r="A1647" s="239" t="s">
        <v>504</v>
      </c>
      <c r="B1647" s="204"/>
      <c r="C1647" s="204"/>
      <c r="D1647" s="204"/>
      <c r="E1647" s="267"/>
      <c r="F1647" s="267"/>
      <c r="G1647" s="206"/>
      <c r="H1647" s="202"/>
      <c r="I1647" s="202"/>
      <c r="J1647" s="230"/>
      <c r="K1647" s="305" t="s">
        <v>504</v>
      </c>
      <c r="L1647" s="239" t="e">
        <f t="shared" si="563"/>
        <v>#DIV/0!</v>
      </c>
      <c r="M1647" s="267" t="e">
        <f t="shared" si="564"/>
        <v>#DIV/0!</v>
      </c>
      <c r="N1647" s="267" t="e">
        <f t="shared" si="565"/>
        <v>#DIV/0!</v>
      </c>
      <c r="O1647" s="239" t="e">
        <f t="shared" si="562"/>
        <v>#DIV/0!</v>
      </c>
      <c r="P1647" s="267" t="e">
        <f t="shared" si="566"/>
        <v>#DIV/0!</v>
      </c>
      <c r="Q1647" s="267" t="e">
        <f t="shared" si="567"/>
        <v>#DIV/0!</v>
      </c>
      <c r="R1647" s="267" t="e">
        <f t="shared" si="568"/>
        <v>#DIV/0!</v>
      </c>
      <c r="S1647" s="267" t="e">
        <f t="shared" si="569"/>
        <v>#DIV/0!</v>
      </c>
      <c r="U1647" s="239" t="s">
        <v>518</v>
      </c>
      <c r="V1647" s="492">
        <f t="shared" si="556"/>
        <v>0</v>
      </c>
      <c r="Z1647" s="214">
        <f t="shared" si="559"/>
        <v>0</v>
      </c>
      <c r="AA1647" s="214">
        <f t="shared" si="560"/>
        <v>0</v>
      </c>
    </row>
    <row r="1648" spans="1:27">
      <c r="A1648" s="239" t="s">
        <v>505</v>
      </c>
      <c r="B1648" s="204"/>
      <c r="C1648" s="204"/>
      <c r="D1648" s="204"/>
      <c r="E1648" s="267"/>
      <c r="F1648" s="267"/>
      <c r="G1648" s="206"/>
      <c r="H1648" s="202"/>
      <c r="I1648" s="202"/>
      <c r="J1648" s="230"/>
      <c r="K1648" s="305" t="s">
        <v>505</v>
      </c>
      <c r="L1648" s="239" t="e">
        <f t="shared" si="563"/>
        <v>#DIV/0!</v>
      </c>
      <c r="M1648" s="267" t="e">
        <f t="shared" si="564"/>
        <v>#DIV/0!</v>
      </c>
      <c r="N1648" s="267" t="e">
        <f t="shared" si="565"/>
        <v>#DIV/0!</v>
      </c>
      <c r="O1648" s="239" t="e">
        <f t="shared" si="562"/>
        <v>#DIV/0!</v>
      </c>
      <c r="P1648" s="267" t="e">
        <f t="shared" si="566"/>
        <v>#DIV/0!</v>
      </c>
      <c r="Q1648" s="267" t="e">
        <f t="shared" si="567"/>
        <v>#DIV/0!</v>
      </c>
      <c r="R1648" s="267" t="e">
        <f t="shared" si="568"/>
        <v>#DIV/0!</v>
      </c>
      <c r="S1648" s="267" t="e">
        <f t="shared" si="569"/>
        <v>#DIV/0!</v>
      </c>
      <c r="U1648" s="239" t="s">
        <v>519</v>
      </c>
      <c r="V1648" s="492">
        <f t="shared" si="556"/>
        <v>0</v>
      </c>
      <c r="Z1648" s="214">
        <f t="shared" si="559"/>
        <v>0</v>
      </c>
      <c r="AA1648" s="214">
        <f t="shared" si="560"/>
        <v>0</v>
      </c>
    </row>
    <row r="1649" spans="1:27">
      <c r="A1649" s="239" t="s">
        <v>506</v>
      </c>
      <c r="B1649" s="204"/>
      <c r="C1649" s="204"/>
      <c r="D1649" s="204"/>
      <c r="E1649" s="267"/>
      <c r="F1649" s="267"/>
      <c r="G1649" s="206"/>
      <c r="H1649" s="202"/>
      <c r="I1649" s="202"/>
      <c r="J1649" s="230"/>
      <c r="K1649" s="305" t="s">
        <v>506</v>
      </c>
      <c r="L1649" s="239" t="e">
        <f t="shared" si="563"/>
        <v>#DIV/0!</v>
      </c>
      <c r="M1649" s="267" t="e">
        <f t="shared" si="564"/>
        <v>#DIV/0!</v>
      </c>
      <c r="N1649" s="267" t="e">
        <f t="shared" si="565"/>
        <v>#DIV/0!</v>
      </c>
      <c r="O1649" s="239" t="e">
        <f t="shared" si="562"/>
        <v>#DIV/0!</v>
      </c>
      <c r="P1649" s="267" t="e">
        <f t="shared" si="566"/>
        <v>#DIV/0!</v>
      </c>
      <c r="Q1649" s="267" t="e">
        <f t="shared" si="567"/>
        <v>#DIV/0!</v>
      </c>
      <c r="R1649" s="267" t="e">
        <f t="shared" si="568"/>
        <v>#DIV/0!</v>
      </c>
      <c r="S1649" s="267" t="e">
        <f t="shared" si="569"/>
        <v>#DIV/0!</v>
      </c>
      <c r="Z1649" s="214">
        <f t="shared" si="559"/>
        <v>0</v>
      </c>
      <c r="AA1649" s="214">
        <f t="shared" si="560"/>
        <v>0</v>
      </c>
    </row>
    <row r="1650" spans="1:27">
      <c r="A1650" s="239" t="s">
        <v>507</v>
      </c>
      <c r="B1650" s="204"/>
      <c r="C1650" s="204"/>
      <c r="D1650" s="204"/>
      <c r="E1650" s="267"/>
      <c r="F1650" s="267"/>
      <c r="G1650" s="206"/>
      <c r="H1650" s="202"/>
      <c r="I1650" s="202"/>
      <c r="J1650" s="230"/>
      <c r="K1650" s="305" t="s">
        <v>507</v>
      </c>
      <c r="L1650" s="239" t="e">
        <f t="shared" si="563"/>
        <v>#DIV/0!</v>
      </c>
      <c r="M1650" s="267" t="e">
        <f t="shared" si="564"/>
        <v>#DIV/0!</v>
      </c>
      <c r="N1650" s="267" t="e">
        <f t="shared" si="565"/>
        <v>#DIV/0!</v>
      </c>
      <c r="O1650" s="239" t="e">
        <f t="shared" si="562"/>
        <v>#DIV/0!</v>
      </c>
      <c r="P1650" s="267" t="e">
        <f t="shared" si="566"/>
        <v>#DIV/0!</v>
      </c>
      <c r="Q1650" s="267" t="e">
        <f t="shared" si="567"/>
        <v>#DIV/0!</v>
      </c>
      <c r="R1650" s="267" t="e">
        <f t="shared" si="568"/>
        <v>#DIV/0!</v>
      </c>
      <c r="S1650" s="267" t="e">
        <f t="shared" si="569"/>
        <v>#DIV/0!</v>
      </c>
      <c r="Z1650" s="214">
        <f t="shared" si="559"/>
        <v>0</v>
      </c>
      <c r="AA1650" s="214">
        <f t="shared" si="560"/>
        <v>0</v>
      </c>
    </row>
    <row r="1651" spans="1:27">
      <c r="A1651" s="239" t="s">
        <v>156</v>
      </c>
      <c r="B1651" s="204"/>
      <c r="C1651" s="204"/>
      <c r="D1651" s="204"/>
      <c r="E1651" s="267"/>
      <c r="F1651" s="267"/>
      <c r="G1651" s="206"/>
      <c r="H1651" s="202"/>
      <c r="I1651" s="202"/>
      <c r="J1651" s="230"/>
      <c r="K1651" s="305" t="s">
        <v>156</v>
      </c>
      <c r="L1651" s="239" t="e">
        <f t="shared" si="563"/>
        <v>#DIV/0!</v>
      </c>
      <c r="M1651" s="267" t="e">
        <f t="shared" si="564"/>
        <v>#DIV/0!</v>
      </c>
      <c r="N1651" s="267" t="e">
        <f t="shared" si="565"/>
        <v>#DIV/0!</v>
      </c>
      <c r="O1651" s="322" t="e">
        <f t="shared" si="562"/>
        <v>#DIV/0!</v>
      </c>
      <c r="P1651" s="323" t="e">
        <f t="shared" si="566"/>
        <v>#DIV/0!</v>
      </c>
      <c r="Q1651" s="267" t="e">
        <f t="shared" si="567"/>
        <v>#DIV/0!</v>
      </c>
      <c r="R1651" s="267" t="e">
        <f t="shared" si="568"/>
        <v>#DIV/0!</v>
      </c>
      <c r="S1651" s="267" t="e">
        <f t="shared" si="569"/>
        <v>#DIV/0!</v>
      </c>
      <c r="Z1651" s="214">
        <f t="shared" si="559"/>
        <v>0</v>
      </c>
      <c r="AA1651" s="214">
        <f t="shared" si="560"/>
        <v>0</v>
      </c>
    </row>
    <row r="1652" spans="1:27">
      <c r="A1652" s="239" t="s">
        <v>508</v>
      </c>
      <c r="B1652" s="204"/>
      <c r="C1652" s="204"/>
      <c r="D1652" s="204"/>
      <c r="E1652" s="267"/>
      <c r="F1652" s="267"/>
      <c r="G1652" s="206"/>
      <c r="H1652" s="202"/>
      <c r="I1652" s="202"/>
      <c r="J1652" s="230"/>
      <c r="K1652" s="305" t="s">
        <v>508</v>
      </c>
      <c r="L1652" s="239" t="e">
        <f t="shared" si="563"/>
        <v>#DIV/0!</v>
      </c>
      <c r="M1652" s="267" t="e">
        <f t="shared" si="564"/>
        <v>#DIV/0!</v>
      </c>
      <c r="N1652" s="267" t="e">
        <f t="shared" si="565"/>
        <v>#DIV/0!</v>
      </c>
      <c r="O1652" s="239" t="e">
        <f t="shared" si="562"/>
        <v>#DIV/0!</v>
      </c>
      <c r="P1652" s="267" t="e">
        <f t="shared" si="566"/>
        <v>#DIV/0!</v>
      </c>
      <c r="Q1652" s="267" t="e">
        <f t="shared" si="567"/>
        <v>#DIV/0!</v>
      </c>
      <c r="R1652" s="267" t="e">
        <f t="shared" si="568"/>
        <v>#DIV/0!</v>
      </c>
      <c r="S1652" s="267" t="e">
        <f t="shared" si="569"/>
        <v>#DIV/0!</v>
      </c>
      <c r="Z1652" s="214">
        <f t="shared" si="559"/>
        <v>0</v>
      </c>
      <c r="AA1652" s="214">
        <f t="shared" si="560"/>
        <v>0</v>
      </c>
    </row>
    <row r="1653" spans="1:27">
      <c r="A1653" s="239" t="s">
        <v>509</v>
      </c>
      <c r="B1653" s="204"/>
      <c r="C1653" s="204"/>
      <c r="D1653" s="204"/>
      <c r="E1653" s="267"/>
      <c r="F1653" s="267"/>
      <c r="G1653" s="206"/>
      <c r="H1653" s="202"/>
      <c r="I1653" s="202"/>
      <c r="J1653" s="230"/>
      <c r="K1653" s="305" t="s">
        <v>509</v>
      </c>
      <c r="L1653" s="239" t="e">
        <f t="shared" si="563"/>
        <v>#DIV/0!</v>
      </c>
      <c r="M1653" s="267" t="e">
        <f t="shared" si="564"/>
        <v>#DIV/0!</v>
      </c>
      <c r="N1653" s="267" t="e">
        <f t="shared" si="565"/>
        <v>#DIV/0!</v>
      </c>
      <c r="O1653" s="239" t="e">
        <f t="shared" si="562"/>
        <v>#DIV/0!</v>
      </c>
      <c r="P1653" s="267" t="e">
        <f t="shared" si="566"/>
        <v>#DIV/0!</v>
      </c>
      <c r="Q1653" s="267" t="e">
        <f t="shared" si="567"/>
        <v>#DIV/0!</v>
      </c>
      <c r="R1653" s="267" t="e">
        <f t="shared" si="568"/>
        <v>#DIV/0!</v>
      </c>
      <c r="S1653" s="267" t="e">
        <f t="shared" si="569"/>
        <v>#DIV/0!</v>
      </c>
      <c r="Z1653" s="214">
        <f t="shared" si="559"/>
        <v>0</v>
      </c>
      <c r="AA1653" s="214">
        <f t="shared" si="560"/>
        <v>0</v>
      </c>
    </row>
    <row r="1654" spans="1:27">
      <c r="A1654" s="239" t="s">
        <v>510</v>
      </c>
      <c r="B1654" s="204"/>
      <c r="C1654" s="204"/>
      <c r="D1654" s="204"/>
      <c r="E1654" s="267"/>
      <c r="F1654" s="267"/>
      <c r="G1654" s="206"/>
      <c r="H1654" s="202"/>
      <c r="I1654" s="202"/>
      <c r="J1654" s="230"/>
      <c r="K1654" s="305" t="s">
        <v>510</v>
      </c>
      <c r="L1654" s="239" t="e">
        <f t="shared" si="563"/>
        <v>#DIV/0!</v>
      </c>
      <c r="M1654" s="267" t="e">
        <f t="shared" si="564"/>
        <v>#DIV/0!</v>
      </c>
      <c r="N1654" s="267" t="e">
        <f t="shared" si="565"/>
        <v>#DIV/0!</v>
      </c>
      <c r="O1654" s="322" t="e">
        <f t="shared" si="562"/>
        <v>#DIV/0!</v>
      </c>
      <c r="P1654" s="323" t="e">
        <f t="shared" si="566"/>
        <v>#DIV/0!</v>
      </c>
      <c r="Q1654" s="267" t="e">
        <f t="shared" si="567"/>
        <v>#DIV/0!</v>
      </c>
      <c r="R1654" s="267" t="e">
        <f t="shared" si="568"/>
        <v>#DIV/0!</v>
      </c>
      <c r="S1654" s="267" t="e">
        <f t="shared" si="569"/>
        <v>#DIV/0!</v>
      </c>
      <c r="Z1654" s="214">
        <f t="shared" si="559"/>
        <v>0</v>
      </c>
      <c r="AA1654" s="214">
        <f t="shared" si="560"/>
        <v>0</v>
      </c>
    </row>
    <row r="1655" spans="1:27">
      <c r="A1655" s="239" t="s">
        <v>511</v>
      </c>
      <c r="B1655" s="382"/>
      <c r="C1655" s="382"/>
      <c r="D1655" s="204"/>
      <c r="E1655" s="267"/>
      <c r="F1655" s="267"/>
      <c r="G1655" s="206"/>
      <c r="H1655" s="202"/>
      <c r="I1655" s="202"/>
      <c r="J1655" s="230"/>
      <c r="K1655" s="305" t="s">
        <v>511</v>
      </c>
      <c r="L1655" s="239" t="e">
        <f t="shared" si="563"/>
        <v>#DIV/0!</v>
      </c>
      <c r="M1655" s="267" t="e">
        <f t="shared" si="564"/>
        <v>#DIV/0!</v>
      </c>
      <c r="N1655" s="267" t="e">
        <f t="shared" si="565"/>
        <v>#DIV/0!</v>
      </c>
      <c r="O1655" s="239" t="e">
        <f t="shared" si="562"/>
        <v>#DIV/0!</v>
      </c>
      <c r="P1655" s="267" t="e">
        <f t="shared" si="566"/>
        <v>#DIV/0!</v>
      </c>
      <c r="Q1655" s="267" t="e">
        <f t="shared" si="567"/>
        <v>#DIV/0!</v>
      </c>
      <c r="R1655" s="267" t="e">
        <f t="shared" si="568"/>
        <v>#DIV/0!</v>
      </c>
      <c r="S1655" s="267" t="e">
        <f t="shared" si="569"/>
        <v>#DIV/0!</v>
      </c>
      <c r="Z1655" s="214">
        <f t="shared" si="559"/>
        <v>0</v>
      </c>
      <c r="AA1655" s="214">
        <f t="shared" si="560"/>
        <v>0</v>
      </c>
    </row>
    <row r="1656" spans="1:27">
      <c r="A1656" s="239" t="s">
        <v>512</v>
      </c>
      <c r="B1656" s="384">
        <v>9.6</v>
      </c>
      <c r="C1656" s="382">
        <v>9.6</v>
      </c>
      <c r="D1656" s="204">
        <v>104</v>
      </c>
      <c r="E1656" s="385">
        <v>13.5</v>
      </c>
      <c r="F1656" s="267">
        <v>13.5</v>
      </c>
      <c r="G1656" s="206">
        <v>639</v>
      </c>
      <c r="H1656" s="202">
        <v>750</v>
      </c>
      <c r="I1656" s="202">
        <v>3</v>
      </c>
      <c r="J1656" s="230"/>
      <c r="K1656" s="305" t="s">
        <v>512</v>
      </c>
      <c r="L1656" s="239">
        <f t="shared" si="563"/>
        <v>3.1999999999999997</v>
      </c>
      <c r="M1656" s="267">
        <f t="shared" si="564"/>
        <v>34.666666666666664</v>
      </c>
      <c r="N1656" s="267">
        <f t="shared" si="565"/>
        <v>10.833333333333334</v>
      </c>
      <c r="O1656" s="239">
        <f t="shared" si="562"/>
        <v>91.68</v>
      </c>
      <c r="P1656" s="267">
        <f t="shared" si="566"/>
        <v>91.68</v>
      </c>
      <c r="Q1656" s="267">
        <f t="shared" si="567"/>
        <v>0.16053082191780821</v>
      </c>
      <c r="R1656" s="267">
        <f t="shared" si="568"/>
        <v>0.19481004100339794</v>
      </c>
      <c r="S1656" s="267">
        <f t="shared" si="569"/>
        <v>13.148148148148147</v>
      </c>
      <c r="Z1656" s="214">
        <f t="shared" si="559"/>
        <v>0</v>
      </c>
      <c r="AA1656" s="214">
        <f t="shared" si="560"/>
        <v>0</v>
      </c>
    </row>
    <row r="1657" spans="1:27">
      <c r="A1657" s="239" t="s">
        <v>513</v>
      </c>
      <c r="B1657" s="384"/>
      <c r="C1657" s="384"/>
      <c r="D1657" s="216"/>
      <c r="E1657" s="385"/>
      <c r="F1657" s="385"/>
      <c r="G1657" s="386"/>
      <c r="H1657" s="215"/>
      <c r="I1657" s="202"/>
      <c r="J1657" s="230"/>
      <c r="K1657" s="305" t="s">
        <v>513</v>
      </c>
      <c r="L1657" s="239" t="e">
        <f t="shared" si="563"/>
        <v>#DIV/0!</v>
      </c>
      <c r="M1657" s="267" t="e">
        <f t="shared" si="564"/>
        <v>#DIV/0!</v>
      </c>
      <c r="N1657" s="267" t="e">
        <f t="shared" si="565"/>
        <v>#DIV/0!</v>
      </c>
      <c r="O1657" s="239" t="e">
        <f t="shared" si="562"/>
        <v>#DIV/0!</v>
      </c>
      <c r="P1657" s="267" t="e">
        <f t="shared" si="566"/>
        <v>#DIV/0!</v>
      </c>
      <c r="Q1657" s="267" t="e">
        <f t="shared" si="567"/>
        <v>#DIV/0!</v>
      </c>
      <c r="R1657" s="267" t="e">
        <f t="shared" si="568"/>
        <v>#DIV/0!</v>
      </c>
      <c r="S1657" s="267" t="e">
        <f t="shared" si="569"/>
        <v>#DIV/0!</v>
      </c>
      <c r="Z1657" s="214">
        <f t="shared" si="559"/>
        <v>0</v>
      </c>
      <c r="AA1657" s="214">
        <f t="shared" si="560"/>
        <v>0</v>
      </c>
    </row>
    <row r="1658" spans="1:27">
      <c r="A1658" s="239" t="s">
        <v>514</v>
      </c>
      <c r="B1658" s="382"/>
      <c r="C1658" s="382"/>
      <c r="D1658" s="204"/>
      <c r="E1658" s="267"/>
      <c r="F1658" s="267"/>
      <c r="G1658" s="206"/>
      <c r="H1658" s="202"/>
      <c r="I1658" s="202"/>
      <c r="J1658" s="230"/>
      <c r="K1658" s="305" t="s">
        <v>514</v>
      </c>
      <c r="L1658" s="239" t="e">
        <f t="shared" si="563"/>
        <v>#DIV/0!</v>
      </c>
      <c r="M1658" s="267" t="e">
        <f t="shared" si="564"/>
        <v>#DIV/0!</v>
      </c>
      <c r="N1658" s="267" t="e">
        <f t="shared" si="565"/>
        <v>#DIV/0!</v>
      </c>
      <c r="O1658" s="239" t="e">
        <f t="shared" si="562"/>
        <v>#DIV/0!</v>
      </c>
      <c r="P1658" s="267" t="e">
        <f t="shared" si="566"/>
        <v>#DIV/0!</v>
      </c>
      <c r="Q1658" s="267" t="e">
        <f t="shared" si="567"/>
        <v>#DIV/0!</v>
      </c>
      <c r="R1658" s="267" t="e">
        <f t="shared" si="568"/>
        <v>#DIV/0!</v>
      </c>
      <c r="S1658" s="267" t="e">
        <f t="shared" si="569"/>
        <v>#DIV/0!</v>
      </c>
      <c r="Z1658" s="214">
        <f t="shared" si="559"/>
        <v>0</v>
      </c>
      <c r="AA1658" s="214">
        <f t="shared" si="560"/>
        <v>0</v>
      </c>
    </row>
    <row r="1659" spans="1:27">
      <c r="A1659" s="239" t="s">
        <v>515</v>
      </c>
      <c r="B1659" s="382"/>
      <c r="C1659" s="382"/>
      <c r="D1659" s="204"/>
      <c r="E1659" s="267"/>
      <c r="F1659" s="267"/>
      <c r="G1659" s="206"/>
      <c r="H1659" s="202"/>
      <c r="I1659" s="202"/>
      <c r="J1659" s="230"/>
      <c r="K1659" s="305" t="s">
        <v>515</v>
      </c>
      <c r="L1659" s="239" t="e">
        <f t="shared" si="563"/>
        <v>#DIV/0!</v>
      </c>
      <c r="M1659" s="267" t="e">
        <f t="shared" si="564"/>
        <v>#DIV/0!</v>
      </c>
      <c r="N1659" s="267" t="e">
        <f t="shared" si="565"/>
        <v>#DIV/0!</v>
      </c>
      <c r="O1659" s="239" t="e">
        <f t="shared" si="562"/>
        <v>#DIV/0!</v>
      </c>
      <c r="P1659" s="267" t="e">
        <f t="shared" si="566"/>
        <v>#DIV/0!</v>
      </c>
      <c r="Q1659" s="267" t="e">
        <f t="shared" si="567"/>
        <v>#DIV/0!</v>
      </c>
      <c r="R1659" s="267" t="e">
        <f t="shared" si="568"/>
        <v>#DIV/0!</v>
      </c>
      <c r="S1659" s="267" t="e">
        <f t="shared" si="569"/>
        <v>#DIV/0!</v>
      </c>
      <c r="Z1659" s="214">
        <f t="shared" si="559"/>
        <v>0</v>
      </c>
      <c r="AA1659" s="214">
        <f t="shared" si="560"/>
        <v>0</v>
      </c>
    </row>
    <row r="1660" spans="1:27">
      <c r="A1660" s="239" t="s">
        <v>516</v>
      </c>
      <c r="B1660" s="204">
        <v>4</v>
      </c>
      <c r="C1660" s="204">
        <v>4</v>
      </c>
      <c r="D1660" s="202">
        <v>44</v>
      </c>
      <c r="E1660" s="267">
        <v>7.5</v>
      </c>
      <c r="F1660" s="267">
        <v>7.5</v>
      </c>
      <c r="G1660" s="206">
        <v>375</v>
      </c>
      <c r="H1660" s="202">
        <v>630</v>
      </c>
      <c r="I1660" s="202">
        <v>2</v>
      </c>
      <c r="J1660" s="244"/>
      <c r="K1660" s="239" t="s">
        <v>516</v>
      </c>
      <c r="L1660" s="239">
        <f t="shared" si="563"/>
        <v>2</v>
      </c>
      <c r="M1660" s="267">
        <f t="shared" si="564"/>
        <v>22</v>
      </c>
      <c r="N1660" s="267">
        <f t="shared" si="565"/>
        <v>11</v>
      </c>
      <c r="O1660" s="239">
        <f t="shared" si="562"/>
        <v>63.80952380952381</v>
      </c>
      <c r="P1660" s="267">
        <f t="shared" si="566"/>
        <v>63.80952380952381</v>
      </c>
      <c r="Q1660" s="267">
        <f t="shared" si="567"/>
        <v>0.21404109589041095</v>
      </c>
      <c r="R1660" s="267">
        <f t="shared" si="568"/>
        <v>0.27022306157108117</v>
      </c>
      <c r="S1660" s="267">
        <f t="shared" si="569"/>
        <v>13.888888888888889</v>
      </c>
      <c r="Z1660" s="214">
        <f t="shared" si="559"/>
        <v>0</v>
      </c>
      <c r="AA1660" s="214">
        <f t="shared" si="560"/>
        <v>0</v>
      </c>
    </row>
    <row r="1661" spans="1:27">
      <c r="A1661" s="239" t="s">
        <v>517</v>
      </c>
      <c r="B1661" s="204"/>
      <c r="C1661" s="204"/>
      <c r="D1661" s="204"/>
      <c r="E1661" s="267"/>
      <c r="F1661" s="267"/>
      <c r="G1661" s="206"/>
      <c r="H1661" s="202"/>
      <c r="I1661" s="202"/>
      <c r="K1661" s="239" t="s">
        <v>517</v>
      </c>
      <c r="L1661" s="239" t="e">
        <f t="shared" si="563"/>
        <v>#DIV/0!</v>
      </c>
      <c r="M1661" s="267" t="e">
        <f t="shared" si="564"/>
        <v>#DIV/0!</v>
      </c>
      <c r="N1661" s="267" t="e">
        <f t="shared" si="565"/>
        <v>#DIV/0!</v>
      </c>
      <c r="O1661" s="239" t="e">
        <f t="shared" si="562"/>
        <v>#DIV/0!</v>
      </c>
      <c r="P1661" s="267" t="e">
        <f t="shared" si="566"/>
        <v>#DIV/0!</v>
      </c>
      <c r="Q1661" s="267" t="e">
        <f t="shared" si="567"/>
        <v>#DIV/0!</v>
      </c>
      <c r="R1661" s="267" t="e">
        <f t="shared" si="568"/>
        <v>#DIV/0!</v>
      </c>
      <c r="S1661" s="267" t="e">
        <f t="shared" si="569"/>
        <v>#DIV/0!</v>
      </c>
      <c r="Z1661" s="214">
        <f t="shared" si="559"/>
        <v>0</v>
      </c>
      <c r="AA1661" s="214">
        <f t="shared" si="560"/>
        <v>0</v>
      </c>
    </row>
    <row r="1662" spans="1:27">
      <c r="A1662" s="239" t="s">
        <v>518</v>
      </c>
      <c r="B1662" s="216"/>
      <c r="C1662" s="216"/>
      <c r="D1662" s="216"/>
      <c r="E1662" s="385"/>
      <c r="F1662" s="385"/>
      <c r="G1662" s="386"/>
      <c r="H1662" s="215"/>
      <c r="I1662" s="202"/>
      <c r="K1662" s="239" t="s">
        <v>518</v>
      </c>
      <c r="L1662" s="239" t="e">
        <f t="shared" si="563"/>
        <v>#DIV/0!</v>
      </c>
      <c r="M1662" s="267" t="e">
        <f t="shared" si="564"/>
        <v>#DIV/0!</v>
      </c>
      <c r="N1662" s="267" t="e">
        <f t="shared" si="565"/>
        <v>#DIV/0!</v>
      </c>
      <c r="O1662" s="239" t="e">
        <f t="shared" si="562"/>
        <v>#DIV/0!</v>
      </c>
      <c r="P1662" s="267" t="e">
        <f t="shared" si="566"/>
        <v>#DIV/0!</v>
      </c>
      <c r="Q1662" s="267" t="e">
        <f t="shared" si="567"/>
        <v>#DIV/0!</v>
      </c>
      <c r="R1662" s="267" t="e">
        <f t="shared" si="568"/>
        <v>#DIV/0!</v>
      </c>
      <c r="S1662" s="267" t="e">
        <f t="shared" si="569"/>
        <v>#DIV/0!</v>
      </c>
      <c r="Z1662" s="214">
        <f t="shared" si="559"/>
        <v>0</v>
      </c>
      <c r="AA1662" s="214">
        <f t="shared" si="560"/>
        <v>0</v>
      </c>
    </row>
    <row r="1663" spans="1:27">
      <c r="A1663" s="239" t="s">
        <v>519</v>
      </c>
      <c r="B1663" s="204"/>
      <c r="C1663" s="204"/>
      <c r="D1663" s="204"/>
      <c r="E1663" s="387"/>
      <c r="F1663" s="272"/>
      <c r="G1663" s="206"/>
      <c r="H1663" s="202"/>
      <c r="I1663" s="202"/>
      <c r="K1663" s="239" t="s">
        <v>519</v>
      </c>
      <c r="L1663" s="239"/>
      <c r="M1663" s="267"/>
      <c r="N1663" s="267"/>
      <c r="O1663" s="239"/>
      <c r="P1663" s="267"/>
      <c r="Q1663" s="267"/>
      <c r="R1663" s="267"/>
      <c r="S1663" s="267"/>
      <c r="Z1663" s="214">
        <f t="shared" si="559"/>
        <v>0</v>
      </c>
      <c r="AA1663" s="214">
        <f t="shared" si="560"/>
        <v>0</v>
      </c>
    </row>
    <row r="1664" spans="1:27">
      <c r="A1664" s="282" t="s">
        <v>169</v>
      </c>
      <c r="B1664" s="360">
        <f>(B1643+B1645)</f>
        <v>2478.6</v>
      </c>
      <c r="C1664" s="361">
        <f t="shared" ref="C1664:I1664" si="570">(C1643+C1645)</f>
        <v>2548.9</v>
      </c>
      <c r="D1664" s="361">
        <f t="shared" si="570"/>
        <v>2301</v>
      </c>
      <c r="E1664" s="360">
        <f t="shared" si="570"/>
        <v>1726</v>
      </c>
      <c r="F1664" s="361">
        <f t="shared" si="570"/>
        <v>2659</v>
      </c>
      <c r="G1664" s="361">
        <f t="shared" si="570"/>
        <v>15492.4</v>
      </c>
      <c r="H1664" s="361">
        <f t="shared" si="570"/>
        <v>35778.1</v>
      </c>
      <c r="I1664" s="361">
        <f t="shared" si="570"/>
        <v>22</v>
      </c>
      <c r="K1664" s="328" t="s">
        <v>169</v>
      </c>
      <c r="L1664" s="282">
        <f>B1664/I1664</f>
        <v>112.66363636363636</v>
      </c>
      <c r="M1664" s="281">
        <f>D1664/I1664</f>
        <v>104.59090909090909</v>
      </c>
      <c r="N1664" s="281">
        <f>D1664/B1664</f>
        <v>0.92834664730089567</v>
      </c>
      <c r="O1664" s="282">
        <f>(F1664*3.6+G1664)*100/H1664</f>
        <v>70.056263468434608</v>
      </c>
      <c r="P1664" s="282">
        <f>(E1664*3.6+G1664)*100/H1664</f>
        <v>60.668397706977174</v>
      </c>
      <c r="Q1664" s="281">
        <f>E1664/(B1664*8760)*1000</f>
        <v>7.9493247587476654E-2</v>
      </c>
      <c r="R1664" s="281">
        <f>G1664/(D1664*8761)*1000/3.6</f>
        <v>0.21347444925358597</v>
      </c>
      <c r="S1664" s="281">
        <f>G1664/(E1664*3.6)</f>
        <v>2.4933050083687394</v>
      </c>
      <c r="Z1664" s="214">
        <f t="shared" si="559"/>
        <v>70.300000000000182</v>
      </c>
      <c r="AA1664" s="214">
        <f t="shared" si="560"/>
        <v>933</v>
      </c>
    </row>
    <row r="1666" spans="1:9">
      <c r="A1666" s="251" t="s">
        <v>520</v>
      </c>
      <c r="B1666" s="227" t="s">
        <v>476</v>
      </c>
      <c r="C1666" s="228"/>
      <c r="D1666" s="286"/>
      <c r="E1666" s="227" t="s">
        <v>521</v>
      </c>
      <c r="F1666" s="228"/>
      <c r="G1666" s="286"/>
      <c r="H1666" s="200" t="s">
        <v>138</v>
      </c>
      <c r="I1666" s="200" t="s">
        <v>478</v>
      </c>
    </row>
    <row r="1667" spans="1:9">
      <c r="A1667" s="239"/>
      <c r="B1667" s="243" t="s">
        <v>88</v>
      </c>
      <c r="C1667" s="243"/>
      <c r="D1667" s="241" t="s">
        <v>34</v>
      </c>
      <c r="E1667" s="243" t="s">
        <v>88</v>
      </c>
      <c r="F1667" s="243"/>
      <c r="G1667" s="241" t="s">
        <v>34</v>
      </c>
      <c r="H1667" s="241" t="s">
        <v>170</v>
      </c>
      <c r="I1667" s="241" t="s">
        <v>483</v>
      </c>
    </row>
    <row r="1668" spans="1:9">
      <c r="A1668" s="239"/>
      <c r="B1668" s="252" t="s">
        <v>0</v>
      </c>
      <c r="C1668" s="252" t="s">
        <v>489</v>
      </c>
      <c r="D1668" s="252" t="s">
        <v>490</v>
      </c>
      <c r="E1668" s="252" t="s">
        <v>491</v>
      </c>
      <c r="F1668" s="252" t="s">
        <v>489</v>
      </c>
      <c r="G1668" s="252" t="s">
        <v>490</v>
      </c>
      <c r="H1668" s="248"/>
      <c r="I1668" s="241" t="s">
        <v>492</v>
      </c>
    </row>
    <row r="1669" spans="1:9">
      <c r="A1669" s="239"/>
      <c r="B1669" s="257" t="s">
        <v>496</v>
      </c>
      <c r="C1669" s="256" t="s">
        <v>496</v>
      </c>
      <c r="D1669" s="252" t="s">
        <v>496</v>
      </c>
      <c r="E1669" s="329" t="s">
        <v>473</v>
      </c>
      <c r="F1669" s="329" t="s">
        <v>473</v>
      </c>
      <c r="G1669" s="252" t="s">
        <v>496</v>
      </c>
      <c r="H1669" s="257" t="s">
        <v>497</v>
      </c>
      <c r="I1669" s="257" t="s">
        <v>498</v>
      </c>
    </row>
    <row r="1670" spans="1:9">
      <c r="A1670" s="251" t="s">
        <v>522</v>
      </c>
      <c r="B1670" s="389"/>
      <c r="C1670" s="389"/>
      <c r="D1670" s="200"/>
      <c r="E1670" s="389"/>
      <c r="F1670" s="389"/>
      <c r="G1670" s="200"/>
      <c r="H1670" s="200"/>
      <c r="I1670" s="200"/>
    </row>
    <row r="1671" spans="1:9">
      <c r="A1671" s="239" t="s">
        <v>523</v>
      </c>
      <c r="B1671" s="216"/>
      <c r="C1671" s="204"/>
      <c r="D1671" s="204"/>
      <c r="E1671" s="216"/>
      <c r="F1671" s="204"/>
      <c r="G1671" s="204"/>
      <c r="H1671" s="202"/>
      <c r="I1671" s="216"/>
    </row>
    <row r="1672" spans="1:9">
      <c r="A1672" s="239" t="s">
        <v>524</v>
      </c>
      <c r="B1672" s="216"/>
      <c r="C1672" s="204">
        <v>160</v>
      </c>
      <c r="D1672" s="204">
        <v>542</v>
      </c>
      <c r="E1672" s="216"/>
      <c r="F1672" s="204"/>
      <c r="G1672" s="204"/>
      <c r="H1672" s="202"/>
      <c r="I1672" s="216">
        <v>2</v>
      </c>
    </row>
    <row r="1673" spans="1:9">
      <c r="A1673" s="239" t="s">
        <v>525</v>
      </c>
      <c r="B1673" s="216"/>
      <c r="C1673" s="204">
        <v>762</v>
      </c>
      <c r="D1673" s="204">
        <v>244</v>
      </c>
      <c r="E1673" s="216"/>
      <c r="F1673" s="204"/>
      <c r="G1673" s="204"/>
      <c r="H1673" s="202"/>
      <c r="I1673" s="216">
        <v>7</v>
      </c>
    </row>
    <row r="1674" spans="1:9">
      <c r="A1674" s="239" t="s">
        <v>267</v>
      </c>
      <c r="B1674" s="216"/>
      <c r="C1674" s="204">
        <v>1.5</v>
      </c>
      <c r="D1674" s="204">
        <v>12</v>
      </c>
      <c r="E1674" s="216"/>
      <c r="F1674" s="204"/>
      <c r="G1674" s="204"/>
      <c r="H1674" s="202"/>
      <c r="I1674" s="216">
        <v>1</v>
      </c>
    </row>
    <row r="1675" spans="1:9">
      <c r="A1675" s="312" t="s">
        <v>526</v>
      </c>
      <c r="B1675" s="391"/>
      <c r="C1675" s="391"/>
      <c r="D1675" s="205"/>
      <c r="E1675" s="391"/>
      <c r="F1675" s="391"/>
      <c r="G1675" s="205"/>
      <c r="H1675" s="205"/>
      <c r="I1675" s="391"/>
    </row>
    <row r="1676" spans="1:9">
      <c r="A1676" s="239" t="s">
        <v>527</v>
      </c>
      <c r="B1676" s="216"/>
      <c r="C1676" s="204"/>
      <c r="D1676" s="204"/>
      <c r="E1676" s="216"/>
      <c r="F1676" s="204"/>
      <c r="G1676" s="204"/>
      <c r="H1676" s="202"/>
      <c r="I1676" s="216"/>
    </row>
    <row r="1677" spans="1:9">
      <c r="A1677" s="239" t="s">
        <v>528</v>
      </c>
      <c r="B1677" s="204"/>
      <c r="C1677" s="204">
        <v>1625</v>
      </c>
      <c r="D1677" s="204">
        <v>1503</v>
      </c>
      <c r="E1677" s="204"/>
      <c r="F1677" s="204"/>
      <c r="G1677" s="204"/>
      <c r="H1677" s="202"/>
      <c r="I1677" s="204">
        <v>12</v>
      </c>
    </row>
    <row r="1678" spans="1:9">
      <c r="A1678" s="239" t="s">
        <v>529</v>
      </c>
      <c r="B1678" s="204"/>
      <c r="C1678" s="204"/>
      <c r="D1678" s="204"/>
      <c r="E1678" s="204"/>
      <c r="F1678" s="204"/>
      <c r="G1678" s="204"/>
      <c r="H1678" s="202"/>
      <c r="I1678" s="204"/>
    </row>
    <row r="1679" spans="1:9">
      <c r="A1679" s="239" t="s">
        <v>530</v>
      </c>
      <c r="B1679" s="204"/>
      <c r="C1679" s="204"/>
      <c r="D1679" s="204"/>
      <c r="E1679" s="204"/>
      <c r="F1679" s="204"/>
      <c r="G1679" s="204"/>
      <c r="H1679" s="202"/>
      <c r="I1679" s="204"/>
    </row>
    <row r="1680" spans="1:9">
      <c r="A1680" s="282" t="s">
        <v>169</v>
      </c>
      <c r="B1680" s="468">
        <v>2478.6</v>
      </c>
      <c r="C1680" s="360">
        <v>2548.9</v>
      </c>
      <c r="D1680" s="360">
        <v>2301</v>
      </c>
      <c r="E1680" s="468">
        <v>1726</v>
      </c>
      <c r="F1680" s="468">
        <v>2659</v>
      </c>
      <c r="G1680" s="468">
        <v>15492.4</v>
      </c>
      <c r="H1680" s="468">
        <v>35778.1</v>
      </c>
      <c r="I1680" s="360">
        <v>22</v>
      </c>
    </row>
    <row r="1683" spans="1:27">
      <c r="A1683" s="221" t="s">
        <v>193</v>
      </c>
      <c r="D1683" s="220"/>
      <c r="I1683" s="221">
        <v>2002</v>
      </c>
      <c r="K1683" s="221" t="str">
        <f>+A1683</f>
        <v>Poland</v>
      </c>
      <c r="M1683" s="220"/>
      <c r="S1683" s="221">
        <v>2002</v>
      </c>
    </row>
    <row r="1684" spans="1:27" ht="13.5" thickBot="1"/>
    <row r="1685" spans="1:27">
      <c r="A1685" s="346" t="s">
        <v>475</v>
      </c>
      <c r="B1685" s="233" t="s">
        <v>476</v>
      </c>
      <c r="C1685" s="233"/>
      <c r="D1685" s="234"/>
      <c r="E1685" s="235" t="s">
        <v>477</v>
      </c>
      <c r="F1685" s="233"/>
      <c r="G1685" s="236"/>
      <c r="H1685" s="347" t="s">
        <v>138</v>
      </c>
      <c r="I1685" s="348" t="s">
        <v>478</v>
      </c>
      <c r="J1685" s="230"/>
      <c r="K1685" s="231" t="s">
        <v>475</v>
      </c>
      <c r="L1685" s="232" t="s">
        <v>479</v>
      </c>
      <c r="M1685" s="233"/>
      <c r="N1685" s="234"/>
      <c r="O1685" s="235" t="s">
        <v>480</v>
      </c>
      <c r="P1685" s="233"/>
      <c r="Q1685" s="233"/>
      <c r="R1685" s="236"/>
      <c r="S1685" s="237"/>
    </row>
    <row r="1686" spans="1:27">
      <c r="A1686" s="266"/>
      <c r="B1686" s="240" t="s">
        <v>9</v>
      </c>
      <c r="C1686" s="240"/>
      <c r="D1686" s="241" t="s">
        <v>34</v>
      </c>
      <c r="E1686" s="242" t="s">
        <v>88</v>
      </c>
      <c r="F1686" s="243"/>
      <c r="G1686" s="244" t="s">
        <v>34</v>
      </c>
      <c r="H1686" s="241" t="s">
        <v>170</v>
      </c>
      <c r="I1686" s="349" t="s">
        <v>483</v>
      </c>
      <c r="J1686" s="230"/>
      <c r="K1686" s="245"/>
      <c r="L1686" s="246" t="s">
        <v>484</v>
      </c>
      <c r="M1686" s="247"/>
      <c r="N1686" s="248" t="s">
        <v>485</v>
      </c>
      <c r="O1686" s="248" t="s">
        <v>486</v>
      </c>
      <c r="P1686" s="248" t="s">
        <v>486</v>
      </c>
      <c r="Q1686" s="247" t="s">
        <v>487</v>
      </c>
      <c r="R1686" s="249"/>
      <c r="S1686" s="250" t="s">
        <v>485</v>
      </c>
      <c r="U1686" s="214" t="str">
        <f>A1683</f>
        <v>Poland</v>
      </c>
    </row>
    <row r="1687" spans="1:27">
      <c r="A1687" s="350" t="s">
        <v>488</v>
      </c>
      <c r="B1687" s="252" t="s">
        <v>0</v>
      </c>
      <c r="C1687" s="469" t="s">
        <v>489</v>
      </c>
      <c r="D1687" s="252" t="s">
        <v>490</v>
      </c>
      <c r="E1687" s="252" t="s">
        <v>491</v>
      </c>
      <c r="F1687" s="469" t="s">
        <v>489</v>
      </c>
      <c r="G1687" s="230" t="s">
        <v>490</v>
      </c>
      <c r="H1687" s="248"/>
      <c r="I1687" s="349" t="s">
        <v>492</v>
      </c>
      <c r="J1687" s="230"/>
      <c r="K1687" s="253" t="s">
        <v>488</v>
      </c>
      <c r="L1687" s="254" t="s">
        <v>88</v>
      </c>
      <c r="M1687" s="252" t="s">
        <v>34</v>
      </c>
      <c r="N1687" s="252" t="s">
        <v>493</v>
      </c>
      <c r="O1687" s="248" t="s">
        <v>494</v>
      </c>
      <c r="P1687" s="248" t="s">
        <v>495</v>
      </c>
      <c r="Q1687" s="230" t="s">
        <v>88</v>
      </c>
      <c r="R1687" s="248" t="s">
        <v>34</v>
      </c>
      <c r="S1687" s="255" t="s">
        <v>88</v>
      </c>
      <c r="U1687" s="214" t="s">
        <v>547</v>
      </c>
      <c r="V1687" s="214">
        <f>G1715/1000</f>
        <v>169.75399999999999</v>
      </c>
    </row>
    <row r="1688" spans="1:27">
      <c r="A1688" s="266"/>
      <c r="B1688" s="252" t="s">
        <v>496</v>
      </c>
      <c r="C1688" s="469" t="s">
        <v>496</v>
      </c>
      <c r="D1688" s="252" t="s">
        <v>496</v>
      </c>
      <c r="E1688" s="256" t="s">
        <v>473</v>
      </c>
      <c r="F1688" s="470" t="s">
        <v>473</v>
      </c>
      <c r="G1688" s="230" t="s">
        <v>451</v>
      </c>
      <c r="H1688" s="257" t="s">
        <v>497</v>
      </c>
      <c r="I1688" s="351" t="s">
        <v>498</v>
      </c>
      <c r="J1688" s="230"/>
      <c r="K1688" s="245"/>
      <c r="L1688" s="258" t="s">
        <v>496</v>
      </c>
      <c r="M1688" s="256" t="s">
        <v>496</v>
      </c>
      <c r="N1688" s="256"/>
      <c r="O1688" s="257" t="s">
        <v>79</v>
      </c>
      <c r="P1688" s="257" t="s">
        <v>79</v>
      </c>
      <c r="Q1688" s="259"/>
      <c r="R1688" s="257"/>
      <c r="S1688" s="260"/>
      <c r="U1688" s="214" t="s">
        <v>548</v>
      </c>
      <c r="V1688" s="214">
        <f>G1721/1000</f>
        <v>6.117</v>
      </c>
    </row>
    <row r="1689" spans="1:27">
      <c r="A1689" s="352" t="s">
        <v>262</v>
      </c>
      <c r="B1689" s="201"/>
      <c r="C1689" s="417"/>
      <c r="D1689" s="201"/>
      <c r="E1689" s="204"/>
      <c r="F1689" s="471"/>
      <c r="G1689" s="207"/>
      <c r="H1689" s="213"/>
      <c r="I1689" s="363"/>
      <c r="J1689" s="230"/>
      <c r="K1689" s="265" t="s">
        <v>262</v>
      </c>
      <c r="L1689" s="266" t="e">
        <f>C1689/I1689</f>
        <v>#DIV/0!</v>
      </c>
      <c r="M1689" s="267" t="e">
        <f>D1689/I1689</f>
        <v>#DIV/0!</v>
      </c>
      <c r="N1689" s="267" t="e">
        <f>D1689/C1689</f>
        <v>#DIV/0!</v>
      </c>
      <c r="O1689" s="239" t="e">
        <f>(F1689*3.6+G1689)*100/H1689</f>
        <v>#DIV/0!</v>
      </c>
      <c r="P1689" s="239" t="e">
        <f>(F1689*3.6+G1689)*100/H1689</f>
        <v>#DIV/0!</v>
      </c>
      <c r="Q1689" s="267" t="e">
        <f>F1689/(C1689*8760)*1000</f>
        <v>#DIV/0!</v>
      </c>
      <c r="R1689" s="267" t="e">
        <f>G1689/(D1689*8761)*1000/3.6</f>
        <v>#DIV/0!</v>
      </c>
      <c r="S1689" s="268" t="e">
        <f>G1689/(F1689*3.6)</f>
        <v>#DIV/0!</v>
      </c>
      <c r="U1689" s="214" t="s">
        <v>549</v>
      </c>
      <c r="V1689" s="214">
        <f>G1723/1000</f>
        <v>40.127000000000002</v>
      </c>
      <c r="Z1689" s="214">
        <f t="shared" ref="Z1689:Z1694" si="571">C1689-B1689</f>
        <v>0</v>
      </c>
      <c r="AA1689" s="214">
        <f t="shared" ref="AA1689:AA1694" si="572">F1689-E1689</f>
        <v>0</v>
      </c>
    </row>
    <row r="1690" spans="1:27">
      <c r="A1690" s="266" t="s">
        <v>263</v>
      </c>
      <c r="B1690" s="204">
        <v>1671</v>
      </c>
      <c r="C1690" s="418">
        <v>1671</v>
      </c>
      <c r="D1690" s="204">
        <v>6862</v>
      </c>
      <c r="E1690" s="204">
        <v>7291</v>
      </c>
      <c r="F1690" s="418">
        <v>7291</v>
      </c>
      <c r="G1690" s="206">
        <v>96687</v>
      </c>
      <c r="H1690" s="202">
        <v>145219</v>
      </c>
      <c r="I1690" s="363">
        <v>62</v>
      </c>
      <c r="J1690" s="230"/>
      <c r="K1690" s="245" t="s">
        <v>263</v>
      </c>
      <c r="L1690" s="266">
        <f>C1690/I1690</f>
        <v>26.951612903225808</v>
      </c>
      <c r="M1690" s="267">
        <f>D1690/I1690</f>
        <v>110.6774193548387</v>
      </c>
      <c r="N1690" s="267">
        <f>D1690/C1690</f>
        <v>4.1065230400957509</v>
      </c>
      <c r="O1690" s="239">
        <f>(F1690*3.6+G1690)*100/H1690</f>
        <v>84.654625083494579</v>
      </c>
      <c r="P1690" s="239">
        <f>(F1690*3.6+G1690)*100/H1690</f>
        <v>84.654625083494579</v>
      </c>
      <c r="Q1690" s="267">
        <f>F1690/(C1690*8760)*1000</f>
        <v>0.49808853146203436</v>
      </c>
      <c r="R1690" s="267">
        <f>G1690/(D1690*8761)*1000/3.6</f>
        <v>0.44674653251002339</v>
      </c>
      <c r="S1690" s="268">
        <f>G1690/(F1690*3.6)</f>
        <v>3.6836510766698667</v>
      </c>
      <c r="U1690" s="214" t="s">
        <v>550</v>
      </c>
      <c r="V1690" s="214">
        <f>G1728/1000</f>
        <v>22.968</v>
      </c>
      <c r="Z1690" s="214">
        <f t="shared" si="571"/>
        <v>0</v>
      </c>
      <c r="AA1690" s="214">
        <f t="shared" si="572"/>
        <v>0</v>
      </c>
    </row>
    <row r="1691" spans="1:27">
      <c r="A1691" s="266" t="s">
        <v>499</v>
      </c>
      <c r="B1691" s="216">
        <v>1204</v>
      </c>
      <c r="C1691" s="418">
        <v>1204</v>
      </c>
      <c r="D1691" s="204">
        <v>3912</v>
      </c>
      <c r="E1691" s="216">
        <v>4618</v>
      </c>
      <c r="F1691" s="471">
        <v>4618</v>
      </c>
      <c r="G1691" s="206">
        <v>55239</v>
      </c>
      <c r="H1691" s="202">
        <v>80826</v>
      </c>
      <c r="I1691" s="363">
        <v>42</v>
      </c>
      <c r="J1691" s="230"/>
      <c r="K1691" s="245" t="s">
        <v>499</v>
      </c>
      <c r="L1691" s="266">
        <f>C1691/I1691</f>
        <v>28.666666666666668</v>
      </c>
      <c r="M1691" s="267">
        <f>D1691/I1691</f>
        <v>93.142857142857139</v>
      </c>
      <c r="N1691" s="267">
        <f>D1691/C1691</f>
        <v>3.249169435215947</v>
      </c>
      <c r="O1691" s="239">
        <f>(F1691*3.6+G1691)*100/H1691</f>
        <v>88.911736322470489</v>
      </c>
      <c r="P1691" s="239">
        <f>(F1691*3.6+G1691)*100/H1691</f>
        <v>88.911736322470489</v>
      </c>
      <c r="Q1691" s="267">
        <f>F1691/(C1691*8760)*1000</f>
        <v>0.4378479649266524</v>
      </c>
      <c r="R1691" s="267">
        <f>G1691/(D1691*8761)*1000/3.6</f>
        <v>0.44770380008009403</v>
      </c>
      <c r="S1691" s="268">
        <f>G1691/(F1691*3.6)</f>
        <v>3.3226865887108419</v>
      </c>
      <c r="U1691" s="214" t="s">
        <v>551</v>
      </c>
      <c r="V1691" s="214">
        <f>G1719/1000</f>
        <v>29.131</v>
      </c>
      <c r="Z1691" s="214">
        <f t="shared" si="571"/>
        <v>0</v>
      </c>
      <c r="AA1691" s="214">
        <f t="shared" si="572"/>
        <v>0</v>
      </c>
    </row>
    <row r="1692" spans="1:27">
      <c r="A1692" s="266" t="s">
        <v>265</v>
      </c>
      <c r="B1692" s="216">
        <v>31</v>
      </c>
      <c r="C1692" s="419">
        <v>31</v>
      </c>
      <c r="D1692" s="204">
        <v>58</v>
      </c>
      <c r="E1692" s="216">
        <v>163</v>
      </c>
      <c r="F1692" s="419">
        <v>163</v>
      </c>
      <c r="G1692" s="206">
        <v>1682</v>
      </c>
      <c r="H1692" s="202">
        <v>2778</v>
      </c>
      <c r="I1692" s="363">
        <v>5</v>
      </c>
      <c r="J1692" s="230"/>
      <c r="K1692" s="245" t="s">
        <v>265</v>
      </c>
      <c r="L1692" s="266">
        <f>C1692/I1692</f>
        <v>6.2</v>
      </c>
      <c r="M1692" s="267">
        <f>D1692/I1692</f>
        <v>11.6</v>
      </c>
      <c r="N1692" s="267">
        <f>D1692/C1692</f>
        <v>1.8709677419354838</v>
      </c>
      <c r="O1692" s="239">
        <f>(F1692*3.6+G1692)*100/H1692</f>
        <v>81.670266378689718</v>
      </c>
      <c r="P1692" s="239">
        <f>(F1692*3.6+G1692)*100/H1692</f>
        <v>81.670266378689718</v>
      </c>
      <c r="Q1692" s="267">
        <f>F1692/(C1692*8760)*1000</f>
        <v>0.60023567535719546</v>
      </c>
      <c r="R1692" s="267">
        <f>G1692/(D1692*8761)*1000/3.6</f>
        <v>0.91947900417253225</v>
      </c>
      <c r="S1692" s="268">
        <f>G1692/(F1692*3.6)</f>
        <v>2.866394001363326</v>
      </c>
      <c r="U1692" s="214" t="s">
        <v>552</v>
      </c>
      <c r="V1692" s="214">
        <f>(G1716+G1717+G1718+G1720+G1722+G1724+G1725+G1726+G1727+G1729+G1730+G1731+G1732+G1733)/1000</f>
        <v>71.411000000000001</v>
      </c>
      <c r="Z1692" s="214">
        <f t="shared" si="571"/>
        <v>0</v>
      </c>
      <c r="AA1692" s="214">
        <f t="shared" si="572"/>
        <v>0</v>
      </c>
    </row>
    <row r="1693" spans="1:27">
      <c r="A1693" s="266" t="s">
        <v>266</v>
      </c>
      <c r="B1693" s="216"/>
      <c r="C1693" s="419"/>
      <c r="D1693" s="204"/>
      <c r="E1693" s="216"/>
      <c r="F1693" s="419"/>
      <c r="G1693" s="206"/>
      <c r="H1693" s="202"/>
      <c r="I1693" s="363"/>
      <c r="J1693" s="230"/>
      <c r="K1693" s="245" t="s">
        <v>266</v>
      </c>
      <c r="L1693" s="266" t="e">
        <f>C1693/I1693</f>
        <v>#DIV/0!</v>
      </c>
      <c r="M1693" s="267" t="e">
        <f>D1693/I1693</f>
        <v>#DIV/0!</v>
      </c>
      <c r="N1693" s="267" t="e">
        <f>D1693/C1693</f>
        <v>#DIV/0!</v>
      </c>
      <c r="O1693" s="239" t="e">
        <f>(F1693*3.6+G1693)*100/H1693</f>
        <v>#DIV/0!</v>
      </c>
      <c r="P1693" s="239" t="e">
        <f>(F1693*3.6+G1693)*100/H1693</f>
        <v>#DIV/0!</v>
      </c>
      <c r="Q1693" s="267" t="e">
        <f>F1693/(C1693*8760)*1000</f>
        <v>#DIV/0!</v>
      </c>
      <c r="R1693" s="267" t="e">
        <f>G1693/(D1693*8761)*1000/3.6</f>
        <v>#DIV/0!</v>
      </c>
      <c r="S1693" s="268" t="e">
        <f>G1693/(F1693*3.6)</f>
        <v>#DIV/0!</v>
      </c>
      <c r="Z1693" s="214">
        <f t="shared" si="571"/>
        <v>0</v>
      </c>
      <c r="AA1693" s="214">
        <f t="shared" si="572"/>
        <v>0</v>
      </c>
    </row>
    <row r="1694" spans="1:27">
      <c r="A1694" s="353" t="s">
        <v>267</v>
      </c>
      <c r="B1694" s="218"/>
      <c r="C1694" s="420"/>
      <c r="D1694" s="210"/>
      <c r="E1694" s="204"/>
      <c r="F1694" s="421"/>
      <c r="G1694" s="400"/>
      <c r="H1694" s="203"/>
      <c r="I1694" s="401"/>
      <c r="J1694" s="230"/>
      <c r="K1694" s="245" t="s">
        <v>267</v>
      </c>
      <c r="L1694" s="266"/>
      <c r="M1694" s="267"/>
      <c r="N1694" s="267"/>
      <c r="O1694" s="239"/>
      <c r="P1694" s="272"/>
      <c r="Q1694" s="272"/>
      <c r="R1694" s="274"/>
      <c r="S1694" s="275"/>
      <c r="U1694" s="214" t="s">
        <v>553</v>
      </c>
      <c r="V1694" s="214">
        <f>H1715/1000</f>
        <v>253.024</v>
      </c>
      <c r="Z1694" s="214">
        <f t="shared" si="571"/>
        <v>0</v>
      </c>
      <c r="AA1694" s="214">
        <f t="shared" si="572"/>
        <v>0</v>
      </c>
    </row>
    <row r="1695" spans="1:27">
      <c r="A1695" s="276" t="s">
        <v>500</v>
      </c>
      <c r="B1695" s="277">
        <f t="shared" ref="B1695:I1695" si="573">SUM(B1689:B1694)</f>
        <v>2906</v>
      </c>
      <c r="C1695" s="277">
        <f t="shared" si="573"/>
        <v>2906</v>
      </c>
      <c r="D1695" s="277">
        <f t="shared" si="573"/>
        <v>10832</v>
      </c>
      <c r="E1695" s="277">
        <f t="shared" si="573"/>
        <v>12072</v>
      </c>
      <c r="F1695" s="277">
        <f t="shared" si="573"/>
        <v>12072</v>
      </c>
      <c r="G1695" s="277">
        <f t="shared" si="573"/>
        <v>153608</v>
      </c>
      <c r="H1695" s="277">
        <f t="shared" si="573"/>
        <v>228823</v>
      </c>
      <c r="I1695" s="277">
        <f t="shared" si="573"/>
        <v>109</v>
      </c>
      <c r="J1695" s="244"/>
      <c r="K1695" s="279" t="s">
        <v>169</v>
      </c>
      <c r="L1695" s="280">
        <f>C1695/I1695</f>
        <v>26.660550458715598</v>
      </c>
      <c r="M1695" s="281">
        <f>D1695/I1695</f>
        <v>99.376146788990823</v>
      </c>
      <c r="N1695" s="281">
        <f>D1695/C1695</f>
        <v>3.7274604267033724</v>
      </c>
      <c r="O1695" s="282">
        <f>(F1695*3.6+G1695)*100/H1695</f>
        <v>86.122111850644387</v>
      </c>
      <c r="P1695" s="282">
        <f>(F1695*3.6+G1695)*100/H1695</f>
        <v>86.122111850644387</v>
      </c>
      <c r="Q1695" s="283">
        <f>F1695/(C1695*8760)*1000</f>
        <v>0.47421961176215482</v>
      </c>
      <c r="R1695" s="283">
        <f>G1695/(D1695*8761)*1000/3.6</f>
        <v>0.44962350020671299</v>
      </c>
      <c r="S1695" s="284">
        <f>G1695/(F1695*3.6)</f>
        <v>3.5345335395037183</v>
      </c>
      <c r="U1695" s="214" t="s">
        <v>554</v>
      </c>
      <c r="V1695" s="214">
        <f>H1721/1000</f>
        <v>12.387</v>
      </c>
    </row>
    <row r="1696" spans="1:27">
      <c r="A1696" s="285" t="s">
        <v>501</v>
      </c>
      <c r="B1696" s="228" t="s">
        <v>476</v>
      </c>
      <c r="C1696" s="228"/>
      <c r="D1696" s="286"/>
      <c r="E1696" s="227" t="s">
        <v>477</v>
      </c>
      <c r="F1696" s="228"/>
      <c r="G1696" s="229"/>
      <c r="H1696" s="200" t="s">
        <v>138</v>
      </c>
      <c r="I1696" s="354" t="s">
        <v>478</v>
      </c>
      <c r="J1696" s="244"/>
      <c r="K1696" s="287" t="s">
        <v>501</v>
      </c>
      <c r="L1696" s="288" t="s">
        <v>479</v>
      </c>
      <c r="M1696" s="228"/>
      <c r="N1696" s="286"/>
      <c r="O1696" s="227" t="s">
        <v>480</v>
      </c>
      <c r="P1696" s="228"/>
      <c r="Q1696" s="228"/>
      <c r="R1696" s="229"/>
      <c r="S1696" s="289"/>
      <c r="U1696" s="214" t="s">
        <v>555</v>
      </c>
      <c r="V1696" s="214">
        <f>H1723/1000</f>
        <v>54.923000000000002</v>
      </c>
    </row>
    <row r="1697" spans="1:27">
      <c r="A1697" s="266"/>
      <c r="B1697" s="240" t="s">
        <v>481</v>
      </c>
      <c r="C1697" s="240"/>
      <c r="D1697" s="241" t="s">
        <v>34</v>
      </c>
      <c r="E1697" s="242" t="s">
        <v>482</v>
      </c>
      <c r="F1697" s="243"/>
      <c r="G1697" s="244" t="s">
        <v>34</v>
      </c>
      <c r="H1697" s="241" t="s">
        <v>170</v>
      </c>
      <c r="I1697" s="349" t="s">
        <v>483</v>
      </c>
      <c r="J1697" s="244"/>
      <c r="K1697" s="245"/>
      <c r="L1697" s="246" t="s">
        <v>484</v>
      </c>
      <c r="M1697" s="247"/>
      <c r="N1697" s="248" t="s">
        <v>485</v>
      </c>
      <c r="O1697" s="248" t="s">
        <v>486</v>
      </c>
      <c r="P1697" s="248" t="s">
        <v>486</v>
      </c>
      <c r="Q1697" s="247" t="s">
        <v>487</v>
      </c>
      <c r="R1697" s="249"/>
      <c r="S1697" s="250" t="s">
        <v>485</v>
      </c>
      <c r="U1697" s="214" t="s">
        <v>556</v>
      </c>
      <c r="V1697" s="214">
        <f>H1728/1000</f>
        <v>33.106000000000002</v>
      </c>
    </row>
    <row r="1698" spans="1:27">
      <c r="A1698" s="350" t="s">
        <v>488</v>
      </c>
      <c r="B1698" s="252" t="s">
        <v>0</v>
      </c>
      <c r="C1698" s="252" t="s">
        <v>489</v>
      </c>
      <c r="D1698" s="252" t="s">
        <v>490</v>
      </c>
      <c r="E1698" s="252" t="s">
        <v>491</v>
      </c>
      <c r="F1698" s="252" t="s">
        <v>489</v>
      </c>
      <c r="G1698" s="230" t="s">
        <v>490</v>
      </c>
      <c r="H1698" s="248"/>
      <c r="I1698" s="349" t="s">
        <v>492</v>
      </c>
      <c r="J1698" s="244"/>
      <c r="K1698" s="253" t="s">
        <v>488</v>
      </c>
      <c r="L1698" s="254" t="s">
        <v>88</v>
      </c>
      <c r="M1698" s="252" t="s">
        <v>34</v>
      </c>
      <c r="N1698" s="252" t="s">
        <v>493</v>
      </c>
      <c r="O1698" s="248" t="s">
        <v>494</v>
      </c>
      <c r="P1698" s="248" t="s">
        <v>495</v>
      </c>
      <c r="Q1698" s="230" t="s">
        <v>88</v>
      </c>
      <c r="R1698" s="248" t="s">
        <v>34</v>
      </c>
      <c r="S1698" s="255" t="s">
        <v>88</v>
      </c>
      <c r="U1698" s="214" t="s">
        <v>557</v>
      </c>
      <c r="V1698" s="214">
        <f>H1719/1000</f>
        <v>41.883000000000003</v>
      </c>
    </row>
    <row r="1699" spans="1:27">
      <c r="A1699" s="266"/>
      <c r="B1699" s="252" t="s">
        <v>496</v>
      </c>
      <c r="C1699" s="252" t="s">
        <v>496</v>
      </c>
      <c r="D1699" s="252" t="s">
        <v>496</v>
      </c>
      <c r="E1699" s="256" t="s">
        <v>473</v>
      </c>
      <c r="F1699" s="256" t="s">
        <v>473</v>
      </c>
      <c r="G1699" s="230" t="s">
        <v>451</v>
      </c>
      <c r="H1699" s="257" t="s">
        <v>497</v>
      </c>
      <c r="I1699" s="351" t="s">
        <v>498</v>
      </c>
      <c r="J1699" s="244"/>
      <c r="K1699" s="245"/>
      <c r="L1699" s="258" t="s">
        <v>496</v>
      </c>
      <c r="M1699" s="256" t="s">
        <v>496</v>
      </c>
      <c r="N1699" s="256"/>
      <c r="O1699" s="257" t="s">
        <v>79</v>
      </c>
      <c r="P1699" s="257" t="s">
        <v>79</v>
      </c>
      <c r="Q1699" s="259"/>
      <c r="R1699" s="257"/>
      <c r="S1699" s="260"/>
      <c r="U1699" s="214" t="s">
        <v>558</v>
      </c>
      <c r="V1699" s="214">
        <f>(H1716+H1717+H1718+H1720+H1722+H1724+H1725+H1726+H1727+H1729+H1730+H1731+H1732+H1733)/1000</f>
        <v>110.72499999999999</v>
      </c>
    </row>
    <row r="1700" spans="1:27">
      <c r="A1700" s="352" t="s">
        <v>262</v>
      </c>
      <c r="B1700" s="365">
        <v>297</v>
      </c>
      <c r="C1700" s="365">
        <v>297</v>
      </c>
      <c r="D1700" s="365">
        <v>702</v>
      </c>
      <c r="E1700" s="320">
        <v>662</v>
      </c>
      <c r="F1700" s="319">
        <v>1728</v>
      </c>
      <c r="G1700" s="368">
        <v>2509</v>
      </c>
      <c r="H1700" s="369">
        <v>14158</v>
      </c>
      <c r="I1700" s="370">
        <v>2</v>
      </c>
      <c r="J1700" s="244"/>
      <c r="K1700" s="265" t="s">
        <v>262</v>
      </c>
      <c r="L1700" s="266">
        <f>B1700/I1700</f>
        <v>148.5</v>
      </c>
      <c r="M1700" s="267">
        <f>D1700/I1700</f>
        <v>351</v>
      </c>
      <c r="N1700" s="267">
        <f>D1700/B1700</f>
        <v>2.3636363636363638</v>
      </c>
      <c r="O1700" s="239">
        <f>(F1700*3.6+G1700)*100/H1700</f>
        <v>61.659838960305123</v>
      </c>
      <c r="P1700" s="267">
        <f>(E1700*3.6+G1700)*100/H1700</f>
        <v>34.554315581296798</v>
      </c>
      <c r="Q1700" s="267">
        <f>E1700/(B1700*8760)*1000</f>
        <v>0.25444705810002616</v>
      </c>
      <c r="R1700" s="267">
        <f>G1700/(D1700*8761)*1000/3.6</f>
        <v>0.11332020932649983</v>
      </c>
      <c r="S1700" s="268">
        <f>G1700/(E1700*3.6)</f>
        <v>1.0527861698556562</v>
      </c>
      <c r="Z1700" s="214">
        <f t="shared" ref="Z1700:Z1707" si="574">C1700-B1700</f>
        <v>0</v>
      </c>
      <c r="AA1700" s="214">
        <f t="shared" ref="AA1700:AA1707" si="575">F1700-E1700</f>
        <v>1066</v>
      </c>
    </row>
    <row r="1701" spans="1:27">
      <c r="A1701" s="266" t="s">
        <v>263</v>
      </c>
      <c r="B1701" s="320">
        <v>190</v>
      </c>
      <c r="C1701" s="320">
        <v>190</v>
      </c>
      <c r="D1701" s="320">
        <v>1432</v>
      </c>
      <c r="E1701" s="320">
        <v>526</v>
      </c>
      <c r="F1701" s="319">
        <v>583</v>
      </c>
      <c r="G1701" s="321">
        <v>12755</v>
      </c>
      <c r="H1701" s="319">
        <v>20962</v>
      </c>
      <c r="I1701" s="370">
        <v>23</v>
      </c>
      <c r="J1701" s="244"/>
      <c r="K1701" s="245" t="s">
        <v>263</v>
      </c>
      <c r="L1701" s="266">
        <f>B1701/I1701</f>
        <v>8.2608695652173907</v>
      </c>
      <c r="M1701" s="267">
        <f>D1701/I1701</f>
        <v>62.260869565217391</v>
      </c>
      <c r="N1701" s="267">
        <f>D1701/B1701</f>
        <v>7.5368421052631582</v>
      </c>
      <c r="O1701" s="239">
        <f>(F1701*3.6+G1701)*100/H1701</f>
        <v>70.860604904112208</v>
      </c>
      <c r="P1701" s="267">
        <f>(E1701*3.6+G1701)*100/H1701</f>
        <v>69.88169067837039</v>
      </c>
      <c r="Q1701" s="267">
        <f>E1701/(B1701*8760)*1000</f>
        <v>0.31602980052871904</v>
      </c>
      <c r="R1701" s="267">
        <f>G1701/(D1701*8761)*1000/3.6</f>
        <v>0.28241077581922197</v>
      </c>
      <c r="S1701" s="268">
        <f>G1701/(E1701*3.6)</f>
        <v>6.7358470637938312</v>
      </c>
      <c r="U1701" s="239" t="s">
        <v>152</v>
      </c>
      <c r="V1701" s="492">
        <f>B1716/1000</f>
        <v>1.8499999999999999E-2</v>
      </c>
      <c r="Z1701" s="214">
        <f t="shared" si="574"/>
        <v>0</v>
      </c>
      <c r="AA1701" s="214">
        <f t="shared" si="575"/>
        <v>57</v>
      </c>
    </row>
    <row r="1702" spans="1:27">
      <c r="A1702" s="266" t="s">
        <v>499</v>
      </c>
      <c r="B1702" s="320">
        <v>2833</v>
      </c>
      <c r="C1702" s="320">
        <v>3231</v>
      </c>
      <c r="D1702" s="320">
        <v>11746</v>
      </c>
      <c r="E1702" s="320">
        <v>9599</v>
      </c>
      <c r="F1702" s="319">
        <v>12322</v>
      </c>
      <c r="G1702" s="321">
        <v>137685</v>
      </c>
      <c r="H1702" s="319">
        <v>257562</v>
      </c>
      <c r="I1702" s="370">
        <v>196</v>
      </c>
      <c r="J1702" s="244"/>
      <c r="K1702" s="245" t="s">
        <v>499</v>
      </c>
      <c r="L1702" s="266">
        <f>B1702/I1702</f>
        <v>14.454081632653061</v>
      </c>
      <c r="M1702" s="267">
        <f>D1702/I1702</f>
        <v>59.928571428571431</v>
      </c>
      <c r="N1702" s="267">
        <f>D1702/B1702</f>
        <v>4.1461348393928699</v>
      </c>
      <c r="O1702" s="239">
        <f>(F1702*3.6+G1702)*100/H1702</f>
        <v>70.67975866005078</v>
      </c>
      <c r="P1702" s="267">
        <f>(E1702*3.6+G1702)*100/H1702</f>
        <v>66.873762433899415</v>
      </c>
      <c r="Q1702" s="267">
        <f>E1702/(B1702*8760)*1000</f>
        <v>0.38679006555162815</v>
      </c>
      <c r="R1702" s="267">
        <f>G1702/(D1702*8761)*1000/3.6</f>
        <v>0.37165540342272091</v>
      </c>
      <c r="S1702" s="268">
        <f>G1702/(E1702*3.6)</f>
        <v>3.9843560093065249</v>
      </c>
      <c r="U1702" s="239" t="s">
        <v>504</v>
      </c>
      <c r="V1702" s="492">
        <f t="shared" ref="V1702:V1718" si="576">B1717/1000</f>
        <v>0</v>
      </c>
      <c r="Z1702" s="214">
        <f t="shared" si="574"/>
        <v>398</v>
      </c>
      <c r="AA1702" s="214">
        <f t="shared" si="575"/>
        <v>2723</v>
      </c>
    </row>
    <row r="1703" spans="1:27">
      <c r="A1703" s="266" t="s">
        <v>265</v>
      </c>
      <c r="B1703" s="320">
        <v>42</v>
      </c>
      <c r="C1703" s="320">
        <v>50</v>
      </c>
      <c r="D1703" s="320">
        <v>100</v>
      </c>
      <c r="E1703" s="320">
        <v>144</v>
      </c>
      <c r="F1703" s="319">
        <v>357</v>
      </c>
      <c r="G1703" s="321">
        <v>1020</v>
      </c>
      <c r="H1703" s="319">
        <v>3569</v>
      </c>
      <c r="I1703" s="370">
        <v>7</v>
      </c>
      <c r="J1703" s="244"/>
      <c r="K1703" s="245" t="s">
        <v>265</v>
      </c>
      <c r="L1703" s="266">
        <f>B1703/I1703</f>
        <v>6</v>
      </c>
      <c r="M1703" s="267">
        <f>D1703/I1703</f>
        <v>14.285714285714286</v>
      </c>
      <c r="N1703" s="267">
        <f>D1703/B1703</f>
        <v>2.3809523809523809</v>
      </c>
      <c r="O1703" s="239">
        <f>(F1703*3.6+G1703)*100/H1703</f>
        <v>64.589520874194449</v>
      </c>
      <c r="P1703" s="267">
        <f>(E1703*3.6+G1703)*100/H1703</f>
        <v>43.10451106752592</v>
      </c>
      <c r="Q1703" s="267">
        <f>E1703/(B1703*8760)*1000</f>
        <v>0.39138943248532293</v>
      </c>
      <c r="R1703" s="267">
        <f>G1703/(D1703*8761)*1000/3.6</f>
        <v>0.32340296008826996</v>
      </c>
      <c r="S1703" s="268">
        <f>G1703/(E1703*3.6)</f>
        <v>1.9675925925925928</v>
      </c>
      <c r="U1703" s="239" t="s">
        <v>505</v>
      </c>
      <c r="V1703" s="492">
        <f t="shared" si="576"/>
        <v>7.5999999999999998E-2</v>
      </c>
      <c r="Z1703" s="214">
        <f t="shared" si="574"/>
        <v>8</v>
      </c>
      <c r="AA1703" s="214">
        <f t="shared" si="575"/>
        <v>213</v>
      </c>
    </row>
    <row r="1704" spans="1:27">
      <c r="A1704" s="266" t="s">
        <v>266</v>
      </c>
      <c r="B1704" s="320"/>
      <c r="C1704" s="320"/>
      <c r="D1704" s="320"/>
      <c r="E1704" s="320"/>
      <c r="F1704" s="319"/>
      <c r="G1704" s="321"/>
      <c r="H1704" s="319"/>
      <c r="I1704" s="370"/>
      <c r="J1704" s="244"/>
      <c r="K1704" s="245" t="s">
        <v>266</v>
      </c>
      <c r="L1704" s="266" t="e">
        <f>B1704/I1704</f>
        <v>#DIV/0!</v>
      </c>
      <c r="M1704" s="267" t="e">
        <f>D1704/I1704</f>
        <v>#DIV/0!</v>
      </c>
      <c r="N1704" s="267" t="e">
        <f>D1704/B1704</f>
        <v>#DIV/0!</v>
      </c>
      <c r="O1704" s="239" t="e">
        <f>(F1704*3.6+G1704)*100/H1704</f>
        <v>#DIV/0!</v>
      </c>
      <c r="P1704" s="267" t="e">
        <f>(E1704*3.6+G1704)*100/H1704</f>
        <v>#DIV/0!</v>
      </c>
      <c r="Q1704" s="267" t="e">
        <f>E1704/(B1704*8760)*1000</f>
        <v>#DIV/0!</v>
      </c>
      <c r="R1704" s="267" t="e">
        <f>G1704/(D1704*8761)*1000/3.6</f>
        <v>#DIV/0!</v>
      </c>
      <c r="S1704" s="268" t="e">
        <f>G1704/(E1704*3.6)</f>
        <v>#DIV/0!</v>
      </c>
      <c r="U1704" s="239" t="s">
        <v>506</v>
      </c>
      <c r="V1704" s="492">
        <f t="shared" si="576"/>
        <v>0.311</v>
      </c>
      <c r="Z1704" s="214">
        <f t="shared" si="574"/>
        <v>0</v>
      </c>
      <c r="AA1704" s="214">
        <f t="shared" si="575"/>
        <v>0</v>
      </c>
    </row>
    <row r="1705" spans="1:27">
      <c r="A1705" s="353" t="s">
        <v>267</v>
      </c>
      <c r="B1705" s="262"/>
      <c r="C1705" s="262"/>
      <c r="D1705" s="262"/>
      <c r="E1705" s="262"/>
      <c r="F1705" s="262"/>
      <c r="G1705" s="262"/>
      <c r="H1705" s="262"/>
      <c r="I1705" s="355"/>
      <c r="J1705" s="244"/>
      <c r="K1705" s="245" t="s">
        <v>267</v>
      </c>
      <c r="L1705" s="266"/>
      <c r="M1705" s="267"/>
      <c r="N1705" s="267"/>
      <c r="O1705" s="239"/>
      <c r="P1705" s="267"/>
      <c r="Q1705" s="272"/>
      <c r="R1705" s="274"/>
      <c r="S1705" s="275"/>
      <c r="U1705" s="239" t="s">
        <v>507</v>
      </c>
      <c r="V1705" s="492">
        <f t="shared" si="576"/>
        <v>0</v>
      </c>
      <c r="Z1705" s="214">
        <f t="shared" si="574"/>
        <v>0</v>
      </c>
      <c r="AA1705" s="214">
        <f t="shared" si="575"/>
        <v>0</v>
      </c>
    </row>
    <row r="1706" spans="1:27">
      <c r="A1706" s="276" t="s">
        <v>500</v>
      </c>
      <c r="B1706" s="291">
        <f t="shared" ref="B1706:I1706" si="577">SUM(B1700:B1705)</f>
        <v>3362</v>
      </c>
      <c r="C1706" s="291">
        <f t="shared" si="577"/>
        <v>3768</v>
      </c>
      <c r="D1706" s="291">
        <f t="shared" si="577"/>
        <v>13980</v>
      </c>
      <c r="E1706" s="291">
        <f t="shared" si="577"/>
        <v>10931</v>
      </c>
      <c r="F1706" s="291">
        <f t="shared" si="577"/>
        <v>14990</v>
      </c>
      <c r="G1706" s="292">
        <f t="shared" si="577"/>
        <v>153969</v>
      </c>
      <c r="H1706" s="291">
        <f t="shared" si="577"/>
        <v>296251</v>
      </c>
      <c r="I1706" s="293">
        <f t="shared" si="577"/>
        <v>228</v>
      </c>
      <c r="J1706" s="244"/>
      <c r="K1706" s="279" t="s">
        <v>169</v>
      </c>
      <c r="L1706" s="280">
        <f>B1706/I1706</f>
        <v>14.745614035087719</v>
      </c>
      <c r="M1706" s="281">
        <f>D1706/I1706</f>
        <v>61.315789473684212</v>
      </c>
      <c r="N1706" s="281">
        <f>D1706/B1706</f>
        <v>4.1582391433670436</v>
      </c>
      <c r="O1706" s="294">
        <f>(F1706*3.6+G1706)*100/H1706</f>
        <v>70.188117508464103</v>
      </c>
      <c r="P1706" s="295">
        <f>(E1706*3.6+G1706)*100/H1706</f>
        <v>65.255678461844852</v>
      </c>
      <c r="Q1706" s="283">
        <f>E1706/(B1706*8760)*1000</f>
        <v>0.37115736175737968</v>
      </c>
      <c r="R1706" s="283">
        <f>G1706/(D1706*8761)*1000/3.6</f>
        <v>0.34919654381490955</v>
      </c>
      <c r="S1706" s="284">
        <f>G1706/(E1706*3.6)</f>
        <v>3.9126490409538621</v>
      </c>
      <c r="U1706" s="239" t="s">
        <v>156</v>
      </c>
      <c r="V1706" s="492">
        <f t="shared" si="576"/>
        <v>9.9000000000000005E-2</v>
      </c>
      <c r="Z1706" s="214">
        <f t="shared" si="574"/>
        <v>406</v>
      </c>
      <c r="AA1706" s="214">
        <f t="shared" si="575"/>
        <v>4059</v>
      </c>
    </row>
    <row r="1707" spans="1:27" ht="13.5" thickBot="1">
      <c r="A1707" s="296" t="s">
        <v>502</v>
      </c>
      <c r="B1707" s="297">
        <f t="shared" ref="B1707:I1707" si="578">B1695+B1706</f>
        <v>6268</v>
      </c>
      <c r="C1707" s="297">
        <f t="shared" si="578"/>
        <v>6674</v>
      </c>
      <c r="D1707" s="297">
        <f t="shared" si="578"/>
        <v>24812</v>
      </c>
      <c r="E1707" s="297">
        <f t="shared" si="578"/>
        <v>23003</v>
      </c>
      <c r="F1707" s="297">
        <f t="shared" si="578"/>
        <v>27062</v>
      </c>
      <c r="G1707" s="297">
        <f t="shared" si="578"/>
        <v>307577</v>
      </c>
      <c r="H1707" s="297">
        <f t="shared" si="578"/>
        <v>525074</v>
      </c>
      <c r="I1707" s="298">
        <f t="shared" si="578"/>
        <v>337</v>
      </c>
      <c r="J1707" s="244"/>
      <c r="K1707" s="296" t="s">
        <v>502</v>
      </c>
      <c r="L1707" s="299">
        <f>B1707/I1707</f>
        <v>18.59940652818991</v>
      </c>
      <c r="M1707" s="300">
        <f>D1707/I1707</f>
        <v>73.626112759643917</v>
      </c>
      <c r="N1707" s="300">
        <f>D1707/B1707</f>
        <v>3.9585194639438419</v>
      </c>
      <c r="O1707" s="301">
        <f>(F1707*3.6+G1707)*100/H1707</f>
        <v>77.132023295764029</v>
      </c>
      <c r="P1707" s="301">
        <f>(E1707*3.6+G1707)*100/H1707</f>
        <v>74.349101269535339</v>
      </c>
      <c r="Q1707" s="301">
        <f>E1707/(B1707*8760)*1000</f>
        <v>0.41893957275193561</v>
      </c>
      <c r="R1707" s="301">
        <f>G1707/(D1707*8761)*1000/3.6</f>
        <v>0.39303923249925643</v>
      </c>
      <c r="S1707" s="302">
        <f>G1707/(E1707*3.6)</f>
        <v>3.7142136049887213</v>
      </c>
      <c r="U1707" s="239" t="s">
        <v>508</v>
      </c>
      <c r="V1707" s="492">
        <f t="shared" si="576"/>
        <v>5.9400000000000001E-2</v>
      </c>
      <c r="Z1707" s="214">
        <f t="shared" si="574"/>
        <v>406</v>
      </c>
      <c r="AA1707" s="214">
        <f t="shared" si="575"/>
        <v>4059</v>
      </c>
    </row>
    <row r="1708" spans="1:27">
      <c r="U1708" s="239" t="s">
        <v>509</v>
      </c>
      <c r="V1708" s="492">
        <f t="shared" si="576"/>
        <v>0.43099999999999999</v>
      </c>
    </row>
    <row r="1709" spans="1:27">
      <c r="A1709" s="251" t="s">
        <v>139</v>
      </c>
      <c r="B1709" s="227" t="s">
        <v>476</v>
      </c>
      <c r="C1709" s="228"/>
      <c r="D1709" s="286"/>
      <c r="E1709" s="227" t="s">
        <v>477</v>
      </c>
      <c r="F1709" s="228"/>
      <c r="G1709" s="229"/>
      <c r="H1709" s="200" t="s">
        <v>138</v>
      </c>
      <c r="I1709" s="200" t="s">
        <v>478</v>
      </c>
      <c r="J1709" s="230"/>
      <c r="K1709" s="303" t="s">
        <v>503</v>
      </c>
      <c r="L1709" s="227" t="s">
        <v>479</v>
      </c>
      <c r="M1709" s="228"/>
      <c r="N1709" s="286"/>
      <c r="O1709" s="227" t="s">
        <v>480</v>
      </c>
      <c r="P1709" s="228"/>
      <c r="Q1709" s="228"/>
      <c r="R1709" s="229"/>
      <c r="S1709" s="286"/>
      <c r="U1709" s="239" t="s">
        <v>510</v>
      </c>
      <c r="V1709" s="492">
        <f t="shared" si="576"/>
        <v>0</v>
      </c>
    </row>
    <row r="1710" spans="1:27">
      <c r="A1710" s="239"/>
      <c r="B1710" s="240" t="s">
        <v>9</v>
      </c>
      <c r="C1710" s="240"/>
      <c r="D1710" s="241" t="s">
        <v>34</v>
      </c>
      <c r="E1710" s="242" t="s">
        <v>88</v>
      </c>
      <c r="F1710" s="243"/>
      <c r="G1710" s="244" t="s">
        <v>34</v>
      </c>
      <c r="H1710" s="241" t="s">
        <v>170</v>
      </c>
      <c r="I1710" s="241" t="s">
        <v>483</v>
      </c>
      <c r="J1710" s="230"/>
      <c r="K1710" s="305"/>
      <c r="L1710" s="306" t="s">
        <v>484</v>
      </c>
      <c r="M1710" s="247"/>
      <c r="N1710" s="248" t="s">
        <v>485</v>
      </c>
      <c r="O1710" s="248" t="s">
        <v>486</v>
      </c>
      <c r="P1710" s="248" t="s">
        <v>486</v>
      </c>
      <c r="Q1710" s="247" t="s">
        <v>487</v>
      </c>
      <c r="R1710" s="249"/>
      <c r="S1710" s="307" t="s">
        <v>485</v>
      </c>
      <c r="U1710" s="239" t="s">
        <v>511</v>
      </c>
      <c r="V1710" s="492">
        <f t="shared" si="576"/>
        <v>4.9000000000000007E-3</v>
      </c>
    </row>
    <row r="1711" spans="1:27">
      <c r="A1711" s="239"/>
      <c r="B1711" s="252" t="s">
        <v>0</v>
      </c>
      <c r="C1711" s="252" t="s">
        <v>489</v>
      </c>
      <c r="D1711" s="252" t="s">
        <v>490</v>
      </c>
      <c r="E1711" s="252" t="s">
        <v>491</v>
      </c>
      <c r="F1711" s="252" t="s">
        <v>489</v>
      </c>
      <c r="G1711" s="230" t="s">
        <v>490</v>
      </c>
      <c r="H1711" s="248"/>
      <c r="I1711" s="241" t="s">
        <v>492</v>
      </c>
      <c r="J1711" s="230"/>
      <c r="K1711" s="305"/>
      <c r="L1711" s="248" t="s">
        <v>88</v>
      </c>
      <c r="M1711" s="252" t="s">
        <v>34</v>
      </c>
      <c r="N1711" s="252" t="s">
        <v>493</v>
      </c>
      <c r="O1711" s="248" t="s">
        <v>494</v>
      </c>
      <c r="P1711" s="248" t="s">
        <v>495</v>
      </c>
      <c r="Q1711" s="230" t="s">
        <v>88</v>
      </c>
      <c r="R1711" s="248" t="s">
        <v>34</v>
      </c>
      <c r="S1711" s="252" t="s">
        <v>88</v>
      </c>
      <c r="U1711" s="239" t="s">
        <v>512</v>
      </c>
      <c r="V1711" s="492">
        <f t="shared" si="576"/>
        <v>0.31</v>
      </c>
    </row>
    <row r="1712" spans="1:27">
      <c r="A1712" s="239"/>
      <c r="B1712" s="257" t="s">
        <v>496</v>
      </c>
      <c r="C1712" s="256" t="s">
        <v>496</v>
      </c>
      <c r="D1712" s="256" t="s">
        <v>496</v>
      </c>
      <c r="E1712" s="256" t="s">
        <v>473</v>
      </c>
      <c r="F1712" s="257" t="s">
        <v>473</v>
      </c>
      <c r="G1712" s="259" t="s">
        <v>451</v>
      </c>
      <c r="H1712" s="257" t="s">
        <v>497</v>
      </c>
      <c r="I1712" s="257" t="s">
        <v>498</v>
      </c>
      <c r="J1712" s="230"/>
      <c r="K1712" s="305"/>
      <c r="L1712" s="257" t="s">
        <v>496</v>
      </c>
      <c r="M1712" s="256" t="s">
        <v>496</v>
      </c>
      <c r="N1712" s="256"/>
      <c r="O1712" s="257" t="s">
        <v>79</v>
      </c>
      <c r="P1712" s="257" t="s">
        <v>79</v>
      </c>
      <c r="Q1712" s="259"/>
      <c r="R1712" s="257"/>
      <c r="S1712" s="256"/>
      <c r="U1712" s="239" t="s">
        <v>513</v>
      </c>
      <c r="V1712" s="492">
        <f t="shared" si="576"/>
        <v>2.2699999999999998E-2</v>
      </c>
    </row>
    <row r="1713" spans="1:27">
      <c r="A1713" s="251" t="s">
        <v>150</v>
      </c>
      <c r="B1713" s="357">
        <v>4138</v>
      </c>
      <c r="C1713" s="356">
        <v>4490</v>
      </c>
      <c r="D1713" s="358">
        <v>11195</v>
      </c>
      <c r="E1713" s="217">
        <v>15424</v>
      </c>
      <c r="F1713" s="217">
        <v>19310</v>
      </c>
      <c r="G1713" s="219">
        <v>137823</v>
      </c>
      <c r="H1713" s="359">
        <v>272050</v>
      </c>
      <c r="I1713" s="205">
        <v>107</v>
      </c>
      <c r="J1713" s="244"/>
      <c r="K1713" s="303" t="s">
        <v>150</v>
      </c>
      <c r="L1713" s="312">
        <f>B1713/I1713</f>
        <v>38.67289719626168</v>
      </c>
      <c r="M1713" s="313">
        <f>D1713/I1713</f>
        <v>104.62616822429906</v>
      </c>
      <c r="N1713" s="313">
        <f>D1713/B1713</f>
        <v>2.705413243112615</v>
      </c>
      <c r="O1713" s="312">
        <f>(F1713*3.6+G1713)*100/H1713</f>
        <v>76.213563683146475</v>
      </c>
      <c r="P1713" s="313">
        <f>(E1713*3.6+G1713)*100/H1713</f>
        <v>71.071273662929613</v>
      </c>
      <c r="Q1713" s="313">
        <f>E1713/(B1713*8760)*1000</f>
        <v>0.42550280174173655</v>
      </c>
      <c r="R1713" s="313">
        <f>G1713/(D1713*8761)*1000/3.6</f>
        <v>0.39033852795142815</v>
      </c>
      <c r="S1713" s="313">
        <f>G1713/(E1713*3.6)</f>
        <v>2.4821166147994469</v>
      </c>
      <c r="U1713" s="239" t="s">
        <v>514</v>
      </c>
      <c r="V1713" s="492">
        <f t="shared" si="576"/>
        <v>0.2029</v>
      </c>
      <c r="Z1713" s="214">
        <f>C1713-B1713</f>
        <v>352</v>
      </c>
      <c r="AA1713" s="214">
        <f>F1713-E1713</f>
        <v>3886</v>
      </c>
    </row>
    <row r="1714" spans="1:27">
      <c r="A1714" s="239"/>
      <c r="B1714" s="252"/>
      <c r="C1714" s="252"/>
      <c r="D1714" s="252"/>
      <c r="E1714" s="267"/>
      <c r="F1714" s="267"/>
      <c r="G1714" s="248"/>
      <c r="H1714" s="252"/>
      <c r="I1714" s="248"/>
      <c r="J1714" s="230"/>
      <c r="K1714" s="239"/>
      <c r="L1714" s="312"/>
      <c r="M1714" s="267"/>
      <c r="N1714" s="267"/>
      <c r="O1714" s="239"/>
      <c r="P1714" s="313"/>
      <c r="Q1714" s="267"/>
      <c r="R1714" s="267"/>
      <c r="S1714" s="239"/>
      <c r="U1714" s="239" t="s">
        <v>515</v>
      </c>
      <c r="V1714" s="492">
        <f t="shared" si="576"/>
        <v>7.7999999999999996E-3</v>
      </c>
      <c r="Z1714" s="214">
        <f t="shared" ref="Z1714:Z1734" si="579">C1714-B1714</f>
        <v>0</v>
      </c>
      <c r="AA1714" s="214">
        <f t="shared" ref="AA1714:AA1734" si="580">F1714-E1714</f>
        <v>0</v>
      </c>
    </row>
    <row r="1715" spans="1:27">
      <c r="A1715" s="312" t="s">
        <v>7</v>
      </c>
      <c r="B1715" s="310">
        <f>SUM(B1716:B1733)</f>
        <v>2129.6999999999998</v>
      </c>
      <c r="C1715" s="310">
        <f t="shared" ref="C1715:I1715" si="581">SUM(C1716:C1733)</f>
        <v>2183.6000000000004</v>
      </c>
      <c r="D1715" s="310">
        <f t="shared" si="581"/>
        <v>13616.9</v>
      </c>
      <c r="E1715" s="310">
        <f t="shared" si="581"/>
        <v>7579.2666666666673</v>
      </c>
      <c r="F1715" s="310">
        <f t="shared" si="581"/>
        <v>7752</v>
      </c>
      <c r="G1715" s="310">
        <f t="shared" si="581"/>
        <v>169754</v>
      </c>
      <c r="H1715" s="310">
        <f t="shared" si="581"/>
        <v>253024</v>
      </c>
      <c r="I1715" s="310">
        <f t="shared" si="581"/>
        <v>230</v>
      </c>
      <c r="J1715" s="244"/>
      <c r="K1715" s="318" t="s">
        <v>7</v>
      </c>
      <c r="L1715" s="312">
        <f>B1715/I1715</f>
        <v>9.2595652173913034</v>
      </c>
      <c r="M1715" s="313">
        <f>D1715/I1715</f>
        <v>59.203913043478259</v>
      </c>
      <c r="N1715" s="313">
        <f>D1715/B1715</f>
        <v>6.3938113349298025</v>
      </c>
      <c r="O1715" s="312">
        <f t="shared" ref="O1715:O1732" si="582">(F1715*3.6+G1715)*100/H1715</f>
        <v>78.119545971923614</v>
      </c>
      <c r="P1715" s="313">
        <f>(E1715*3.6+G1715)*100/H1715</f>
        <v>77.873782724168464</v>
      </c>
      <c r="Q1715" s="313">
        <f>E1715/(B1715*8760)*1000</f>
        <v>0.40626054834114239</v>
      </c>
      <c r="R1715" s="313">
        <f>G1715/(D1715*8761)*1000/3.6</f>
        <v>0.39526247650752466</v>
      </c>
      <c r="S1715" s="313">
        <f>G1715/(E1715*3.6)</f>
        <v>6.2214315662318533</v>
      </c>
      <c r="U1715" s="239" t="s">
        <v>516</v>
      </c>
      <c r="V1715" s="492">
        <f t="shared" si="576"/>
        <v>2.93E-2</v>
      </c>
      <c r="Z1715" s="214">
        <f t="shared" si="579"/>
        <v>53.900000000000546</v>
      </c>
      <c r="AA1715" s="214">
        <f t="shared" si="580"/>
        <v>172.73333333333267</v>
      </c>
    </row>
    <row r="1716" spans="1:27">
      <c r="A1716" s="239" t="s">
        <v>152</v>
      </c>
      <c r="B1716" s="204">
        <v>18.5</v>
      </c>
      <c r="C1716" s="204">
        <v>18.5</v>
      </c>
      <c r="D1716" s="204">
        <v>116</v>
      </c>
      <c r="E1716" s="204">
        <v>101</v>
      </c>
      <c r="F1716" s="204">
        <v>101</v>
      </c>
      <c r="G1716" s="204">
        <v>2707</v>
      </c>
      <c r="H1716" s="204">
        <v>3727</v>
      </c>
      <c r="I1716" s="204">
        <v>2</v>
      </c>
      <c r="J1716" s="230"/>
      <c r="K1716" s="305" t="s">
        <v>152</v>
      </c>
      <c r="L1716" s="239">
        <f t="shared" ref="L1716:L1732" si="583">B1716/I1716</f>
        <v>9.25</v>
      </c>
      <c r="M1716" s="267">
        <f t="shared" ref="M1716:M1732" si="584">D1716/I1716</f>
        <v>58</v>
      </c>
      <c r="N1716" s="267">
        <f t="shared" ref="N1716:N1732" si="585">D1716/B1716</f>
        <v>6.2702702702702702</v>
      </c>
      <c r="O1716" s="239">
        <f t="shared" si="582"/>
        <v>82.387979608264018</v>
      </c>
      <c r="P1716" s="267">
        <f t="shared" ref="P1716:P1732" si="586">(E1716*3.6+G1716)*100/H1716</f>
        <v>82.387979608264018</v>
      </c>
      <c r="Q1716" s="267">
        <f t="shared" ref="Q1716:Q1732" si="587">E1716/(B1716*8760)*1000</f>
        <v>0.62322596569171917</v>
      </c>
      <c r="R1716" s="267">
        <f t="shared" ref="R1716:R1732" si="588">G1716/(D1716*8761)*1000/3.6</f>
        <v>0.73990180270363992</v>
      </c>
      <c r="S1716" s="267">
        <f t="shared" ref="S1716:S1732" si="589">G1716/(E1716*3.6)</f>
        <v>7.4449944994499448</v>
      </c>
      <c r="U1716" s="239" t="s">
        <v>517</v>
      </c>
      <c r="V1716" s="492">
        <f t="shared" si="576"/>
        <v>0</v>
      </c>
      <c r="Z1716" s="214">
        <f t="shared" si="579"/>
        <v>0</v>
      </c>
      <c r="AA1716" s="214">
        <f t="shared" si="580"/>
        <v>0</v>
      </c>
    </row>
    <row r="1717" spans="1:27">
      <c r="A1717" s="239" t="s">
        <v>504</v>
      </c>
      <c r="B1717" s="204"/>
      <c r="C1717" s="204"/>
      <c r="D1717" s="204"/>
      <c r="E1717" s="267"/>
      <c r="F1717" s="267"/>
      <c r="G1717" s="206"/>
      <c r="H1717" s="202"/>
      <c r="I1717" s="202"/>
      <c r="J1717" s="230"/>
      <c r="K1717" s="305" t="s">
        <v>504</v>
      </c>
      <c r="L1717" s="239" t="e">
        <f t="shared" si="583"/>
        <v>#DIV/0!</v>
      </c>
      <c r="M1717" s="267" t="e">
        <f t="shared" si="584"/>
        <v>#DIV/0!</v>
      </c>
      <c r="N1717" s="267" t="e">
        <f t="shared" si="585"/>
        <v>#DIV/0!</v>
      </c>
      <c r="O1717" s="239" t="e">
        <f t="shared" si="582"/>
        <v>#DIV/0!</v>
      </c>
      <c r="P1717" s="267" t="e">
        <f t="shared" si="586"/>
        <v>#DIV/0!</v>
      </c>
      <c r="Q1717" s="267" t="e">
        <f t="shared" si="587"/>
        <v>#DIV/0!</v>
      </c>
      <c r="R1717" s="267" t="e">
        <f t="shared" si="588"/>
        <v>#DIV/0!</v>
      </c>
      <c r="S1717" s="267" t="e">
        <f t="shared" si="589"/>
        <v>#DIV/0!</v>
      </c>
      <c r="U1717" s="239" t="s">
        <v>518</v>
      </c>
      <c r="V1717" s="492">
        <f t="shared" si="576"/>
        <v>0</v>
      </c>
      <c r="Z1717" s="214">
        <f t="shared" si="579"/>
        <v>0</v>
      </c>
      <c r="AA1717" s="214">
        <f t="shared" si="580"/>
        <v>0</v>
      </c>
    </row>
    <row r="1718" spans="1:27">
      <c r="A1718" s="239" t="s">
        <v>505</v>
      </c>
      <c r="B1718" s="204">
        <v>76</v>
      </c>
      <c r="C1718" s="204">
        <v>76</v>
      </c>
      <c r="D1718" s="204">
        <v>442</v>
      </c>
      <c r="E1718" s="267">
        <v>526</v>
      </c>
      <c r="F1718" s="267">
        <v>526</v>
      </c>
      <c r="G1718" s="206">
        <v>8416</v>
      </c>
      <c r="H1718" s="202">
        <v>11898</v>
      </c>
      <c r="I1718" s="202">
        <v>4</v>
      </c>
      <c r="J1718" s="230"/>
      <c r="K1718" s="305" t="s">
        <v>505</v>
      </c>
      <c r="L1718" s="239">
        <f t="shared" si="583"/>
        <v>19</v>
      </c>
      <c r="M1718" s="267">
        <f t="shared" si="584"/>
        <v>110.5</v>
      </c>
      <c r="N1718" s="267">
        <f t="shared" si="585"/>
        <v>5.8157894736842106</v>
      </c>
      <c r="O1718" s="239">
        <f t="shared" si="582"/>
        <v>86.649857118843499</v>
      </c>
      <c r="P1718" s="267">
        <f t="shared" si="586"/>
        <v>86.649857118843499</v>
      </c>
      <c r="Q1718" s="267">
        <f t="shared" si="587"/>
        <v>0.79007450132179768</v>
      </c>
      <c r="R1718" s="267">
        <f t="shared" si="588"/>
        <v>0.60370848019316836</v>
      </c>
      <c r="S1718" s="267">
        <f t="shared" si="589"/>
        <v>4.4444444444444438</v>
      </c>
      <c r="U1718" s="239" t="s">
        <v>519</v>
      </c>
      <c r="V1718" s="492">
        <f t="shared" si="576"/>
        <v>0.55720000000000003</v>
      </c>
      <c r="Z1718" s="214">
        <f t="shared" si="579"/>
        <v>0</v>
      </c>
      <c r="AA1718" s="214">
        <f t="shared" si="580"/>
        <v>0</v>
      </c>
    </row>
    <row r="1719" spans="1:27">
      <c r="A1719" s="239" t="s">
        <v>506</v>
      </c>
      <c r="B1719" s="204">
        <v>311</v>
      </c>
      <c r="C1719" s="204">
        <v>311</v>
      </c>
      <c r="D1719" s="204">
        <v>1739</v>
      </c>
      <c r="E1719" s="267">
        <v>1820</v>
      </c>
      <c r="F1719" s="267">
        <v>1820</v>
      </c>
      <c r="G1719" s="206">
        <v>29131</v>
      </c>
      <c r="H1719" s="202">
        <v>41883</v>
      </c>
      <c r="I1719" s="202">
        <v>9</v>
      </c>
      <c r="J1719" s="230"/>
      <c r="K1719" s="305" t="s">
        <v>506</v>
      </c>
      <c r="L1719" s="239">
        <f t="shared" si="583"/>
        <v>34.555555555555557</v>
      </c>
      <c r="M1719" s="267">
        <f t="shared" si="584"/>
        <v>193.22222222222223</v>
      </c>
      <c r="N1719" s="267">
        <f t="shared" si="585"/>
        <v>5.591639871382637</v>
      </c>
      <c r="O1719" s="239">
        <f t="shared" si="582"/>
        <v>85.196857913712009</v>
      </c>
      <c r="P1719" s="267">
        <f t="shared" si="586"/>
        <v>85.196857913712009</v>
      </c>
      <c r="Q1719" s="267">
        <f t="shared" si="587"/>
        <v>0.66804680732355481</v>
      </c>
      <c r="R1719" s="267">
        <f t="shared" si="588"/>
        <v>0.53112852948682432</v>
      </c>
      <c r="S1719" s="267">
        <f t="shared" si="589"/>
        <v>4.4461233211233209</v>
      </c>
      <c r="Z1719" s="214">
        <f t="shared" si="579"/>
        <v>0</v>
      </c>
      <c r="AA1719" s="214">
        <f t="shared" si="580"/>
        <v>0</v>
      </c>
    </row>
    <row r="1720" spans="1:27">
      <c r="A1720" s="239" t="s">
        <v>507</v>
      </c>
      <c r="B1720" s="204"/>
      <c r="C1720" s="204"/>
      <c r="D1720" s="204"/>
      <c r="E1720" s="267"/>
      <c r="F1720" s="267"/>
      <c r="G1720" s="206"/>
      <c r="H1720" s="202"/>
      <c r="I1720" s="202"/>
      <c r="J1720" s="230"/>
      <c r="K1720" s="305" t="s">
        <v>507</v>
      </c>
      <c r="L1720" s="239" t="e">
        <f t="shared" si="583"/>
        <v>#DIV/0!</v>
      </c>
      <c r="M1720" s="267" t="e">
        <f t="shared" si="584"/>
        <v>#DIV/0!</v>
      </c>
      <c r="N1720" s="267" t="e">
        <f t="shared" si="585"/>
        <v>#DIV/0!</v>
      </c>
      <c r="O1720" s="239" t="e">
        <f t="shared" si="582"/>
        <v>#DIV/0!</v>
      </c>
      <c r="P1720" s="267" t="e">
        <f t="shared" si="586"/>
        <v>#DIV/0!</v>
      </c>
      <c r="Q1720" s="267" t="e">
        <f t="shared" si="587"/>
        <v>#DIV/0!</v>
      </c>
      <c r="R1720" s="267" t="e">
        <f t="shared" si="588"/>
        <v>#DIV/0!</v>
      </c>
      <c r="S1720" s="267" t="e">
        <f t="shared" si="589"/>
        <v>#DIV/0!</v>
      </c>
      <c r="Z1720" s="214">
        <f t="shared" si="579"/>
        <v>0</v>
      </c>
      <c r="AA1720" s="214">
        <f t="shared" si="580"/>
        <v>0</v>
      </c>
    </row>
    <row r="1721" spans="1:27">
      <c r="A1721" s="239" t="s">
        <v>156</v>
      </c>
      <c r="B1721" s="204">
        <v>99</v>
      </c>
      <c r="C1721" s="204">
        <v>99</v>
      </c>
      <c r="D1721" s="204">
        <v>752</v>
      </c>
      <c r="E1721" s="267">
        <v>427</v>
      </c>
      <c r="F1721" s="267">
        <v>427</v>
      </c>
      <c r="G1721" s="206">
        <v>6117</v>
      </c>
      <c r="H1721" s="202">
        <v>12387</v>
      </c>
      <c r="I1721" s="202">
        <v>6</v>
      </c>
      <c r="J1721" s="230"/>
      <c r="K1721" s="305" t="s">
        <v>156</v>
      </c>
      <c r="L1721" s="239">
        <f t="shared" si="583"/>
        <v>16.5</v>
      </c>
      <c r="M1721" s="267">
        <f t="shared" si="584"/>
        <v>125.33333333333333</v>
      </c>
      <c r="N1721" s="267">
        <f t="shared" si="585"/>
        <v>7.595959595959596</v>
      </c>
      <c r="O1721" s="322">
        <f t="shared" si="582"/>
        <v>61.792201501574233</v>
      </c>
      <c r="P1721" s="323">
        <f t="shared" si="586"/>
        <v>61.792201501574233</v>
      </c>
      <c r="Q1721" s="267">
        <f t="shared" si="587"/>
        <v>0.49236658825699925</v>
      </c>
      <c r="R1721" s="267">
        <f t="shared" si="588"/>
        <v>0.25790778927565022</v>
      </c>
      <c r="S1721" s="267">
        <f t="shared" si="589"/>
        <v>3.979313036690086</v>
      </c>
      <c r="Z1721" s="214">
        <f t="shared" si="579"/>
        <v>0</v>
      </c>
      <c r="AA1721" s="214">
        <f t="shared" si="580"/>
        <v>0</v>
      </c>
    </row>
    <row r="1722" spans="1:27">
      <c r="A1722" s="239" t="s">
        <v>508</v>
      </c>
      <c r="B1722" s="204">
        <v>59.4</v>
      </c>
      <c r="C1722" s="204">
        <v>70</v>
      </c>
      <c r="D1722" s="204">
        <v>285</v>
      </c>
      <c r="E1722" s="267">
        <v>235</v>
      </c>
      <c r="F1722" s="267">
        <v>346</v>
      </c>
      <c r="G1722" s="206">
        <v>3389</v>
      </c>
      <c r="H1722" s="202">
        <v>9337</v>
      </c>
      <c r="I1722" s="202">
        <v>8</v>
      </c>
      <c r="J1722" s="230"/>
      <c r="K1722" s="305" t="s">
        <v>508</v>
      </c>
      <c r="L1722" s="239">
        <f t="shared" si="583"/>
        <v>7.4249999999999998</v>
      </c>
      <c r="M1722" s="267">
        <f t="shared" si="584"/>
        <v>35.625</v>
      </c>
      <c r="N1722" s="267">
        <f t="shared" si="585"/>
        <v>4.7979797979797985</v>
      </c>
      <c r="O1722" s="239">
        <f t="shared" si="582"/>
        <v>49.636928349576955</v>
      </c>
      <c r="P1722" s="267">
        <f t="shared" si="586"/>
        <v>45.357181107422086</v>
      </c>
      <c r="Q1722" s="267">
        <f t="shared" si="587"/>
        <v>0.45162431007179865</v>
      </c>
      <c r="R1722" s="267">
        <f t="shared" si="588"/>
        <v>0.37702532911563358</v>
      </c>
      <c r="S1722" s="267">
        <f t="shared" si="589"/>
        <v>4.0059101654846332</v>
      </c>
      <c r="Z1722" s="214">
        <f t="shared" si="579"/>
        <v>10.600000000000001</v>
      </c>
      <c r="AA1722" s="214">
        <f t="shared" si="580"/>
        <v>111</v>
      </c>
    </row>
    <row r="1723" spans="1:27">
      <c r="A1723" s="239" t="s">
        <v>509</v>
      </c>
      <c r="B1723" s="204">
        <v>431</v>
      </c>
      <c r="C1723" s="204">
        <v>450</v>
      </c>
      <c r="D1723" s="204">
        <v>2003</v>
      </c>
      <c r="E1723" s="267">
        <v>1464</v>
      </c>
      <c r="F1723" s="267">
        <v>1464</v>
      </c>
      <c r="G1723" s="206">
        <v>40127</v>
      </c>
      <c r="H1723" s="202">
        <v>54923</v>
      </c>
      <c r="I1723" s="202">
        <v>24</v>
      </c>
      <c r="J1723" s="230"/>
      <c r="K1723" s="305" t="s">
        <v>509</v>
      </c>
      <c r="L1723" s="239">
        <f t="shared" si="583"/>
        <v>17.958333333333332</v>
      </c>
      <c r="M1723" s="267">
        <f t="shared" si="584"/>
        <v>83.458333333333329</v>
      </c>
      <c r="N1723" s="267">
        <f t="shared" si="585"/>
        <v>4.6473317865429236</v>
      </c>
      <c r="O1723" s="239">
        <f t="shared" si="582"/>
        <v>82.656446297543837</v>
      </c>
      <c r="P1723" s="267">
        <f t="shared" si="586"/>
        <v>82.656446297543837</v>
      </c>
      <c r="Q1723" s="267">
        <f t="shared" si="587"/>
        <v>0.38775704796109711</v>
      </c>
      <c r="R1723" s="267">
        <f t="shared" si="588"/>
        <v>0.63518401708525496</v>
      </c>
      <c r="S1723" s="267">
        <f t="shared" si="589"/>
        <v>7.6136536126290215</v>
      </c>
      <c r="Z1723" s="214">
        <f t="shared" si="579"/>
        <v>19</v>
      </c>
      <c r="AA1723" s="214">
        <f t="shared" si="580"/>
        <v>0</v>
      </c>
    </row>
    <row r="1724" spans="1:27">
      <c r="A1724" s="239" t="s">
        <v>510</v>
      </c>
      <c r="B1724" s="204"/>
      <c r="C1724" s="204"/>
      <c r="D1724" s="204"/>
      <c r="E1724" s="267"/>
      <c r="F1724" s="267"/>
      <c r="G1724" s="206"/>
      <c r="H1724" s="202"/>
      <c r="I1724" s="202"/>
      <c r="J1724" s="230"/>
      <c r="K1724" s="305" t="s">
        <v>510</v>
      </c>
      <c r="L1724" s="239" t="e">
        <f t="shared" si="583"/>
        <v>#DIV/0!</v>
      </c>
      <c r="M1724" s="267" t="e">
        <f t="shared" si="584"/>
        <v>#DIV/0!</v>
      </c>
      <c r="N1724" s="267" t="e">
        <f t="shared" si="585"/>
        <v>#DIV/0!</v>
      </c>
      <c r="O1724" s="322" t="e">
        <f t="shared" si="582"/>
        <v>#DIV/0!</v>
      </c>
      <c r="P1724" s="323" t="e">
        <f t="shared" si="586"/>
        <v>#DIV/0!</v>
      </c>
      <c r="Q1724" s="267" t="e">
        <f t="shared" si="587"/>
        <v>#DIV/0!</v>
      </c>
      <c r="R1724" s="267" t="e">
        <f t="shared" si="588"/>
        <v>#DIV/0!</v>
      </c>
      <c r="S1724" s="267" t="e">
        <f t="shared" si="589"/>
        <v>#DIV/0!</v>
      </c>
      <c r="Z1724" s="214">
        <f t="shared" si="579"/>
        <v>0</v>
      </c>
      <c r="AA1724" s="214">
        <f t="shared" si="580"/>
        <v>0</v>
      </c>
    </row>
    <row r="1725" spans="1:27">
      <c r="A1725" s="239" t="s">
        <v>511</v>
      </c>
      <c r="B1725" s="382">
        <v>4.9000000000000004</v>
      </c>
      <c r="C1725" s="382">
        <v>4.9000000000000004</v>
      </c>
      <c r="D1725" s="204">
        <v>27</v>
      </c>
      <c r="E1725" s="267">
        <v>3</v>
      </c>
      <c r="F1725" s="267">
        <v>3</v>
      </c>
      <c r="G1725" s="206">
        <v>241</v>
      </c>
      <c r="H1725" s="202">
        <v>403</v>
      </c>
      <c r="I1725" s="202">
        <v>3</v>
      </c>
      <c r="J1725" s="230"/>
      <c r="K1725" s="305" t="s">
        <v>511</v>
      </c>
      <c r="L1725" s="239">
        <f t="shared" si="583"/>
        <v>1.6333333333333335</v>
      </c>
      <c r="M1725" s="267">
        <f t="shared" si="584"/>
        <v>9</v>
      </c>
      <c r="N1725" s="267">
        <f t="shared" si="585"/>
        <v>5.5102040816326525</v>
      </c>
      <c r="O1725" s="239">
        <f t="shared" si="582"/>
        <v>62.481389578163771</v>
      </c>
      <c r="P1725" s="267">
        <f t="shared" si="586"/>
        <v>62.481389578163771</v>
      </c>
      <c r="Q1725" s="267">
        <f t="shared" si="587"/>
        <v>6.9890970086664797E-2</v>
      </c>
      <c r="R1725" s="267">
        <f t="shared" si="588"/>
        <v>0.28300694764441925</v>
      </c>
      <c r="S1725" s="267">
        <f t="shared" si="589"/>
        <v>22.314814814814813</v>
      </c>
      <c r="Z1725" s="214">
        <f t="shared" si="579"/>
        <v>0</v>
      </c>
      <c r="AA1725" s="214">
        <f t="shared" si="580"/>
        <v>0</v>
      </c>
    </row>
    <row r="1726" spans="1:27">
      <c r="A1726" s="239" t="s">
        <v>512</v>
      </c>
      <c r="B1726" s="382">
        <v>310</v>
      </c>
      <c r="C1726" s="382">
        <v>310</v>
      </c>
      <c r="D1726" s="204">
        <v>3094</v>
      </c>
      <c r="E1726" s="267">
        <v>425.66666666666669</v>
      </c>
      <c r="F1726" s="267">
        <v>432</v>
      </c>
      <c r="G1726" s="206">
        <v>14377</v>
      </c>
      <c r="H1726" s="202">
        <v>20345</v>
      </c>
      <c r="I1726" s="202">
        <v>90</v>
      </c>
      <c r="J1726" s="230"/>
      <c r="K1726" s="305" t="s">
        <v>512</v>
      </c>
      <c r="L1726" s="239">
        <f t="shared" si="583"/>
        <v>3.4444444444444446</v>
      </c>
      <c r="M1726" s="267">
        <f t="shared" si="584"/>
        <v>34.37777777777778</v>
      </c>
      <c r="N1726" s="267">
        <f t="shared" si="585"/>
        <v>9.9806451612903224</v>
      </c>
      <c r="O1726" s="239">
        <f t="shared" si="582"/>
        <v>78.310149913983778</v>
      </c>
      <c r="P1726" s="267">
        <f t="shared" si="586"/>
        <v>78.198083067092654</v>
      </c>
      <c r="Q1726" s="267">
        <f t="shared" si="587"/>
        <v>0.1567486620513576</v>
      </c>
      <c r="R1726" s="267">
        <f t="shared" si="588"/>
        <v>0.14733020131275767</v>
      </c>
      <c r="S1726" s="267">
        <f t="shared" si="589"/>
        <v>9.3820151396502212</v>
      </c>
      <c r="Z1726" s="214">
        <f t="shared" si="579"/>
        <v>0</v>
      </c>
      <c r="AA1726" s="214">
        <f t="shared" si="580"/>
        <v>6.3333333333333144</v>
      </c>
    </row>
    <row r="1727" spans="1:27">
      <c r="A1727" s="239" t="s">
        <v>513</v>
      </c>
      <c r="B1727" s="384">
        <v>22.7</v>
      </c>
      <c r="C1727" s="384">
        <v>22.7</v>
      </c>
      <c r="D1727" s="216">
        <v>231</v>
      </c>
      <c r="E1727" s="385">
        <v>32</v>
      </c>
      <c r="F1727" s="385">
        <v>32</v>
      </c>
      <c r="G1727" s="386">
        <v>1802</v>
      </c>
      <c r="H1727" s="215">
        <v>2764</v>
      </c>
      <c r="I1727" s="202">
        <v>5</v>
      </c>
      <c r="J1727" s="230"/>
      <c r="K1727" s="305" t="s">
        <v>513</v>
      </c>
      <c r="L1727" s="239">
        <f t="shared" si="583"/>
        <v>4.54</v>
      </c>
      <c r="M1727" s="267">
        <f t="shared" si="584"/>
        <v>46.2</v>
      </c>
      <c r="N1727" s="267">
        <f t="shared" si="585"/>
        <v>10.176211453744493</v>
      </c>
      <c r="O1727" s="239">
        <f t="shared" si="582"/>
        <v>69.363241678726482</v>
      </c>
      <c r="P1727" s="267">
        <f t="shared" si="586"/>
        <v>69.363241678726482</v>
      </c>
      <c r="Q1727" s="267">
        <f t="shared" si="587"/>
        <v>0.16092370204976564</v>
      </c>
      <c r="R1727" s="267">
        <f t="shared" si="588"/>
        <v>0.24733559718150516</v>
      </c>
      <c r="S1727" s="267">
        <f t="shared" si="589"/>
        <v>15.642361111111111</v>
      </c>
      <c r="Z1727" s="214">
        <f t="shared" si="579"/>
        <v>0</v>
      </c>
      <c r="AA1727" s="214">
        <f t="shared" si="580"/>
        <v>0</v>
      </c>
    </row>
    <row r="1728" spans="1:27">
      <c r="A1728" s="239" t="s">
        <v>514</v>
      </c>
      <c r="B1728" s="382">
        <v>202.9</v>
      </c>
      <c r="C1728" s="382">
        <v>203.4</v>
      </c>
      <c r="D1728" s="204">
        <v>1372</v>
      </c>
      <c r="E1728" s="267">
        <v>869.6</v>
      </c>
      <c r="F1728" s="267">
        <v>874</v>
      </c>
      <c r="G1728" s="206">
        <v>22968</v>
      </c>
      <c r="H1728" s="202">
        <v>33106</v>
      </c>
      <c r="I1728" s="202">
        <v>15</v>
      </c>
      <c r="J1728" s="230"/>
      <c r="K1728" s="305" t="s">
        <v>514</v>
      </c>
      <c r="L1728" s="239">
        <f t="shared" si="583"/>
        <v>13.526666666666667</v>
      </c>
      <c r="M1728" s="267">
        <f t="shared" si="584"/>
        <v>91.466666666666669</v>
      </c>
      <c r="N1728" s="267">
        <f t="shared" si="585"/>
        <v>6.7619517003449969</v>
      </c>
      <c r="O1728" s="239">
        <f t="shared" si="582"/>
        <v>78.881169576511809</v>
      </c>
      <c r="P1728" s="267">
        <f t="shared" si="586"/>
        <v>78.833323264665012</v>
      </c>
      <c r="Q1728" s="267">
        <f t="shared" si="587"/>
        <v>0.4892528654149535</v>
      </c>
      <c r="R1728" s="267">
        <f t="shared" si="588"/>
        <v>0.53077796742321104</v>
      </c>
      <c r="S1728" s="267">
        <f t="shared" si="589"/>
        <v>7.3367065317387308</v>
      </c>
      <c r="Z1728" s="214">
        <f t="shared" si="579"/>
        <v>0.5</v>
      </c>
      <c r="AA1728" s="214">
        <f t="shared" si="580"/>
        <v>4.3999999999999773</v>
      </c>
    </row>
    <row r="1729" spans="1:27">
      <c r="A1729" s="239" t="s">
        <v>515</v>
      </c>
      <c r="B1729" s="382">
        <v>7.8</v>
      </c>
      <c r="C1729" s="382">
        <v>7.8</v>
      </c>
      <c r="D1729" s="204">
        <v>102</v>
      </c>
      <c r="E1729" s="267">
        <v>3</v>
      </c>
      <c r="F1729" s="267">
        <v>3</v>
      </c>
      <c r="G1729" s="206">
        <v>441</v>
      </c>
      <c r="H1729" s="202">
        <v>618</v>
      </c>
      <c r="I1729" s="202">
        <v>2</v>
      </c>
      <c r="J1729" s="230"/>
      <c r="K1729" s="305" t="s">
        <v>515</v>
      </c>
      <c r="L1729" s="239">
        <f t="shared" si="583"/>
        <v>3.9</v>
      </c>
      <c r="M1729" s="267">
        <f t="shared" si="584"/>
        <v>51</v>
      </c>
      <c r="N1729" s="267">
        <f t="shared" si="585"/>
        <v>13.076923076923077</v>
      </c>
      <c r="O1729" s="239">
        <f t="shared" si="582"/>
        <v>73.106796116504853</v>
      </c>
      <c r="P1729" s="267">
        <f t="shared" si="586"/>
        <v>73.106796116504853</v>
      </c>
      <c r="Q1729" s="267">
        <f t="shared" si="587"/>
        <v>4.3905865823674041E-2</v>
      </c>
      <c r="R1729" s="267">
        <f t="shared" si="588"/>
        <v>0.13708256958758847</v>
      </c>
      <c r="S1729" s="267">
        <f t="shared" si="589"/>
        <v>40.833333333333329</v>
      </c>
      <c r="Z1729" s="214">
        <f t="shared" si="579"/>
        <v>0</v>
      </c>
      <c r="AA1729" s="214">
        <f t="shared" si="580"/>
        <v>0</v>
      </c>
    </row>
    <row r="1730" spans="1:27">
      <c r="A1730" s="239" t="s">
        <v>516</v>
      </c>
      <c r="B1730" s="204">
        <v>29.3</v>
      </c>
      <c r="C1730" s="204">
        <v>29.3</v>
      </c>
      <c r="D1730" s="202">
        <v>303</v>
      </c>
      <c r="E1730" s="267">
        <v>95</v>
      </c>
      <c r="F1730" s="267">
        <v>95</v>
      </c>
      <c r="G1730" s="206">
        <v>3929</v>
      </c>
      <c r="H1730" s="202">
        <v>5463</v>
      </c>
      <c r="I1730" s="202">
        <v>4</v>
      </c>
      <c r="J1730" s="244"/>
      <c r="K1730" s="239" t="s">
        <v>516</v>
      </c>
      <c r="L1730" s="239">
        <f t="shared" si="583"/>
        <v>7.3250000000000002</v>
      </c>
      <c r="M1730" s="267">
        <f t="shared" si="584"/>
        <v>75.75</v>
      </c>
      <c r="N1730" s="267">
        <f t="shared" si="585"/>
        <v>10.341296928327646</v>
      </c>
      <c r="O1730" s="239">
        <f t="shared" si="582"/>
        <v>78.180486911953139</v>
      </c>
      <c r="P1730" s="267">
        <f t="shared" si="586"/>
        <v>78.180486911953139</v>
      </c>
      <c r="Q1730" s="267">
        <f t="shared" si="587"/>
        <v>0.37012794738728627</v>
      </c>
      <c r="R1730" s="267">
        <f t="shared" si="588"/>
        <v>0.4111338349145191</v>
      </c>
      <c r="S1730" s="267">
        <f t="shared" si="589"/>
        <v>11.488304093567251</v>
      </c>
      <c r="Z1730" s="214">
        <f t="shared" si="579"/>
        <v>0</v>
      </c>
      <c r="AA1730" s="214">
        <f t="shared" si="580"/>
        <v>0</v>
      </c>
    </row>
    <row r="1731" spans="1:27">
      <c r="A1731" s="239" t="s">
        <v>517</v>
      </c>
      <c r="B1731" s="204"/>
      <c r="C1731" s="204"/>
      <c r="D1731" s="204"/>
      <c r="E1731" s="267"/>
      <c r="F1731" s="267"/>
      <c r="G1731" s="206"/>
      <c r="H1731" s="202"/>
      <c r="I1731" s="202"/>
      <c r="K1731" s="239" t="s">
        <v>517</v>
      </c>
      <c r="L1731" s="239" t="e">
        <f t="shared" si="583"/>
        <v>#DIV/0!</v>
      </c>
      <c r="M1731" s="267" t="e">
        <f t="shared" si="584"/>
        <v>#DIV/0!</v>
      </c>
      <c r="N1731" s="267" t="e">
        <f t="shared" si="585"/>
        <v>#DIV/0!</v>
      </c>
      <c r="O1731" s="239" t="e">
        <f t="shared" si="582"/>
        <v>#DIV/0!</v>
      </c>
      <c r="P1731" s="267" t="e">
        <f t="shared" si="586"/>
        <v>#DIV/0!</v>
      </c>
      <c r="Q1731" s="267" t="e">
        <f t="shared" si="587"/>
        <v>#DIV/0!</v>
      </c>
      <c r="R1731" s="267" t="e">
        <f t="shared" si="588"/>
        <v>#DIV/0!</v>
      </c>
      <c r="S1731" s="267" t="e">
        <f t="shared" si="589"/>
        <v>#DIV/0!</v>
      </c>
      <c r="Z1731" s="214">
        <f t="shared" si="579"/>
        <v>0</v>
      </c>
      <c r="AA1731" s="214">
        <f t="shared" si="580"/>
        <v>0</v>
      </c>
    </row>
    <row r="1732" spans="1:27">
      <c r="A1732" s="239" t="s">
        <v>518</v>
      </c>
      <c r="B1732" s="216"/>
      <c r="C1732" s="216"/>
      <c r="D1732" s="216"/>
      <c r="E1732" s="385"/>
      <c r="F1732" s="385"/>
      <c r="G1732" s="386"/>
      <c r="H1732" s="215"/>
      <c r="I1732" s="202"/>
      <c r="K1732" s="239" t="s">
        <v>518</v>
      </c>
      <c r="L1732" s="239" t="e">
        <f t="shared" si="583"/>
        <v>#DIV/0!</v>
      </c>
      <c r="M1732" s="267" t="e">
        <f t="shared" si="584"/>
        <v>#DIV/0!</v>
      </c>
      <c r="N1732" s="267" t="e">
        <f t="shared" si="585"/>
        <v>#DIV/0!</v>
      </c>
      <c r="O1732" s="239" t="e">
        <f t="shared" si="582"/>
        <v>#DIV/0!</v>
      </c>
      <c r="P1732" s="267" t="e">
        <f t="shared" si="586"/>
        <v>#DIV/0!</v>
      </c>
      <c r="Q1732" s="267" t="e">
        <f t="shared" si="587"/>
        <v>#DIV/0!</v>
      </c>
      <c r="R1732" s="267" t="e">
        <f t="shared" si="588"/>
        <v>#DIV/0!</v>
      </c>
      <c r="S1732" s="267" t="e">
        <f t="shared" si="589"/>
        <v>#DIV/0!</v>
      </c>
      <c r="Z1732" s="214">
        <f t="shared" si="579"/>
        <v>0</v>
      </c>
      <c r="AA1732" s="214">
        <f t="shared" si="580"/>
        <v>0</v>
      </c>
    </row>
    <row r="1733" spans="1:27">
      <c r="A1733" s="239" t="s">
        <v>519</v>
      </c>
      <c r="B1733" s="204">
        <v>557.20000000000005</v>
      </c>
      <c r="C1733" s="204">
        <v>581</v>
      </c>
      <c r="D1733" s="204">
        <v>3150.9</v>
      </c>
      <c r="E1733" s="272">
        <v>1578</v>
      </c>
      <c r="F1733" s="272">
        <v>1629</v>
      </c>
      <c r="G1733" s="206">
        <v>36109</v>
      </c>
      <c r="H1733" s="202">
        <v>56170</v>
      </c>
      <c r="I1733" s="202">
        <v>58</v>
      </c>
      <c r="K1733" s="239" t="s">
        <v>519</v>
      </c>
      <c r="L1733" s="239"/>
      <c r="M1733" s="267"/>
      <c r="N1733" s="267"/>
      <c r="O1733" s="239"/>
      <c r="P1733" s="267"/>
      <c r="Q1733" s="267"/>
      <c r="R1733" s="267"/>
      <c r="S1733" s="267"/>
      <c r="Z1733" s="214">
        <f t="shared" si="579"/>
        <v>23.799999999999955</v>
      </c>
      <c r="AA1733" s="214">
        <f t="shared" si="580"/>
        <v>51</v>
      </c>
    </row>
    <row r="1734" spans="1:27">
      <c r="A1734" s="282" t="s">
        <v>169</v>
      </c>
      <c r="B1734" s="360">
        <f>(B1713+B1715)</f>
        <v>6267.7</v>
      </c>
      <c r="C1734" s="361">
        <f t="shared" ref="C1734:I1734" si="590">(C1713+C1715)</f>
        <v>6673.6</v>
      </c>
      <c r="D1734" s="361">
        <f t="shared" si="590"/>
        <v>24811.9</v>
      </c>
      <c r="E1734" s="360">
        <f t="shared" si="590"/>
        <v>23003.266666666666</v>
      </c>
      <c r="F1734" s="361">
        <f t="shared" si="590"/>
        <v>27062</v>
      </c>
      <c r="G1734" s="361">
        <f t="shared" si="590"/>
        <v>307577</v>
      </c>
      <c r="H1734" s="361">
        <f t="shared" si="590"/>
        <v>525074</v>
      </c>
      <c r="I1734" s="361">
        <f t="shared" si="590"/>
        <v>337</v>
      </c>
      <c r="K1734" s="328" t="s">
        <v>169</v>
      </c>
      <c r="L1734" s="282">
        <f>B1734/I1734</f>
        <v>18.598516320474776</v>
      </c>
      <c r="M1734" s="281">
        <f>D1734/I1734</f>
        <v>73.625816023738878</v>
      </c>
      <c r="N1734" s="281">
        <f>D1734/B1734</f>
        <v>3.9586929814764589</v>
      </c>
      <c r="O1734" s="282">
        <f>(F1734*3.6+G1734)*100/H1734</f>
        <v>77.132023295764029</v>
      </c>
      <c r="P1734" s="282">
        <f>(E1734*3.6+G1734)*100/H1734</f>
        <v>74.349284100907681</v>
      </c>
      <c r="Q1734" s="281">
        <f>E1734/(B1734*8760)*1000</f>
        <v>0.41896448193267655</v>
      </c>
      <c r="R1734" s="281">
        <f>G1734/(D1734*8761)*1000/3.6</f>
        <v>0.39304081657477058</v>
      </c>
      <c r="S1734" s="281">
        <f>G1734/(E1734*3.6)</f>
        <v>3.7141705477579516</v>
      </c>
      <c r="Z1734" s="214">
        <f t="shared" si="579"/>
        <v>405.90000000000055</v>
      </c>
      <c r="AA1734" s="214">
        <f t="shared" si="580"/>
        <v>4058.7333333333336</v>
      </c>
    </row>
    <row r="1736" spans="1:27">
      <c r="A1736" s="251" t="s">
        <v>520</v>
      </c>
      <c r="B1736" s="227" t="s">
        <v>476</v>
      </c>
      <c r="C1736" s="228"/>
      <c r="D1736" s="286"/>
      <c r="E1736" s="227" t="s">
        <v>521</v>
      </c>
      <c r="F1736" s="228"/>
      <c r="G1736" s="286"/>
      <c r="H1736" s="200" t="s">
        <v>138</v>
      </c>
      <c r="I1736" s="200" t="s">
        <v>478</v>
      </c>
    </row>
    <row r="1737" spans="1:27">
      <c r="A1737" s="239"/>
      <c r="B1737" s="243" t="s">
        <v>88</v>
      </c>
      <c r="C1737" s="243"/>
      <c r="D1737" s="241" t="s">
        <v>34</v>
      </c>
      <c r="E1737" s="243" t="s">
        <v>88</v>
      </c>
      <c r="F1737" s="243"/>
      <c r="G1737" s="241" t="s">
        <v>34</v>
      </c>
      <c r="H1737" s="241" t="s">
        <v>170</v>
      </c>
      <c r="I1737" s="241" t="s">
        <v>483</v>
      </c>
    </row>
    <row r="1738" spans="1:27">
      <c r="A1738" s="239"/>
      <c r="B1738" s="252" t="s">
        <v>0</v>
      </c>
      <c r="C1738" s="252" t="s">
        <v>489</v>
      </c>
      <c r="D1738" s="252" t="s">
        <v>490</v>
      </c>
      <c r="E1738" s="252" t="s">
        <v>491</v>
      </c>
      <c r="F1738" s="252" t="s">
        <v>489</v>
      </c>
      <c r="G1738" s="252" t="s">
        <v>490</v>
      </c>
      <c r="H1738" s="248"/>
      <c r="I1738" s="241" t="s">
        <v>492</v>
      </c>
    </row>
    <row r="1739" spans="1:27">
      <c r="A1739" s="239"/>
      <c r="B1739" s="257" t="s">
        <v>496</v>
      </c>
      <c r="C1739" s="256" t="s">
        <v>496</v>
      </c>
      <c r="D1739" s="252" t="s">
        <v>496</v>
      </c>
      <c r="E1739" s="329" t="s">
        <v>473</v>
      </c>
      <c r="F1739" s="329" t="s">
        <v>473</v>
      </c>
      <c r="G1739" s="252" t="s">
        <v>496</v>
      </c>
      <c r="H1739" s="257" t="s">
        <v>497</v>
      </c>
      <c r="I1739" s="257" t="s">
        <v>498</v>
      </c>
    </row>
    <row r="1740" spans="1:27">
      <c r="A1740" s="251" t="s">
        <v>522</v>
      </c>
      <c r="B1740" s="389"/>
      <c r="C1740" s="389"/>
      <c r="D1740" s="200"/>
      <c r="E1740" s="389"/>
      <c r="F1740" s="389"/>
      <c r="G1740" s="200"/>
      <c r="H1740" s="200"/>
      <c r="I1740" s="200"/>
    </row>
    <row r="1741" spans="1:27">
      <c r="A1741" s="239" t="s">
        <v>523</v>
      </c>
      <c r="C1741" s="215">
        <v>5825</v>
      </c>
      <c r="D1741" s="204">
        <v>21416</v>
      </c>
      <c r="E1741" s="216"/>
      <c r="F1741" s="204"/>
      <c r="G1741" s="204"/>
      <c r="H1741" s="202"/>
      <c r="I1741" s="204">
        <v>302</v>
      </c>
    </row>
    <row r="1742" spans="1:27">
      <c r="A1742" s="239" t="s">
        <v>524</v>
      </c>
      <c r="C1742" s="215">
        <v>442</v>
      </c>
      <c r="D1742" s="204">
        <v>2279</v>
      </c>
      <c r="E1742" s="216"/>
      <c r="F1742" s="204"/>
      <c r="G1742" s="204"/>
      <c r="H1742" s="202"/>
      <c r="I1742" s="204">
        <v>17</v>
      </c>
    </row>
    <row r="1743" spans="1:27">
      <c r="A1743" s="239" t="s">
        <v>525</v>
      </c>
      <c r="C1743" s="215">
        <v>378</v>
      </c>
      <c r="D1743" s="204">
        <v>860</v>
      </c>
      <c r="E1743" s="216"/>
      <c r="F1743" s="204"/>
      <c r="G1743" s="204"/>
      <c r="H1743" s="202"/>
      <c r="I1743" s="204">
        <v>14</v>
      </c>
    </row>
    <row r="1744" spans="1:27">
      <c r="A1744" s="239" t="s">
        <v>267</v>
      </c>
      <c r="C1744" s="215">
        <v>29</v>
      </c>
      <c r="D1744" s="204">
        <v>257</v>
      </c>
      <c r="E1744" s="216"/>
      <c r="F1744" s="204"/>
      <c r="G1744" s="204"/>
      <c r="H1744" s="202"/>
      <c r="I1744" s="204">
        <v>4</v>
      </c>
    </row>
    <row r="1745" spans="1:27">
      <c r="A1745" s="312" t="s">
        <v>526</v>
      </c>
      <c r="B1745" s="391"/>
      <c r="C1745" s="391"/>
      <c r="D1745" s="205"/>
      <c r="E1745" s="391"/>
      <c r="F1745" s="391"/>
      <c r="G1745" s="205"/>
      <c r="H1745" s="205"/>
      <c r="I1745" s="391"/>
    </row>
    <row r="1746" spans="1:27">
      <c r="A1746" s="239" t="s">
        <v>527</v>
      </c>
      <c r="B1746" s="216"/>
      <c r="C1746" s="204"/>
      <c r="D1746" s="204"/>
      <c r="E1746" s="216"/>
      <c r="F1746" s="204"/>
      <c r="G1746" s="204"/>
      <c r="H1746" s="202"/>
      <c r="I1746" s="216"/>
    </row>
    <row r="1747" spans="1:27">
      <c r="A1747" s="239" t="s">
        <v>528</v>
      </c>
      <c r="B1747" s="204"/>
      <c r="C1747" s="204"/>
      <c r="D1747" s="204"/>
      <c r="E1747" s="204"/>
      <c r="F1747" s="204"/>
      <c r="G1747" s="204"/>
      <c r="H1747" s="202"/>
      <c r="I1747" s="204"/>
    </row>
    <row r="1748" spans="1:27">
      <c r="A1748" s="239" t="s">
        <v>529</v>
      </c>
      <c r="B1748" s="204"/>
      <c r="C1748" s="204"/>
      <c r="D1748" s="204"/>
      <c r="E1748" s="204"/>
      <c r="F1748" s="204"/>
      <c r="G1748" s="204"/>
      <c r="H1748" s="202"/>
      <c r="I1748" s="204"/>
    </row>
    <row r="1749" spans="1:27">
      <c r="A1749" s="239" t="s">
        <v>530</v>
      </c>
      <c r="B1749" s="204"/>
      <c r="C1749" s="204"/>
      <c r="D1749" s="204"/>
      <c r="E1749" s="204"/>
      <c r="F1749" s="204"/>
      <c r="G1749" s="204"/>
      <c r="H1749" s="202"/>
      <c r="I1749" s="204"/>
    </row>
    <row r="1750" spans="1:27">
      <c r="A1750" s="282" t="s">
        <v>169</v>
      </c>
      <c r="B1750" s="468">
        <v>6267.7</v>
      </c>
      <c r="C1750" s="360">
        <v>6673.6</v>
      </c>
      <c r="D1750" s="360">
        <v>24811.9</v>
      </c>
      <c r="E1750" s="468">
        <v>23003.266666666666</v>
      </c>
      <c r="F1750" s="468">
        <v>27062</v>
      </c>
      <c r="G1750" s="468">
        <v>307577</v>
      </c>
      <c r="H1750" s="468">
        <v>525074</v>
      </c>
      <c r="I1750" s="360">
        <v>337</v>
      </c>
    </row>
    <row r="1751" spans="1:27">
      <c r="D1751" s="220"/>
    </row>
    <row r="1752" spans="1:27">
      <c r="D1752" s="220"/>
    </row>
    <row r="1753" spans="1:27">
      <c r="A1753" s="221" t="s">
        <v>195</v>
      </c>
      <c r="D1753" s="220"/>
      <c r="I1753" s="221">
        <v>2002</v>
      </c>
      <c r="K1753" s="221" t="str">
        <f>+A1753</f>
        <v>Romania</v>
      </c>
      <c r="M1753" s="220"/>
      <c r="S1753" s="221">
        <v>2002</v>
      </c>
    </row>
    <row r="1754" spans="1:27" ht="13.5" thickBot="1"/>
    <row r="1755" spans="1:27">
      <c r="A1755" s="346" t="s">
        <v>475</v>
      </c>
      <c r="B1755" s="233" t="s">
        <v>476</v>
      </c>
      <c r="C1755" s="233"/>
      <c r="D1755" s="234"/>
      <c r="E1755" s="235" t="s">
        <v>477</v>
      </c>
      <c r="F1755" s="233"/>
      <c r="G1755" s="236"/>
      <c r="H1755" s="347" t="s">
        <v>138</v>
      </c>
      <c r="I1755" s="348" t="s">
        <v>478</v>
      </c>
      <c r="J1755" s="230"/>
      <c r="K1755" s="231" t="s">
        <v>475</v>
      </c>
      <c r="L1755" s="232" t="s">
        <v>479</v>
      </c>
      <c r="M1755" s="233"/>
      <c r="N1755" s="234"/>
      <c r="O1755" s="235" t="s">
        <v>480</v>
      </c>
      <c r="P1755" s="233"/>
      <c r="Q1755" s="233"/>
      <c r="R1755" s="236"/>
      <c r="S1755" s="237"/>
    </row>
    <row r="1756" spans="1:27">
      <c r="A1756" s="266"/>
      <c r="B1756" s="240" t="s">
        <v>9</v>
      </c>
      <c r="C1756" s="240"/>
      <c r="D1756" s="241" t="s">
        <v>34</v>
      </c>
      <c r="E1756" s="242" t="s">
        <v>88</v>
      </c>
      <c r="F1756" s="243"/>
      <c r="G1756" s="244" t="s">
        <v>34</v>
      </c>
      <c r="H1756" s="241" t="s">
        <v>170</v>
      </c>
      <c r="I1756" s="349" t="s">
        <v>483</v>
      </c>
      <c r="J1756" s="230"/>
      <c r="K1756" s="245"/>
      <c r="L1756" s="246" t="s">
        <v>484</v>
      </c>
      <c r="M1756" s="247"/>
      <c r="N1756" s="248" t="s">
        <v>485</v>
      </c>
      <c r="O1756" s="248" t="s">
        <v>486</v>
      </c>
      <c r="P1756" s="248" t="s">
        <v>486</v>
      </c>
      <c r="Q1756" s="247" t="s">
        <v>487</v>
      </c>
      <c r="R1756" s="249"/>
      <c r="S1756" s="250" t="s">
        <v>485</v>
      </c>
      <c r="U1756" s="214" t="str">
        <f>A1753</f>
        <v>Romania</v>
      </c>
    </row>
    <row r="1757" spans="1:27">
      <c r="A1757" s="350" t="s">
        <v>488</v>
      </c>
      <c r="B1757" s="252" t="s">
        <v>0</v>
      </c>
      <c r="C1757" s="469" t="s">
        <v>489</v>
      </c>
      <c r="D1757" s="252" t="s">
        <v>490</v>
      </c>
      <c r="E1757" s="252" t="s">
        <v>491</v>
      </c>
      <c r="F1757" s="469" t="s">
        <v>489</v>
      </c>
      <c r="G1757" s="230" t="s">
        <v>490</v>
      </c>
      <c r="H1757" s="248"/>
      <c r="I1757" s="349" t="s">
        <v>492</v>
      </c>
      <c r="J1757" s="230"/>
      <c r="K1757" s="253" t="s">
        <v>488</v>
      </c>
      <c r="L1757" s="254" t="s">
        <v>88</v>
      </c>
      <c r="M1757" s="252" t="s">
        <v>34</v>
      </c>
      <c r="N1757" s="252" t="s">
        <v>493</v>
      </c>
      <c r="O1757" s="248" t="s">
        <v>494</v>
      </c>
      <c r="P1757" s="248" t="s">
        <v>495</v>
      </c>
      <c r="Q1757" s="230" t="s">
        <v>88</v>
      </c>
      <c r="R1757" s="248" t="s">
        <v>34</v>
      </c>
      <c r="S1757" s="255" t="s">
        <v>88</v>
      </c>
      <c r="U1757" s="214" t="s">
        <v>547</v>
      </c>
      <c r="V1757" s="214">
        <f>G1785/1000</f>
        <v>14.497988000000003</v>
      </c>
    </row>
    <row r="1758" spans="1:27">
      <c r="A1758" s="266"/>
      <c r="B1758" s="252" t="s">
        <v>496</v>
      </c>
      <c r="C1758" s="469" t="s">
        <v>496</v>
      </c>
      <c r="D1758" s="252" t="s">
        <v>496</v>
      </c>
      <c r="E1758" s="256" t="s">
        <v>473</v>
      </c>
      <c r="F1758" s="470" t="s">
        <v>473</v>
      </c>
      <c r="G1758" s="230" t="s">
        <v>451</v>
      </c>
      <c r="H1758" s="257" t="s">
        <v>497</v>
      </c>
      <c r="I1758" s="351" t="s">
        <v>498</v>
      </c>
      <c r="J1758" s="230"/>
      <c r="K1758" s="245"/>
      <c r="L1758" s="258" t="s">
        <v>496</v>
      </c>
      <c r="M1758" s="256" t="s">
        <v>496</v>
      </c>
      <c r="N1758" s="256"/>
      <c r="O1758" s="257" t="s">
        <v>79</v>
      </c>
      <c r="P1758" s="257" t="s">
        <v>79</v>
      </c>
      <c r="Q1758" s="259"/>
      <c r="R1758" s="257"/>
      <c r="S1758" s="260"/>
      <c r="U1758" s="214" t="s">
        <v>548</v>
      </c>
      <c r="V1758" s="214">
        <f>G1791/1000</f>
        <v>0</v>
      </c>
    </row>
    <row r="1759" spans="1:27">
      <c r="A1759" s="352" t="s">
        <v>262</v>
      </c>
      <c r="B1759" s="201"/>
      <c r="C1759" s="417"/>
      <c r="D1759" s="201"/>
      <c r="E1759" s="204"/>
      <c r="F1759" s="418"/>
      <c r="G1759" s="207"/>
      <c r="H1759" s="213"/>
      <c r="I1759" s="363"/>
      <c r="J1759" s="230"/>
      <c r="K1759" s="265" t="s">
        <v>262</v>
      </c>
      <c r="L1759" s="266" t="e">
        <f>C1759/I1759</f>
        <v>#DIV/0!</v>
      </c>
      <c r="M1759" s="267" t="e">
        <f>D1759/I1759</f>
        <v>#DIV/0!</v>
      </c>
      <c r="N1759" s="267" t="e">
        <f>D1759/C1759</f>
        <v>#DIV/0!</v>
      </c>
      <c r="O1759" s="239" t="e">
        <f>(F1759*3.6+G1759)*100/H1759</f>
        <v>#DIV/0!</v>
      </c>
      <c r="P1759" s="239" t="e">
        <f>(F1759*3.6+G1759)*100/H1759</f>
        <v>#DIV/0!</v>
      </c>
      <c r="Q1759" s="267" t="e">
        <f>F1759/(C1759*8760)*1000</f>
        <v>#DIV/0!</v>
      </c>
      <c r="R1759" s="267" t="e">
        <f>G1759/(D1759*8761)*1000/3.6</f>
        <v>#DIV/0!</v>
      </c>
      <c r="S1759" s="268" t="e">
        <f>G1759/(F1759*3.6)</f>
        <v>#DIV/0!</v>
      </c>
      <c r="U1759" s="214" t="s">
        <v>549</v>
      </c>
      <c r="V1759" s="214">
        <f>G1793/1000</f>
        <v>6.8362959999999999</v>
      </c>
      <c r="Z1759" s="214">
        <f t="shared" ref="Z1759:Z1764" si="591">C1759-B1759</f>
        <v>0</v>
      </c>
      <c r="AA1759" s="214">
        <f t="shared" ref="AA1759:AA1764" si="592">F1759-E1759</f>
        <v>0</v>
      </c>
    </row>
    <row r="1760" spans="1:27">
      <c r="A1760" s="266" t="s">
        <v>263</v>
      </c>
      <c r="B1760" s="204">
        <v>209</v>
      </c>
      <c r="C1760" s="418">
        <v>209</v>
      </c>
      <c r="D1760" s="204">
        <v>1302</v>
      </c>
      <c r="E1760" s="204">
        <v>600</v>
      </c>
      <c r="F1760" s="418">
        <v>600</v>
      </c>
      <c r="G1760" s="206">
        <v>13402</v>
      </c>
      <c r="H1760" s="202">
        <v>19325</v>
      </c>
      <c r="I1760" s="363">
        <v>23</v>
      </c>
      <c r="J1760" s="230"/>
      <c r="K1760" s="245" t="s">
        <v>263</v>
      </c>
      <c r="L1760" s="266">
        <f>C1760/I1760</f>
        <v>9.0869565217391308</v>
      </c>
      <c r="M1760" s="267">
        <f>D1760/I1760</f>
        <v>56.608695652173914</v>
      </c>
      <c r="N1760" s="267">
        <f>D1760/C1760</f>
        <v>6.2296650717703352</v>
      </c>
      <c r="O1760" s="239">
        <f>(F1760*3.6+G1760)*100/H1760</f>
        <v>80.527813712807244</v>
      </c>
      <c r="P1760" s="239">
        <f>(F1760*3.6+G1760)*100/H1760</f>
        <v>80.527813712807244</v>
      </c>
      <c r="Q1760" s="267">
        <f>F1760/(C1760*8760)*1000</f>
        <v>0.32771842432981579</v>
      </c>
      <c r="R1760" s="267">
        <f>G1760/(D1760*8761)*1000/3.6</f>
        <v>0.3263641510122432</v>
      </c>
      <c r="S1760" s="268">
        <f>G1760/(F1760*3.6)</f>
        <v>6.2046296296296299</v>
      </c>
      <c r="U1760" s="214" t="s">
        <v>550</v>
      </c>
      <c r="V1760" s="214">
        <f>G1798/1000</f>
        <v>4.447832</v>
      </c>
      <c r="Z1760" s="214">
        <f t="shared" si="591"/>
        <v>0</v>
      </c>
      <c r="AA1760" s="214">
        <f t="shared" si="592"/>
        <v>0</v>
      </c>
    </row>
    <row r="1761" spans="1:27">
      <c r="A1761" s="266" t="s">
        <v>499</v>
      </c>
      <c r="B1761" s="216">
        <v>13</v>
      </c>
      <c r="C1761" s="419">
        <v>13</v>
      </c>
      <c r="D1761" s="204">
        <v>221</v>
      </c>
      <c r="E1761" s="216">
        <v>31</v>
      </c>
      <c r="F1761" s="419">
        <v>31</v>
      </c>
      <c r="G1761" s="206">
        <v>1069</v>
      </c>
      <c r="H1761" s="202">
        <v>1332</v>
      </c>
      <c r="I1761" s="363">
        <v>2</v>
      </c>
      <c r="J1761" s="230"/>
      <c r="K1761" s="245" t="s">
        <v>499</v>
      </c>
      <c r="L1761" s="266">
        <f>C1761/I1761</f>
        <v>6.5</v>
      </c>
      <c r="M1761" s="267">
        <f>D1761/I1761</f>
        <v>110.5</v>
      </c>
      <c r="N1761" s="267">
        <f>D1761/C1761</f>
        <v>17</v>
      </c>
      <c r="O1761" s="239">
        <f>(F1761*3.6+G1761)*100/H1761</f>
        <v>88.633633633633622</v>
      </c>
      <c r="P1761" s="239">
        <f>(F1761*3.6+G1761)*100/H1761</f>
        <v>88.633633633633622</v>
      </c>
      <c r="Q1761" s="267">
        <f>F1761/(C1761*8760)*1000</f>
        <v>0.27221636810677907</v>
      </c>
      <c r="R1761" s="267">
        <f>G1761/(D1761*8761)*1000/3.6</f>
        <v>0.15336605639888234</v>
      </c>
      <c r="S1761" s="268">
        <f>G1761/(F1761*3.6)</f>
        <v>9.5788530465949808</v>
      </c>
      <c r="U1761" s="214" t="s">
        <v>551</v>
      </c>
      <c r="V1761" s="214">
        <f>G1789/1000</f>
        <v>0.98937599999999992</v>
      </c>
      <c r="Z1761" s="214">
        <f t="shared" si="591"/>
        <v>0</v>
      </c>
      <c r="AA1761" s="214">
        <f t="shared" si="592"/>
        <v>0</v>
      </c>
    </row>
    <row r="1762" spans="1:27">
      <c r="A1762" s="266" t="s">
        <v>265</v>
      </c>
      <c r="B1762" s="216"/>
      <c r="C1762" s="419"/>
      <c r="D1762" s="204"/>
      <c r="E1762" s="216"/>
      <c r="F1762" s="419"/>
      <c r="G1762" s="206"/>
      <c r="H1762" s="202"/>
      <c r="I1762" s="363"/>
      <c r="J1762" s="230"/>
      <c r="K1762" s="245" t="s">
        <v>265</v>
      </c>
      <c r="L1762" s="266" t="e">
        <f>C1762/I1762</f>
        <v>#DIV/0!</v>
      </c>
      <c r="M1762" s="267" t="e">
        <f>D1762/I1762</f>
        <v>#DIV/0!</v>
      </c>
      <c r="N1762" s="267" t="e">
        <f>D1762/C1762</f>
        <v>#DIV/0!</v>
      </c>
      <c r="O1762" s="239" t="e">
        <f>(F1762*3.6+G1762)*100/H1762</f>
        <v>#DIV/0!</v>
      </c>
      <c r="P1762" s="239" t="e">
        <f>(F1762*3.6+G1762)*100/H1762</f>
        <v>#DIV/0!</v>
      </c>
      <c r="Q1762" s="267" t="e">
        <f>F1762/(C1762*8760)*1000</f>
        <v>#DIV/0!</v>
      </c>
      <c r="R1762" s="267" t="e">
        <f>G1762/(D1762*8761)*1000/3.6</f>
        <v>#DIV/0!</v>
      </c>
      <c r="S1762" s="268" t="e">
        <f>G1762/(F1762*3.6)</f>
        <v>#DIV/0!</v>
      </c>
      <c r="U1762" s="214" t="s">
        <v>552</v>
      </c>
      <c r="V1762" s="214">
        <f>(G1786+G1787+G1788+G1790+G1792+G1794+G1795+G1796+G1797+G1799+G1800+G1801+G1802+G1803)/1000</f>
        <v>2.2244839999999999</v>
      </c>
      <c r="Z1762" s="214">
        <f t="shared" si="591"/>
        <v>0</v>
      </c>
      <c r="AA1762" s="214">
        <f t="shared" si="592"/>
        <v>0</v>
      </c>
    </row>
    <row r="1763" spans="1:27">
      <c r="A1763" s="266" t="s">
        <v>266</v>
      </c>
      <c r="B1763" s="216">
        <v>6</v>
      </c>
      <c r="C1763" s="419">
        <v>6</v>
      </c>
      <c r="D1763" s="204">
        <v>8</v>
      </c>
      <c r="E1763" s="216">
        <v>23</v>
      </c>
      <c r="F1763" s="419">
        <v>23</v>
      </c>
      <c r="G1763" s="206">
        <v>190</v>
      </c>
      <c r="H1763" s="202">
        <v>312</v>
      </c>
      <c r="I1763" s="363">
        <v>11</v>
      </c>
      <c r="J1763" s="230"/>
      <c r="K1763" s="245" t="s">
        <v>266</v>
      </c>
      <c r="L1763" s="266">
        <f>C1763/I1763</f>
        <v>0.54545454545454541</v>
      </c>
      <c r="M1763" s="267">
        <f>D1763/I1763</f>
        <v>0.72727272727272729</v>
      </c>
      <c r="N1763" s="267">
        <f>D1763/C1763</f>
        <v>1.3333333333333333</v>
      </c>
      <c r="O1763" s="239">
        <f>(F1763*3.6+G1763)*100/H1763</f>
        <v>87.435897435897431</v>
      </c>
      <c r="P1763" s="239">
        <f>(F1763*3.6+G1763)*100/H1763</f>
        <v>87.435897435897431</v>
      </c>
      <c r="Q1763" s="267">
        <f>F1763/(C1763*8760)*1000</f>
        <v>0.4375951293759513</v>
      </c>
      <c r="R1763" s="267">
        <f>G1763/(D1763*8761)*1000/3.6</f>
        <v>0.75302159824474635</v>
      </c>
      <c r="S1763" s="268">
        <f>G1763/(F1763*3.6)</f>
        <v>2.2946859903381642</v>
      </c>
      <c r="Z1763" s="214">
        <f t="shared" si="591"/>
        <v>0</v>
      </c>
      <c r="AA1763" s="214">
        <f t="shared" si="592"/>
        <v>0</v>
      </c>
    </row>
    <row r="1764" spans="1:27">
      <c r="A1764" s="353" t="s">
        <v>267</v>
      </c>
      <c r="B1764" s="218"/>
      <c r="C1764" s="420"/>
      <c r="D1764" s="210"/>
      <c r="E1764" s="204"/>
      <c r="F1764" s="421"/>
      <c r="G1764" s="400"/>
      <c r="H1764" s="203"/>
      <c r="I1764" s="401"/>
      <c r="J1764" s="230"/>
      <c r="K1764" s="245" t="s">
        <v>267</v>
      </c>
      <c r="L1764" s="266"/>
      <c r="M1764" s="267"/>
      <c r="N1764" s="267"/>
      <c r="O1764" s="239"/>
      <c r="P1764" s="272"/>
      <c r="Q1764" s="272"/>
      <c r="R1764" s="274"/>
      <c r="S1764" s="275"/>
      <c r="U1764" s="214" t="s">
        <v>553</v>
      </c>
      <c r="V1764" s="214">
        <f>H1785/1000</f>
        <v>21.431999999999999</v>
      </c>
      <c r="Z1764" s="214">
        <f t="shared" si="591"/>
        <v>0</v>
      </c>
      <c r="AA1764" s="214">
        <f t="shared" si="592"/>
        <v>0</v>
      </c>
    </row>
    <row r="1765" spans="1:27">
      <c r="A1765" s="276" t="s">
        <v>500</v>
      </c>
      <c r="B1765" s="277">
        <f t="shared" ref="B1765:I1765" si="593">SUM(B1759:B1764)</f>
        <v>228</v>
      </c>
      <c r="C1765" s="480">
        <f t="shared" si="593"/>
        <v>228</v>
      </c>
      <c r="D1765" s="277">
        <f t="shared" si="593"/>
        <v>1531</v>
      </c>
      <c r="E1765" s="277">
        <f t="shared" si="593"/>
        <v>654</v>
      </c>
      <c r="F1765" s="480">
        <f t="shared" si="593"/>
        <v>654</v>
      </c>
      <c r="G1765" s="277">
        <f t="shared" si="593"/>
        <v>14661</v>
      </c>
      <c r="H1765" s="277">
        <f t="shared" si="593"/>
        <v>20969</v>
      </c>
      <c r="I1765" s="277">
        <f t="shared" si="593"/>
        <v>36</v>
      </c>
      <c r="J1765" s="244"/>
      <c r="K1765" s="279" t="s">
        <v>169</v>
      </c>
      <c r="L1765" s="280">
        <f>C1765/I1765</f>
        <v>6.333333333333333</v>
      </c>
      <c r="M1765" s="281">
        <f>D1765/I1765</f>
        <v>42.527777777777779</v>
      </c>
      <c r="N1765" s="281">
        <f>D1765/C1765</f>
        <v>6.7149122807017543</v>
      </c>
      <c r="O1765" s="282">
        <f>(F1765*3.6+G1765)*100/H1765</f>
        <v>81.145500500739203</v>
      </c>
      <c r="P1765" s="282">
        <f>(F1765*3.6+G1765)*100/H1765</f>
        <v>81.145500500739203</v>
      </c>
      <c r="Q1765" s="283">
        <f>F1765/(C1765*8760)*1000</f>
        <v>0.32744532564287432</v>
      </c>
      <c r="R1765" s="283">
        <f>G1765/(D1765*8761)*1000/3.6</f>
        <v>0.30362129057351511</v>
      </c>
      <c r="S1765" s="284">
        <f>G1765/(F1765*3.6)</f>
        <v>6.227064220183486</v>
      </c>
      <c r="U1765" s="214" t="s">
        <v>554</v>
      </c>
      <c r="V1765" s="214">
        <f>H1791/1000</f>
        <v>0</v>
      </c>
    </row>
    <row r="1766" spans="1:27">
      <c r="A1766" s="285" t="s">
        <v>501</v>
      </c>
      <c r="B1766" s="228" t="s">
        <v>476</v>
      </c>
      <c r="C1766" s="228"/>
      <c r="D1766" s="286"/>
      <c r="E1766" s="227" t="s">
        <v>477</v>
      </c>
      <c r="F1766" s="228"/>
      <c r="G1766" s="229"/>
      <c r="H1766" s="200" t="s">
        <v>138</v>
      </c>
      <c r="I1766" s="354" t="s">
        <v>478</v>
      </c>
      <c r="J1766" s="244"/>
      <c r="K1766" s="287" t="s">
        <v>501</v>
      </c>
      <c r="L1766" s="288" t="s">
        <v>479</v>
      </c>
      <c r="M1766" s="228"/>
      <c r="N1766" s="286"/>
      <c r="O1766" s="227" t="s">
        <v>480</v>
      </c>
      <c r="P1766" s="228"/>
      <c r="Q1766" s="228"/>
      <c r="R1766" s="229"/>
      <c r="S1766" s="289"/>
      <c r="U1766" s="214" t="s">
        <v>555</v>
      </c>
      <c r="V1766" s="214">
        <f>H1793/1000</f>
        <v>10.542</v>
      </c>
    </row>
    <row r="1767" spans="1:27">
      <c r="A1767" s="266"/>
      <c r="B1767" s="240" t="s">
        <v>481</v>
      </c>
      <c r="C1767" s="240"/>
      <c r="D1767" s="241" t="s">
        <v>34</v>
      </c>
      <c r="E1767" s="242" t="s">
        <v>482</v>
      </c>
      <c r="F1767" s="243"/>
      <c r="G1767" s="244" t="s">
        <v>34</v>
      </c>
      <c r="H1767" s="241" t="s">
        <v>170</v>
      </c>
      <c r="I1767" s="349" t="s">
        <v>483</v>
      </c>
      <c r="J1767" s="244"/>
      <c r="K1767" s="245"/>
      <c r="L1767" s="246" t="s">
        <v>484</v>
      </c>
      <c r="M1767" s="247"/>
      <c r="N1767" s="248" t="s">
        <v>485</v>
      </c>
      <c r="O1767" s="248" t="s">
        <v>486</v>
      </c>
      <c r="P1767" s="248" t="s">
        <v>486</v>
      </c>
      <c r="Q1767" s="247" t="s">
        <v>487</v>
      </c>
      <c r="R1767" s="249"/>
      <c r="S1767" s="250" t="s">
        <v>485</v>
      </c>
      <c r="U1767" s="214" t="s">
        <v>556</v>
      </c>
      <c r="V1767" s="214">
        <f>H1798/1000</f>
        <v>6.4</v>
      </c>
    </row>
    <row r="1768" spans="1:27">
      <c r="A1768" s="350" t="s">
        <v>488</v>
      </c>
      <c r="B1768" s="252" t="s">
        <v>0</v>
      </c>
      <c r="C1768" s="252" t="s">
        <v>489</v>
      </c>
      <c r="D1768" s="252" t="s">
        <v>490</v>
      </c>
      <c r="E1768" s="252" t="s">
        <v>491</v>
      </c>
      <c r="F1768" s="252" t="s">
        <v>489</v>
      </c>
      <c r="G1768" s="230" t="s">
        <v>490</v>
      </c>
      <c r="H1768" s="248"/>
      <c r="I1768" s="349" t="s">
        <v>492</v>
      </c>
      <c r="J1768" s="244"/>
      <c r="K1768" s="253" t="s">
        <v>488</v>
      </c>
      <c r="L1768" s="254" t="s">
        <v>88</v>
      </c>
      <c r="M1768" s="252" t="s">
        <v>34</v>
      </c>
      <c r="N1768" s="252" t="s">
        <v>493</v>
      </c>
      <c r="O1768" s="248" t="s">
        <v>494</v>
      </c>
      <c r="P1768" s="248" t="s">
        <v>495</v>
      </c>
      <c r="Q1768" s="230" t="s">
        <v>88</v>
      </c>
      <c r="R1768" s="248" t="s">
        <v>34</v>
      </c>
      <c r="S1768" s="255" t="s">
        <v>88</v>
      </c>
      <c r="U1768" s="214" t="s">
        <v>557</v>
      </c>
      <c r="V1768" s="214">
        <f>H1789/1000</f>
        <v>1.36</v>
      </c>
    </row>
    <row r="1769" spans="1:27">
      <c r="A1769" s="266"/>
      <c r="B1769" s="252" t="s">
        <v>496</v>
      </c>
      <c r="C1769" s="252" t="s">
        <v>496</v>
      </c>
      <c r="D1769" s="252" t="s">
        <v>496</v>
      </c>
      <c r="E1769" s="256" t="s">
        <v>473</v>
      </c>
      <c r="F1769" s="256" t="s">
        <v>473</v>
      </c>
      <c r="G1769" s="230" t="s">
        <v>451</v>
      </c>
      <c r="H1769" s="257" t="s">
        <v>497</v>
      </c>
      <c r="I1769" s="351" t="s">
        <v>498</v>
      </c>
      <c r="J1769" s="244"/>
      <c r="K1769" s="245"/>
      <c r="L1769" s="258" t="s">
        <v>496</v>
      </c>
      <c r="M1769" s="256" t="s">
        <v>496</v>
      </c>
      <c r="N1769" s="256"/>
      <c r="O1769" s="257" t="s">
        <v>79</v>
      </c>
      <c r="P1769" s="257" t="s">
        <v>79</v>
      </c>
      <c r="Q1769" s="259"/>
      <c r="R1769" s="257"/>
      <c r="S1769" s="260"/>
      <c r="U1769" s="214" t="s">
        <v>558</v>
      </c>
      <c r="V1769" s="214">
        <f>(H1786+H1787+H1788+H1790+H1792+H1794+H1795+H1796+H1797+H1799+H1800+H1801+H1802+H1803)/1000</f>
        <v>3.13</v>
      </c>
    </row>
    <row r="1770" spans="1:27">
      <c r="A1770" s="352" t="s">
        <v>262</v>
      </c>
      <c r="B1770" s="365"/>
      <c r="C1770" s="365"/>
      <c r="D1770" s="365"/>
      <c r="E1770" s="320"/>
      <c r="F1770" s="319"/>
      <c r="G1770" s="368"/>
      <c r="H1770" s="369"/>
      <c r="I1770" s="370"/>
      <c r="J1770" s="244"/>
      <c r="K1770" s="265" t="s">
        <v>262</v>
      </c>
      <c r="L1770" s="266" t="e">
        <f>B1770/I1770</f>
        <v>#DIV/0!</v>
      </c>
      <c r="M1770" s="267" t="e">
        <f>D1770/I1770</f>
        <v>#DIV/0!</v>
      </c>
      <c r="N1770" s="267" t="e">
        <f>D1770/B1770</f>
        <v>#DIV/0!</v>
      </c>
      <c r="O1770" s="239" t="e">
        <f>(F1770*3.6+G1770)*100/H1770</f>
        <v>#DIV/0!</v>
      </c>
      <c r="P1770" s="267" t="e">
        <f>(E1770*3.6+G1770)*100/H1770</f>
        <v>#DIV/0!</v>
      </c>
      <c r="Q1770" s="267" t="e">
        <f>E1770/(B1770*8760)*1000</f>
        <v>#DIV/0!</v>
      </c>
      <c r="R1770" s="267" t="e">
        <f>G1770/(D1770*8761)*1000/3.6</f>
        <v>#DIV/0!</v>
      </c>
      <c r="S1770" s="268" t="e">
        <f>G1770/(E1770*3.6)</f>
        <v>#DIV/0!</v>
      </c>
      <c r="Z1770" s="214">
        <f t="shared" ref="Z1770:Z1777" si="594">C1770-B1770</f>
        <v>0</v>
      </c>
      <c r="AA1770" s="214">
        <f t="shared" ref="AA1770:AA1777" si="595">F1770-E1770</f>
        <v>0</v>
      </c>
    </row>
    <row r="1771" spans="1:27">
      <c r="A1771" s="266" t="s">
        <v>263</v>
      </c>
      <c r="B1771" s="320">
        <v>639</v>
      </c>
      <c r="C1771" s="320">
        <v>643</v>
      </c>
      <c r="D1771" s="320">
        <v>2564</v>
      </c>
      <c r="E1771" s="320">
        <v>1616</v>
      </c>
      <c r="F1771" s="319">
        <v>1616</v>
      </c>
      <c r="G1771" s="321">
        <v>26322</v>
      </c>
      <c r="H1771" s="319">
        <v>51506</v>
      </c>
      <c r="I1771" s="370">
        <v>34</v>
      </c>
      <c r="J1771" s="244"/>
      <c r="K1771" s="245" t="s">
        <v>263</v>
      </c>
      <c r="L1771" s="266">
        <f>B1771/I1771</f>
        <v>18.794117647058822</v>
      </c>
      <c r="M1771" s="267">
        <f>D1771/I1771</f>
        <v>75.411764705882348</v>
      </c>
      <c r="N1771" s="267">
        <f>D1771/B1771</f>
        <v>4.0125195618153366</v>
      </c>
      <c r="O1771" s="239">
        <f>(F1771*3.6+G1771)*100/H1771</f>
        <v>62.399720420921831</v>
      </c>
      <c r="P1771" s="267">
        <f>(E1771*3.6+G1771)*100/H1771</f>
        <v>62.399720420921831</v>
      </c>
      <c r="Q1771" s="267">
        <f>E1771/(B1771*8760)*1000</f>
        <v>0.28869309208880889</v>
      </c>
      <c r="R1771" s="267">
        <f>G1771/(D1771*8761)*1000/3.6</f>
        <v>0.32549527069543005</v>
      </c>
      <c r="S1771" s="268">
        <f>G1771/(E1771*3.6)</f>
        <v>4.5245462046204619</v>
      </c>
      <c r="U1771" s="239" t="s">
        <v>152</v>
      </c>
      <c r="V1771" s="492">
        <f>B1786/1000</f>
        <v>0</v>
      </c>
      <c r="Z1771" s="214">
        <f t="shared" si="594"/>
        <v>4</v>
      </c>
      <c r="AA1771" s="214">
        <f t="shared" si="595"/>
        <v>0</v>
      </c>
    </row>
    <row r="1772" spans="1:27">
      <c r="A1772" s="266" t="s">
        <v>499</v>
      </c>
      <c r="B1772" s="320">
        <v>4782</v>
      </c>
      <c r="C1772" s="320">
        <v>5075</v>
      </c>
      <c r="D1772" s="320">
        <v>7726</v>
      </c>
      <c r="E1772" s="320">
        <v>14475</v>
      </c>
      <c r="F1772" s="319">
        <v>17314</v>
      </c>
      <c r="G1772" s="321">
        <v>60530</v>
      </c>
      <c r="H1772" s="319">
        <v>238821</v>
      </c>
      <c r="I1772" s="370">
        <v>64</v>
      </c>
      <c r="J1772" s="244"/>
      <c r="K1772" s="245" t="s">
        <v>499</v>
      </c>
      <c r="L1772" s="266">
        <f>B1772/I1772</f>
        <v>74.71875</v>
      </c>
      <c r="M1772" s="267">
        <f>D1772/I1772</f>
        <v>120.71875</v>
      </c>
      <c r="N1772" s="267">
        <f>D1772/B1772</f>
        <v>1.6156419907988289</v>
      </c>
      <c r="O1772" s="239">
        <f>(F1772*3.6+G1772)*100/H1772</f>
        <v>51.444554708338046</v>
      </c>
      <c r="P1772" s="267">
        <f>(E1772*3.6+G1772)*100/H1772</f>
        <v>47.165031550826768</v>
      </c>
      <c r="Q1772" s="267">
        <f>E1772/(B1772*8760)*1000</f>
        <v>0.3455452238130432</v>
      </c>
      <c r="R1772" s="267">
        <f>G1772/(D1772*8761)*1000/3.6</f>
        <v>0.24840468870255999</v>
      </c>
      <c r="S1772" s="268">
        <f>G1772/(E1772*3.6)</f>
        <v>1.1615812703895605</v>
      </c>
      <c r="U1772" s="239" t="s">
        <v>504</v>
      </c>
      <c r="V1772" s="492">
        <f t="shared" ref="V1772:V1788" si="596">B1787/1000</f>
        <v>0</v>
      </c>
      <c r="Z1772" s="214">
        <f t="shared" si="594"/>
        <v>293</v>
      </c>
      <c r="AA1772" s="214">
        <f t="shared" si="595"/>
        <v>2839</v>
      </c>
    </row>
    <row r="1773" spans="1:27">
      <c r="A1773" s="266" t="s">
        <v>265</v>
      </c>
      <c r="B1773" s="320"/>
      <c r="C1773" s="320"/>
      <c r="D1773" s="320"/>
      <c r="E1773" s="320"/>
      <c r="F1773" s="319"/>
      <c r="G1773" s="321"/>
      <c r="H1773" s="319"/>
      <c r="I1773" s="370"/>
      <c r="J1773" s="244"/>
      <c r="K1773" s="245" t="s">
        <v>265</v>
      </c>
      <c r="L1773" s="266" t="e">
        <f>B1773/I1773</f>
        <v>#DIV/0!</v>
      </c>
      <c r="M1773" s="267" t="e">
        <f>D1773/I1773</f>
        <v>#DIV/0!</v>
      </c>
      <c r="N1773" s="267" t="e">
        <f>D1773/B1773</f>
        <v>#DIV/0!</v>
      </c>
      <c r="O1773" s="239" t="e">
        <f>(F1773*3.6+G1773)*100/H1773</f>
        <v>#DIV/0!</v>
      </c>
      <c r="P1773" s="267" t="e">
        <f>(E1773*3.6+G1773)*100/H1773</f>
        <v>#DIV/0!</v>
      </c>
      <c r="Q1773" s="267" t="e">
        <f>E1773/(B1773*8760)*1000</f>
        <v>#DIV/0!</v>
      </c>
      <c r="R1773" s="267" t="e">
        <f>G1773/(D1773*8761)*1000/3.6</f>
        <v>#DIV/0!</v>
      </c>
      <c r="S1773" s="268" t="e">
        <f>G1773/(E1773*3.6)</f>
        <v>#DIV/0!</v>
      </c>
      <c r="U1773" s="239" t="s">
        <v>505</v>
      </c>
      <c r="V1773" s="492">
        <f t="shared" si="596"/>
        <v>0</v>
      </c>
      <c r="Z1773" s="214">
        <f t="shared" si="594"/>
        <v>0</v>
      </c>
      <c r="AA1773" s="214">
        <f t="shared" si="595"/>
        <v>0</v>
      </c>
    </row>
    <row r="1774" spans="1:27">
      <c r="A1774" s="266" t="s">
        <v>266</v>
      </c>
      <c r="B1774" s="320">
        <v>2</v>
      </c>
      <c r="C1774" s="320">
        <v>2</v>
      </c>
      <c r="D1774" s="320">
        <v>2</v>
      </c>
      <c r="E1774" s="320">
        <v>11</v>
      </c>
      <c r="F1774" s="319">
        <v>11</v>
      </c>
      <c r="G1774" s="321">
        <v>44</v>
      </c>
      <c r="H1774" s="319">
        <v>132</v>
      </c>
      <c r="I1774" s="370">
        <v>2</v>
      </c>
      <c r="J1774" s="244"/>
      <c r="K1774" s="245" t="s">
        <v>266</v>
      </c>
      <c r="L1774" s="266">
        <f>B1774/I1774</f>
        <v>1</v>
      </c>
      <c r="M1774" s="267">
        <f>D1774/I1774</f>
        <v>1</v>
      </c>
      <c r="N1774" s="267">
        <f>D1774/B1774</f>
        <v>1</v>
      </c>
      <c r="O1774" s="239">
        <f>(F1774*3.6+G1774)*100/H1774</f>
        <v>63.333333333333336</v>
      </c>
      <c r="P1774" s="267">
        <f>(E1774*3.6+G1774)*100/H1774</f>
        <v>63.333333333333336</v>
      </c>
      <c r="Q1774" s="267">
        <f>E1774/(B1774*8760)*1000</f>
        <v>0.62785388127853881</v>
      </c>
      <c r="R1774" s="267">
        <f>G1774/(D1774*8761)*1000/3.6</f>
        <v>0.69753579626881768</v>
      </c>
      <c r="S1774" s="268">
        <f>G1774/(E1774*3.6)</f>
        <v>1.1111111111111112</v>
      </c>
      <c r="U1774" s="239" t="s">
        <v>506</v>
      </c>
      <c r="V1774" s="492">
        <f t="shared" si="596"/>
        <v>7.0000000000000001E-3</v>
      </c>
      <c r="Z1774" s="214">
        <f t="shared" si="594"/>
        <v>0</v>
      </c>
      <c r="AA1774" s="214">
        <f t="shared" si="595"/>
        <v>0</v>
      </c>
    </row>
    <row r="1775" spans="1:27">
      <c r="A1775" s="353" t="s">
        <v>267</v>
      </c>
      <c r="B1775" s="262"/>
      <c r="C1775" s="262"/>
      <c r="D1775" s="262"/>
      <c r="E1775" s="262"/>
      <c r="F1775" s="262"/>
      <c r="G1775" s="262"/>
      <c r="H1775" s="262"/>
      <c r="I1775" s="355"/>
      <c r="J1775" s="244"/>
      <c r="K1775" s="245" t="s">
        <v>267</v>
      </c>
      <c r="L1775" s="266"/>
      <c r="M1775" s="267"/>
      <c r="N1775" s="267"/>
      <c r="O1775" s="239"/>
      <c r="P1775" s="267"/>
      <c r="Q1775" s="272"/>
      <c r="R1775" s="274"/>
      <c r="S1775" s="275"/>
      <c r="U1775" s="239" t="s">
        <v>507</v>
      </c>
      <c r="V1775" s="492">
        <f t="shared" si="596"/>
        <v>0</v>
      </c>
      <c r="Z1775" s="214">
        <f t="shared" si="594"/>
        <v>0</v>
      </c>
      <c r="AA1775" s="214">
        <f t="shared" si="595"/>
        <v>0</v>
      </c>
    </row>
    <row r="1776" spans="1:27">
      <c r="A1776" s="276" t="s">
        <v>500</v>
      </c>
      <c r="B1776" s="291">
        <f t="shared" ref="B1776:I1776" si="597">SUM(B1770:B1775)</f>
        <v>5423</v>
      </c>
      <c r="C1776" s="291">
        <f t="shared" si="597"/>
        <v>5720</v>
      </c>
      <c r="D1776" s="291">
        <f t="shared" si="597"/>
        <v>10292</v>
      </c>
      <c r="E1776" s="291">
        <f t="shared" si="597"/>
        <v>16102</v>
      </c>
      <c r="F1776" s="291">
        <f t="shared" si="597"/>
        <v>18941</v>
      </c>
      <c r="G1776" s="291">
        <f t="shared" si="597"/>
        <v>86896</v>
      </c>
      <c r="H1776" s="291">
        <f t="shared" si="597"/>
        <v>290459</v>
      </c>
      <c r="I1776" s="291">
        <f t="shared" si="597"/>
        <v>100</v>
      </c>
      <c r="J1776" s="244"/>
      <c r="K1776" s="279" t="s">
        <v>169</v>
      </c>
      <c r="L1776" s="280">
        <f>B1776/I1776</f>
        <v>54.23</v>
      </c>
      <c r="M1776" s="281">
        <f>D1776/I1776</f>
        <v>102.92</v>
      </c>
      <c r="N1776" s="281">
        <f>D1776/B1776</f>
        <v>1.8978425225889728</v>
      </c>
      <c r="O1776" s="294">
        <f>(F1776*3.6+G1776)*100/H1776</f>
        <v>53.392595856902354</v>
      </c>
      <c r="P1776" s="295">
        <f>(E1776*3.6+G1776)*100/H1776</f>
        <v>49.873889258036428</v>
      </c>
      <c r="Q1776" s="283">
        <f>E1776/(B1776*8760)*1000</f>
        <v>0.33895036951526436</v>
      </c>
      <c r="R1776" s="283">
        <f>G1776/(D1776*8761)*1000/3.6</f>
        <v>0.26769719885071891</v>
      </c>
      <c r="S1776" s="284">
        <f>G1776/(E1776*3.6)</f>
        <v>1.4990546377951668</v>
      </c>
      <c r="U1776" s="239" t="s">
        <v>156</v>
      </c>
      <c r="V1776" s="492">
        <f t="shared" si="596"/>
        <v>0</v>
      </c>
      <c r="Z1776" s="214">
        <f t="shared" si="594"/>
        <v>297</v>
      </c>
      <c r="AA1776" s="214">
        <f t="shared" si="595"/>
        <v>2839</v>
      </c>
    </row>
    <row r="1777" spans="1:27" ht="13.5" thickBot="1">
      <c r="A1777" s="296" t="s">
        <v>502</v>
      </c>
      <c r="B1777" s="297">
        <f t="shared" ref="B1777:I1777" si="598">B1765+B1776</f>
        <v>5651</v>
      </c>
      <c r="C1777" s="297">
        <f t="shared" si="598"/>
        <v>5948</v>
      </c>
      <c r="D1777" s="297">
        <f t="shared" si="598"/>
        <v>11823</v>
      </c>
      <c r="E1777" s="297">
        <f t="shared" si="598"/>
        <v>16756</v>
      </c>
      <c r="F1777" s="297">
        <f t="shared" si="598"/>
        <v>19595</v>
      </c>
      <c r="G1777" s="297">
        <f t="shared" si="598"/>
        <v>101557</v>
      </c>
      <c r="H1777" s="297">
        <f t="shared" si="598"/>
        <v>311428</v>
      </c>
      <c r="I1777" s="297">
        <f t="shared" si="598"/>
        <v>136</v>
      </c>
      <c r="J1777" s="244"/>
      <c r="K1777" s="296" t="s">
        <v>502</v>
      </c>
      <c r="L1777" s="299">
        <f>B1777/I1777</f>
        <v>41.551470588235297</v>
      </c>
      <c r="M1777" s="300">
        <f>D1777/I1777</f>
        <v>86.933823529411768</v>
      </c>
      <c r="N1777" s="300">
        <f>D1777/B1777</f>
        <v>2.0921960714917716</v>
      </c>
      <c r="O1777" s="301">
        <f>(F1777*3.6+G1777)*100/H1777</f>
        <v>55.261248185776488</v>
      </c>
      <c r="P1777" s="301">
        <f>(E1777*3.6+G1777)*100/H1777</f>
        <v>51.979462347637337</v>
      </c>
      <c r="Q1777" s="301">
        <f>E1777/(B1777*8760)*1000</f>
        <v>0.33848617733637482</v>
      </c>
      <c r="R1777" s="301">
        <f>G1777/(D1777*8761)*1000/3.6</f>
        <v>0.27234913020719359</v>
      </c>
      <c r="S1777" s="302">
        <f>G1777/(E1777*3.6)</f>
        <v>1.6835926102755896</v>
      </c>
      <c r="U1777" s="239" t="s">
        <v>508</v>
      </c>
      <c r="V1777" s="492">
        <f t="shared" si="596"/>
        <v>0</v>
      </c>
      <c r="Z1777" s="214">
        <f t="shared" si="594"/>
        <v>297</v>
      </c>
      <c r="AA1777" s="214">
        <f t="shared" si="595"/>
        <v>2839</v>
      </c>
    </row>
    <row r="1778" spans="1:27">
      <c r="U1778" s="239" t="s">
        <v>509</v>
      </c>
      <c r="V1778" s="492">
        <f t="shared" si="596"/>
        <v>9.8000000000000004E-2</v>
      </c>
    </row>
    <row r="1779" spans="1:27">
      <c r="A1779" s="251" t="s">
        <v>139</v>
      </c>
      <c r="B1779" s="227" t="s">
        <v>476</v>
      </c>
      <c r="C1779" s="228"/>
      <c r="D1779" s="286"/>
      <c r="E1779" s="227" t="s">
        <v>477</v>
      </c>
      <c r="F1779" s="228"/>
      <c r="G1779" s="229"/>
      <c r="H1779" s="200" t="s">
        <v>138</v>
      </c>
      <c r="I1779" s="200" t="s">
        <v>478</v>
      </c>
      <c r="J1779" s="230"/>
      <c r="K1779" s="303" t="s">
        <v>503</v>
      </c>
      <c r="L1779" s="227" t="s">
        <v>479</v>
      </c>
      <c r="M1779" s="228"/>
      <c r="N1779" s="286"/>
      <c r="O1779" s="227" t="s">
        <v>480</v>
      </c>
      <c r="P1779" s="228"/>
      <c r="Q1779" s="228"/>
      <c r="R1779" s="229"/>
      <c r="S1779" s="286"/>
      <c r="U1779" s="239" t="s">
        <v>510</v>
      </c>
      <c r="V1779" s="492">
        <f t="shared" si="596"/>
        <v>0</v>
      </c>
    </row>
    <row r="1780" spans="1:27">
      <c r="A1780" s="239"/>
      <c r="B1780" s="240" t="s">
        <v>9</v>
      </c>
      <c r="C1780" s="240"/>
      <c r="D1780" s="241" t="s">
        <v>34</v>
      </c>
      <c r="E1780" s="242" t="s">
        <v>88</v>
      </c>
      <c r="F1780" s="243"/>
      <c r="G1780" s="244" t="s">
        <v>34</v>
      </c>
      <c r="H1780" s="241" t="s">
        <v>170</v>
      </c>
      <c r="I1780" s="241" t="s">
        <v>483</v>
      </c>
      <c r="J1780" s="230"/>
      <c r="K1780" s="305"/>
      <c r="L1780" s="306" t="s">
        <v>484</v>
      </c>
      <c r="M1780" s="247"/>
      <c r="N1780" s="248" t="s">
        <v>485</v>
      </c>
      <c r="O1780" s="248" t="s">
        <v>486</v>
      </c>
      <c r="P1780" s="248" t="s">
        <v>486</v>
      </c>
      <c r="Q1780" s="247" t="s">
        <v>487</v>
      </c>
      <c r="R1780" s="249"/>
      <c r="S1780" s="307" t="s">
        <v>485</v>
      </c>
      <c r="U1780" s="239" t="s">
        <v>511</v>
      </c>
      <c r="V1780" s="492">
        <f t="shared" si="596"/>
        <v>0</v>
      </c>
    </row>
    <row r="1781" spans="1:27">
      <c r="A1781" s="239"/>
      <c r="B1781" s="252" t="s">
        <v>0</v>
      </c>
      <c r="C1781" s="252" t="s">
        <v>489</v>
      </c>
      <c r="D1781" s="252" t="s">
        <v>490</v>
      </c>
      <c r="E1781" s="252" t="s">
        <v>491</v>
      </c>
      <c r="F1781" s="252" t="s">
        <v>489</v>
      </c>
      <c r="G1781" s="230" t="s">
        <v>490</v>
      </c>
      <c r="H1781" s="248"/>
      <c r="I1781" s="241" t="s">
        <v>492</v>
      </c>
      <c r="J1781" s="230"/>
      <c r="K1781" s="305"/>
      <c r="L1781" s="248" t="s">
        <v>88</v>
      </c>
      <c r="M1781" s="252" t="s">
        <v>34</v>
      </c>
      <c r="N1781" s="252" t="s">
        <v>493</v>
      </c>
      <c r="O1781" s="248" t="s">
        <v>494</v>
      </c>
      <c r="P1781" s="248" t="s">
        <v>495</v>
      </c>
      <c r="Q1781" s="230" t="s">
        <v>88</v>
      </c>
      <c r="R1781" s="248" t="s">
        <v>34</v>
      </c>
      <c r="S1781" s="252" t="s">
        <v>88</v>
      </c>
      <c r="U1781" s="239" t="s">
        <v>512</v>
      </c>
      <c r="V1781" s="492">
        <f t="shared" si="596"/>
        <v>2.9000000000000001E-2</v>
      </c>
    </row>
    <row r="1782" spans="1:27">
      <c r="A1782" s="239"/>
      <c r="B1782" s="257" t="s">
        <v>496</v>
      </c>
      <c r="C1782" s="256" t="s">
        <v>496</v>
      </c>
      <c r="D1782" s="256" t="s">
        <v>496</v>
      </c>
      <c r="E1782" s="256" t="s">
        <v>473</v>
      </c>
      <c r="F1782" s="257" t="s">
        <v>473</v>
      </c>
      <c r="G1782" s="259" t="s">
        <v>451</v>
      </c>
      <c r="H1782" s="257" t="s">
        <v>497</v>
      </c>
      <c r="I1782" s="257" t="s">
        <v>498</v>
      </c>
      <c r="J1782" s="230"/>
      <c r="K1782" s="305"/>
      <c r="L1782" s="257" t="s">
        <v>496</v>
      </c>
      <c r="M1782" s="256" t="s">
        <v>496</v>
      </c>
      <c r="N1782" s="256"/>
      <c r="O1782" s="257" t="s">
        <v>79</v>
      </c>
      <c r="P1782" s="257" t="s">
        <v>79</v>
      </c>
      <c r="Q1782" s="259"/>
      <c r="R1782" s="257"/>
      <c r="S1782" s="256"/>
      <c r="U1782" s="239" t="s">
        <v>513</v>
      </c>
      <c r="V1782" s="492">
        <f t="shared" si="596"/>
        <v>1E-3</v>
      </c>
    </row>
    <row r="1783" spans="1:27">
      <c r="A1783" s="251" t="s">
        <v>150</v>
      </c>
      <c r="B1783" s="356">
        <v>5480</v>
      </c>
      <c r="C1783" s="357">
        <v>5773</v>
      </c>
      <c r="D1783" s="358">
        <v>10161</v>
      </c>
      <c r="E1783" s="356">
        <v>16443</v>
      </c>
      <c r="F1783" s="217">
        <v>19282</v>
      </c>
      <c r="G1783" s="219">
        <v>87059</v>
      </c>
      <c r="H1783" s="359">
        <v>289996</v>
      </c>
      <c r="I1783" s="205">
        <v>98</v>
      </c>
      <c r="J1783" s="244"/>
      <c r="K1783" s="303" t="s">
        <v>150</v>
      </c>
      <c r="L1783" s="312">
        <f>B1783/I1783</f>
        <v>55.918367346938773</v>
      </c>
      <c r="M1783" s="313">
        <f>D1783/I1783</f>
        <v>103.68367346938776</v>
      </c>
      <c r="N1783" s="313">
        <f>D1783/B1783</f>
        <v>1.8541970802919707</v>
      </c>
      <c r="O1783" s="312">
        <f>(F1783*3.6+G1783)*100/H1783</f>
        <v>53.95736492917144</v>
      </c>
      <c r="P1783" s="313">
        <f>(E1783*3.6+G1783)*100/H1783</f>
        <v>50.433040455730421</v>
      </c>
      <c r="Q1783" s="313">
        <f>E1783/(B1783*8760)*1000</f>
        <v>0.34252824717528246</v>
      </c>
      <c r="R1783" s="313">
        <f>G1783/(D1783*8761)*1000/3.6</f>
        <v>0.271657088544287</v>
      </c>
      <c r="S1783" s="313">
        <f>G1783/(E1783*3.6)</f>
        <v>1.4707204011163142</v>
      </c>
      <c r="U1783" s="239" t="s">
        <v>514</v>
      </c>
      <c r="V1783" s="492">
        <f t="shared" si="596"/>
        <v>2.7E-2</v>
      </c>
      <c r="Z1783" s="214">
        <f>C1783-B1783</f>
        <v>293</v>
      </c>
      <c r="AA1783" s="214">
        <f>F1783-E1783</f>
        <v>2839</v>
      </c>
    </row>
    <row r="1784" spans="1:27">
      <c r="A1784" s="239"/>
      <c r="B1784" s="252"/>
      <c r="C1784" s="252"/>
      <c r="D1784" s="252"/>
      <c r="E1784" s="267"/>
      <c r="F1784" s="267"/>
      <c r="G1784" s="248"/>
      <c r="H1784" s="252"/>
      <c r="I1784" s="248"/>
      <c r="J1784" s="230"/>
      <c r="K1784" s="239"/>
      <c r="L1784" s="312"/>
      <c r="M1784" s="267"/>
      <c r="N1784" s="267"/>
      <c r="O1784" s="239"/>
      <c r="P1784" s="313"/>
      <c r="Q1784" s="267"/>
      <c r="R1784" s="267"/>
      <c r="S1784" s="239"/>
      <c r="U1784" s="239" t="s">
        <v>515</v>
      </c>
      <c r="V1784" s="492">
        <f t="shared" si="596"/>
        <v>4.0000000000000001E-3</v>
      </c>
      <c r="Z1784" s="214">
        <f t="shared" ref="Z1784:Z1804" si="599">C1784-B1784</f>
        <v>0</v>
      </c>
      <c r="AA1784" s="214">
        <f t="shared" ref="AA1784:AA1804" si="600">F1784-E1784</f>
        <v>0</v>
      </c>
    </row>
    <row r="1785" spans="1:27">
      <c r="A1785" s="312" t="s">
        <v>7</v>
      </c>
      <c r="B1785" s="205">
        <f>SUM(B1786:B1803)</f>
        <v>171</v>
      </c>
      <c r="C1785" s="205">
        <f t="shared" ref="C1785:I1785" si="601">SUM(C1786:C1803)</f>
        <v>175</v>
      </c>
      <c r="D1785" s="205">
        <f t="shared" si="601"/>
        <v>1662</v>
      </c>
      <c r="E1785" s="205">
        <f t="shared" si="601"/>
        <v>312.846</v>
      </c>
      <c r="F1785" s="205">
        <f t="shared" si="601"/>
        <v>312.846</v>
      </c>
      <c r="G1785" s="205">
        <f t="shared" si="601"/>
        <v>14497.988000000003</v>
      </c>
      <c r="H1785" s="205">
        <f t="shared" si="601"/>
        <v>21432</v>
      </c>
      <c r="I1785" s="205">
        <f t="shared" si="601"/>
        <v>38</v>
      </c>
      <c r="J1785" s="244"/>
      <c r="K1785" s="318" t="s">
        <v>7</v>
      </c>
      <c r="L1785" s="312">
        <f>B1785/I1785</f>
        <v>4.5</v>
      </c>
      <c r="M1785" s="313">
        <f>D1785/I1785</f>
        <v>43.736842105263158</v>
      </c>
      <c r="N1785" s="313">
        <f>D1785/B1785</f>
        <v>9.7192982456140342</v>
      </c>
      <c r="O1785" s="312">
        <f t="shared" ref="O1785:O1802" si="602">(F1785*3.6+G1785)*100/H1785</f>
        <v>72.901425905188518</v>
      </c>
      <c r="P1785" s="313">
        <f>(E1785*3.6+G1785)*100/H1785</f>
        <v>72.901425905188518</v>
      </c>
      <c r="Q1785" s="313">
        <f>E1785/(B1785*8760)*1000</f>
        <v>0.20884803332532242</v>
      </c>
      <c r="R1785" s="313">
        <f>G1785/(D1785*8761)*1000/3.6</f>
        <v>0.27657984913783407</v>
      </c>
      <c r="S1785" s="313">
        <f>G1785/(E1785*3.6)</f>
        <v>12.872847627551224</v>
      </c>
      <c r="U1785" s="239" t="s">
        <v>516</v>
      </c>
      <c r="V1785" s="492">
        <f t="shared" si="596"/>
        <v>4.0000000000000001E-3</v>
      </c>
      <c r="Z1785" s="214">
        <f t="shared" si="599"/>
        <v>4</v>
      </c>
      <c r="AA1785" s="214">
        <f t="shared" si="600"/>
        <v>0</v>
      </c>
    </row>
    <row r="1786" spans="1:27">
      <c r="A1786" s="239" t="s">
        <v>152</v>
      </c>
      <c r="B1786" s="391"/>
      <c r="C1786" s="391"/>
      <c r="D1786" s="391"/>
      <c r="E1786" s="391"/>
      <c r="F1786" s="391"/>
      <c r="G1786" s="391"/>
      <c r="H1786" s="391"/>
      <c r="I1786" s="391"/>
      <c r="J1786" s="230"/>
      <c r="K1786" s="305" t="s">
        <v>152</v>
      </c>
      <c r="L1786" s="239" t="e">
        <f t="shared" ref="L1786:L1802" si="603">B1786/I1786</f>
        <v>#DIV/0!</v>
      </c>
      <c r="M1786" s="267" t="e">
        <f t="shared" ref="M1786:M1802" si="604">D1786/I1786</f>
        <v>#DIV/0!</v>
      </c>
      <c r="N1786" s="267" t="e">
        <f t="shared" ref="N1786:N1802" si="605">D1786/B1786</f>
        <v>#DIV/0!</v>
      </c>
      <c r="O1786" s="239" t="e">
        <f t="shared" si="602"/>
        <v>#DIV/0!</v>
      </c>
      <c r="P1786" s="267" t="e">
        <f t="shared" ref="P1786:P1802" si="606">(E1786*3.6+G1786)*100/H1786</f>
        <v>#DIV/0!</v>
      </c>
      <c r="Q1786" s="267" t="e">
        <f t="shared" ref="Q1786:Q1802" si="607">E1786/(B1786*8760)*1000</f>
        <v>#DIV/0!</v>
      </c>
      <c r="R1786" s="267" t="e">
        <f t="shared" ref="R1786:R1802" si="608">G1786/(D1786*8761)*1000/3.6</f>
        <v>#DIV/0!</v>
      </c>
      <c r="S1786" s="267" t="e">
        <f t="shared" ref="S1786:S1802" si="609">G1786/(E1786*3.6)</f>
        <v>#DIV/0!</v>
      </c>
      <c r="U1786" s="239" t="s">
        <v>517</v>
      </c>
      <c r="V1786" s="492">
        <f t="shared" si="596"/>
        <v>0</v>
      </c>
      <c r="Z1786" s="214">
        <f t="shared" si="599"/>
        <v>0</v>
      </c>
      <c r="AA1786" s="214">
        <f t="shared" si="600"/>
        <v>0</v>
      </c>
    </row>
    <row r="1787" spans="1:27">
      <c r="A1787" s="239" t="s">
        <v>504</v>
      </c>
      <c r="B1787" s="204"/>
      <c r="C1787" s="204"/>
      <c r="D1787" s="204"/>
      <c r="E1787" s="267"/>
      <c r="F1787" s="267"/>
      <c r="G1787" s="206"/>
      <c r="H1787" s="202"/>
      <c r="I1787" s="202"/>
      <c r="J1787" s="230"/>
      <c r="K1787" s="305" t="s">
        <v>504</v>
      </c>
      <c r="L1787" s="239" t="e">
        <f t="shared" si="603"/>
        <v>#DIV/0!</v>
      </c>
      <c r="M1787" s="267" t="e">
        <f t="shared" si="604"/>
        <v>#DIV/0!</v>
      </c>
      <c r="N1787" s="267" t="e">
        <f t="shared" si="605"/>
        <v>#DIV/0!</v>
      </c>
      <c r="O1787" s="239" t="e">
        <f t="shared" si="602"/>
        <v>#DIV/0!</v>
      </c>
      <c r="P1787" s="267" t="e">
        <f t="shared" si="606"/>
        <v>#DIV/0!</v>
      </c>
      <c r="Q1787" s="267" t="e">
        <f t="shared" si="607"/>
        <v>#DIV/0!</v>
      </c>
      <c r="R1787" s="267" t="e">
        <f t="shared" si="608"/>
        <v>#DIV/0!</v>
      </c>
      <c r="S1787" s="267" t="e">
        <f t="shared" si="609"/>
        <v>#DIV/0!</v>
      </c>
      <c r="U1787" s="239" t="s">
        <v>518</v>
      </c>
      <c r="V1787" s="492">
        <f t="shared" si="596"/>
        <v>1E-3</v>
      </c>
      <c r="Z1787" s="214">
        <f t="shared" si="599"/>
        <v>0</v>
      </c>
      <c r="AA1787" s="214">
        <f t="shared" si="600"/>
        <v>0</v>
      </c>
    </row>
    <row r="1788" spans="1:27">
      <c r="A1788" s="239" t="s">
        <v>505</v>
      </c>
      <c r="B1788" s="204"/>
      <c r="C1788" s="204"/>
      <c r="D1788" s="204"/>
      <c r="E1788" s="267"/>
      <c r="F1788" s="267"/>
      <c r="G1788" s="206"/>
      <c r="H1788" s="202"/>
      <c r="I1788" s="202"/>
      <c r="J1788" s="230"/>
      <c r="K1788" s="305" t="s">
        <v>505</v>
      </c>
      <c r="L1788" s="239" t="e">
        <f t="shared" si="603"/>
        <v>#DIV/0!</v>
      </c>
      <c r="M1788" s="267" t="e">
        <f t="shared" si="604"/>
        <v>#DIV/0!</v>
      </c>
      <c r="N1788" s="267" t="e">
        <f t="shared" si="605"/>
        <v>#DIV/0!</v>
      </c>
      <c r="O1788" s="239" t="e">
        <f t="shared" si="602"/>
        <v>#DIV/0!</v>
      </c>
      <c r="P1788" s="267" t="e">
        <f t="shared" si="606"/>
        <v>#DIV/0!</v>
      </c>
      <c r="Q1788" s="267" t="e">
        <f t="shared" si="607"/>
        <v>#DIV/0!</v>
      </c>
      <c r="R1788" s="267" t="e">
        <f t="shared" si="608"/>
        <v>#DIV/0!</v>
      </c>
      <c r="S1788" s="267" t="e">
        <f t="shared" si="609"/>
        <v>#DIV/0!</v>
      </c>
      <c r="U1788" s="239" t="s">
        <v>519</v>
      </c>
      <c r="V1788" s="492">
        <f t="shared" si="596"/>
        <v>0</v>
      </c>
      <c r="Z1788" s="214">
        <f t="shared" si="599"/>
        <v>0</v>
      </c>
      <c r="AA1788" s="214">
        <f t="shared" si="600"/>
        <v>0</v>
      </c>
    </row>
    <row r="1789" spans="1:27">
      <c r="A1789" s="239" t="s">
        <v>506</v>
      </c>
      <c r="B1789" s="204">
        <v>7</v>
      </c>
      <c r="C1789" s="204">
        <v>11</v>
      </c>
      <c r="D1789" s="204">
        <v>94</v>
      </c>
      <c r="E1789" s="267">
        <v>11.907999999999999</v>
      </c>
      <c r="F1789" s="267">
        <v>11.907999999999999</v>
      </c>
      <c r="G1789" s="206">
        <v>989.37599999999998</v>
      </c>
      <c r="H1789" s="202">
        <v>1360</v>
      </c>
      <c r="I1789" s="202">
        <v>3</v>
      </c>
      <c r="J1789" s="230"/>
      <c r="K1789" s="305" t="s">
        <v>506</v>
      </c>
      <c r="L1789" s="239">
        <f t="shared" si="603"/>
        <v>2.3333333333333335</v>
      </c>
      <c r="M1789" s="267">
        <f t="shared" si="604"/>
        <v>31.333333333333332</v>
      </c>
      <c r="N1789" s="267">
        <f t="shared" si="605"/>
        <v>13.428571428571429</v>
      </c>
      <c r="O1789" s="239">
        <f t="shared" si="602"/>
        <v>75.900352941176465</v>
      </c>
      <c r="P1789" s="267">
        <f t="shared" si="606"/>
        <v>75.900352941176465</v>
      </c>
      <c r="Q1789" s="267">
        <f t="shared" si="607"/>
        <v>0.19419439008480105</v>
      </c>
      <c r="R1789" s="267">
        <f t="shared" si="608"/>
        <v>0.33371623596192346</v>
      </c>
      <c r="S1789" s="267">
        <f t="shared" si="609"/>
        <v>23.079162467808754</v>
      </c>
      <c r="Z1789" s="214">
        <f t="shared" si="599"/>
        <v>4</v>
      </c>
      <c r="AA1789" s="214">
        <f t="shared" si="600"/>
        <v>0</v>
      </c>
    </row>
    <row r="1790" spans="1:27">
      <c r="A1790" s="239" t="s">
        <v>507</v>
      </c>
      <c r="B1790" s="204"/>
      <c r="C1790" s="204"/>
      <c r="D1790" s="204"/>
      <c r="E1790" s="267"/>
      <c r="F1790" s="267"/>
      <c r="G1790" s="206"/>
      <c r="H1790" s="202"/>
      <c r="I1790" s="202"/>
      <c r="J1790" s="230"/>
      <c r="K1790" s="305" t="s">
        <v>507</v>
      </c>
      <c r="L1790" s="239" t="e">
        <f t="shared" si="603"/>
        <v>#DIV/0!</v>
      </c>
      <c r="M1790" s="267" t="e">
        <f t="shared" si="604"/>
        <v>#DIV/0!</v>
      </c>
      <c r="N1790" s="267" t="e">
        <f t="shared" si="605"/>
        <v>#DIV/0!</v>
      </c>
      <c r="O1790" s="239" t="e">
        <f t="shared" si="602"/>
        <v>#DIV/0!</v>
      </c>
      <c r="P1790" s="267" t="e">
        <f t="shared" si="606"/>
        <v>#DIV/0!</v>
      </c>
      <c r="Q1790" s="267" t="e">
        <f t="shared" si="607"/>
        <v>#DIV/0!</v>
      </c>
      <c r="R1790" s="267" t="e">
        <f t="shared" si="608"/>
        <v>#DIV/0!</v>
      </c>
      <c r="S1790" s="267" t="e">
        <f t="shared" si="609"/>
        <v>#DIV/0!</v>
      </c>
      <c r="Z1790" s="214">
        <f t="shared" si="599"/>
        <v>0</v>
      </c>
      <c r="AA1790" s="214">
        <f t="shared" si="600"/>
        <v>0</v>
      </c>
    </row>
    <row r="1791" spans="1:27">
      <c r="A1791" s="239" t="s">
        <v>156</v>
      </c>
      <c r="B1791" s="204"/>
      <c r="C1791" s="204"/>
      <c r="D1791" s="204"/>
      <c r="E1791" s="267"/>
      <c r="F1791" s="267"/>
      <c r="G1791" s="206"/>
      <c r="H1791" s="202"/>
      <c r="I1791" s="202"/>
      <c r="J1791" s="230"/>
      <c r="K1791" s="305" t="s">
        <v>156</v>
      </c>
      <c r="L1791" s="239" t="e">
        <f t="shared" si="603"/>
        <v>#DIV/0!</v>
      </c>
      <c r="M1791" s="267" t="e">
        <f t="shared" si="604"/>
        <v>#DIV/0!</v>
      </c>
      <c r="N1791" s="267" t="e">
        <f t="shared" si="605"/>
        <v>#DIV/0!</v>
      </c>
      <c r="O1791" s="322" t="e">
        <f t="shared" si="602"/>
        <v>#DIV/0!</v>
      </c>
      <c r="P1791" s="323" t="e">
        <f t="shared" si="606"/>
        <v>#DIV/0!</v>
      </c>
      <c r="Q1791" s="267" t="e">
        <f t="shared" si="607"/>
        <v>#DIV/0!</v>
      </c>
      <c r="R1791" s="267" t="e">
        <f t="shared" si="608"/>
        <v>#DIV/0!</v>
      </c>
      <c r="S1791" s="267" t="e">
        <f t="shared" si="609"/>
        <v>#DIV/0!</v>
      </c>
      <c r="Z1791" s="214">
        <f t="shared" si="599"/>
        <v>0</v>
      </c>
      <c r="AA1791" s="214">
        <f t="shared" si="600"/>
        <v>0</v>
      </c>
    </row>
    <row r="1792" spans="1:27">
      <c r="A1792" s="239" t="s">
        <v>508</v>
      </c>
      <c r="B1792" s="204"/>
      <c r="C1792" s="204"/>
      <c r="D1792" s="204"/>
      <c r="E1792" s="267"/>
      <c r="F1792" s="267"/>
      <c r="G1792" s="206"/>
      <c r="H1792" s="202"/>
      <c r="I1792" s="202"/>
      <c r="J1792" s="230"/>
      <c r="K1792" s="305" t="s">
        <v>508</v>
      </c>
      <c r="L1792" s="239" t="e">
        <f t="shared" si="603"/>
        <v>#DIV/0!</v>
      </c>
      <c r="M1792" s="267" t="e">
        <f t="shared" si="604"/>
        <v>#DIV/0!</v>
      </c>
      <c r="N1792" s="267" t="e">
        <f t="shared" si="605"/>
        <v>#DIV/0!</v>
      </c>
      <c r="O1792" s="239" t="e">
        <f t="shared" si="602"/>
        <v>#DIV/0!</v>
      </c>
      <c r="P1792" s="267" t="e">
        <f t="shared" si="606"/>
        <v>#DIV/0!</v>
      </c>
      <c r="Q1792" s="267" t="e">
        <f t="shared" si="607"/>
        <v>#DIV/0!</v>
      </c>
      <c r="R1792" s="267" t="e">
        <f t="shared" si="608"/>
        <v>#DIV/0!</v>
      </c>
      <c r="S1792" s="267" t="e">
        <f t="shared" si="609"/>
        <v>#DIV/0!</v>
      </c>
      <c r="Z1792" s="214">
        <f t="shared" si="599"/>
        <v>0</v>
      </c>
      <c r="AA1792" s="214">
        <f t="shared" si="600"/>
        <v>0</v>
      </c>
    </row>
    <row r="1793" spans="1:27">
      <c r="A1793" s="239" t="s">
        <v>509</v>
      </c>
      <c r="B1793" s="204">
        <v>98</v>
      </c>
      <c r="C1793" s="204">
        <v>98</v>
      </c>
      <c r="D1793" s="204">
        <v>715</v>
      </c>
      <c r="E1793" s="267">
        <v>156.73400000000001</v>
      </c>
      <c r="F1793" s="267">
        <v>156.73400000000001</v>
      </c>
      <c r="G1793" s="206">
        <v>6836.2960000000003</v>
      </c>
      <c r="H1793" s="202">
        <v>10542</v>
      </c>
      <c r="I1793" s="202">
        <v>20</v>
      </c>
      <c r="J1793" s="230"/>
      <c r="K1793" s="305" t="s">
        <v>509</v>
      </c>
      <c r="L1793" s="239">
        <f t="shared" si="603"/>
        <v>4.9000000000000004</v>
      </c>
      <c r="M1793" s="267">
        <f t="shared" si="604"/>
        <v>35.75</v>
      </c>
      <c r="N1793" s="267">
        <f t="shared" si="605"/>
        <v>7.295918367346939</v>
      </c>
      <c r="O1793" s="239">
        <f t="shared" si="602"/>
        <v>70.200516031113651</v>
      </c>
      <c r="P1793" s="267">
        <f t="shared" si="606"/>
        <v>70.200516031113651</v>
      </c>
      <c r="Q1793" s="267">
        <f t="shared" si="607"/>
        <v>0.18257152175938871</v>
      </c>
      <c r="R1793" s="267">
        <f t="shared" si="608"/>
        <v>0.30315074214172494</v>
      </c>
      <c r="S1793" s="267">
        <f t="shared" si="609"/>
        <v>12.115884945902682</v>
      </c>
      <c r="Z1793" s="214">
        <f t="shared" si="599"/>
        <v>0</v>
      </c>
      <c r="AA1793" s="214">
        <f t="shared" si="600"/>
        <v>0</v>
      </c>
    </row>
    <row r="1794" spans="1:27">
      <c r="A1794" s="239" t="s">
        <v>510</v>
      </c>
      <c r="B1794" s="204"/>
      <c r="C1794" s="204"/>
      <c r="D1794" s="204"/>
      <c r="E1794" s="267"/>
      <c r="F1794" s="267"/>
      <c r="G1794" s="206"/>
      <c r="H1794" s="202"/>
      <c r="I1794" s="202"/>
      <c r="J1794" s="230"/>
      <c r="K1794" s="305" t="s">
        <v>510</v>
      </c>
      <c r="L1794" s="239" t="e">
        <f t="shared" si="603"/>
        <v>#DIV/0!</v>
      </c>
      <c r="M1794" s="267" t="e">
        <f t="shared" si="604"/>
        <v>#DIV/0!</v>
      </c>
      <c r="N1794" s="267" t="e">
        <f t="shared" si="605"/>
        <v>#DIV/0!</v>
      </c>
      <c r="O1794" s="322" t="e">
        <f t="shared" si="602"/>
        <v>#DIV/0!</v>
      </c>
      <c r="P1794" s="323" t="e">
        <f t="shared" si="606"/>
        <v>#DIV/0!</v>
      </c>
      <c r="Q1794" s="267" t="e">
        <f t="shared" si="607"/>
        <v>#DIV/0!</v>
      </c>
      <c r="R1794" s="267" t="e">
        <f t="shared" si="608"/>
        <v>#DIV/0!</v>
      </c>
      <c r="S1794" s="267" t="e">
        <f t="shared" si="609"/>
        <v>#DIV/0!</v>
      </c>
      <c r="Z1794" s="214">
        <f t="shared" si="599"/>
        <v>0</v>
      </c>
      <c r="AA1794" s="214">
        <f t="shared" si="600"/>
        <v>0</v>
      </c>
    </row>
    <row r="1795" spans="1:27">
      <c r="A1795" s="239" t="s">
        <v>511</v>
      </c>
      <c r="B1795" s="382"/>
      <c r="C1795" s="382"/>
      <c r="D1795" s="204"/>
      <c r="E1795" s="267"/>
      <c r="F1795" s="267"/>
      <c r="G1795" s="206"/>
      <c r="H1795" s="202"/>
      <c r="I1795" s="202"/>
      <c r="J1795" s="230"/>
      <c r="K1795" s="305" t="s">
        <v>511</v>
      </c>
      <c r="L1795" s="239" t="e">
        <f t="shared" si="603"/>
        <v>#DIV/0!</v>
      </c>
      <c r="M1795" s="267" t="e">
        <f t="shared" si="604"/>
        <v>#DIV/0!</v>
      </c>
      <c r="N1795" s="267" t="e">
        <f t="shared" si="605"/>
        <v>#DIV/0!</v>
      </c>
      <c r="O1795" s="239" t="e">
        <f t="shared" si="602"/>
        <v>#DIV/0!</v>
      </c>
      <c r="P1795" s="267" t="e">
        <f t="shared" si="606"/>
        <v>#DIV/0!</v>
      </c>
      <c r="Q1795" s="267" t="e">
        <f t="shared" si="607"/>
        <v>#DIV/0!</v>
      </c>
      <c r="R1795" s="267" t="e">
        <f t="shared" si="608"/>
        <v>#DIV/0!</v>
      </c>
      <c r="S1795" s="267" t="e">
        <f t="shared" si="609"/>
        <v>#DIV/0!</v>
      </c>
      <c r="Z1795" s="214">
        <f t="shared" si="599"/>
        <v>0</v>
      </c>
      <c r="AA1795" s="214">
        <f t="shared" si="600"/>
        <v>0</v>
      </c>
    </row>
    <row r="1796" spans="1:27">
      <c r="A1796" s="239" t="s">
        <v>512</v>
      </c>
      <c r="B1796" s="384">
        <v>29</v>
      </c>
      <c r="C1796" s="382">
        <v>29</v>
      </c>
      <c r="D1796" s="204">
        <v>585</v>
      </c>
      <c r="E1796" s="385">
        <v>27.292999999999999</v>
      </c>
      <c r="F1796" s="267">
        <v>27.292999999999999</v>
      </c>
      <c r="G1796" s="206">
        <v>1055.877</v>
      </c>
      <c r="H1796" s="202">
        <v>1377</v>
      </c>
      <c r="I1796" s="202">
        <v>6</v>
      </c>
      <c r="J1796" s="230"/>
      <c r="K1796" s="305" t="s">
        <v>512</v>
      </c>
      <c r="L1796" s="239">
        <f t="shared" si="603"/>
        <v>4.833333333333333</v>
      </c>
      <c r="M1796" s="267">
        <f t="shared" si="604"/>
        <v>97.5</v>
      </c>
      <c r="N1796" s="267">
        <f t="shared" si="605"/>
        <v>20.172413793103448</v>
      </c>
      <c r="O1796" s="239">
        <f t="shared" si="602"/>
        <v>83.814945533769063</v>
      </c>
      <c r="P1796" s="267">
        <f t="shared" si="606"/>
        <v>83.814945533769063</v>
      </c>
      <c r="Q1796" s="267">
        <f t="shared" si="607"/>
        <v>0.1074358368760825</v>
      </c>
      <c r="R1796" s="267">
        <f t="shared" si="608"/>
        <v>5.7227039934493421E-2</v>
      </c>
      <c r="S1796" s="267">
        <f t="shared" si="609"/>
        <v>10.746314683862773</v>
      </c>
      <c r="Z1796" s="214">
        <f t="shared" si="599"/>
        <v>0</v>
      </c>
      <c r="AA1796" s="214">
        <f t="shared" si="600"/>
        <v>0</v>
      </c>
    </row>
    <row r="1797" spans="1:27">
      <c r="A1797" s="239" t="s">
        <v>513</v>
      </c>
      <c r="B1797" s="384">
        <v>1</v>
      </c>
      <c r="C1797" s="384">
        <v>1</v>
      </c>
      <c r="D1797" s="216">
        <v>1</v>
      </c>
      <c r="E1797" s="385">
        <v>0.23200000000000001</v>
      </c>
      <c r="F1797" s="385">
        <v>0.23200000000000001</v>
      </c>
      <c r="G1797" s="386">
        <v>1.575</v>
      </c>
      <c r="H1797" s="215">
        <v>3</v>
      </c>
      <c r="I1797" s="202">
        <v>3</v>
      </c>
      <c r="J1797" s="230"/>
      <c r="K1797" s="305" t="s">
        <v>513</v>
      </c>
      <c r="L1797" s="239">
        <f t="shared" si="603"/>
        <v>0.33333333333333331</v>
      </c>
      <c r="M1797" s="267">
        <f t="shared" si="604"/>
        <v>0.33333333333333331</v>
      </c>
      <c r="N1797" s="267">
        <f t="shared" si="605"/>
        <v>1</v>
      </c>
      <c r="O1797" s="239">
        <f t="shared" si="602"/>
        <v>80.34</v>
      </c>
      <c r="P1797" s="267">
        <f t="shared" si="606"/>
        <v>80.34</v>
      </c>
      <c r="Q1797" s="267">
        <f t="shared" si="607"/>
        <v>2.6484018264840183E-2</v>
      </c>
      <c r="R1797" s="267">
        <f t="shared" si="608"/>
        <v>4.9937221778335802E-2</v>
      </c>
      <c r="S1797" s="267">
        <f t="shared" si="609"/>
        <v>1.8857758620689653</v>
      </c>
      <c r="Z1797" s="214">
        <f t="shared" si="599"/>
        <v>0</v>
      </c>
      <c r="AA1797" s="214">
        <f t="shared" si="600"/>
        <v>0</v>
      </c>
    </row>
    <row r="1798" spans="1:27">
      <c r="A1798" s="239" t="s">
        <v>514</v>
      </c>
      <c r="B1798" s="382">
        <v>27</v>
      </c>
      <c r="C1798" s="382">
        <v>27</v>
      </c>
      <c r="D1798" s="204">
        <v>186</v>
      </c>
      <c r="E1798" s="267">
        <v>87.471000000000004</v>
      </c>
      <c r="F1798" s="267">
        <v>87.471000000000004</v>
      </c>
      <c r="G1798" s="206">
        <v>4447.8320000000003</v>
      </c>
      <c r="H1798" s="202">
        <v>6400</v>
      </c>
      <c r="I1798" s="202">
        <v>3</v>
      </c>
      <c r="J1798" s="230"/>
      <c r="K1798" s="305" t="s">
        <v>514</v>
      </c>
      <c r="L1798" s="239">
        <f t="shared" si="603"/>
        <v>9</v>
      </c>
      <c r="M1798" s="267">
        <f t="shared" si="604"/>
        <v>62</v>
      </c>
      <c r="N1798" s="267">
        <f t="shared" si="605"/>
        <v>6.8888888888888893</v>
      </c>
      <c r="O1798" s="239">
        <f t="shared" si="602"/>
        <v>74.417618750000003</v>
      </c>
      <c r="P1798" s="267">
        <f t="shared" si="606"/>
        <v>74.417618750000003</v>
      </c>
      <c r="Q1798" s="267">
        <f t="shared" si="607"/>
        <v>0.3698249619482496</v>
      </c>
      <c r="R1798" s="267">
        <f t="shared" si="608"/>
        <v>0.75819209085775352</v>
      </c>
      <c r="S1798" s="267">
        <f t="shared" si="609"/>
        <v>14.124782943934434</v>
      </c>
      <c r="Z1798" s="214">
        <f t="shared" si="599"/>
        <v>0</v>
      </c>
      <c r="AA1798" s="214">
        <f t="shared" si="600"/>
        <v>0</v>
      </c>
    </row>
    <row r="1799" spans="1:27">
      <c r="A1799" s="239" t="s">
        <v>515</v>
      </c>
      <c r="B1799" s="382">
        <v>4</v>
      </c>
      <c r="C1799" s="382">
        <v>4</v>
      </c>
      <c r="D1799" s="204">
        <v>43</v>
      </c>
      <c r="E1799" s="267">
        <v>23.76</v>
      </c>
      <c r="F1799" s="267">
        <v>23.76</v>
      </c>
      <c r="G1799" s="206">
        <v>730.88699999999994</v>
      </c>
      <c r="H1799" s="202">
        <v>1148</v>
      </c>
      <c r="I1799" s="202">
        <v>1</v>
      </c>
      <c r="J1799" s="230"/>
      <c r="K1799" s="305" t="s">
        <v>515</v>
      </c>
      <c r="L1799" s="239">
        <f t="shared" si="603"/>
        <v>4</v>
      </c>
      <c r="M1799" s="267">
        <f t="shared" si="604"/>
        <v>43</v>
      </c>
      <c r="N1799" s="267">
        <f t="shared" si="605"/>
        <v>10.75</v>
      </c>
      <c r="O1799" s="239">
        <f t="shared" si="602"/>
        <v>71.116986062717771</v>
      </c>
      <c r="P1799" s="267">
        <f t="shared" si="606"/>
        <v>71.116986062717771</v>
      </c>
      <c r="Q1799" s="267">
        <f t="shared" si="607"/>
        <v>0.67808219178082196</v>
      </c>
      <c r="R1799" s="267">
        <f t="shared" si="608"/>
        <v>0.53892161260837979</v>
      </c>
      <c r="S1799" s="267">
        <f t="shared" si="609"/>
        <v>8.5447881593714925</v>
      </c>
      <c r="Z1799" s="214">
        <f t="shared" si="599"/>
        <v>0</v>
      </c>
      <c r="AA1799" s="214">
        <f t="shared" si="600"/>
        <v>0</v>
      </c>
    </row>
    <row r="1800" spans="1:27">
      <c r="A1800" s="239" t="s">
        <v>516</v>
      </c>
      <c r="B1800" s="204">
        <v>4</v>
      </c>
      <c r="C1800" s="204">
        <v>4</v>
      </c>
      <c r="D1800" s="202">
        <v>37</v>
      </c>
      <c r="E1800" s="267">
        <v>2.3180000000000001</v>
      </c>
      <c r="F1800" s="267">
        <v>2.3180000000000001</v>
      </c>
      <c r="G1800" s="206">
        <v>421.57100000000003</v>
      </c>
      <c r="H1800" s="202">
        <v>561</v>
      </c>
      <c r="I1800" s="202">
        <v>1</v>
      </c>
      <c r="J1800" s="244"/>
      <c r="K1800" s="239" t="s">
        <v>516</v>
      </c>
      <c r="L1800" s="239">
        <f t="shared" si="603"/>
        <v>4</v>
      </c>
      <c r="M1800" s="267">
        <f t="shared" si="604"/>
        <v>37</v>
      </c>
      <c r="N1800" s="267">
        <f t="shared" si="605"/>
        <v>9.25</v>
      </c>
      <c r="O1800" s="239">
        <f t="shared" si="602"/>
        <v>76.633832442067742</v>
      </c>
      <c r="P1800" s="267">
        <f t="shared" si="606"/>
        <v>76.633832442067742</v>
      </c>
      <c r="Q1800" s="267">
        <f t="shared" si="607"/>
        <v>6.6152968036529675E-2</v>
      </c>
      <c r="R1800" s="267">
        <f t="shared" si="608"/>
        <v>0.36125413165705372</v>
      </c>
      <c r="S1800" s="267">
        <f t="shared" si="609"/>
        <v>50.51900584795321</v>
      </c>
      <c r="Z1800" s="214">
        <f t="shared" si="599"/>
        <v>0</v>
      </c>
      <c r="AA1800" s="214">
        <f t="shared" si="600"/>
        <v>0</v>
      </c>
    </row>
    <row r="1801" spans="1:27">
      <c r="A1801" s="239" t="s">
        <v>517</v>
      </c>
      <c r="B1801" s="204"/>
      <c r="C1801" s="204"/>
      <c r="D1801" s="204"/>
      <c r="E1801" s="267"/>
      <c r="F1801" s="267"/>
      <c r="G1801" s="206"/>
      <c r="H1801" s="202"/>
      <c r="I1801" s="202"/>
      <c r="K1801" s="239" t="s">
        <v>517</v>
      </c>
      <c r="L1801" s="239" t="e">
        <f t="shared" si="603"/>
        <v>#DIV/0!</v>
      </c>
      <c r="M1801" s="267" t="e">
        <f t="shared" si="604"/>
        <v>#DIV/0!</v>
      </c>
      <c r="N1801" s="267" t="e">
        <f t="shared" si="605"/>
        <v>#DIV/0!</v>
      </c>
      <c r="O1801" s="239" t="e">
        <f t="shared" si="602"/>
        <v>#DIV/0!</v>
      </c>
      <c r="P1801" s="267" t="e">
        <f t="shared" si="606"/>
        <v>#DIV/0!</v>
      </c>
      <c r="Q1801" s="267" t="e">
        <f t="shared" si="607"/>
        <v>#DIV/0!</v>
      </c>
      <c r="R1801" s="267" t="e">
        <f t="shared" si="608"/>
        <v>#DIV/0!</v>
      </c>
      <c r="S1801" s="267" t="e">
        <f t="shared" si="609"/>
        <v>#DIV/0!</v>
      </c>
      <c r="Z1801" s="214">
        <f t="shared" si="599"/>
        <v>0</v>
      </c>
      <c r="AA1801" s="214">
        <f t="shared" si="600"/>
        <v>0</v>
      </c>
    </row>
    <row r="1802" spans="1:27">
      <c r="A1802" s="239" t="s">
        <v>518</v>
      </c>
      <c r="B1802" s="216">
        <v>1</v>
      </c>
      <c r="C1802" s="216">
        <v>1</v>
      </c>
      <c r="D1802" s="216">
        <v>1</v>
      </c>
      <c r="E1802" s="385">
        <v>3.13</v>
      </c>
      <c r="F1802" s="385">
        <v>3.13</v>
      </c>
      <c r="G1802" s="386">
        <v>14.574</v>
      </c>
      <c r="H1802" s="215">
        <v>41</v>
      </c>
      <c r="I1802" s="202">
        <v>1</v>
      </c>
      <c r="K1802" s="239" t="s">
        <v>518</v>
      </c>
      <c r="L1802" s="239">
        <f t="shared" si="603"/>
        <v>1</v>
      </c>
      <c r="M1802" s="267">
        <f t="shared" si="604"/>
        <v>1</v>
      </c>
      <c r="N1802" s="267">
        <f t="shared" si="605"/>
        <v>1</v>
      </c>
      <c r="O1802" s="239">
        <f t="shared" si="602"/>
        <v>63.029268292682922</v>
      </c>
      <c r="P1802" s="267">
        <f t="shared" si="606"/>
        <v>63.029268292682922</v>
      </c>
      <c r="Q1802" s="267">
        <f t="shared" si="607"/>
        <v>0.35730593607305933</v>
      </c>
      <c r="R1802" s="267">
        <f t="shared" si="608"/>
        <v>0.46208575885553393</v>
      </c>
      <c r="S1802" s="267">
        <f t="shared" si="609"/>
        <v>1.2933972310969115</v>
      </c>
      <c r="Z1802" s="214">
        <f t="shared" si="599"/>
        <v>0</v>
      </c>
      <c r="AA1802" s="214">
        <f t="shared" si="600"/>
        <v>0</v>
      </c>
    </row>
    <row r="1803" spans="1:27">
      <c r="A1803" s="239" t="s">
        <v>519</v>
      </c>
      <c r="B1803" s="204"/>
      <c r="C1803" s="204"/>
      <c r="D1803" s="204"/>
      <c r="E1803" s="385"/>
      <c r="F1803" s="272"/>
      <c r="G1803" s="206"/>
      <c r="H1803" s="202"/>
      <c r="I1803" s="202"/>
      <c r="K1803" s="239" t="s">
        <v>519</v>
      </c>
      <c r="L1803" s="239"/>
      <c r="M1803" s="267"/>
      <c r="N1803" s="267"/>
      <c r="O1803" s="239"/>
      <c r="P1803" s="267"/>
      <c r="Q1803" s="267"/>
      <c r="R1803" s="267"/>
      <c r="S1803" s="267"/>
      <c r="Z1803" s="214">
        <f t="shared" si="599"/>
        <v>0</v>
      </c>
      <c r="AA1803" s="214">
        <f t="shared" si="600"/>
        <v>0</v>
      </c>
    </row>
    <row r="1804" spans="1:27">
      <c r="A1804" s="282" t="s">
        <v>169</v>
      </c>
      <c r="B1804" s="360">
        <f>B1783+B1785</f>
        <v>5651</v>
      </c>
      <c r="C1804" s="360">
        <f t="shared" ref="C1804:I1804" si="610">C1783+C1785</f>
        <v>5948</v>
      </c>
      <c r="D1804" s="360">
        <f t="shared" si="610"/>
        <v>11823</v>
      </c>
      <c r="E1804" s="360">
        <f t="shared" si="610"/>
        <v>16755.846000000001</v>
      </c>
      <c r="F1804" s="360">
        <f t="shared" si="610"/>
        <v>19594.846000000001</v>
      </c>
      <c r="G1804" s="360">
        <f t="shared" si="610"/>
        <v>101556.988</v>
      </c>
      <c r="H1804" s="360">
        <f t="shared" si="610"/>
        <v>311428</v>
      </c>
      <c r="I1804" s="360">
        <f t="shared" si="610"/>
        <v>136</v>
      </c>
      <c r="K1804" s="328" t="s">
        <v>169</v>
      </c>
      <c r="L1804" s="282">
        <f>B1804/I1804</f>
        <v>41.551470588235297</v>
      </c>
      <c r="M1804" s="281">
        <f>D1804/I1804</f>
        <v>86.933823529411768</v>
      </c>
      <c r="N1804" s="281">
        <f>D1804/B1804</f>
        <v>2.0921960714917716</v>
      </c>
      <c r="O1804" s="282">
        <f>(F1804*3.6+G1804)*100/H1804</f>
        <v>55.261066313883141</v>
      </c>
      <c r="P1804" s="282">
        <f>(E1804*3.6+G1804)*100/H1804</f>
        <v>51.979280475743991</v>
      </c>
      <c r="Q1804" s="281">
        <f>E1804/(B1804*8760)*1000</f>
        <v>0.338483066398722</v>
      </c>
      <c r="R1804" s="281">
        <f>G1804/(D1804*8761)*1000/3.6</f>
        <v>0.27234909802635371</v>
      </c>
      <c r="S1804" s="281">
        <f>G1804/(E1804*3.6)</f>
        <v>1.6836078849402436</v>
      </c>
      <c r="Z1804" s="214">
        <f t="shared" si="599"/>
        <v>297</v>
      </c>
      <c r="AA1804" s="214">
        <f t="shared" si="600"/>
        <v>2839</v>
      </c>
    </row>
    <row r="1806" spans="1:27">
      <c r="A1806" s="251" t="s">
        <v>520</v>
      </c>
      <c r="B1806" s="227" t="s">
        <v>476</v>
      </c>
      <c r="C1806" s="228"/>
      <c r="D1806" s="286"/>
      <c r="E1806" s="227" t="s">
        <v>521</v>
      </c>
      <c r="F1806" s="228"/>
      <c r="G1806" s="286"/>
      <c r="H1806" s="200" t="s">
        <v>138</v>
      </c>
      <c r="I1806" s="200" t="s">
        <v>478</v>
      </c>
    </row>
    <row r="1807" spans="1:27">
      <c r="A1807" s="239"/>
      <c r="B1807" s="243" t="s">
        <v>88</v>
      </c>
      <c r="C1807" s="243"/>
      <c r="D1807" s="241" t="s">
        <v>34</v>
      </c>
      <c r="E1807" s="243" t="s">
        <v>88</v>
      </c>
      <c r="F1807" s="243"/>
      <c r="G1807" s="241" t="s">
        <v>34</v>
      </c>
      <c r="H1807" s="241" t="s">
        <v>170</v>
      </c>
      <c r="I1807" s="241" t="s">
        <v>483</v>
      </c>
    </row>
    <row r="1808" spans="1:27">
      <c r="A1808" s="239"/>
      <c r="B1808" s="252" t="s">
        <v>0</v>
      </c>
      <c r="C1808" s="252" t="s">
        <v>489</v>
      </c>
      <c r="D1808" s="252" t="s">
        <v>490</v>
      </c>
      <c r="E1808" s="252" t="s">
        <v>491</v>
      </c>
      <c r="F1808" s="252" t="s">
        <v>489</v>
      </c>
      <c r="G1808" s="252" t="s">
        <v>490</v>
      </c>
      <c r="H1808" s="248"/>
      <c r="I1808" s="241" t="s">
        <v>492</v>
      </c>
    </row>
    <row r="1809" spans="1:19">
      <c r="A1809" s="239"/>
      <c r="B1809" s="257" t="s">
        <v>496</v>
      </c>
      <c r="C1809" s="256" t="s">
        <v>496</v>
      </c>
      <c r="D1809" s="252" t="s">
        <v>496</v>
      </c>
      <c r="E1809" s="329" t="s">
        <v>473</v>
      </c>
      <c r="F1809" s="329" t="s">
        <v>473</v>
      </c>
      <c r="G1809" s="252" t="s">
        <v>496</v>
      </c>
      <c r="H1809" s="257" t="s">
        <v>497</v>
      </c>
      <c r="I1809" s="257" t="s">
        <v>498</v>
      </c>
    </row>
    <row r="1810" spans="1:19">
      <c r="A1810" s="251" t="s">
        <v>522</v>
      </c>
      <c r="B1810" s="389"/>
      <c r="C1810" s="389"/>
      <c r="D1810" s="200"/>
      <c r="E1810" s="389"/>
      <c r="F1810" s="389"/>
      <c r="G1810" s="200"/>
      <c r="H1810" s="200"/>
      <c r="I1810" s="200"/>
    </row>
    <row r="1811" spans="1:19">
      <c r="A1811" s="239" t="s">
        <v>523</v>
      </c>
      <c r="C1811" s="215">
        <v>2425</v>
      </c>
      <c r="D1811" s="204">
        <v>3344</v>
      </c>
      <c r="E1811" s="216"/>
      <c r="F1811" s="204"/>
      <c r="G1811" s="204"/>
      <c r="H1811" s="202"/>
      <c r="I1811" s="216">
        <v>33</v>
      </c>
    </row>
    <row r="1812" spans="1:19">
      <c r="A1812" s="239" t="s">
        <v>524</v>
      </c>
      <c r="C1812" s="215">
        <v>598</v>
      </c>
      <c r="D1812" s="204">
        <v>1563</v>
      </c>
      <c r="E1812" s="216"/>
      <c r="F1812" s="204"/>
      <c r="G1812" s="204"/>
      <c r="H1812" s="202"/>
      <c r="I1812" s="216">
        <v>10</v>
      </c>
    </row>
    <row r="1813" spans="1:19">
      <c r="A1813" s="239" t="s">
        <v>525</v>
      </c>
      <c r="C1813" s="215">
        <v>2925</v>
      </c>
      <c r="D1813" s="204">
        <v>6916</v>
      </c>
      <c r="E1813" s="216"/>
      <c r="F1813" s="204"/>
      <c r="G1813" s="204"/>
      <c r="H1813" s="202"/>
      <c r="I1813" s="216">
        <v>93</v>
      </c>
    </row>
    <row r="1814" spans="1:19">
      <c r="A1814" s="239" t="s">
        <v>267</v>
      </c>
      <c r="B1814" s="216"/>
      <c r="C1814" s="204"/>
      <c r="D1814" s="204"/>
      <c r="E1814" s="216"/>
      <c r="F1814" s="204"/>
      <c r="G1814" s="204"/>
      <c r="H1814" s="202"/>
      <c r="I1814" s="216"/>
    </row>
    <row r="1815" spans="1:19">
      <c r="A1815" s="312" t="s">
        <v>526</v>
      </c>
      <c r="B1815" s="391"/>
      <c r="C1815" s="391"/>
      <c r="D1815" s="205"/>
      <c r="E1815" s="391"/>
      <c r="F1815" s="391"/>
      <c r="G1815" s="205"/>
      <c r="H1815" s="205"/>
      <c r="I1815" s="391"/>
    </row>
    <row r="1816" spans="1:19">
      <c r="A1816" s="239" t="s">
        <v>527</v>
      </c>
      <c r="B1816" s="216"/>
      <c r="C1816" s="204"/>
      <c r="D1816" s="204"/>
      <c r="E1816" s="216"/>
      <c r="F1816" s="204"/>
      <c r="G1816" s="204"/>
      <c r="H1816" s="202"/>
      <c r="I1816" s="216"/>
    </row>
    <row r="1817" spans="1:19">
      <c r="A1817" s="239" t="s">
        <v>528</v>
      </c>
      <c r="B1817" s="204"/>
      <c r="C1817" s="204"/>
      <c r="D1817" s="204"/>
      <c r="E1817" s="204"/>
      <c r="F1817" s="204"/>
      <c r="G1817" s="204"/>
      <c r="H1817" s="202"/>
      <c r="I1817" s="204"/>
    </row>
    <row r="1818" spans="1:19">
      <c r="A1818" s="239" t="s">
        <v>529</v>
      </c>
      <c r="B1818" s="204"/>
      <c r="C1818" s="204"/>
      <c r="D1818" s="204"/>
      <c r="E1818" s="204"/>
      <c r="F1818" s="204"/>
      <c r="G1818" s="204"/>
      <c r="H1818" s="202"/>
      <c r="I1818" s="204"/>
    </row>
    <row r="1819" spans="1:19">
      <c r="A1819" s="239" t="s">
        <v>530</v>
      </c>
      <c r="B1819" s="204"/>
      <c r="C1819" s="204"/>
      <c r="D1819" s="204"/>
      <c r="E1819" s="204"/>
      <c r="F1819" s="204"/>
      <c r="G1819" s="204"/>
      <c r="H1819" s="202"/>
      <c r="I1819" s="204"/>
    </row>
    <row r="1820" spans="1:19">
      <c r="A1820" s="282" t="s">
        <v>169</v>
      </c>
      <c r="B1820" s="468">
        <v>5651</v>
      </c>
      <c r="C1820" s="360">
        <v>5948</v>
      </c>
      <c r="D1820" s="360">
        <v>11823</v>
      </c>
      <c r="E1820" s="468">
        <v>16755.846000000001</v>
      </c>
      <c r="F1820" s="468">
        <v>19594.846000000001</v>
      </c>
      <c r="G1820" s="468">
        <v>101556.988</v>
      </c>
      <c r="H1820" s="468">
        <v>311428</v>
      </c>
      <c r="I1820" s="360">
        <v>136</v>
      </c>
    </row>
    <row r="1822" spans="1:19">
      <c r="D1822" s="220"/>
    </row>
    <row r="1823" spans="1:19">
      <c r="A1823" s="221" t="s">
        <v>197</v>
      </c>
      <c r="D1823" s="220"/>
      <c r="I1823" s="221">
        <v>2002</v>
      </c>
      <c r="K1823" s="221" t="str">
        <f>+A1823</f>
        <v>Slovakia</v>
      </c>
      <c r="M1823" s="220"/>
      <c r="S1823" s="221">
        <v>2002</v>
      </c>
    </row>
    <row r="1824" spans="1:19" ht="13.5" thickBot="1"/>
    <row r="1825" spans="1:27">
      <c r="A1825" s="346" t="s">
        <v>475</v>
      </c>
      <c r="B1825" s="233" t="s">
        <v>476</v>
      </c>
      <c r="C1825" s="233"/>
      <c r="D1825" s="234"/>
      <c r="E1825" s="235" t="s">
        <v>477</v>
      </c>
      <c r="F1825" s="233"/>
      <c r="G1825" s="236"/>
      <c r="H1825" s="347" t="s">
        <v>138</v>
      </c>
      <c r="I1825" s="348" t="s">
        <v>478</v>
      </c>
      <c r="J1825" s="230"/>
      <c r="K1825" s="231" t="s">
        <v>475</v>
      </c>
      <c r="L1825" s="232" t="s">
        <v>479</v>
      </c>
      <c r="M1825" s="233"/>
      <c r="N1825" s="234"/>
      <c r="O1825" s="235" t="s">
        <v>480</v>
      </c>
      <c r="P1825" s="233"/>
      <c r="Q1825" s="233"/>
      <c r="R1825" s="236"/>
      <c r="S1825" s="237"/>
    </row>
    <row r="1826" spans="1:27">
      <c r="A1826" s="266"/>
      <c r="B1826" s="240" t="s">
        <v>9</v>
      </c>
      <c r="C1826" s="240"/>
      <c r="D1826" s="241" t="s">
        <v>34</v>
      </c>
      <c r="E1826" s="242" t="s">
        <v>88</v>
      </c>
      <c r="F1826" s="243"/>
      <c r="G1826" s="244" t="s">
        <v>34</v>
      </c>
      <c r="H1826" s="241" t="s">
        <v>170</v>
      </c>
      <c r="I1826" s="349" t="s">
        <v>483</v>
      </c>
      <c r="J1826" s="230"/>
      <c r="K1826" s="245"/>
      <c r="L1826" s="246" t="s">
        <v>484</v>
      </c>
      <c r="M1826" s="247"/>
      <c r="N1826" s="248" t="s">
        <v>485</v>
      </c>
      <c r="O1826" s="248" t="s">
        <v>486</v>
      </c>
      <c r="P1826" s="248" t="s">
        <v>486</v>
      </c>
      <c r="Q1826" s="247" t="s">
        <v>487</v>
      </c>
      <c r="R1826" s="249"/>
      <c r="S1826" s="250" t="s">
        <v>485</v>
      </c>
      <c r="U1826" s="214" t="str">
        <f>A1823</f>
        <v>Slovakia</v>
      </c>
    </row>
    <row r="1827" spans="1:27">
      <c r="A1827" s="350" t="s">
        <v>488</v>
      </c>
      <c r="B1827" s="252" t="s">
        <v>0</v>
      </c>
      <c r="C1827" s="469" t="s">
        <v>489</v>
      </c>
      <c r="D1827" s="252" t="s">
        <v>490</v>
      </c>
      <c r="E1827" s="252" t="s">
        <v>491</v>
      </c>
      <c r="F1827" s="469" t="s">
        <v>489</v>
      </c>
      <c r="G1827" s="230" t="s">
        <v>490</v>
      </c>
      <c r="H1827" s="248"/>
      <c r="I1827" s="349" t="s">
        <v>492</v>
      </c>
      <c r="J1827" s="230"/>
      <c r="K1827" s="253" t="s">
        <v>488</v>
      </c>
      <c r="L1827" s="254" t="s">
        <v>88</v>
      </c>
      <c r="M1827" s="252" t="s">
        <v>34</v>
      </c>
      <c r="N1827" s="252" t="s">
        <v>493</v>
      </c>
      <c r="O1827" s="248" t="s">
        <v>494</v>
      </c>
      <c r="P1827" s="248" t="s">
        <v>495</v>
      </c>
      <c r="Q1827" s="230" t="s">
        <v>88</v>
      </c>
      <c r="R1827" s="248" t="s">
        <v>34</v>
      </c>
      <c r="S1827" s="255" t="s">
        <v>88</v>
      </c>
      <c r="U1827" s="214" t="s">
        <v>547</v>
      </c>
      <c r="V1827" s="214">
        <f>G1855/1000</f>
        <v>5.0039999999999996</v>
      </c>
    </row>
    <row r="1828" spans="1:27">
      <c r="A1828" s="266"/>
      <c r="B1828" s="252" t="s">
        <v>496</v>
      </c>
      <c r="C1828" s="469" t="s">
        <v>496</v>
      </c>
      <c r="D1828" s="252" t="s">
        <v>496</v>
      </c>
      <c r="E1828" s="256" t="s">
        <v>473</v>
      </c>
      <c r="F1828" s="470" t="s">
        <v>473</v>
      </c>
      <c r="G1828" s="230" t="s">
        <v>451</v>
      </c>
      <c r="H1828" s="257" t="s">
        <v>497</v>
      </c>
      <c r="I1828" s="351" t="s">
        <v>498</v>
      </c>
      <c r="J1828" s="230"/>
      <c r="K1828" s="245"/>
      <c r="L1828" s="258" t="s">
        <v>496</v>
      </c>
      <c r="M1828" s="256" t="s">
        <v>496</v>
      </c>
      <c r="N1828" s="256"/>
      <c r="O1828" s="257" t="s">
        <v>79</v>
      </c>
      <c r="P1828" s="257" t="s">
        <v>79</v>
      </c>
      <c r="Q1828" s="259"/>
      <c r="R1828" s="257"/>
      <c r="S1828" s="260"/>
      <c r="U1828" s="214" t="s">
        <v>548</v>
      </c>
      <c r="V1828" s="214">
        <f>G1861/1000</f>
        <v>0.32100000000000001</v>
      </c>
    </row>
    <row r="1829" spans="1:27">
      <c r="A1829" s="352" t="s">
        <v>262</v>
      </c>
      <c r="B1829" s="201">
        <v>0</v>
      </c>
      <c r="C1829" s="417">
        <v>0</v>
      </c>
      <c r="D1829" s="201">
        <v>0</v>
      </c>
      <c r="E1829" s="204">
        <v>0</v>
      </c>
      <c r="F1829" s="418">
        <v>0</v>
      </c>
      <c r="G1829" s="207">
        <v>0</v>
      </c>
      <c r="H1829" s="213">
        <v>0</v>
      </c>
      <c r="I1829" s="363">
        <v>0</v>
      </c>
      <c r="J1829" s="230"/>
      <c r="K1829" s="265" t="s">
        <v>262</v>
      </c>
      <c r="L1829" s="266" t="e">
        <f t="shared" ref="L1829:L1835" si="611">C1829/I1829</f>
        <v>#DIV/0!</v>
      </c>
      <c r="M1829" s="267" t="e">
        <f>D1829/I1829</f>
        <v>#DIV/0!</v>
      </c>
      <c r="N1829" s="267" t="e">
        <f t="shared" ref="N1829:N1835" si="612">D1829/C1829</f>
        <v>#DIV/0!</v>
      </c>
      <c r="O1829" s="239" t="e">
        <f t="shared" ref="O1829:O1835" si="613">(F1829*3.6+G1829)*100/H1829</f>
        <v>#DIV/0!</v>
      </c>
      <c r="P1829" s="239" t="e">
        <f t="shared" ref="P1829:P1835" si="614">(F1829*3.6+G1829)*100/H1829</f>
        <v>#DIV/0!</v>
      </c>
      <c r="Q1829" s="267" t="e">
        <f t="shared" ref="Q1829:Q1835" si="615">F1829/(C1829*8760)*1000</f>
        <v>#DIV/0!</v>
      </c>
      <c r="R1829" s="267" t="e">
        <f>G1829/(D1829*8761)*1000/3.6</f>
        <v>#DIV/0!</v>
      </c>
      <c r="S1829" s="268" t="e">
        <f t="shared" ref="S1829:S1835" si="616">G1829/(F1829*3.6)</f>
        <v>#DIV/0!</v>
      </c>
      <c r="U1829" s="214" t="s">
        <v>549</v>
      </c>
      <c r="V1829" s="214">
        <f>G1863/1000</f>
        <v>0.90700000000000003</v>
      </c>
      <c r="Z1829" s="214">
        <f t="shared" ref="Z1829:Z1834" si="617">C1829-B1829</f>
        <v>0</v>
      </c>
      <c r="AA1829" s="214">
        <f t="shared" ref="AA1829:AA1834" si="618">F1829-E1829</f>
        <v>0</v>
      </c>
    </row>
    <row r="1830" spans="1:27">
      <c r="A1830" s="266" t="s">
        <v>263</v>
      </c>
      <c r="B1830" s="204">
        <v>243</v>
      </c>
      <c r="C1830" s="418">
        <v>243</v>
      </c>
      <c r="D1830" s="204">
        <v>2084</v>
      </c>
      <c r="E1830" s="204">
        <v>847</v>
      </c>
      <c r="F1830" s="418">
        <v>847</v>
      </c>
      <c r="G1830" s="206">
        <v>12439</v>
      </c>
      <c r="H1830" s="202">
        <v>18231</v>
      </c>
      <c r="I1830" s="363">
        <v>19</v>
      </c>
      <c r="J1830" s="230"/>
      <c r="K1830" s="245" t="s">
        <v>263</v>
      </c>
      <c r="L1830" s="266">
        <f t="shared" si="611"/>
        <v>12.789473684210526</v>
      </c>
      <c r="M1830" s="267">
        <f>D1830/I1830</f>
        <v>109.68421052631579</v>
      </c>
      <c r="N1830" s="267">
        <f t="shared" si="612"/>
        <v>8.576131687242798</v>
      </c>
      <c r="O1830" s="239">
        <f t="shared" si="613"/>
        <v>84.955295924524165</v>
      </c>
      <c r="P1830" s="239">
        <f t="shared" si="614"/>
        <v>84.955295924524165</v>
      </c>
      <c r="Q1830" s="267">
        <f t="shared" si="615"/>
        <v>0.3978991675592386</v>
      </c>
      <c r="R1830" s="267">
        <f>G1830/(D1830*8761)*1000/3.6</f>
        <v>0.18924811921540358</v>
      </c>
      <c r="S1830" s="268">
        <f t="shared" si="616"/>
        <v>4.0794306703397609</v>
      </c>
      <c r="U1830" s="214" t="s">
        <v>550</v>
      </c>
      <c r="V1830" s="214">
        <f>G1868/1000</f>
        <v>0.28899999999999998</v>
      </c>
      <c r="Z1830" s="214">
        <f t="shared" si="617"/>
        <v>0</v>
      </c>
      <c r="AA1830" s="214">
        <f t="shared" si="618"/>
        <v>0</v>
      </c>
    </row>
    <row r="1831" spans="1:27">
      <c r="A1831" s="266" t="s">
        <v>499</v>
      </c>
      <c r="B1831" s="216">
        <v>69</v>
      </c>
      <c r="C1831" s="419">
        <v>69</v>
      </c>
      <c r="D1831" s="204">
        <v>11</v>
      </c>
      <c r="E1831" s="216">
        <v>416</v>
      </c>
      <c r="F1831" s="419">
        <v>416</v>
      </c>
      <c r="G1831" s="206">
        <v>48</v>
      </c>
      <c r="H1831" s="202">
        <v>1657</v>
      </c>
      <c r="I1831" s="363">
        <v>6</v>
      </c>
      <c r="J1831" s="230"/>
      <c r="K1831" s="245" t="s">
        <v>499</v>
      </c>
      <c r="L1831" s="266">
        <f t="shared" si="611"/>
        <v>11.5</v>
      </c>
      <c r="M1831" s="267">
        <f>D1831/I1831</f>
        <v>1.8333333333333333</v>
      </c>
      <c r="N1831" s="267">
        <f t="shared" si="612"/>
        <v>0.15942028985507245</v>
      </c>
      <c r="O1831" s="239">
        <f t="shared" si="613"/>
        <v>93.277006638503323</v>
      </c>
      <c r="P1831" s="239">
        <f t="shared" si="614"/>
        <v>93.277006638503323</v>
      </c>
      <c r="Q1831" s="267">
        <f t="shared" si="615"/>
        <v>0.68824035470849043</v>
      </c>
      <c r="R1831" s="267">
        <f>G1831/(D1831*8761)*1000/3.6</f>
        <v>0.13835420752439359</v>
      </c>
      <c r="S1831" s="268">
        <f t="shared" si="616"/>
        <v>3.2051282051282048E-2</v>
      </c>
      <c r="U1831" s="214" t="s">
        <v>551</v>
      </c>
      <c r="V1831" s="214">
        <f>G1859/1000</f>
        <v>9.7000000000000003E-2</v>
      </c>
      <c r="Z1831" s="214">
        <f t="shared" si="617"/>
        <v>0</v>
      </c>
      <c r="AA1831" s="214">
        <f t="shared" si="618"/>
        <v>0</v>
      </c>
    </row>
    <row r="1832" spans="1:27">
      <c r="A1832" s="266" t="s">
        <v>265</v>
      </c>
      <c r="B1832" s="216">
        <v>9</v>
      </c>
      <c r="C1832" s="419">
        <v>9</v>
      </c>
      <c r="D1832" s="204">
        <v>29</v>
      </c>
      <c r="E1832" s="216">
        <v>56</v>
      </c>
      <c r="F1832" s="419">
        <v>56</v>
      </c>
      <c r="G1832" s="206">
        <v>1061</v>
      </c>
      <c r="H1832" s="202">
        <v>1413</v>
      </c>
      <c r="I1832" s="363">
        <v>2</v>
      </c>
      <c r="J1832" s="230"/>
      <c r="K1832" s="245" t="s">
        <v>265</v>
      </c>
      <c r="L1832" s="266">
        <f t="shared" si="611"/>
        <v>4.5</v>
      </c>
      <c r="M1832" s="267">
        <f>D1832/I1832</f>
        <v>14.5</v>
      </c>
      <c r="N1832" s="267">
        <f t="shared" si="612"/>
        <v>3.2222222222222223</v>
      </c>
      <c r="O1832" s="239">
        <f t="shared" si="613"/>
        <v>89.355980184005645</v>
      </c>
      <c r="P1832" s="239">
        <f t="shared" si="614"/>
        <v>89.355980184005645</v>
      </c>
      <c r="Q1832" s="267">
        <f t="shared" si="615"/>
        <v>0.71029934043632681</v>
      </c>
      <c r="R1832" s="267">
        <f>G1832/(D1832*8761)*1000/3.6</f>
        <v>1.1600085890928142</v>
      </c>
      <c r="S1832" s="268">
        <f t="shared" si="616"/>
        <v>5.2628968253968251</v>
      </c>
      <c r="U1832" s="214" t="s">
        <v>552</v>
      </c>
      <c r="V1832" s="214">
        <f>(G1856+G1857+G1858+G1860+G1862+G1864+G1865+G1866+G1867+G1869+G1870+G1871+G1872+G1873)/1000</f>
        <v>3.39</v>
      </c>
      <c r="Z1832" s="214">
        <f t="shared" si="617"/>
        <v>0</v>
      </c>
      <c r="AA1832" s="214">
        <f t="shared" si="618"/>
        <v>0</v>
      </c>
    </row>
    <row r="1833" spans="1:27">
      <c r="A1833" s="266" t="s">
        <v>266</v>
      </c>
      <c r="B1833" s="216">
        <v>8</v>
      </c>
      <c r="C1833" s="419">
        <v>8</v>
      </c>
      <c r="D1833" s="204">
        <v>50</v>
      </c>
      <c r="E1833" s="216">
        <v>21</v>
      </c>
      <c r="F1833" s="419">
        <v>21</v>
      </c>
      <c r="G1833" s="206">
        <v>220</v>
      </c>
      <c r="H1833" s="202">
        <v>351</v>
      </c>
      <c r="I1833" s="363">
        <v>22</v>
      </c>
      <c r="J1833" s="230"/>
      <c r="K1833" s="245" t="s">
        <v>266</v>
      </c>
      <c r="L1833" s="266">
        <f t="shared" si="611"/>
        <v>0.36363636363636365</v>
      </c>
      <c r="M1833" s="267">
        <f>D1833/I1833</f>
        <v>2.2727272727272729</v>
      </c>
      <c r="N1833" s="267">
        <f t="shared" si="612"/>
        <v>6.25</v>
      </c>
      <c r="O1833" s="239">
        <f t="shared" si="613"/>
        <v>84.21652421652422</v>
      </c>
      <c r="P1833" s="239">
        <f t="shared" si="614"/>
        <v>84.21652421652422</v>
      </c>
      <c r="Q1833" s="267">
        <f t="shared" si="615"/>
        <v>0.29965753424657537</v>
      </c>
      <c r="R1833" s="267">
        <f>G1833/(D1833*8761)*1000/3.6</f>
        <v>0.13950715925376353</v>
      </c>
      <c r="S1833" s="268">
        <f t="shared" si="616"/>
        <v>2.9100529100529098</v>
      </c>
      <c r="Z1833" s="214">
        <f t="shared" si="617"/>
        <v>0</v>
      </c>
      <c r="AA1833" s="214">
        <f t="shared" si="618"/>
        <v>0</v>
      </c>
    </row>
    <row r="1834" spans="1:27">
      <c r="A1834" s="353" t="s">
        <v>267</v>
      </c>
      <c r="B1834" s="218">
        <v>0</v>
      </c>
      <c r="C1834" s="420">
        <v>0</v>
      </c>
      <c r="D1834" s="210">
        <v>0</v>
      </c>
      <c r="E1834" s="204">
        <v>0</v>
      </c>
      <c r="F1834" s="421">
        <v>0</v>
      </c>
      <c r="G1834" s="400">
        <v>0</v>
      </c>
      <c r="H1834" s="203">
        <v>0</v>
      </c>
      <c r="I1834" s="401">
        <v>0</v>
      </c>
      <c r="J1834" s="230"/>
      <c r="K1834" s="245" t="s">
        <v>267</v>
      </c>
      <c r="L1834" s="266" t="e">
        <f t="shared" si="611"/>
        <v>#DIV/0!</v>
      </c>
      <c r="M1834" s="267"/>
      <c r="N1834" s="267" t="e">
        <f t="shared" si="612"/>
        <v>#DIV/0!</v>
      </c>
      <c r="O1834" s="239" t="e">
        <f t="shared" si="613"/>
        <v>#DIV/0!</v>
      </c>
      <c r="P1834" s="272" t="e">
        <f t="shared" si="614"/>
        <v>#DIV/0!</v>
      </c>
      <c r="Q1834" s="272" t="e">
        <f t="shared" si="615"/>
        <v>#DIV/0!</v>
      </c>
      <c r="R1834" s="274"/>
      <c r="S1834" s="275" t="e">
        <f t="shared" si="616"/>
        <v>#DIV/0!</v>
      </c>
      <c r="U1834" s="214" t="s">
        <v>553</v>
      </c>
      <c r="V1834" s="214">
        <f>H1855/1000</f>
        <v>64.483000000000004</v>
      </c>
      <c r="Z1834" s="214">
        <f t="shared" si="617"/>
        <v>0</v>
      </c>
      <c r="AA1834" s="214">
        <f t="shared" si="618"/>
        <v>0</v>
      </c>
    </row>
    <row r="1835" spans="1:27">
      <c r="A1835" s="276" t="s">
        <v>500</v>
      </c>
      <c r="B1835" s="277">
        <f t="shared" ref="B1835:I1835" si="619">SUM(B1829:B1834)</f>
        <v>329</v>
      </c>
      <c r="C1835" s="277">
        <f t="shared" si="619"/>
        <v>329</v>
      </c>
      <c r="D1835" s="277">
        <f t="shared" si="619"/>
        <v>2174</v>
      </c>
      <c r="E1835" s="277">
        <f t="shared" si="619"/>
        <v>1340</v>
      </c>
      <c r="F1835" s="277">
        <f t="shared" si="619"/>
        <v>1340</v>
      </c>
      <c r="G1835" s="277">
        <f t="shared" si="619"/>
        <v>13768</v>
      </c>
      <c r="H1835" s="277">
        <f t="shared" si="619"/>
        <v>21652</v>
      </c>
      <c r="I1835" s="277">
        <f t="shared" si="619"/>
        <v>49</v>
      </c>
      <c r="J1835" s="244"/>
      <c r="K1835" s="279" t="s">
        <v>169</v>
      </c>
      <c r="L1835" s="280">
        <f t="shared" si="611"/>
        <v>6.7142857142857144</v>
      </c>
      <c r="M1835" s="281">
        <f>D1835/I1835</f>
        <v>44.367346938775512</v>
      </c>
      <c r="N1835" s="281">
        <f t="shared" si="612"/>
        <v>6.6079027355623099</v>
      </c>
      <c r="O1835" s="282">
        <f t="shared" si="613"/>
        <v>85.867356364308151</v>
      </c>
      <c r="P1835" s="282">
        <f t="shared" si="614"/>
        <v>85.867356364308151</v>
      </c>
      <c r="Q1835" s="283">
        <f t="shared" si="615"/>
        <v>0.46494843929994029</v>
      </c>
      <c r="R1835" s="283">
        <f>G1835/(D1835*8761)*1000/3.6</f>
        <v>0.20079603669459484</v>
      </c>
      <c r="S1835" s="284">
        <f t="shared" si="616"/>
        <v>2.8540630182421229</v>
      </c>
      <c r="U1835" s="214" t="s">
        <v>554</v>
      </c>
      <c r="V1835" s="214">
        <f>H1861/1000</f>
        <v>23.943000000000001</v>
      </c>
    </row>
    <row r="1836" spans="1:27">
      <c r="A1836" s="285" t="s">
        <v>501</v>
      </c>
      <c r="B1836" s="228" t="s">
        <v>476</v>
      </c>
      <c r="C1836" s="228"/>
      <c r="D1836" s="286"/>
      <c r="E1836" s="227" t="s">
        <v>477</v>
      </c>
      <c r="F1836" s="228"/>
      <c r="G1836" s="229"/>
      <c r="H1836" s="200" t="s">
        <v>138</v>
      </c>
      <c r="I1836" s="354" t="s">
        <v>478</v>
      </c>
      <c r="J1836" s="244"/>
      <c r="K1836" s="287" t="s">
        <v>501</v>
      </c>
      <c r="L1836" s="288" t="s">
        <v>479</v>
      </c>
      <c r="M1836" s="228"/>
      <c r="N1836" s="286"/>
      <c r="O1836" s="227" t="s">
        <v>480</v>
      </c>
      <c r="P1836" s="228"/>
      <c r="Q1836" s="228"/>
      <c r="R1836" s="229"/>
      <c r="S1836" s="289"/>
      <c r="U1836" s="214" t="s">
        <v>555</v>
      </c>
      <c r="V1836" s="214">
        <f>H1863/1000</f>
        <v>3.4870000000000001</v>
      </c>
    </row>
    <row r="1837" spans="1:27">
      <c r="A1837" s="266"/>
      <c r="B1837" s="240" t="s">
        <v>481</v>
      </c>
      <c r="C1837" s="240"/>
      <c r="D1837" s="241" t="s">
        <v>34</v>
      </c>
      <c r="E1837" s="242" t="s">
        <v>482</v>
      </c>
      <c r="F1837" s="243"/>
      <c r="G1837" s="244" t="s">
        <v>34</v>
      </c>
      <c r="H1837" s="241" t="s">
        <v>170</v>
      </c>
      <c r="I1837" s="349" t="s">
        <v>483</v>
      </c>
      <c r="J1837" s="244"/>
      <c r="K1837" s="245"/>
      <c r="L1837" s="246" t="s">
        <v>484</v>
      </c>
      <c r="M1837" s="247"/>
      <c r="N1837" s="248" t="s">
        <v>485</v>
      </c>
      <c r="O1837" s="248" t="s">
        <v>486</v>
      </c>
      <c r="P1837" s="248" t="s">
        <v>486</v>
      </c>
      <c r="Q1837" s="247" t="s">
        <v>487</v>
      </c>
      <c r="R1837" s="249"/>
      <c r="S1837" s="250" t="s">
        <v>485</v>
      </c>
      <c r="U1837" s="214" t="s">
        <v>556</v>
      </c>
      <c r="V1837" s="214">
        <f>H1868/1000</f>
        <v>13.319000000000001</v>
      </c>
    </row>
    <row r="1838" spans="1:27">
      <c r="A1838" s="350" t="s">
        <v>488</v>
      </c>
      <c r="B1838" s="252" t="s">
        <v>0</v>
      </c>
      <c r="C1838" s="252" t="s">
        <v>489</v>
      </c>
      <c r="D1838" s="252" t="s">
        <v>490</v>
      </c>
      <c r="E1838" s="252" t="s">
        <v>491</v>
      </c>
      <c r="F1838" s="252" t="s">
        <v>489</v>
      </c>
      <c r="G1838" s="230" t="s">
        <v>490</v>
      </c>
      <c r="H1838" s="248"/>
      <c r="I1838" s="349" t="s">
        <v>492</v>
      </c>
      <c r="J1838" s="244"/>
      <c r="K1838" s="253" t="s">
        <v>488</v>
      </c>
      <c r="L1838" s="254" t="s">
        <v>88</v>
      </c>
      <c r="M1838" s="252" t="s">
        <v>34</v>
      </c>
      <c r="N1838" s="252" t="s">
        <v>493</v>
      </c>
      <c r="O1838" s="248" t="s">
        <v>494</v>
      </c>
      <c r="P1838" s="248" t="s">
        <v>495</v>
      </c>
      <c r="Q1838" s="230" t="s">
        <v>88</v>
      </c>
      <c r="R1838" s="248" t="s">
        <v>34</v>
      </c>
      <c r="S1838" s="255" t="s">
        <v>88</v>
      </c>
      <c r="U1838" s="214" t="s">
        <v>557</v>
      </c>
      <c r="V1838" s="214">
        <f>H1859/1000</f>
        <v>14.651999999999999</v>
      </c>
    </row>
    <row r="1839" spans="1:27">
      <c r="A1839" s="266"/>
      <c r="B1839" s="252" t="s">
        <v>496</v>
      </c>
      <c r="C1839" s="252" t="s">
        <v>496</v>
      </c>
      <c r="D1839" s="252" t="s">
        <v>496</v>
      </c>
      <c r="E1839" s="256" t="s">
        <v>473</v>
      </c>
      <c r="F1839" s="256" t="s">
        <v>473</v>
      </c>
      <c r="G1839" s="230" t="s">
        <v>451</v>
      </c>
      <c r="H1839" s="257" t="s">
        <v>497</v>
      </c>
      <c r="I1839" s="351" t="s">
        <v>498</v>
      </c>
      <c r="J1839" s="244"/>
      <c r="K1839" s="245"/>
      <c r="L1839" s="258" t="s">
        <v>496</v>
      </c>
      <c r="M1839" s="256" t="s">
        <v>496</v>
      </c>
      <c r="N1839" s="256"/>
      <c r="O1839" s="257" t="s">
        <v>79</v>
      </c>
      <c r="P1839" s="257" t="s">
        <v>79</v>
      </c>
      <c r="Q1839" s="259"/>
      <c r="R1839" s="257"/>
      <c r="S1839" s="260"/>
      <c r="U1839" s="214" t="s">
        <v>558</v>
      </c>
      <c r="V1839" s="214">
        <f>(H1856+H1857+H1858+H1860+H1862+H1864+H1865+H1866+H1867+H1869+H1870+H1871+H1872+H1873)/1000</f>
        <v>9.0820000000000007</v>
      </c>
    </row>
    <row r="1840" spans="1:27">
      <c r="A1840" s="352" t="s">
        <v>262</v>
      </c>
      <c r="B1840" s="365">
        <v>203</v>
      </c>
      <c r="C1840" s="365">
        <v>203</v>
      </c>
      <c r="D1840" s="365">
        <v>323</v>
      </c>
      <c r="E1840" s="320">
        <v>863</v>
      </c>
      <c r="F1840" s="319">
        <v>1186</v>
      </c>
      <c r="G1840" s="368">
        <v>1825</v>
      </c>
      <c r="H1840" s="369">
        <v>9583</v>
      </c>
      <c r="I1840" s="370">
        <v>3</v>
      </c>
      <c r="J1840" s="244"/>
      <c r="K1840" s="265" t="s">
        <v>262</v>
      </c>
      <c r="L1840" s="266">
        <f t="shared" ref="L1840:L1847" si="620">B1840/I1840</f>
        <v>67.666666666666671</v>
      </c>
      <c r="M1840" s="267">
        <f t="shared" ref="M1840:M1847" si="621">D1840/I1840</f>
        <v>107.66666666666667</v>
      </c>
      <c r="N1840" s="267">
        <f t="shared" ref="N1840:N1847" si="622">D1840/B1840</f>
        <v>1.5911330049261083</v>
      </c>
      <c r="O1840" s="239">
        <f t="shared" ref="O1840:O1847" si="623">(F1840*3.6+G1840)*100/H1840</f>
        <v>63.598038192632785</v>
      </c>
      <c r="P1840" s="267">
        <f t="shared" ref="P1840:P1847" si="624">(E1840*3.6+G1840)*100/H1840</f>
        <v>51.464050923510385</v>
      </c>
      <c r="Q1840" s="267">
        <f t="shared" ref="Q1840:Q1847" si="625">E1840/(B1840*8760)*1000</f>
        <v>0.48530040263625523</v>
      </c>
      <c r="R1840" s="267">
        <f t="shared" ref="R1840:R1847" si="626">G1840/(D1840*8761)*1000/3.6</f>
        <v>0.17914478302710277</v>
      </c>
      <c r="S1840" s="268">
        <f t="shared" ref="S1840:S1847" si="627">G1840/(E1840*3.6)</f>
        <v>0.5874211407235741</v>
      </c>
      <c r="Z1840" s="214">
        <f t="shared" ref="Z1840:Z1847" si="628">C1840-B1840</f>
        <v>0</v>
      </c>
      <c r="AA1840" s="214">
        <f t="shared" ref="AA1840:AA1847" si="629">F1840-E1840</f>
        <v>323</v>
      </c>
    </row>
    <row r="1841" spans="1:27">
      <c r="A1841" s="266" t="s">
        <v>263</v>
      </c>
      <c r="B1841" s="320">
        <v>322</v>
      </c>
      <c r="C1841" s="320">
        <v>322</v>
      </c>
      <c r="D1841" s="320">
        <v>3522</v>
      </c>
      <c r="E1841" s="320">
        <v>1193</v>
      </c>
      <c r="F1841" s="319">
        <v>1743</v>
      </c>
      <c r="G1841" s="321">
        <v>7720</v>
      </c>
      <c r="H1841" s="319">
        <v>47691</v>
      </c>
      <c r="I1841" s="370">
        <v>34</v>
      </c>
      <c r="J1841" s="244"/>
      <c r="K1841" s="245" t="s">
        <v>263</v>
      </c>
      <c r="L1841" s="266">
        <f t="shared" si="620"/>
        <v>9.4705882352941178</v>
      </c>
      <c r="M1841" s="267">
        <f t="shared" si="621"/>
        <v>103.58823529411765</v>
      </c>
      <c r="N1841" s="267">
        <f t="shared" si="622"/>
        <v>10.937888198757763</v>
      </c>
      <c r="O1841" s="239">
        <f t="shared" si="623"/>
        <v>29.344740097712357</v>
      </c>
      <c r="P1841" s="267">
        <f t="shared" si="624"/>
        <v>25.193013356817847</v>
      </c>
      <c r="Q1841" s="267">
        <f t="shared" si="625"/>
        <v>0.42294166028531721</v>
      </c>
      <c r="R1841" s="267">
        <f t="shared" si="626"/>
        <v>6.9497913726643837E-2</v>
      </c>
      <c r="S1841" s="268">
        <f t="shared" si="627"/>
        <v>1.7975225854521746</v>
      </c>
      <c r="U1841" s="239" t="s">
        <v>152</v>
      </c>
      <c r="V1841" s="492">
        <f>B1856/1000</f>
        <v>0</v>
      </c>
      <c r="Z1841" s="214">
        <f t="shared" si="628"/>
        <v>0</v>
      </c>
      <c r="AA1841" s="214">
        <f t="shared" si="629"/>
        <v>550</v>
      </c>
    </row>
    <row r="1842" spans="1:27">
      <c r="A1842" s="266" t="s">
        <v>499</v>
      </c>
      <c r="B1842" s="320">
        <v>214</v>
      </c>
      <c r="C1842" s="320">
        <v>2853</v>
      </c>
      <c r="D1842" s="320">
        <v>1014</v>
      </c>
      <c r="E1842" s="320">
        <v>2133</v>
      </c>
      <c r="F1842" s="319">
        <v>19086</v>
      </c>
      <c r="G1842" s="321">
        <v>3206</v>
      </c>
      <c r="H1842" s="319">
        <v>211805</v>
      </c>
      <c r="I1842" s="370">
        <v>24</v>
      </c>
      <c r="J1842" s="244"/>
      <c r="K1842" s="245" t="s">
        <v>499</v>
      </c>
      <c r="L1842" s="266">
        <f t="shared" si="620"/>
        <v>8.9166666666666661</v>
      </c>
      <c r="M1842" s="267">
        <f t="shared" si="621"/>
        <v>42.25</v>
      </c>
      <c r="N1842" s="267">
        <f t="shared" si="622"/>
        <v>4.7383177570093462</v>
      </c>
      <c r="O1842" s="239">
        <f t="shared" si="623"/>
        <v>33.953683812941151</v>
      </c>
      <c r="P1842" s="267">
        <f t="shared" si="624"/>
        <v>5.139066594273034</v>
      </c>
      <c r="Q1842" s="267">
        <f t="shared" si="625"/>
        <v>1.1378184611445397</v>
      </c>
      <c r="R1842" s="267">
        <f t="shared" si="626"/>
        <v>0.10024653769221037</v>
      </c>
      <c r="S1842" s="268">
        <f t="shared" si="627"/>
        <v>0.41751315309683806</v>
      </c>
      <c r="U1842" s="239" t="s">
        <v>504</v>
      </c>
      <c r="V1842" s="492">
        <f t="shared" ref="V1842:V1858" si="630">B1857/1000</f>
        <v>0</v>
      </c>
      <c r="Z1842" s="214">
        <f t="shared" si="628"/>
        <v>2639</v>
      </c>
      <c r="AA1842" s="214">
        <f t="shared" si="629"/>
        <v>16953</v>
      </c>
    </row>
    <row r="1843" spans="1:27">
      <c r="A1843" s="266" t="s">
        <v>265</v>
      </c>
      <c r="B1843" s="320">
        <v>16</v>
      </c>
      <c r="C1843" s="320">
        <v>16</v>
      </c>
      <c r="D1843" s="320">
        <v>61</v>
      </c>
      <c r="E1843" s="320">
        <v>38</v>
      </c>
      <c r="F1843" s="319">
        <v>38</v>
      </c>
      <c r="G1843" s="321">
        <v>99</v>
      </c>
      <c r="H1843" s="319">
        <v>1048</v>
      </c>
      <c r="I1843" s="370">
        <v>3</v>
      </c>
      <c r="J1843" s="244"/>
      <c r="K1843" s="245" t="s">
        <v>265</v>
      </c>
      <c r="L1843" s="266">
        <f t="shared" si="620"/>
        <v>5.333333333333333</v>
      </c>
      <c r="M1843" s="267">
        <f t="shared" si="621"/>
        <v>20.333333333333332</v>
      </c>
      <c r="N1843" s="267">
        <f t="shared" si="622"/>
        <v>3.8125</v>
      </c>
      <c r="O1843" s="239">
        <f t="shared" si="623"/>
        <v>22.5</v>
      </c>
      <c r="P1843" s="267">
        <f t="shared" si="624"/>
        <v>22.5</v>
      </c>
      <c r="Q1843" s="267">
        <f t="shared" si="625"/>
        <v>0.27111872146118721</v>
      </c>
      <c r="R1843" s="267">
        <f t="shared" si="626"/>
        <v>5.145755874114228E-2</v>
      </c>
      <c r="S1843" s="268">
        <f t="shared" si="627"/>
        <v>0.72368421052631571</v>
      </c>
      <c r="U1843" s="239" t="s">
        <v>505</v>
      </c>
      <c r="V1843" s="492">
        <f t="shared" si="630"/>
        <v>0</v>
      </c>
      <c r="Z1843" s="214">
        <f t="shared" si="628"/>
        <v>0</v>
      </c>
      <c r="AA1843" s="214">
        <f t="shared" si="629"/>
        <v>0</v>
      </c>
    </row>
    <row r="1844" spans="1:27">
      <c r="A1844" s="266" t="s">
        <v>266</v>
      </c>
      <c r="B1844" s="320">
        <v>2</v>
      </c>
      <c r="C1844" s="320">
        <v>2</v>
      </c>
      <c r="D1844" s="320">
        <v>2</v>
      </c>
      <c r="E1844" s="320">
        <v>8</v>
      </c>
      <c r="F1844" s="319">
        <v>8</v>
      </c>
      <c r="G1844" s="321">
        <v>37</v>
      </c>
      <c r="H1844" s="319">
        <v>111</v>
      </c>
      <c r="I1844" s="370">
        <v>11</v>
      </c>
      <c r="J1844" s="244"/>
      <c r="K1844" s="245" t="s">
        <v>266</v>
      </c>
      <c r="L1844" s="266">
        <f t="shared" si="620"/>
        <v>0.18181818181818182</v>
      </c>
      <c r="M1844" s="267">
        <f t="shared" si="621"/>
        <v>0.18181818181818182</v>
      </c>
      <c r="N1844" s="267">
        <f t="shared" si="622"/>
        <v>1</v>
      </c>
      <c r="O1844" s="239">
        <f t="shared" si="623"/>
        <v>59.27927927927928</v>
      </c>
      <c r="P1844" s="267">
        <f t="shared" si="624"/>
        <v>59.27927927927928</v>
      </c>
      <c r="Q1844" s="267">
        <f t="shared" si="625"/>
        <v>0.45662100456621002</v>
      </c>
      <c r="R1844" s="267">
        <f t="shared" si="626"/>
        <v>0.58656419231696011</v>
      </c>
      <c r="S1844" s="268">
        <f t="shared" si="627"/>
        <v>1.2847222222222221</v>
      </c>
      <c r="U1844" s="239" t="s">
        <v>506</v>
      </c>
      <c r="V1844" s="492">
        <f t="shared" si="630"/>
        <v>0.114</v>
      </c>
      <c r="Z1844" s="214">
        <f t="shared" si="628"/>
        <v>0</v>
      </c>
      <c r="AA1844" s="214">
        <f t="shared" si="629"/>
        <v>0</v>
      </c>
    </row>
    <row r="1845" spans="1:27">
      <c r="A1845" s="353" t="s">
        <v>267</v>
      </c>
      <c r="B1845" s="262">
        <v>18</v>
      </c>
      <c r="C1845" s="262">
        <v>18</v>
      </c>
      <c r="D1845" s="262">
        <v>1444</v>
      </c>
      <c r="E1845" s="262">
        <v>84</v>
      </c>
      <c r="F1845" s="262">
        <v>84</v>
      </c>
      <c r="G1845" s="262">
        <v>2904</v>
      </c>
      <c r="H1845" s="262">
        <v>27999</v>
      </c>
      <c r="I1845" s="355">
        <v>2</v>
      </c>
      <c r="J1845" s="244"/>
      <c r="K1845" s="245" t="s">
        <v>267</v>
      </c>
      <c r="L1845" s="266">
        <f t="shared" si="620"/>
        <v>9</v>
      </c>
      <c r="M1845" s="267">
        <f t="shared" si="621"/>
        <v>722</v>
      </c>
      <c r="N1845" s="267">
        <f t="shared" si="622"/>
        <v>80.222222222222229</v>
      </c>
      <c r="O1845" s="239">
        <f t="shared" si="623"/>
        <v>11.451837565627343</v>
      </c>
      <c r="P1845" s="267">
        <f t="shared" si="624"/>
        <v>11.451837565627343</v>
      </c>
      <c r="Q1845" s="272">
        <f t="shared" si="625"/>
        <v>0.53272450532724502</v>
      </c>
      <c r="R1845" s="274">
        <f t="shared" si="626"/>
        <v>6.3763660046734019E-2</v>
      </c>
      <c r="S1845" s="275">
        <f t="shared" si="627"/>
        <v>9.6031746031746028</v>
      </c>
      <c r="U1845" s="239" t="s">
        <v>507</v>
      </c>
      <c r="V1845" s="492">
        <f t="shared" si="630"/>
        <v>0</v>
      </c>
      <c r="Z1845" s="214">
        <f t="shared" si="628"/>
        <v>0</v>
      </c>
      <c r="AA1845" s="214">
        <f t="shared" si="629"/>
        <v>0</v>
      </c>
    </row>
    <row r="1846" spans="1:27">
      <c r="A1846" s="276" t="s">
        <v>500</v>
      </c>
      <c r="B1846" s="291">
        <f t="shared" ref="B1846:I1846" si="631">SUM(B1840:B1845)</f>
        <v>775</v>
      </c>
      <c r="C1846" s="291">
        <f t="shared" si="631"/>
        <v>3414</v>
      </c>
      <c r="D1846" s="291">
        <f t="shared" si="631"/>
        <v>6366</v>
      </c>
      <c r="E1846" s="291">
        <f t="shared" si="631"/>
        <v>4319</v>
      </c>
      <c r="F1846" s="291">
        <f t="shared" si="631"/>
        <v>22145</v>
      </c>
      <c r="G1846" s="291">
        <f t="shared" si="631"/>
        <v>15791</v>
      </c>
      <c r="H1846" s="291">
        <f t="shared" si="631"/>
        <v>298237</v>
      </c>
      <c r="I1846" s="291">
        <f t="shared" si="631"/>
        <v>77</v>
      </c>
      <c r="J1846" s="244"/>
      <c r="K1846" s="279" t="s">
        <v>169</v>
      </c>
      <c r="L1846" s="280">
        <f t="shared" si="620"/>
        <v>10.064935064935066</v>
      </c>
      <c r="M1846" s="281">
        <f t="shared" si="621"/>
        <v>82.675324675324674</v>
      </c>
      <c r="N1846" s="281">
        <f t="shared" si="622"/>
        <v>8.2141935483870974</v>
      </c>
      <c r="O1846" s="294">
        <f t="shared" si="623"/>
        <v>32.02587204136308</v>
      </c>
      <c r="P1846" s="295">
        <f t="shared" si="624"/>
        <v>10.50821997270627</v>
      </c>
      <c r="Q1846" s="283">
        <f t="shared" si="625"/>
        <v>0.63617616732950355</v>
      </c>
      <c r="R1846" s="283">
        <f t="shared" si="626"/>
        <v>7.8647843364471046E-2</v>
      </c>
      <c r="S1846" s="284">
        <f t="shared" si="627"/>
        <v>1.0156028916158577</v>
      </c>
      <c r="U1846" s="239" t="s">
        <v>156</v>
      </c>
      <c r="V1846" s="492">
        <f t="shared" si="630"/>
        <v>0.13500000000000001</v>
      </c>
      <c r="Z1846" s="214">
        <f t="shared" si="628"/>
        <v>2639</v>
      </c>
      <c r="AA1846" s="214">
        <f t="shared" si="629"/>
        <v>17826</v>
      </c>
    </row>
    <row r="1847" spans="1:27" ht="13.5" thickBot="1">
      <c r="A1847" s="296" t="s">
        <v>502</v>
      </c>
      <c r="B1847" s="297">
        <f t="shared" ref="B1847:I1847" si="632">B1835+B1846</f>
        <v>1104</v>
      </c>
      <c r="C1847" s="481">
        <f t="shared" si="632"/>
        <v>3743</v>
      </c>
      <c r="D1847" s="481">
        <f t="shared" si="632"/>
        <v>8540</v>
      </c>
      <c r="E1847" s="481">
        <f t="shared" si="632"/>
        <v>5659</v>
      </c>
      <c r="F1847" s="481">
        <f t="shared" si="632"/>
        <v>23485</v>
      </c>
      <c r="G1847" s="481">
        <f t="shared" si="632"/>
        <v>29559</v>
      </c>
      <c r="H1847" s="297">
        <f t="shared" si="632"/>
        <v>319889</v>
      </c>
      <c r="I1847" s="297">
        <f t="shared" si="632"/>
        <v>126</v>
      </c>
      <c r="J1847" s="244"/>
      <c r="K1847" s="296" t="s">
        <v>502</v>
      </c>
      <c r="L1847" s="299">
        <f t="shared" si="620"/>
        <v>8.7619047619047628</v>
      </c>
      <c r="M1847" s="300">
        <f t="shared" si="621"/>
        <v>67.777777777777771</v>
      </c>
      <c r="N1847" s="300">
        <f t="shared" si="622"/>
        <v>7.7355072463768115</v>
      </c>
      <c r="O1847" s="301">
        <f t="shared" si="623"/>
        <v>35.670185595628482</v>
      </c>
      <c r="P1847" s="301">
        <f t="shared" si="624"/>
        <v>15.608976863849648</v>
      </c>
      <c r="Q1847" s="301">
        <f t="shared" si="625"/>
        <v>0.58514906359605579</v>
      </c>
      <c r="R1847" s="301">
        <f t="shared" si="626"/>
        <v>0.1097427113152543</v>
      </c>
      <c r="S1847" s="302">
        <f t="shared" si="627"/>
        <v>1.4509336160687989</v>
      </c>
      <c r="U1847" s="239" t="s">
        <v>508</v>
      </c>
      <c r="V1847" s="492">
        <f t="shared" si="630"/>
        <v>2.5000000000000001E-2</v>
      </c>
      <c r="Z1847" s="214">
        <f t="shared" si="628"/>
        <v>2639</v>
      </c>
      <c r="AA1847" s="214">
        <f t="shared" si="629"/>
        <v>17826</v>
      </c>
    </row>
    <row r="1848" spans="1:27">
      <c r="U1848" s="239" t="s">
        <v>509</v>
      </c>
      <c r="V1848" s="492">
        <f t="shared" si="630"/>
        <v>5.5E-2</v>
      </c>
    </row>
    <row r="1849" spans="1:27">
      <c r="A1849" s="251" t="s">
        <v>139</v>
      </c>
      <c r="B1849" s="227" t="s">
        <v>476</v>
      </c>
      <c r="C1849" s="228"/>
      <c r="D1849" s="286"/>
      <c r="E1849" s="227" t="s">
        <v>477</v>
      </c>
      <c r="F1849" s="228"/>
      <c r="G1849" s="229"/>
      <c r="H1849" s="200" t="s">
        <v>138</v>
      </c>
      <c r="I1849" s="200" t="s">
        <v>478</v>
      </c>
      <c r="J1849" s="230"/>
      <c r="K1849" s="303" t="s">
        <v>503</v>
      </c>
      <c r="L1849" s="227" t="s">
        <v>479</v>
      </c>
      <c r="M1849" s="228"/>
      <c r="N1849" s="286"/>
      <c r="O1849" s="227" t="s">
        <v>480</v>
      </c>
      <c r="P1849" s="228"/>
      <c r="Q1849" s="228"/>
      <c r="R1849" s="229"/>
      <c r="S1849" s="286"/>
      <c r="U1849" s="239" t="s">
        <v>510</v>
      </c>
      <c r="V1849" s="492">
        <f t="shared" si="630"/>
        <v>0</v>
      </c>
    </row>
    <row r="1850" spans="1:27">
      <c r="A1850" s="239"/>
      <c r="B1850" s="240" t="s">
        <v>9</v>
      </c>
      <c r="C1850" s="240"/>
      <c r="D1850" s="241" t="s">
        <v>34</v>
      </c>
      <c r="E1850" s="242" t="s">
        <v>88</v>
      </c>
      <c r="F1850" s="243"/>
      <c r="G1850" s="244" t="s">
        <v>34</v>
      </c>
      <c r="H1850" s="241" t="s">
        <v>170</v>
      </c>
      <c r="I1850" s="241" t="s">
        <v>483</v>
      </c>
      <c r="J1850" s="230"/>
      <c r="K1850" s="305"/>
      <c r="L1850" s="306" t="s">
        <v>484</v>
      </c>
      <c r="M1850" s="247"/>
      <c r="N1850" s="248" t="s">
        <v>485</v>
      </c>
      <c r="O1850" s="248" t="s">
        <v>486</v>
      </c>
      <c r="P1850" s="248" t="s">
        <v>486</v>
      </c>
      <c r="Q1850" s="247" t="s">
        <v>487</v>
      </c>
      <c r="R1850" s="249"/>
      <c r="S1850" s="307" t="s">
        <v>485</v>
      </c>
      <c r="U1850" s="239" t="s">
        <v>511</v>
      </c>
      <c r="V1850" s="492">
        <f t="shared" si="630"/>
        <v>0</v>
      </c>
    </row>
    <row r="1851" spans="1:27">
      <c r="A1851" s="239"/>
      <c r="B1851" s="252" t="s">
        <v>0</v>
      </c>
      <c r="C1851" s="252" t="s">
        <v>489</v>
      </c>
      <c r="D1851" s="252" t="s">
        <v>490</v>
      </c>
      <c r="E1851" s="252" t="s">
        <v>491</v>
      </c>
      <c r="F1851" s="252" t="s">
        <v>489</v>
      </c>
      <c r="G1851" s="230" t="s">
        <v>490</v>
      </c>
      <c r="H1851" s="248"/>
      <c r="I1851" s="241" t="s">
        <v>492</v>
      </c>
      <c r="J1851" s="230"/>
      <c r="K1851" s="305"/>
      <c r="L1851" s="248" t="s">
        <v>88</v>
      </c>
      <c r="M1851" s="252" t="s">
        <v>34</v>
      </c>
      <c r="N1851" s="252" t="s">
        <v>493</v>
      </c>
      <c r="O1851" s="248" t="s">
        <v>494</v>
      </c>
      <c r="P1851" s="248" t="s">
        <v>495</v>
      </c>
      <c r="Q1851" s="230" t="s">
        <v>88</v>
      </c>
      <c r="R1851" s="248" t="s">
        <v>34</v>
      </c>
      <c r="S1851" s="252" t="s">
        <v>88</v>
      </c>
      <c r="U1851" s="239" t="s">
        <v>512</v>
      </c>
      <c r="V1851" s="492">
        <f t="shared" si="630"/>
        <v>3.2000000000000001E-2</v>
      </c>
    </row>
    <row r="1852" spans="1:27">
      <c r="A1852" s="239"/>
      <c r="B1852" s="257" t="s">
        <v>496</v>
      </c>
      <c r="C1852" s="256" t="s">
        <v>496</v>
      </c>
      <c r="D1852" s="256" t="s">
        <v>496</v>
      </c>
      <c r="E1852" s="256" t="s">
        <v>473</v>
      </c>
      <c r="F1852" s="257" t="s">
        <v>473</v>
      </c>
      <c r="G1852" s="259" t="s">
        <v>451</v>
      </c>
      <c r="H1852" s="257" t="s">
        <v>497</v>
      </c>
      <c r="I1852" s="257" t="s">
        <v>498</v>
      </c>
      <c r="J1852" s="230"/>
      <c r="K1852" s="305"/>
      <c r="L1852" s="257" t="s">
        <v>496</v>
      </c>
      <c r="M1852" s="256" t="s">
        <v>496</v>
      </c>
      <c r="N1852" s="256"/>
      <c r="O1852" s="257" t="s">
        <v>79</v>
      </c>
      <c r="P1852" s="257" t="s">
        <v>79</v>
      </c>
      <c r="Q1852" s="259"/>
      <c r="R1852" s="257"/>
      <c r="S1852" s="256"/>
      <c r="U1852" s="239" t="s">
        <v>513</v>
      </c>
      <c r="V1852" s="492">
        <f t="shared" si="630"/>
        <v>7.0000000000000001E-3</v>
      </c>
    </row>
    <row r="1853" spans="1:27">
      <c r="A1853" s="251" t="s">
        <v>150</v>
      </c>
      <c r="B1853" s="356">
        <v>646</v>
      </c>
      <c r="C1853" s="357">
        <v>3286</v>
      </c>
      <c r="D1853" s="358">
        <v>4882</v>
      </c>
      <c r="E1853" s="356">
        <v>3302</v>
      </c>
      <c r="F1853" s="217">
        <v>21124</v>
      </c>
      <c r="G1853" s="219">
        <v>24555</v>
      </c>
      <c r="H1853" s="359">
        <v>255406</v>
      </c>
      <c r="I1853" s="205">
        <v>68</v>
      </c>
      <c r="J1853" s="244"/>
      <c r="K1853" s="303" t="s">
        <v>150</v>
      </c>
      <c r="L1853" s="312">
        <f>B1853/I1853</f>
        <v>9.5</v>
      </c>
      <c r="M1853" s="313">
        <f>D1853/I1853</f>
        <v>71.794117647058826</v>
      </c>
      <c r="N1853" s="313">
        <f>D1853/B1853</f>
        <v>7.5572755417956659</v>
      </c>
      <c r="O1853" s="312">
        <f>(F1853*3.6+G1853)*100/H1853</f>
        <v>39.388816237676487</v>
      </c>
      <c r="P1853" s="313">
        <f>(E1853*3.6+G1853)*100/H1853</f>
        <v>14.268341385871905</v>
      </c>
      <c r="Q1853" s="313">
        <f>E1853/(B1853*8760)*1000</f>
        <v>0.58349944159350831</v>
      </c>
      <c r="R1853" s="313">
        <f>G1853/(D1853*8761)*1000/3.6</f>
        <v>0.15947256598805273</v>
      </c>
      <c r="S1853" s="313">
        <f>G1853/(E1853*3.6)</f>
        <v>2.0656672723601854</v>
      </c>
      <c r="U1853" s="239" t="s">
        <v>514</v>
      </c>
      <c r="V1853" s="492">
        <f t="shared" si="630"/>
        <v>5.6000000000000001E-2</v>
      </c>
      <c r="Z1853" s="214">
        <f>C1853-B1853</f>
        <v>2640</v>
      </c>
      <c r="AA1853" s="214">
        <f>F1853-E1853</f>
        <v>17822</v>
      </c>
    </row>
    <row r="1854" spans="1:27">
      <c r="A1854" s="239"/>
      <c r="B1854" s="252"/>
      <c r="C1854" s="252"/>
      <c r="D1854" s="252"/>
      <c r="E1854" s="267"/>
      <c r="F1854" s="267"/>
      <c r="G1854" s="248"/>
      <c r="H1854" s="252"/>
      <c r="I1854" s="248"/>
      <c r="J1854" s="230"/>
      <c r="K1854" s="239"/>
      <c r="L1854" s="312"/>
      <c r="M1854" s="267"/>
      <c r="N1854" s="267"/>
      <c r="O1854" s="239"/>
      <c r="P1854" s="313"/>
      <c r="Q1854" s="267"/>
      <c r="R1854" s="267"/>
      <c r="S1854" s="239"/>
      <c r="U1854" s="239" t="s">
        <v>515</v>
      </c>
      <c r="V1854" s="492">
        <f t="shared" si="630"/>
        <v>0.02</v>
      </c>
      <c r="Z1854" s="214">
        <f t="shared" ref="Z1854:Z1874" si="633">C1854-B1854</f>
        <v>0</v>
      </c>
      <c r="AA1854" s="214">
        <f t="shared" ref="AA1854:AA1874" si="634">F1854-E1854</f>
        <v>0</v>
      </c>
    </row>
    <row r="1855" spans="1:27">
      <c r="A1855" s="312" t="s">
        <v>7</v>
      </c>
      <c r="B1855" s="205">
        <f>SUM(B1856:B1873)</f>
        <v>458</v>
      </c>
      <c r="C1855" s="205">
        <f t="shared" ref="C1855:I1855" si="635">SUM(C1856:C1873)</f>
        <v>458</v>
      </c>
      <c r="D1855" s="205">
        <f t="shared" si="635"/>
        <v>3658</v>
      </c>
      <c r="E1855" s="205">
        <f t="shared" si="635"/>
        <v>2357</v>
      </c>
      <c r="F1855" s="205">
        <f t="shared" si="635"/>
        <v>2362</v>
      </c>
      <c r="G1855" s="205">
        <f t="shared" si="635"/>
        <v>5004</v>
      </c>
      <c r="H1855" s="205">
        <f t="shared" si="635"/>
        <v>64483</v>
      </c>
      <c r="I1855" s="205">
        <f t="shared" si="635"/>
        <v>58</v>
      </c>
      <c r="J1855" s="244"/>
      <c r="K1855" s="318" t="s">
        <v>7</v>
      </c>
      <c r="L1855" s="312">
        <f>B1855/I1855</f>
        <v>7.8965517241379306</v>
      </c>
      <c r="M1855" s="313">
        <f>D1855/I1855</f>
        <v>63.068965517241381</v>
      </c>
      <c r="N1855" s="313">
        <f>D1855/B1855</f>
        <v>7.9868995633187776</v>
      </c>
      <c r="O1855" s="312">
        <f t="shared" ref="O1855:O1872" si="636">(F1855*3.6+G1855)*100/H1855</f>
        <v>20.946916241490005</v>
      </c>
      <c r="P1855" s="313">
        <f>(E1855*3.6+G1855)*100/H1855</f>
        <v>20.91900190747949</v>
      </c>
      <c r="Q1855" s="313">
        <f>E1855/(B1855*8760)*1000</f>
        <v>0.58747582301449619</v>
      </c>
      <c r="R1855" s="313">
        <f>G1855/(D1855*8761)*1000/3.6</f>
        <v>4.3372795920885283E-2</v>
      </c>
      <c r="S1855" s="313">
        <f>G1855/(E1855*3.6)</f>
        <v>0.58973271107339831</v>
      </c>
      <c r="U1855" s="239" t="s">
        <v>516</v>
      </c>
      <c r="V1855" s="492">
        <f t="shared" si="630"/>
        <v>7.0000000000000001E-3</v>
      </c>
      <c r="Z1855" s="214">
        <f t="shared" si="633"/>
        <v>0</v>
      </c>
      <c r="AA1855" s="214">
        <f t="shared" si="634"/>
        <v>5</v>
      </c>
    </row>
    <row r="1856" spans="1:27">
      <c r="A1856" s="239" t="s">
        <v>152</v>
      </c>
      <c r="B1856" s="204">
        <v>0</v>
      </c>
      <c r="C1856" s="204">
        <v>0</v>
      </c>
      <c r="D1856" s="204">
        <v>0</v>
      </c>
      <c r="E1856" s="204">
        <v>0</v>
      </c>
      <c r="F1856" s="204">
        <v>0</v>
      </c>
      <c r="G1856" s="204">
        <v>0</v>
      </c>
      <c r="H1856" s="204">
        <v>0</v>
      </c>
      <c r="I1856" s="204">
        <v>0</v>
      </c>
      <c r="J1856" s="230"/>
      <c r="K1856" s="305" t="s">
        <v>152</v>
      </c>
      <c r="L1856" s="239" t="e">
        <f t="shared" ref="L1856:L1872" si="637">B1856/I1856</f>
        <v>#DIV/0!</v>
      </c>
      <c r="M1856" s="267" t="e">
        <f t="shared" ref="M1856:M1872" si="638">D1856/I1856</f>
        <v>#DIV/0!</v>
      </c>
      <c r="N1856" s="267" t="e">
        <f t="shared" ref="N1856:N1872" si="639">D1856/B1856</f>
        <v>#DIV/0!</v>
      </c>
      <c r="O1856" s="239" t="e">
        <f t="shared" si="636"/>
        <v>#DIV/0!</v>
      </c>
      <c r="P1856" s="267" t="e">
        <f t="shared" ref="P1856:P1872" si="640">(E1856*3.6+G1856)*100/H1856</f>
        <v>#DIV/0!</v>
      </c>
      <c r="Q1856" s="267" t="e">
        <f t="shared" ref="Q1856:Q1872" si="641">E1856/(B1856*8760)*1000</f>
        <v>#DIV/0!</v>
      </c>
      <c r="R1856" s="267" t="e">
        <f t="shared" ref="R1856:R1872" si="642">G1856/(D1856*8761)*1000/3.6</f>
        <v>#DIV/0!</v>
      </c>
      <c r="S1856" s="267" t="e">
        <f t="shared" ref="S1856:S1872" si="643">G1856/(E1856*3.6)</f>
        <v>#DIV/0!</v>
      </c>
      <c r="U1856" s="239" t="s">
        <v>517</v>
      </c>
      <c r="V1856" s="492">
        <f t="shared" si="630"/>
        <v>0</v>
      </c>
      <c r="Z1856" s="214">
        <f t="shared" si="633"/>
        <v>0</v>
      </c>
      <c r="AA1856" s="214">
        <f t="shared" si="634"/>
        <v>0</v>
      </c>
    </row>
    <row r="1857" spans="1:27">
      <c r="A1857" s="239" t="s">
        <v>504</v>
      </c>
      <c r="B1857" s="204">
        <v>0</v>
      </c>
      <c r="C1857" s="204">
        <v>0</v>
      </c>
      <c r="D1857" s="204">
        <v>0</v>
      </c>
      <c r="E1857" s="267">
        <v>0</v>
      </c>
      <c r="F1857" s="267">
        <v>0</v>
      </c>
      <c r="G1857" s="206">
        <v>0</v>
      </c>
      <c r="H1857" s="202">
        <v>0</v>
      </c>
      <c r="I1857" s="202">
        <v>0</v>
      </c>
      <c r="J1857" s="230"/>
      <c r="K1857" s="305" t="s">
        <v>504</v>
      </c>
      <c r="L1857" s="239" t="e">
        <f t="shared" si="637"/>
        <v>#DIV/0!</v>
      </c>
      <c r="M1857" s="267" t="e">
        <f t="shared" si="638"/>
        <v>#DIV/0!</v>
      </c>
      <c r="N1857" s="267" t="e">
        <f t="shared" si="639"/>
        <v>#DIV/0!</v>
      </c>
      <c r="O1857" s="239" t="e">
        <f t="shared" si="636"/>
        <v>#DIV/0!</v>
      </c>
      <c r="P1857" s="267" t="e">
        <f t="shared" si="640"/>
        <v>#DIV/0!</v>
      </c>
      <c r="Q1857" s="267" t="e">
        <f t="shared" si="641"/>
        <v>#DIV/0!</v>
      </c>
      <c r="R1857" s="267" t="e">
        <f t="shared" si="642"/>
        <v>#DIV/0!</v>
      </c>
      <c r="S1857" s="267" t="e">
        <f t="shared" si="643"/>
        <v>#DIV/0!</v>
      </c>
      <c r="U1857" s="239" t="s">
        <v>518</v>
      </c>
      <c r="V1857" s="492">
        <f t="shared" si="630"/>
        <v>7.0000000000000001E-3</v>
      </c>
      <c r="Z1857" s="214">
        <f t="shared" si="633"/>
        <v>0</v>
      </c>
      <c r="AA1857" s="214">
        <f t="shared" si="634"/>
        <v>0</v>
      </c>
    </row>
    <row r="1858" spans="1:27">
      <c r="A1858" s="239" t="s">
        <v>505</v>
      </c>
      <c r="B1858" s="204">
        <v>0</v>
      </c>
      <c r="C1858" s="204">
        <v>0</v>
      </c>
      <c r="D1858" s="204">
        <v>0</v>
      </c>
      <c r="E1858" s="267">
        <v>0</v>
      </c>
      <c r="F1858" s="267">
        <v>0</v>
      </c>
      <c r="G1858" s="206">
        <v>0</v>
      </c>
      <c r="H1858" s="202">
        <v>0</v>
      </c>
      <c r="I1858" s="202">
        <v>0</v>
      </c>
      <c r="J1858" s="230"/>
      <c r="K1858" s="305" t="s">
        <v>505</v>
      </c>
      <c r="L1858" s="239" t="e">
        <f t="shared" si="637"/>
        <v>#DIV/0!</v>
      </c>
      <c r="M1858" s="267" t="e">
        <f t="shared" si="638"/>
        <v>#DIV/0!</v>
      </c>
      <c r="N1858" s="267" t="e">
        <f t="shared" si="639"/>
        <v>#DIV/0!</v>
      </c>
      <c r="O1858" s="239" t="e">
        <f t="shared" si="636"/>
        <v>#DIV/0!</v>
      </c>
      <c r="P1858" s="267" t="e">
        <f t="shared" si="640"/>
        <v>#DIV/0!</v>
      </c>
      <c r="Q1858" s="267" t="e">
        <f t="shared" si="641"/>
        <v>#DIV/0!</v>
      </c>
      <c r="R1858" s="267" t="e">
        <f t="shared" si="642"/>
        <v>#DIV/0!</v>
      </c>
      <c r="S1858" s="267" t="e">
        <f t="shared" si="643"/>
        <v>#DIV/0!</v>
      </c>
      <c r="U1858" s="239" t="s">
        <v>519</v>
      </c>
      <c r="V1858" s="492">
        <f t="shared" si="630"/>
        <v>0</v>
      </c>
      <c r="Z1858" s="214">
        <f t="shared" si="633"/>
        <v>0</v>
      </c>
      <c r="AA1858" s="214">
        <f t="shared" si="634"/>
        <v>0</v>
      </c>
    </row>
    <row r="1859" spans="1:27">
      <c r="A1859" s="239" t="s">
        <v>506</v>
      </c>
      <c r="B1859" s="204">
        <v>114</v>
      </c>
      <c r="C1859" s="204">
        <v>114</v>
      </c>
      <c r="D1859" s="204">
        <v>535</v>
      </c>
      <c r="E1859" s="267">
        <v>686</v>
      </c>
      <c r="F1859" s="267">
        <v>686</v>
      </c>
      <c r="G1859" s="206">
        <v>97</v>
      </c>
      <c r="H1859" s="202">
        <v>14652</v>
      </c>
      <c r="I1859" s="202">
        <v>4</v>
      </c>
      <c r="J1859" s="230"/>
      <c r="K1859" s="305" t="s">
        <v>506</v>
      </c>
      <c r="L1859" s="239">
        <f t="shared" si="637"/>
        <v>28.5</v>
      </c>
      <c r="M1859" s="267">
        <f t="shared" si="638"/>
        <v>133.75</v>
      </c>
      <c r="N1859" s="267">
        <f t="shared" si="639"/>
        <v>4.692982456140351</v>
      </c>
      <c r="O1859" s="239">
        <f t="shared" si="636"/>
        <v>17.517062517062516</v>
      </c>
      <c r="P1859" s="267">
        <f t="shared" si="640"/>
        <v>17.517062517062516</v>
      </c>
      <c r="Q1859" s="267">
        <f t="shared" si="641"/>
        <v>0.68693423055355285</v>
      </c>
      <c r="R1859" s="267">
        <f t="shared" si="642"/>
        <v>5.7485957721389383E-3</v>
      </c>
      <c r="S1859" s="267">
        <f t="shared" si="643"/>
        <v>3.9277615808228056E-2</v>
      </c>
      <c r="Z1859" s="214">
        <f t="shared" si="633"/>
        <v>0</v>
      </c>
      <c r="AA1859" s="214">
        <f t="shared" si="634"/>
        <v>0</v>
      </c>
    </row>
    <row r="1860" spans="1:27">
      <c r="A1860" s="239" t="s">
        <v>507</v>
      </c>
      <c r="B1860" s="204">
        <v>0</v>
      </c>
      <c r="C1860" s="204">
        <v>0</v>
      </c>
      <c r="D1860" s="204">
        <v>0</v>
      </c>
      <c r="E1860" s="267">
        <v>0</v>
      </c>
      <c r="F1860" s="267">
        <v>0</v>
      </c>
      <c r="G1860" s="206">
        <v>0</v>
      </c>
      <c r="H1860" s="202">
        <v>0</v>
      </c>
      <c r="I1860" s="202">
        <v>0</v>
      </c>
      <c r="J1860" s="230"/>
      <c r="K1860" s="305" t="s">
        <v>507</v>
      </c>
      <c r="L1860" s="239" t="e">
        <f t="shared" si="637"/>
        <v>#DIV/0!</v>
      </c>
      <c r="M1860" s="267" t="e">
        <f t="shared" si="638"/>
        <v>#DIV/0!</v>
      </c>
      <c r="N1860" s="267" t="e">
        <f t="shared" si="639"/>
        <v>#DIV/0!</v>
      </c>
      <c r="O1860" s="239" t="e">
        <f t="shared" si="636"/>
        <v>#DIV/0!</v>
      </c>
      <c r="P1860" s="267" t="e">
        <f t="shared" si="640"/>
        <v>#DIV/0!</v>
      </c>
      <c r="Q1860" s="267" t="e">
        <f t="shared" si="641"/>
        <v>#DIV/0!</v>
      </c>
      <c r="R1860" s="267" t="e">
        <f t="shared" si="642"/>
        <v>#DIV/0!</v>
      </c>
      <c r="S1860" s="267" t="e">
        <f t="shared" si="643"/>
        <v>#DIV/0!</v>
      </c>
      <c r="Z1860" s="214">
        <f t="shared" si="633"/>
        <v>0</v>
      </c>
      <c r="AA1860" s="214">
        <f t="shared" si="634"/>
        <v>0</v>
      </c>
    </row>
    <row r="1861" spans="1:27">
      <c r="A1861" s="239" t="s">
        <v>156</v>
      </c>
      <c r="B1861" s="204">
        <v>135</v>
      </c>
      <c r="C1861" s="204">
        <v>135</v>
      </c>
      <c r="D1861" s="204">
        <v>981</v>
      </c>
      <c r="E1861" s="267">
        <v>1045</v>
      </c>
      <c r="F1861" s="267">
        <v>1045</v>
      </c>
      <c r="G1861" s="206">
        <v>321</v>
      </c>
      <c r="H1861" s="202">
        <v>23943</v>
      </c>
      <c r="I1861" s="202">
        <v>8</v>
      </c>
      <c r="J1861" s="230"/>
      <c r="K1861" s="305" t="s">
        <v>156</v>
      </c>
      <c r="L1861" s="239">
        <f t="shared" si="637"/>
        <v>16.875</v>
      </c>
      <c r="M1861" s="267">
        <f t="shared" si="638"/>
        <v>122.625</v>
      </c>
      <c r="N1861" s="267">
        <f t="shared" si="639"/>
        <v>7.2666666666666666</v>
      </c>
      <c r="O1861" s="322">
        <f t="shared" si="636"/>
        <v>17.053000877083072</v>
      </c>
      <c r="P1861" s="323">
        <f t="shared" si="640"/>
        <v>17.053000877083072</v>
      </c>
      <c r="Q1861" s="267">
        <f t="shared" si="641"/>
        <v>0.88364620328090648</v>
      </c>
      <c r="R1861" s="267">
        <f t="shared" si="642"/>
        <v>1.0374802641195925E-2</v>
      </c>
      <c r="S1861" s="267">
        <f t="shared" si="643"/>
        <v>8.5326953748006376E-2</v>
      </c>
      <c r="Z1861" s="214">
        <f t="shared" si="633"/>
        <v>0</v>
      </c>
      <c r="AA1861" s="214">
        <f t="shared" si="634"/>
        <v>0</v>
      </c>
    </row>
    <row r="1862" spans="1:27">
      <c r="A1862" s="239" t="s">
        <v>508</v>
      </c>
      <c r="B1862" s="204">
        <v>25</v>
      </c>
      <c r="C1862" s="204">
        <v>25</v>
      </c>
      <c r="D1862" s="204">
        <v>147</v>
      </c>
      <c r="E1862" s="267">
        <v>47</v>
      </c>
      <c r="F1862" s="267">
        <v>47</v>
      </c>
      <c r="G1862" s="206">
        <v>413</v>
      </c>
      <c r="H1862" s="202">
        <v>1636</v>
      </c>
      <c r="I1862" s="202">
        <v>4</v>
      </c>
      <c r="J1862" s="230"/>
      <c r="K1862" s="305" t="s">
        <v>508</v>
      </c>
      <c r="L1862" s="239">
        <f t="shared" si="637"/>
        <v>6.25</v>
      </c>
      <c r="M1862" s="267">
        <f t="shared" si="638"/>
        <v>36.75</v>
      </c>
      <c r="N1862" s="267">
        <f t="shared" si="639"/>
        <v>5.88</v>
      </c>
      <c r="O1862" s="239">
        <f t="shared" si="636"/>
        <v>35.586797066014675</v>
      </c>
      <c r="P1862" s="267">
        <f t="shared" si="640"/>
        <v>35.586797066014675</v>
      </c>
      <c r="Q1862" s="267">
        <f t="shared" si="641"/>
        <v>0.21461187214611871</v>
      </c>
      <c r="R1862" s="267">
        <f t="shared" si="642"/>
        <v>8.9079246709654197E-2</v>
      </c>
      <c r="S1862" s="267">
        <f t="shared" si="643"/>
        <v>2.4408983451536641</v>
      </c>
      <c r="Z1862" s="214">
        <f t="shared" si="633"/>
        <v>0</v>
      </c>
      <c r="AA1862" s="214">
        <f t="shared" si="634"/>
        <v>0</v>
      </c>
    </row>
    <row r="1863" spans="1:27">
      <c r="A1863" s="239" t="s">
        <v>509</v>
      </c>
      <c r="B1863" s="204">
        <v>55</v>
      </c>
      <c r="C1863" s="204">
        <v>55</v>
      </c>
      <c r="D1863" s="204">
        <v>413</v>
      </c>
      <c r="E1863" s="267">
        <v>106</v>
      </c>
      <c r="F1863" s="267">
        <v>106</v>
      </c>
      <c r="G1863" s="206">
        <v>907</v>
      </c>
      <c r="H1863" s="202">
        <v>3487</v>
      </c>
      <c r="I1863" s="202">
        <v>7</v>
      </c>
      <c r="J1863" s="230"/>
      <c r="K1863" s="305" t="s">
        <v>509</v>
      </c>
      <c r="L1863" s="239">
        <f t="shared" si="637"/>
        <v>7.8571428571428568</v>
      </c>
      <c r="M1863" s="267">
        <f t="shared" si="638"/>
        <v>59</v>
      </c>
      <c r="N1863" s="267">
        <f t="shared" si="639"/>
        <v>7.5090909090909088</v>
      </c>
      <c r="O1863" s="239">
        <f t="shared" si="636"/>
        <v>36.954402064812157</v>
      </c>
      <c r="P1863" s="267">
        <f t="shared" si="640"/>
        <v>36.954402064812157</v>
      </c>
      <c r="Q1863" s="267">
        <f t="shared" si="641"/>
        <v>0.22000830220008302</v>
      </c>
      <c r="R1863" s="267">
        <f t="shared" si="642"/>
        <v>6.9630746997118367E-2</v>
      </c>
      <c r="S1863" s="267">
        <f t="shared" si="643"/>
        <v>2.3768343815513626</v>
      </c>
      <c r="Z1863" s="214">
        <f t="shared" si="633"/>
        <v>0</v>
      </c>
      <c r="AA1863" s="214">
        <f t="shared" si="634"/>
        <v>0</v>
      </c>
    </row>
    <row r="1864" spans="1:27">
      <c r="A1864" s="239" t="s">
        <v>510</v>
      </c>
      <c r="B1864" s="204">
        <v>0</v>
      </c>
      <c r="C1864" s="204">
        <v>0</v>
      </c>
      <c r="D1864" s="204">
        <v>0</v>
      </c>
      <c r="E1864" s="267">
        <v>0</v>
      </c>
      <c r="F1864" s="267">
        <v>0</v>
      </c>
      <c r="G1864" s="206">
        <v>0</v>
      </c>
      <c r="H1864" s="202">
        <v>0</v>
      </c>
      <c r="I1864" s="202">
        <v>0</v>
      </c>
      <c r="J1864" s="230"/>
      <c r="K1864" s="305" t="s">
        <v>510</v>
      </c>
      <c r="L1864" s="239" t="e">
        <f t="shared" si="637"/>
        <v>#DIV/0!</v>
      </c>
      <c r="M1864" s="267" t="e">
        <f t="shared" si="638"/>
        <v>#DIV/0!</v>
      </c>
      <c r="N1864" s="267" t="e">
        <f t="shared" si="639"/>
        <v>#DIV/0!</v>
      </c>
      <c r="O1864" s="322" t="e">
        <f t="shared" si="636"/>
        <v>#DIV/0!</v>
      </c>
      <c r="P1864" s="323" t="e">
        <f t="shared" si="640"/>
        <v>#DIV/0!</v>
      </c>
      <c r="Q1864" s="267" t="e">
        <f t="shared" si="641"/>
        <v>#DIV/0!</v>
      </c>
      <c r="R1864" s="267" t="e">
        <f t="shared" si="642"/>
        <v>#DIV/0!</v>
      </c>
      <c r="S1864" s="267" t="e">
        <f t="shared" si="643"/>
        <v>#DIV/0!</v>
      </c>
      <c r="Z1864" s="214">
        <f t="shared" si="633"/>
        <v>0</v>
      </c>
      <c r="AA1864" s="214">
        <f t="shared" si="634"/>
        <v>0</v>
      </c>
    </row>
    <row r="1865" spans="1:27">
      <c r="A1865" s="239" t="s">
        <v>511</v>
      </c>
      <c r="B1865" s="382">
        <v>0</v>
      </c>
      <c r="C1865" s="382">
        <v>0</v>
      </c>
      <c r="D1865" s="204">
        <v>0</v>
      </c>
      <c r="E1865" s="267">
        <v>0</v>
      </c>
      <c r="F1865" s="267">
        <v>0</v>
      </c>
      <c r="G1865" s="206">
        <v>0</v>
      </c>
      <c r="H1865" s="202">
        <v>0</v>
      </c>
      <c r="I1865" s="202">
        <v>0</v>
      </c>
      <c r="J1865" s="230"/>
      <c r="K1865" s="305" t="s">
        <v>511</v>
      </c>
      <c r="L1865" s="239" t="e">
        <f t="shared" si="637"/>
        <v>#DIV/0!</v>
      </c>
      <c r="M1865" s="267" t="e">
        <f t="shared" si="638"/>
        <v>#DIV/0!</v>
      </c>
      <c r="N1865" s="267" t="e">
        <f t="shared" si="639"/>
        <v>#DIV/0!</v>
      </c>
      <c r="O1865" s="239" t="e">
        <f t="shared" si="636"/>
        <v>#DIV/0!</v>
      </c>
      <c r="P1865" s="267" t="e">
        <f t="shared" si="640"/>
        <v>#DIV/0!</v>
      </c>
      <c r="Q1865" s="267" t="e">
        <f t="shared" si="641"/>
        <v>#DIV/0!</v>
      </c>
      <c r="R1865" s="267" t="e">
        <f t="shared" si="642"/>
        <v>#DIV/0!</v>
      </c>
      <c r="S1865" s="267" t="e">
        <f t="shared" si="643"/>
        <v>#DIV/0!</v>
      </c>
      <c r="Z1865" s="214">
        <f t="shared" si="633"/>
        <v>0</v>
      </c>
      <c r="AA1865" s="214">
        <f t="shared" si="634"/>
        <v>0</v>
      </c>
    </row>
    <row r="1866" spans="1:27">
      <c r="A1866" s="239" t="s">
        <v>512</v>
      </c>
      <c r="B1866" s="384">
        <v>32</v>
      </c>
      <c r="C1866" s="382">
        <v>32</v>
      </c>
      <c r="D1866" s="204">
        <v>351</v>
      </c>
      <c r="E1866" s="385">
        <v>74</v>
      </c>
      <c r="F1866" s="267">
        <v>74</v>
      </c>
      <c r="G1866" s="206">
        <v>805</v>
      </c>
      <c r="H1866" s="202">
        <v>2521</v>
      </c>
      <c r="I1866" s="202">
        <v>9</v>
      </c>
      <c r="J1866" s="230"/>
      <c r="K1866" s="305" t="s">
        <v>512</v>
      </c>
      <c r="L1866" s="239">
        <f t="shared" si="637"/>
        <v>3.5555555555555554</v>
      </c>
      <c r="M1866" s="267">
        <f t="shared" si="638"/>
        <v>39</v>
      </c>
      <c r="N1866" s="267">
        <f t="shared" si="639"/>
        <v>10.96875</v>
      </c>
      <c r="O1866" s="239">
        <f t="shared" si="636"/>
        <v>42.49900833002777</v>
      </c>
      <c r="P1866" s="267">
        <f t="shared" si="640"/>
        <v>42.49900833002777</v>
      </c>
      <c r="Q1866" s="267">
        <f t="shared" si="641"/>
        <v>0.26398401826484019</v>
      </c>
      <c r="R1866" s="267">
        <f t="shared" si="642"/>
        <v>7.2716435637969215E-2</v>
      </c>
      <c r="S1866" s="267">
        <f t="shared" si="643"/>
        <v>3.0217717717717716</v>
      </c>
      <c r="Z1866" s="214">
        <f t="shared" si="633"/>
        <v>0</v>
      </c>
      <c r="AA1866" s="214">
        <f t="shared" si="634"/>
        <v>0</v>
      </c>
    </row>
    <row r="1867" spans="1:27">
      <c r="A1867" s="239" t="s">
        <v>513</v>
      </c>
      <c r="B1867" s="384">
        <v>7</v>
      </c>
      <c r="C1867" s="384">
        <v>7</v>
      </c>
      <c r="D1867" s="216">
        <v>193</v>
      </c>
      <c r="E1867" s="385">
        <v>9</v>
      </c>
      <c r="F1867" s="385">
        <v>9</v>
      </c>
      <c r="G1867" s="386">
        <v>333</v>
      </c>
      <c r="H1867" s="215">
        <v>1003</v>
      </c>
      <c r="I1867" s="202">
        <v>2</v>
      </c>
      <c r="J1867" s="230"/>
      <c r="K1867" s="305" t="s">
        <v>513</v>
      </c>
      <c r="L1867" s="239">
        <f t="shared" si="637"/>
        <v>3.5</v>
      </c>
      <c r="M1867" s="267">
        <f t="shared" si="638"/>
        <v>96.5</v>
      </c>
      <c r="N1867" s="267">
        <f t="shared" si="639"/>
        <v>27.571428571428573</v>
      </c>
      <c r="O1867" s="239">
        <f t="shared" si="636"/>
        <v>36.430707876370889</v>
      </c>
      <c r="P1867" s="267">
        <f t="shared" si="640"/>
        <v>36.430707876370889</v>
      </c>
      <c r="Q1867" s="267">
        <f t="shared" si="641"/>
        <v>0.14677103718199608</v>
      </c>
      <c r="R1867" s="267">
        <f t="shared" si="642"/>
        <v>5.4705468713498885E-2</v>
      </c>
      <c r="S1867" s="267">
        <f t="shared" si="643"/>
        <v>10.277777777777779</v>
      </c>
      <c r="Z1867" s="214">
        <f t="shared" si="633"/>
        <v>0</v>
      </c>
      <c r="AA1867" s="214">
        <f t="shared" si="634"/>
        <v>0</v>
      </c>
    </row>
    <row r="1868" spans="1:27">
      <c r="A1868" s="239" t="s">
        <v>514</v>
      </c>
      <c r="B1868" s="382">
        <v>56</v>
      </c>
      <c r="C1868" s="382">
        <v>56</v>
      </c>
      <c r="D1868" s="204">
        <v>527</v>
      </c>
      <c r="E1868" s="267">
        <v>332</v>
      </c>
      <c r="F1868" s="267">
        <v>332</v>
      </c>
      <c r="G1868" s="206">
        <v>289</v>
      </c>
      <c r="H1868" s="202">
        <v>13319</v>
      </c>
      <c r="I1868" s="202">
        <v>5</v>
      </c>
      <c r="J1868" s="230"/>
      <c r="K1868" s="305" t="s">
        <v>514</v>
      </c>
      <c r="L1868" s="239">
        <f t="shared" si="637"/>
        <v>11.2</v>
      </c>
      <c r="M1868" s="267">
        <f t="shared" si="638"/>
        <v>105.4</v>
      </c>
      <c r="N1868" s="267">
        <f t="shared" si="639"/>
        <v>9.4107142857142865</v>
      </c>
      <c r="O1868" s="239">
        <f t="shared" si="636"/>
        <v>11.143479240183197</v>
      </c>
      <c r="P1868" s="267">
        <f t="shared" si="640"/>
        <v>11.143479240183197</v>
      </c>
      <c r="Q1868" s="267">
        <f t="shared" si="641"/>
        <v>0.67677756033920422</v>
      </c>
      <c r="R1868" s="267">
        <f t="shared" si="642"/>
        <v>1.7387255918724191E-2</v>
      </c>
      <c r="S1868" s="267">
        <f t="shared" si="643"/>
        <v>0.24180053547523425</v>
      </c>
      <c r="Z1868" s="214">
        <f t="shared" si="633"/>
        <v>0</v>
      </c>
      <c r="AA1868" s="214">
        <f t="shared" si="634"/>
        <v>0</v>
      </c>
    </row>
    <row r="1869" spans="1:27">
      <c r="A1869" s="239" t="s">
        <v>515</v>
      </c>
      <c r="B1869" s="382">
        <v>20</v>
      </c>
      <c r="C1869" s="382">
        <v>20</v>
      </c>
      <c r="D1869" s="204">
        <v>191</v>
      </c>
      <c r="E1869" s="267">
        <v>22</v>
      </c>
      <c r="F1869" s="267">
        <v>27</v>
      </c>
      <c r="G1869" s="206">
        <v>483</v>
      </c>
      <c r="H1869" s="202">
        <v>989</v>
      </c>
      <c r="I1869" s="202">
        <v>7</v>
      </c>
      <c r="J1869" s="230"/>
      <c r="K1869" s="305" t="s">
        <v>515</v>
      </c>
      <c r="L1869" s="239">
        <f t="shared" si="637"/>
        <v>2.8571428571428572</v>
      </c>
      <c r="M1869" s="267">
        <f t="shared" si="638"/>
        <v>27.285714285714285</v>
      </c>
      <c r="N1869" s="267">
        <f t="shared" si="639"/>
        <v>9.5500000000000007</v>
      </c>
      <c r="O1869" s="239">
        <f t="shared" si="636"/>
        <v>58.665318503538934</v>
      </c>
      <c r="P1869" s="267">
        <f t="shared" si="640"/>
        <v>56.84529828109202</v>
      </c>
      <c r="Q1869" s="267">
        <f t="shared" si="641"/>
        <v>0.12557077625570776</v>
      </c>
      <c r="R1869" s="267">
        <f t="shared" si="642"/>
        <v>8.0178436363122066E-2</v>
      </c>
      <c r="S1869" s="267">
        <f t="shared" si="643"/>
        <v>6.0984848484848486</v>
      </c>
      <c r="Z1869" s="214">
        <f t="shared" si="633"/>
        <v>0</v>
      </c>
      <c r="AA1869" s="214">
        <f t="shared" si="634"/>
        <v>5</v>
      </c>
    </row>
    <row r="1870" spans="1:27">
      <c r="A1870" s="239" t="s">
        <v>516</v>
      </c>
      <c r="B1870" s="204">
        <v>7</v>
      </c>
      <c r="C1870" s="204">
        <v>7</v>
      </c>
      <c r="D1870" s="202">
        <v>235</v>
      </c>
      <c r="E1870" s="267">
        <v>6</v>
      </c>
      <c r="F1870" s="267">
        <v>6</v>
      </c>
      <c r="G1870" s="206">
        <v>675</v>
      </c>
      <c r="H1870" s="202">
        <v>1932</v>
      </c>
      <c r="I1870" s="202">
        <v>2</v>
      </c>
      <c r="J1870" s="244"/>
      <c r="K1870" s="239" t="s">
        <v>516</v>
      </c>
      <c r="L1870" s="239">
        <f t="shared" si="637"/>
        <v>3.5</v>
      </c>
      <c r="M1870" s="267">
        <f t="shared" si="638"/>
        <v>117.5</v>
      </c>
      <c r="N1870" s="267">
        <f t="shared" si="639"/>
        <v>33.571428571428569</v>
      </c>
      <c r="O1870" s="239">
        <f t="shared" si="636"/>
        <v>36.055900621118013</v>
      </c>
      <c r="P1870" s="267">
        <f t="shared" si="640"/>
        <v>36.055900621118013</v>
      </c>
      <c r="Q1870" s="267">
        <f t="shared" si="641"/>
        <v>9.7847358121330733E-2</v>
      </c>
      <c r="R1870" s="267">
        <f t="shared" si="642"/>
        <v>9.1070921176296296E-2</v>
      </c>
      <c r="S1870" s="267">
        <f t="shared" si="643"/>
        <v>31.249999999999996</v>
      </c>
      <c r="Z1870" s="214">
        <f t="shared" si="633"/>
        <v>0</v>
      </c>
      <c r="AA1870" s="214">
        <f t="shared" si="634"/>
        <v>0</v>
      </c>
    </row>
    <row r="1871" spans="1:27">
      <c r="A1871" s="239" t="s">
        <v>517</v>
      </c>
      <c r="B1871" s="204">
        <v>0</v>
      </c>
      <c r="C1871" s="204">
        <v>0</v>
      </c>
      <c r="D1871" s="204">
        <v>0</v>
      </c>
      <c r="E1871" s="267">
        <v>0</v>
      </c>
      <c r="F1871" s="267">
        <v>0</v>
      </c>
      <c r="G1871" s="206">
        <v>0</v>
      </c>
      <c r="H1871" s="202">
        <v>0</v>
      </c>
      <c r="I1871" s="202">
        <v>0</v>
      </c>
      <c r="K1871" s="239" t="s">
        <v>517</v>
      </c>
      <c r="L1871" s="239" t="e">
        <f t="shared" si="637"/>
        <v>#DIV/0!</v>
      </c>
      <c r="M1871" s="267" t="e">
        <f t="shared" si="638"/>
        <v>#DIV/0!</v>
      </c>
      <c r="N1871" s="267" t="e">
        <f t="shared" si="639"/>
        <v>#DIV/0!</v>
      </c>
      <c r="O1871" s="239" t="e">
        <f t="shared" si="636"/>
        <v>#DIV/0!</v>
      </c>
      <c r="P1871" s="267" t="e">
        <f t="shared" si="640"/>
        <v>#DIV/0!</v>
      </c>
      <c r="Q1871" s="267" t="e">
        <f t="shared" si="641"/>
        <v>#DIV/0!</v>
      </c>
      <c r="R1871" s="267" t="e">
        <f t="shared" si="642"/>
        <v>#DIV/0!</v>
      </c>
      <c r="S1871" s="267" t="e">
        <f t="shared" si="643"/>
        <v>#DIV/0!</v>
      </c>
      <c r="Z1871" s="214">
        <f t="shared" si="633"/>
        <v>0</v>
      </c>
      <c r="AA1871" s="214">
        <f t="shared" si="634"/>
        <v>0</v>
      </c>
    </row>
    <row r="1872" spans="1:27">
      <c r="A1872" s="239" t="s">
        <v>518</v>
      </c>
      <c r="B1872" s="216">
        <v>7</v>
      </c>
      <c r="C1872" s="216">
        <v>7</v>
      </c>
      <c r="D1872" s="216">
        <v>85</v>
      </c>
      <c r="E1872" s="385">
        <v>30</v>
      </c>
      <c r="F1872" s="385">
        <v>30</v>
      </c>
      <c r="G1872" s="386">
        <v>681</v>
      </c>
      <c r="H1872" s="215">
        <v>1001</v>
      </c>
      <c r="I1872" s="202">
        <v>10</v>
      </c>
      <c r="K1872" s="239" t="s">
        <v>518</v>
      </c>
      <c r="L1872" s="239">
        <f t="shared" si="637"/>
        <v>0.7</v>
      </c>
      <c r="M1872" s="267">
        <f t="shared" si="638"/>
        <v>8.5</v>
      </c>
      <c r="N1872" s="267">
        <f t="shared" si="639"/>
        <v>12.142857142857142</v>
      </c>
      <c r="O1872" s="239">
        <f t="shared" si="636"/>
        <v>78.821178821178819</v>
      </c>
      <c r="P1872" s="267">
        <f t="shared" si="640"/>
        <v>78.821178821178819</v>
      </c>
      <c r="Q1872" s="267">
        <f t="shared" si="641"/>
        <v>0.48923679060665359</v>
      </c>
      <c r="R1872" s="267">
        <f t="shared" si="642"/>
        <v>0.25402239425618439</v>
      </c>
      <c r="S1872" s="267">
        <f t="shared" si="643"/>
        <v>6.3055555555555554</v>
      </c>
      <c r="Z1872" s="214">
        <f t="shared" si="633"/>
        <v>0</v>
      </c>
      <c r="AA1872" s="214">
        <f t="shared" si="634"/>
        <v>0</v>
      </c>
    </row>
    <row r="1873" spans="1:27">
      <c r="A1873" s="239" t="s">
        <v>519</v>
      </c>
      <c r="B1873" s="204"/>
      <c r="C1873" s="204"/>
      <c r="D1873" s="204"/>
      <c r="E1873" s="385"/>
      <c r="F1873" s="272"/>
      <c r="G1873" s="206"/>
      <c r="H1873" s="202"/>
      <c r="I1873" s="202"/>
      <c r="K1873" s="239" t="s">
        <v>519</v>
      </c>
      <c r="L1873" s="239"/>
      <c r="M1873" s="267"/>
      <c r="N1873" s="267"/>
      <c r="O1873" s="239"/>
      <c r="P1873" s="267"/>
      <c r="Q1873" s="267"/>
      <c r="R1873" s="267"/>
      <c r="S1873" s="267"/>
      <c r="Z1873" s="214">
        <f t="shared" si="633"/>
        <v>0</v>
      </c>
      <c r="AA1873" s="214">
        <f t="shared" si="634"/>
        <v>0</v>
      </c>
    </row>
    <row r="1874" spans="1:27">
      <c r="A1874" s="282" t="s">
        <v>169</v>
      </c>
      <c r="B1874" s="360">
        <f>B1853+B1855</f>
        <v>1104</v>
      </c>
      <c r="C1874" s="360">
        <f t="shared" ref="C1874:I1874" si="644">C1853+C1855</f>
        <v>3744</v>
      </c>
      <c r="D1874" s="360">
        <f t="shared" si="644"/>
        <v>8540</v>
      </c>
      <c r="E1874" s="360">
        <f t="shared" si="644"/>
        <v>5659</v>
      </c>
      <c r="F1874" s="360">
        <f t="shared" si="644"/>
        <v>23486</v>
      </c>
      <c r="G1874" s="360">
        <f t="shared" si="644"/>
        <v>29559</v>
      </c>
      <c r="H1874" s="360">
        <f t="shared" si="644"/>
        <v>319889</v>
      </c>
      <c r="I1874" s="360">
        <f t="shared" si="644"/>
        <v>126</v>
      </c>
      <c r="K1874" s="328" t="s">
        <v>169</v>
      </c>
      <c r="L1874" s="282">
        <f>B1874/I1874</f>
        <v>8.7619047619047628</v>
      </c>
      <c r="M1874" s="281">
        <f>D1874/I1874</f>
        <v>67.777777777777771</v>
      </c>
      <c r="N1874" s="281">
        <f>D1874/B1874</f>
        <v>7.7355072463768115</v>
      </c>
      <c r="O1874" s="282">
        <f>(F1874*3.6+G1874)*100/H1874</f>
        <v>35.671310985998268</v>
      </c>
      <c r="P1874" s="282">
        <f>(E1874*3.6+G1874)*100/H1874</f>
        <v>15.608976863849648</v>
      </c>
      <c r="Q1874" s="281">
        <f>E1874/(B1874*8760)*1000</f>
        <v>0.58514906359605579</v>
      </c>
      <c r="R1874" s="281">
        <f>G1874/(D1874*8761)*1000/3.6</f>
        <v>0.1097427113152543</v>
      </c>
      <c r="S1874" s="281">
        <f>G1874/(E1874*3.6)</f>
        <v>1.4509336160687989</v>
      </c>
      <c r="Z1874" s="214">
        <f t="shared" si="633"/>
        <v>2640</v>
      </c>
      <c r="AA1874" s="214">
        <f t="shared" si="634"/>
        <v>17827</v>
      </c>
    </row>
    <row r="1876" spans="1:27">
      <c r="A1876" s="251" t="s">
        <v>520</v>
      </c>
      <c r="B1876" s="227" t="s">
        <v>476</v>
      </c>
      <c r="C1876" s="228"/>
      <c r="D1876" s="286"/>
      <c r="E1876" s="227" t="s">
        <v>521</v>
      </c>
      <c r="F1876" s="228"/>
      <c r="G1876" s="286"/>
      <c r="H1876" s="200" t="s">
        <v>138</v>
      </c>
      <c r="I1876" s="200" t="s">
        <v>478</v>
      </c>
    </row>
    <row r="1877" spans="1:27">
      <c r="A1877" s="239"/>
      <c r="B1877" s="243" t="s">
        <v>88</v>
      </c>
      <c r="C1877" s="243"/>
      <c r="D1877" s="241" t="s">
        <v>34</v>
      </c>
      <c r="E1877" s="243" t="s">
        <v>88</v>
      </c>
      <c r="F1877" s="243"/>
      <c r="G1877" s="241" t="s">
        <v>34</v>
      </c>
      <c r="H1877" s="241" t="s">
        <v>170</v>
      </c>
      <c r="I1877" s="241" t="s">
        <v>483</v>
      </c>
    </row>
    <row r="1878" spans="1:27">
      <c r="A1878" s="239"/>
      <c r="B1878" s="252" t="s">
        <v>0</v>
      </c>
      <c r="C1878" s="252" t="s">
        <v>489</v>
      </c>
      <c r="D1878" s="252" t="s">
        <v>490</v>
      </c>
      <c r="E1878" s="252" t="s">
        <v>491</v>
      </c>
      <c r="F1878" s="252" t="s">
        <v>489</v>
      </c>
      <c r="G1878" s="252" t="s">
        <v>490</v>
      </c>
      <c r="H1878" s="248"/>
      <c r="I1878" s="241" t="s">
        <v>492</v>
      </c>
    </row>
    <row r="1879" spans="1:27">
      <c r="A1879" s="239"/>
      <c r="B1879" s="257" t="s">
        <v>496</v>
      </c>
      <c r="C1879" s="256" t="s">
        <v>496</v>
      </c>
      <c r="D1879" s="252" t="s">
        <v>496</v>
      </c>
      <c r="E1879" s="329" t="s">
        <v>473</v>
      </c>
      <c r="F1879" s="329" t="s">
        <v>473</v>
      </c>
      <c r="G1879" s="252" t="s">
        <v>496</v>
      </c>
      <c r="H1879" s="257" t="s">
        <v>497</v>
      </c>
      <c r="I1879" s="257" t="s">
        <v>498</v>
      </c>
    </row>
    <row r="1880" spans="1:27">
      <c r="A1880" s="251" t="s">
        <v>522</v>
      </c>
      <c r="B1880" s="389"/>
      <c r="C1880" s="389"/>
      <c r="D1880" s="200"/>
      <c r="E1880" s="389"/>
      <c r="F1880" s="389"/>
      <c r="G1880" s="200"/>
      <c r="H1880" s="200"/>
      <c r="I1880" s="200"/>
    </row>
    <row r="1881" spans="1:27">
      <c r="A1881" s="239" t="s">
        <v>523</v>
      </c>
      <c r="B1881" s="216"/>
      <c r="C1881" s="204">
        <v>100</v>
      </c>
      <c r="D1881" s="204">
        <v>593</v>
      </c>
      <c r="E1881" s="216"/>
      <c r="F1881" s="204"/>
      <c r="G1881" s="204"/>
      <c r="H1881" s="202"/>
      <c r="I1881" s="216">
        <v>9</v>
      </c>
    </row>
    <row r="1882" spans="1:27">
      <c r="A1882" s="239" t="s">
        <v>524</v>
      </c>
      <c r="B1882" s="216"/>
      <c r="C1882" s="204">
        <v>12</v>
      </c>
      <c r="D1882" s="204">
        <v>116</v>
      </c>
      <c r="E1882" s="216"/>
      <c r="F1882" s="204"/>
      <c r="G1882" s="204"/>
      <c r="H1882" s="202"/>
      <c r="I1882" s="216">
        <v>1</v>
      </c>
    </row>
    <row r="1883" spans="1:27">
      <c r="A1883" s="239" t="s">
        <v>525</v>
      </c>
      <c r="B1883" s="216"/>
      <c r="C1883" s="204">
        <v>315</v>
      </c>
      <c r="D1883" s="204">
        <v>1126</v>
      </c>
      <c r="E1883" s="216"/>
      <c r="F1883" s="204"/>
      <c r="G1883" s="204"/>
      <c r="H1883" s="202"/>
      <c r="I1883" s="216">
        <v>58</v>
      </c>
    </row>
    <row r="1884" spans="1:27">
      <c r="A1884" s="239" t="s">
        <v>267</v>
      </c>
      <c r="B1884" s="216"/>
      <c r="C1884" s="204">
        <v>2640</v>
      </c>
      <c r="D1884" s="204">
        <v>538</v>
      </c>
      <c r="E1884" s="216"/>
      <c r="F1884" s="204"/>
      <c r="G1884" s="204"/>
      <c r="H1884" s="202"/>
      <c r="I1884" s="216">
        <v>12</v>
      </c>
    </row>
    <row r="1885" spans="1:27">
      <c r="A1885" s="312" t="s">
        <v>526</v>
      </c>
      <c r="B1885" s="391"/>
      <c r="C1885" s="391"/>
      <c r="D1885" s="205"/>
      <c r="E1885" s="391"/>
      <c r="F1885" s="391"/>
      <c r="G1885" s="205"/>
      <c r="H1885" s="205"/>
      <c r="I1885" s="391"/>
    </row>
    <row r="1886" spans="1:27">
      <c r="A1886" s="239" t="s">
        <v>527</v>
      </c>
      <c r="B1886" s="216"/>
      <c r="C1886" s="204">
        <v>0</v>
      </c>
      <c r="D1886" s="204">
        <v>120</v>
      </c>
      <c r="E1886" s="216"/>
      <c r="F1886" s="204"/>
      <c r="G1886" s="204"/>
      <c r="H1886" s="202"/>
      <c r="I1886" s="216">
        <v>0</v>
      </c>
    </row>
    <row r="1887" spans="1:27">
      <c r="A1887" s="239" t="s">
        <v>528</v>
      </c>
      <c r="B1887" s="204"/>
      <c r="C1887" s="204">
        <v>186</v>
      </c>
      <c r="D1887" s="204">
        <v>1574</v>
      </c>
      <c r="E1887" s="204"/>
      <c r="F1887" s="204"/>
      <c r="G1887" s="204"/>
      <c r="H1887" s="202"/>
      <c r="I1887" s="204">
        <v>13</v>
      </c>
    </row>
    <row r="1888" spans="1:27">
      <c r="A1888" s="239" t="s">
        <v>529</v>
      </c>
      <c r="B1888" s="204"/>
      <c r="C1888" s="204">
        <v>114</v>
      </c>
      <c r="D1888" s="204">
        <v>874</v>
      </c>
      <c r="E1888" s="204"/>
      <c r="F1888" s="204"/>
      <c r="G1888" s="204"/>
      <c r="H1888" s="202"/>
      <c r="I1888" s="204">
        <v>7</v>
      </c>
    </row>
    <row r="1889" spans="1:27">
      <c r="A1889" s="239" t="s">
        <v>530</v>
      </c>
      <c r="B1889" s="204"/>
      <c r="C1889" s="204">
        <v>376</v>
      </c>
      <c r="D1889" s="204">
        <v>3599</v>
      </c>
      <c r="E1889" s="204"/>
      <c r="F1889" s="204"/>
      <c r="G1889" s="204"/>
      <c r="H1889" s="202"/>
      <c r="I1889" s="204">
        <v>26</v>
      </c>
    </row>
    <row r="1890" spans="1:27">
      <c r="A1890" s="282" t="s">
        <v>169</v>
      </c>
      <c r="B1890" s="468">
        <v>1104</v>
      </c>
      <c r="C1890" s="360">
        <v>3744</v>
      </c>
      <c r="D1890" s="360">
        <v>8540</v>
      </c>
      <c r="E1890" s="468">
        <v>5659</v>
      </c>
      <c r="F1890" s="468">
        <v>23486</v>
      </c>
      <c r="G1890" s="468">
        <v>29559</v>
      </c>
      <c r="H1890" s="468">
        <v>319889</v>
      </c>
      <c r="I1890" s="360">
        <v>126</v>
      </c>
    </row>
    <row r="1893" spans="1:27">
      <c r="A1893" s="221" t="s">
        <v>196</v>
      </c>
      <c r="D1893" s="220"/>
      <c r="I1893" s="221">
        <v>2002</v>
      </c>
      <c r="K1893" s="221" t="str">
        <f>+A1893</f>
        <v>Slovenia</v>
      </c>
      <c r="M1893" s="220"/>
      <c r="S1893" s="221">
        <v>2002</v>
      </c>
    </row>
    <row r="1894" spans="1:27" ht="13.5" thickBot="1"/>
    <row r="1895" spans="1:27">
      <c r="A1895" s="346" t="s">
        <v>475</v>
      </c>
      <c r="B1895" s="233" t="s">
        <v>476</v>
      </c>
      <c r="C1895" s="233"/>
      <c r="D1895" s="234"/>
      <c r="E1895" s="235" t="s">
        <v>477</v>
      </c>
      <c r="F1895" s="233"/>
      <c r="G1895" s="236"/>
      <c r="H1895" s="347" t="s">
        <v>138</v>
      </c>
      <c r="I1895" s="348" t="s">
        <v>478</v>
      </c>
      <c r="J1895" s="230"/>
      <c r="K1895" s="231" t="s">
        <v>475</v>
      </c>
      <c r="L1895" s="232" t="s">
        <v>479</v>
      </c>
      <c r="M1895" s="233"/>
      <c r="N1895" s="234"/>
      <c r="O1895" s="235" t="s">
        <v>480</v>
      </c>
      <c r="P1895" s="233"/>
      <c r="Q1895" s="233"/>
      <c r="R1895" s="236"/>
      <c r="S1895" s="237"/>
    </row>
    <row r="1896" spans="1:27">
      <c r="A1896" s="266"/>
      <c r="B1896" s="240" t="s">
        <v>9</v>
      </c>
      <c r="C1896" s="240"/>
      <c r="D1896" s="241" t="s">
        <v>34</v>
      </c>
      <c r="E1896" s="242" t="s">
        <v>88</v>
      </c>
      <c r="F1896" s="243"/>
      <c r="G1896" s="244" t="s">
        <v>34</v>
      </c>
      <c r="H1896" s="241" t="s">
        <v>170</v>
      </c>
      <c r="I1896" s="349" t="s">
        <v>483</v>
      </c>
      <c r="J1896" s="230"/>
      <c r="K1896" s="245"/>
      <c r="L1896" s="246" t="s">
        <v>484</v>
      </c>
      <c r="M1896" s="247"/>
      <c r="N1896" s="248" t="s">
        <v>485</v>
      </c>
      <c r="O1896" s="248" t="s">
        <v>486</v>
      </c>
      <c r="P1896" s="248" t="s">
        <v>486</v>
      </c>
      <c r="Q1896" s="247" t="s">
        <v>487</v>
      </c>
      <c r="R1896" s="249"/>
      <c r="S1896" s="250" t="s">
        <v>485</v>
      </c>
      <c r="U1896" s="214" t="str">
        <f>A1893</f>
        <v>Slovenia</v>
      </c>
    </row>
    <row r="1897" spans="1:27">
      <c r="A1897" s="350" t="s">
        <v>488</v>
      </c>
      <c r="B1897" s="252" t="s">
        <v>0</v>
      </c>
      <c r="C1897" s="469" t="s">
        <v>489</v>
      </c>
      <c r="D1897" s="252" t="s">
        <v>490</v>
      </c>
      <c r="E1897" s="252" t="s">
        <v>491</v>
      </c>
      <c r="F1897" s="469" t="s">
        <v>489</v>
      </c>
      <c r="G1897" s="230" t="s">
        <v>490</v>
      </c>
      <c r="H1897" s="248"/>
      <c r="I1897" s="349" t="s">
        <v>492</v>
      </c>
      <c r="J1897" s="230"/>
      <c r="K1897" s="253" t="s">
        <v>488</v>
      </c>
      <c r="L1897" s="254" t="s">
        <v>88</v>
      </c>
      <c r="M1897" s="252" t="s">
        <v>34</v>
      </c>
      <c r="N1897" s="252" t="s">
        <v>493</v>
      </c>
      <c r="O1897" s="248" t="s">
        <v>494</v>
      </c>
      <c r="P1897" s="248" t="s">
        <v>495</v>
      </c>
      <c r="Q1897" s="230" t="s">
        <v>88</v>
      </c>
      <c r="R1897" s="248" t="s">
        <v>34</v>
      </c>
      <c r="S1897" s="255" t="s">
        <v>88</v>
      </c>
      <c r="U1897" s="214" t="s">
        <v>547</v>
      </c>
      <c r="V1897" s="214">
        <f>G1925/1000</f>
        <v>8.6749199999999984</v>
      </c>
    </row>
    <row r="1898" spans="1:27">
      <c r="A1898" s="266"/>
      <c r="B1898" s="257" t="s">
        <v>496</v>
      </c>
      <c r="C1898" s="476" t="s">
        <v>496</v>
      </c>
      <c r="D1898" s="257" t="s">
        <v>496</v>
      </c>
      <c r="E1898" s="256" t="s">
        <v>473</v>
      </c>
      <c r="F1898" s="470" t="s">
        <v>473</v>
      </c>
      <c r="G1898" s="257" t="s">
        <v>451</v>
      </c>
      <c r="H1898" s="257" t="s">
        <v>497</v>
      </c>
      <c r="I1898" s="351" t="s">
        <v>498</v>
      </c>
      <c r="J1898" s="230"/>
      <c r="K1898" s="245"/>
      <c r="L1898" s="258" t="s">
        <v>496</v>
      </c>
      <c r="M1898" s="256" t="s">
        <v>496</v>
      </c>
      <c r="N1898" s="256"/>
      <c r="O1898" s="257" t="s">
        <v>79</v>
      </c>
      <c r="P1898" s="257" t="s">
        <v>79</v>
      </c>
      <c r="Q1898" s="259"/>
      <c r="R1898" s="257"/>
      <c r="S1898" s="260"/>
      <c r="U1898" s="214" t="s">
        <v>548</v>
      </c>
      <c r="V1898" s="214">
        <f>G1931/1000</f>
        <v>0</v>
      </c>
    </row>
    <row r="1899" spans="1:27">
      <c r="A1899" s="352" t="s">
        <v>262</v>
      </c>
      <c r="B1899" s="482"/>
      <c r="C1899" s="483"/>
      <c r="D1899" s="428"/>
      <c r="E1899" s="427"/>
      <c r="F1899" s="483"/>
      <c r="G1899" s="427"/>
      <c r="H1899" s="428"/>
      <c r="I1899" s="445"/>
      <c r="J1899" s="230"/>
      <c r="K1899" s="265" t="s">
        <v>262</v>
      </c>
      <c r="L1899" s="266" t="e">
        <f>C1899/I1899</f>
        <v>#DIV/0!</v>
      </c>
      <c r="M1899" s="267" t="e">
        <f>D1899/I1899</f>
        <v>#DIV/0!</v>
      </c>
      <c r="N1899" s="267" t="e">
        <f>D1899/C1899</f>
        <v>#DIV/0!</v>
      </c>
      <c r="O1899" s="239" t="e">
        <f>(F1899*3.6+G1899)*100/H1899</f>
        <v>#DIV/0!</v>
      </c>
      <c r="P1899" s="239" t="e">
        <f>(F1899*3.6+G1899)*100/H1899</f>
        <v>#DIV/0!</v>
      </c>
      <c r="Q1899" s="267" t="e">
        <f>F1899/(C1899*8760)*1000</f>
        <v>#DIV/0!</v>
      </c>
      <c r="R1899" s="267" t="e">
        <f>G1899/(D1899*8761)*1000/3.6</f>
        <v>#DIV/0!</v>
      </c>
      <c r="S1899" s="268" t="e">
        <f>G1899/(F1899*3.6)</f>
        <v>#DIV/0!</v>
      </c>
      <c r="U1899" s="214" t="s">
        <v>549</v>
      </c>
      <c r="V1899" s="214">
        <f>G1933/1000</f>
        <v>0.42121499999999995</v>
      </c>
      <c r="Z1899" s="214">
        <f t="shared" ref="Z1899:Z1904" si="645">C1899-B1899</f>
        <v>0</v>
      </c>
      <c r="AA1899" s="214">
        <f t="shared" ref="AA1899:AA1904" si="646">F1899-E1899</f>
        <v>0</v>
      </c>
    </row>
    <row r="1900" spans="1:27">
      <c r="A1900" s="266" t="s">
        <v>263</v>
      </c>
      <c r="B1900" s="428">
        <v>36.880000000000003</v>
      </c>
      <c r="C1900" s="484">
        <v>36.880000000000003</v>
      </c>
      <c r="D1900" s="428">
        <v>132.726</v>
      </c>
      <c r="E1900" s="427">
        <v>131.28299999999999</v>
      </c>
      <c r="F1900" s="483">
        <v>131.28299999999999</v>
      </c>
      <c r="G1900" s="427">
        <v>5178.5820000000003</v>
      </c>
      <c r="H1900" s="428">
        <v>6237.1360000000004</v>
      </c>
      <c r="I1900" s="441">
        <v>7</v>
      </c>
      <c r="J1900" s="230"/>
      <c r="K1900" s="245" t="s">
        <v>263</v>
      </c>
      <c r="L1900" s="266">
        <f>C1900/I1900</f>
        <v>5.2685714285714287</v>
      </c>
      <c r="M1900" s="267">
        <f>D1900/I1900</f>
        <v>18.960857142857144</v>
      </c>
      <c r="N1900" s="267">
        <f>D1900/C1900</f>
        <v>3.5988611713665941</v>
      </c>
      <c r="O1900" s="239">
        <f>(F1900*3.6+G1900)*100/H1900</f>
        <v>90.605701078187167</v>
      </c>
      <c r="P1900" s="239">
        <f>(F1900*3.6+G1900)*100/H1900</f>
        <v>90.605701078187167</v>
      </c>
      <c r="Q1900" s="267">
        <f>F1900/(C1900*8760)*1000</f>
        <v>0.40636235996790765</v>
      </c>
      <c r="R1900" s="267">
        <f>G1900/(D1900*8761)*1000/3.6</f>
        <v>1.237082519597231</v>
      </c>
      <c r="S1900" s="268">
        <f>G1900/(F1900*3.6)</f>
        <v>10.957206949871653</v>
      </c>
      <c r="U1900" s="214" t="s">
        <v>550</v>
      </c>
      <c r="V1900" s="214">
        <f>G1938/1000</f>
        <v>6.9474239999999998</v>
      </c>
      <c r="Z1900" s="214">
        <f t="shared" si="645"/>
        <v>0</v>
      </c>
      <c r="AA1900" s="214">
        <f t="shared" si="646"/>
        <v>0</v>
      </c>
    </row>
    <row r="1901" spans="1:27">
      <c r="A1901" s="266" t="s">
        <v>499</v>
      </c>
      <c r="B1901" s="428">
        <v>60.43</v>
      </c>
      <c r="C1901" s="484">
        <v>60.43</v>
      </c>
      <c r="D1901" s="428">
        <v>370.738</v>
      </c>
      <c r="E1901" s="427">
        <v>167.374</v>
      </c>
      <c r="F1901" s="483">
        <v>167.374</v>
      </c>
      <c r="G1901" s="427">
        <v>3528.5569999999998</v>
      </c>
      <c r="H1901" s="428">
        <v>4557</v>
      </c>
      <c r="I1901" s="441">
        <v>8</v>
      </c>
      <c r="J1901" s="230"/>
      <c r="K1901" s="245" t="s">
        <v>499</v>
      </c>
      <c r="L1901" s="266">
        <f>C1901/I1901</f>
        <v>7.55375</v>
      </c>
      <c r="M1901" s="267">
        <f>D1901/I1901</f>
        <v>46.34225</v>
      </c>
      <c r="N1901" s="267">
        <f>D1901/C1901</f>
        <v>6.1349991725963928</v>
      </c>
      <c r="O1901" s="239">
        <f>(F1901*3.6+G1901)*100/H1901</f>
        <v>90.654013605442174</v>
      </c>
      <c r="P1901" s="239">
        <f>(F1901*3.6+G1901)*100/H1901</f>
        <v>90.654013605442174</v>
      </c>
      <c r="Q1901" s="267">
        <f>F1901/(C1901*8760)*1000</f>
        <v>0.31617774291852069</v>
      </c>
      <c r="R1901" s="267">
        <f>G1901/(D1901*8761)*1000/3.6</f>
        <v>0.30176846485007425</v>
      </c>
      <c r="S1901" s="268">
        <f>G1901/(F1901*3.6)</f>
        <v>5.856075150395057</v>
      </c>
      <c r="U1901" s="214" t="s">
        <v>551</v>
      </c>
      <c r="V1901" s="214">
        <f>G1929/1000</f>
        <v>0.41199999999999998</v>
      </c>
      <c r="Z1901" s="214">
        <f t="shared" si="645"/>
        <v>0</v>
      </c>
      <c r="AA1901" s="214">
        <f t="shared" si="646"/>
        <v>0</v>
      </c>
    </row>
    <row r="1902" spans="1:27">
      <c r="A1902" s="266" t="s">
        <v>265</v>
      </c>
      <c r="B1902" s="216">
        <v>6.3</v>
      </c>
      <c r="C1902" s="419">
        <v>6.3</v>
      </c>
      <c r="D1902" s="204">
        <v>11.065</v>
      </c>
      <c r="E1902" s="216">
        <v>48.036999999999999</v>
      </c>
      <c r="F1902" s="419">
        <v>48.036999999999999</v>
      </c>
      <c r="G1902" s="206">
        <v>285.96699999999998</v>
      </c>
      <c r="H1902" s="202">
        <v>552.64700000000005</v>
      </c>
      <c r="I1902" s="363">
        <v>1</v>
      </c>
      <c r="J1902" s="230"/>
      <c r="K1902" s="245" t="s">
        <v>265</v>
      </c>
      <c r="L1902" s="266">
        <f>C1902/I1902</f>
        <v>6.3</v>
      </c>
      <c r="M1902" s="267">
        <f>D1902/I1902</f>
        <v>11.065</v>
      </c>
      <c r="N1902" s="267">
        <f>D1902/C1902</f>
        <v>1.7563492063492063</v>
      </c>
      <c r="O1902" s="239">
        <f>(F1902*3.6+G1902)*100/H1902</f>
        <v>83.036766688320014</v>
      </c>
      <c r="P1902" s="239">
        <f>(F1902*3.6+G1902)*100/H1902</f>
        <v>83.036766688320014</v>
      </c>
      <c r="Q1902" s="267">
        <f>F1902/(C1902*8760)*1000</f>
        <v>0.87042473001377108</v>
      </c>
      <c r="R1902" s="267">
        <f>G1902/(D1902*8761)*1000/3.6</f>
        <v>0.81942332108452098</v>
      </c>
      <c r="S1902" s="268">
        <f>G1902/(F1902*3.6)</f>
        <v>1.6536269495967229</v>
      </c>
      <c r="U1902" s="214" t="s">
        <v>552</v>
      </c>
      <c r="V1902" s="214">
        <f>(G1926+G1927+G1928+G1930+G1932+G1934+G1935+G1936+G1937+G1939+G1940+G1941+G1942+G1943)/1000</f>
        <v>0.8942810000000001</v>
      </c>
      <c r="Z1902" s="214">
        <f t="shared" si="645"/>
        <v>0</v>
      </c>
      <c r="AA1902" s="214">
        <f t="shared" si="646"/>
        <v>0</v>
      </c>
    </row>
    <row r="1903" spans="1:27">
      <c r="A1903" s="266" t="s">
        <v>266</v>
      </c>
      <c r="B1903" s="485">
        <v>9.4600000000000009</v>
      </c>
      <c r="C1903" s="484">
        <v>9.4600000000000009</v>
      </c>
      <c r="D1903" s="428">
        <v>9.8800000000000008</v>
      </c>
      <c r="E1903" s="427">
        <v>42.796999999999997</v>
      </c>
      <c r="F1903" s="483">
        <v>42.796999999999997</v>
      </c>
      <c r="G1903" s="427">
        <v>158.261</v>
      </c>
      <c r="H1903" s="428">
        <v>395.721</v>
      </c>
      <c r="I1903" s="441">
        <v>3</v>
      </c>
      <c r="J1903" s="230"/>
      <c r="K1903" s="245" t="s">
        <v>266</v>
      </c>
      <c r="L1903" s="266">
        <f>C1903/I1903</f>
        <v>3.1533333333333338</v>
      </c>
      <c r="M1903" s="267">
        <f>D1903/I1903</f>
        <v>3.2933333333333334</v>
      </c>
      <c r="N1903" s="267">
        <f>D1903/C1903</f>
        <v>1.0443974630021142</v>
      </c>
      <c r="O1903" s="239">
        <f>(F1903*3.6+G1903)*100/H1903</f>
        <v>78.926870193899234</v>
      </c>
      <c r="P1903" s="239">
        <f>(F1903*3.6+G1903)*100/H1903</f>
        <v>78.926870193899234</v>
      </c>
      <c r="Q1903" s="267">
        <f>F1903/(C1903*8760)*1000</f>
        <v>0.51643787347833214</v>
      </c>
      <c r="R1903" s="267">
        <f>G1903/(D1903*8761)*1000/3.6</f>
        <v>0.50787961286943006</v>
      </c>
      <c r="S1903" s="268">
        <f>G1903/(F1903*3.6)</f>
        <v>1.0272072549218143</v>
      </c>
      <c r="Z1903" s="214">
        <f t="shared" si="645"/>
        <v>0</v>
      </c>
      <c r="AA1903" s="214">
        <f t="shared" si="646"/>
        <v>0</v>
      </c>
    </row>
    <row r="1904" spans="1:27">
      <c r="A1904" s="353" t="s">
        <v>267</v>
      </c>
      <c r="B1904" s="218">
        <v>1.05</v>
      </c>
      <c r="C1904" s="473">
        <v>1.05</v>
      </c>
      <c r="D1904" s="210">
        <v>0.75800000000000001</v>
      </c>
      <c r="E1904" s="427">
        <v>0.52700000000000002</v>
      </c>
      <c r="F1904" s="483">
        <v>0.52700000000000002</v>
      </c>
      <c r="G1904" s="427">
        <v>35</v>
      </c>
      <c r="H1904" s="428">
        <v>40.850999999999999</v>
      </c>
      <c r="I1904" s="429">
        <v>1</v>
      </c>
      <c r="J1904" s="230"/>
      <c r="K1904" s="245" t="s">
        <v>267</v>
      </c>
      <c r="L1904" s="266"/>
      <c r="M1904" s="267"/>
      <c r="N1904" s="267"/>
      <c r="O1904" s="239"/>
      <c r="P1904" s="272"/>
      <c r="Q1904" s="272"/>
      <c r="R1904" s="274"/>
      <c r="S1904" s="275"/>
      <c r="U1904" s="214" t="s">
        <v>553</v>
      </c>
      <c r="V1904" s="214">
        <f>H1925/1000</f>
        <v>10.960747</v>
      </c>
      <c r="Z1904" s="214">
        <f t="shared" si="645"/>
        <v>0</v>
      </c>
      <c r="AA1904" s="214">
        <f t="shared" si="646"/>
        <v>0</v>
      </c>
    </row>
    <row r="1905" spans="1:27">
      <c r="A1905" s="276" t="s">
        <v>500</v>
      </c>
      <c r="B1905" s="277">
        <f t="shared" ref="B1905:I1905" si="647">SUM(B1899:B1904)</f>
        <v>114.11999999999999</v>
      </c>
      <c r="C1905" s="277">
        <f t="shared" si="647"/>
        <v>114.11999999999999</v>
      </c>
      <c r="D1905" s="277">
        <f t="shared" si="647"/>
        <v>525.16700000000003</v>
      </c>
      <c r="E1905" s="277">
        <f t="shared" si="647"/>
        <v>390.01799999999997</v>
      </c>
      <c r="F1905" s="277">
        <f t="shared" si="647"/>
        <v>390.01799999999997</v>
      </c>
      <c r="G1905" s="277">
        <f t="shared" si="647"/>
        <v>9186.3670000000002</v>
      </c>
      <c r="H1905" s="277">
        <f t="shared" si="647"/>
        <v>11783.355000000001</v>
      </c>
      <c r="I1905" s="278">
        <f t="shared" si="647"/>
        <v>20</v>
      </c>
      <c r="J1905" s="244"/>
      <c r="K1905" s="279" t="s">
        <v>169</v>
      </c>
      <c r="L1905" s="280">
        <f>C1905/I1905</f>
        <v>5.7059999999999995</v>
      </c>
      <c r="M1905" s="281">
        <f>D1905/I1905</f>
        <v>26.25835</v>
      </c>
      <c r="N1905" s="281">
        <f>D1905/C1905</f>
        <v>4.6018839817735726</v>
      </c>
      <c r="O1905" s="282">
        <f>(F1905*3.6+G1905)*100/H1905</f>
        <v>89.876200793407293</v>
      </c>
      <c r="P1905" s="282">
        <f>(F1905*3.6+G1905)*100/H1905</f>
        <v>89.876200793407293</v>
      </c>
      <c r="Q1905" s="283">
        <f>F1905/(C1905*8760)*1000</f>
        <v>0.39013847476100616</v>
      </c>
      <c r="R1905" s="283">
        <f>G1905/(D1905*8761)*1000/3.6</f>
        <v>0.55461317500931639</v>
      </c>
      <c r="S1905" s="284">
        <f>G1905/(F1905*3.6)</f>
        <v>6.5426944682325212</v>
      </c>
      <c r="U1905" s="214" t="s">
        <v>554</v>
      </c>
      <c r="V1905" s="214">
        <f>H1931/1000</f>
        <v>0</v>
      </c>
    </row>
    <row r="1906" spans="1:27">
      <c r="A1906" s="285" t="s">
        <v>501</v>
      </c>
      <c r="B1906" s="228" t="s">
        <v>476</v>
      </c>
      <c r="C1906" s="228"/>
      <c r="D1906" s="286"/>
      <c r="E1906" s="227" t="s">
        <v>477</v>
      </c>
      <c r="F1906" s="228"/>
      <c r="G1906" s="229"/>
      <c r="H1906" s="200" t="s">
        <v>138</v>
      </c>
      <c r="I1906" s="354" t="s">
        <v>478</v>
      </c>
      <c r="J1906" s="244"/>
      <c r="K1906" s="287" t="s">
        <v>501</v>
      </c>
      <c r="L1906" s="288" t="s">
        <v>479</v>
      </c>
      <c r="M1906" s="228"/>
      <c r="N1906" s="286"/>
      <c r="O1906" s="227" t="s">
        <v>480</v>
      </c>
      <c r="P1906" s="228"/>
      <c r="Q1906" s="228"/>
      <c r="R1906" s="229"/>
      <c r="S1906" s="289"/>
      <c r="U1906" s="214" t="s">
        <v>555</v>
      </c>
      <c r="V1906" s="214">
        <f>H1933/1000</f>
        <v>0.55330100000000004</v>
      </c>
    </row>
    <row r="1907" spans="1:27">
      <c r="A1907" s="266"/>
      <c r="B1907" s="240" t="s">
        <v>481</v>
      </c>
      <c r="C1907" s="240"/>
      <c r="D1907" s="241" t="s">
        <v>34</v>
      </c>
      <c r="E1907" s="242" t="s">
        <v>482</v>
      </c>
      <c r="F1907" s="243"/>
      <c r="G1907" s="244" t="s">
        <v>34</v>
      </c>
      <c r="H1907" s="241" t="s">
        <v>170</v>
      </c>
      <c r="I1907" s="349" t="s">
        <v>483</v>
      </c>
      <c r="J1907" s="244"/>
      <c r="K1907" s="245"/>
      <c r="L1907" s="246" t="s">
        <v>484</v>
      </c>
      <c r="M1907" s="247"/>
      <c r="N1907" s="248" t="s">
        <v>485</v>
      </c>
      <c r="O1907" s="248" t="s">
        <v>486</v>
      </c>
      <c r="P1907" s="248" t="s">
        <v>486</v>
      </c>
      <c r="Q1907" s="247" t="s">
        <v>487</v>
      </c>
      <c r="R1907" s="249"/>
      <c r="S1907" s="250" t="s">
        <v>485</v>
      </c>
      <c r="U1907" s="214" t="s">
        <v>556</v>
      </c>
      <c r="V1907" s="214">
        <f>H1938/1000</f>
        <v>8.5879220000000007</v>
      </c>
    </row>
    <row r="1908" spans="1:27">
      <c r="A1908" s="350" t="s">
        <v>488</v>
      </c>
      <c r="B1908" s="252" t="s">
        <v>0</v>
      </c>
      <c r="C1908" s="252" t="s">
        <v>489</v>
      </c>
      <c r="D1908" s="252" t="s">
        <v>490</v>
      </c>
      <c r="E1908" s="252" t="s">
        <v>491</v>
      </c>
      <c r="F1908" s="252" t="s">
        <v>489</v>
      </c>
      <c r="G1908" s="230" t="s">
        <v>490</v>
      </c>
      <c r="H1908" s="248"/>
      <c r="I1908" s="349" t="s">
        <v>492</v>
      </c>
      <c r="J1908" s="244"/>
      <c r="K1908" s="253" t="s">
        <v>488</v>
      </c>
      <c r="L1908" s="254" t="s">
        <v>88</v>
      </c>
      <c r="M1908" s="252" t="s">
        <v>34</v>
      </c>
      <c r="N1908" s="252" t="s">
        <v>493</v>
      </c>
      <c r="O1908" s="248" t="s">
        <v>494</v>
      </c>
      <c r="P1908" s="248" t="s">
        <v>495</v>
      </c>
      <c r="Q1908" s="230" t="s">
        <v>88</v>
      </c>
      <c r="R1908" s="248" t="s">
        <v>34</v>
      </c>
      <c r="S1908" s="255" t="s">
        <v>88</v>
      </c>
      <c r="U1908" s="214" t="s">
        <v>557</v>
      </c>
      <c r="V1908" s="214">
        <f>H1929/1000</f>
        <v>0.52120699999999998</v>
      </c>
    </row>
    <row r="1909" spans="1:27">
      <c r="A1909" s="266"/>
      <c r="B1909" s="257" t="s">
        <v>496</v>
      </c>
      <c r="C1909" s="256" t="s">
        <v>496</v>
      </c>
      <c r="D1909" s="256" t="s">
        <v>496</v>
      </c>
      <c r="E1909" s="256" t="s">
        <v>473</v>
      </c>
      <c r="F1909" s="256" t="s">
        <v>473</v>
      </c>
      <c r="G1909" s="259" t="s">
        <v>451</v>
      </c>
      <c r="H1909" s="257" t="s">
        <v>497</v>
      </c>
      <c r="I1909" s="351" t="s">
        <v>498</v>
      </c>
      <c r="J1909" s="244"/>
      <c r="K1909" s="245"/>
      <c r="L1909" s="258" t="s">
        <v>496</v>
      </c>
      <c r="M1909" s="256" t="s">
        <v>496</v>
      </c>
      <c r="N1909" s="256"/>
      <c r="O1909" s="257" t="s">
        <v>79</v>
      </c>
      <c r="P1909" s="257" t="s">
        <v>79</v>
      </c>
      <c r="Q1909" s="259"/>
      <c r="R1909" s="257"/>
      <c r="S1909" s="260"/>
      <c r="U1909" s="214" t="s">
        <v>558</v>
      </c>
      <c r="V1909" s="214">
        <f>(H1926+H1927+H1928+H1930+H1932+H1934+H1935+H1936+H1937+H1939+H1940+H1941+H1942+H1943)/1000</f>
        <v>1.2983169999999997</v>
      </c>
    </row>
    <row r="1910" spans="1:27">
      <c r="A1910" s="352" t="s">
        <v>262</v>
      </c>
      <c r="B1910" s="428"/>
      <c r="C1910" s="428"/>
      <c r="D1910" s="428"/>
      <c r="E1910" s="428"/>
      <c r="F1910" s="428"/>
      <c r="G1910" s="428"/>
      <c r="H1910" s="428"/>
      <c r="I1910" s="441"/>
      <c r="J1910" s="244"/>
      <c r="K1910" s="265" t="s">
        <v>262</v>
      </c>
      <c r="L1910" s="266" t="e">
        <f>B1910/I1910</f>
        <v>#DIV/0!</v>
      </c>
      <c r="M1910" s="267" t="e">
        <f>D1910/I1910</f>
        <v>#DIV/0!</v>
      </c>
      <c r="N1910" s="267" t="e">
        <f>D1910/B1910</f>
        <v>#DIV/0!</v>
      </c>
      <c r="O1910" s="239" t="e">
        <f>(F1910*3.6+G1910)*100/H1910</f>
        <v>#DIV/0!</v>
      </c>
      <c r="P1910" s="267" t="e">
        <f>(E1910*3.6+G1910)*100/H1910</f>
        <v>#DIV/0!</v>
      </c>
      <c r="Q1910" s="267" t="e">
        <f>E1910/(B1910*8760)*1000</f>
        <v>#DIV/0!</v>
      </c>
      <c r="R1910" s="267" t="e">
        <f>G1910/(D1910*8761)*1000/3.6</f>
        <v>#DIV/0!</v>
      </c>
      <c r="S1910" s="268" t="e">
        <f>G1910/(E1910*3.6)</f>
        <v>#DIV/0!</v>
      </c>
      <c r="Z1910" s="214">
        <f t="shared" ref="Z1910:Z1917" si="648">C1910-B1910</f>
        <v>0</v>
      </c>
      <c r="AA1910" s="214">
        <f t="shared" ref="AA1910:AA1917" si="649">F1910-E1910</f>
        <v>0</v>
      </c>
    </row>
    <row r="1911" spans="1:27">
      <c r="A1911" s="266" t="s">
        <v>263</v>
      </c>
      <c r="B1911" s="428">
        <v>135.5</v>
      </c>
      <c r="C1911" s="428">
        <v>787</v>
      </c>
      <c r="D1911" s="428">
        <v>353.78899999999999</v>
      </c>
      <c r="E1911" s="428">
        <v>252.33699999999999</v>
      </c>
      <c r="F1911" s="428">
        <v>4274.4449999999997</v>
      </c>
      <c r="G1911" s="428">
        <v>2517.2649999999999</v>
      </c>
      <c r="H1911" s="428">
        <v>47797.343999999997</v>
      </c>
      <c r="I1911" s="441">
        <v>2</v>
      </c>
      <c r="J1911" s="244"/>
      <c r="K1911" s="245" t="s">
        <v>263</v>
      </c>
      <c r="L1911" s="266">
        <f>B1911/I1911</f>
        <v>67.75</v>
      </c>
      <c r="M1911" s="267">
        <f>D1911/I1911</f>
        <v>176.89449999999999</v>
      </c>
      <c r="N1911" s="267">
        <f>D1911/B1911</f>
        <v>2.6109889298892988</v>
      </c>
      <c r="O1911" s="239">
        <f>(F1911*3.6+G1911)*100/H1911</f>
        <v>37.460799077036583</v>
      </c>
      <c r="P1911" s="267">
        <f>(E1911*3.6+G1911)*100/H1911</f>
        <v>7.1670890332316377</v>
      </c>
      <c r="Q1911" s="267">
        <f>E1911/(B1911*8760)*1000</f>
        <v>0.21258740669598475</v>
      </c>
      <c r="R1911" s="267">
        <f>G1911/(D1911*8761)*1000/3.6</f>
        <v>0.2255944601539111</v>
      </c>
      <c r="S1911" s="268">
        <f>G1911/(E1911*3.6)</f>
        <v>2.7710572677719787</v>
      </c>
      <c r="U1911" s="239" t="s">
        <v>152</v>
      </c>
      <c r="V1911" s="492">
        <f>B1926/1000</f>
        <v>0</v>
      </c>
      <c r="Z1911" s="214">
        <f t="shared" si="648"/>
        <v>651.5</v>
      </c>
      <c r="AA1911" s="214">
        <f t="shared" si="649"/>
        <v>4022.1079999999997</v>
      </c>
    </row>
    <row r="1912" spans="1:27">
      <c r="A1912" s="266" t="s">
        <v>499</v>
      </c>
      <c r="B1912" s="428">
        <v>83.28</v>
      </c>
      <c r="C1912" s="428">
        <v>83.28</v>
      </c>
      <c r="D1912" s="428">
        <v>324.71100000000001</v>
      </c>
      <c r="E1912" s="428">
        <v>217.375</v>
      </c>
      <c r="F1912" s="428">
        <v>330.49799999999999</v>
      </c>
      <c r="G1912" s="428">
        <v>3042.1</v>
      </c>
      <c r="H1912" s="428">
        <v>6092.7389999999996</v>
      </c>
      <c r="I1912" s="441">
        <v>2</v>
      </c>
      <c r="J1912" s="244"/>
      <c r="K1912" s="245" t="s">
        <v>499</v>
      </c>
      <c r="L1912" s="266">
        <f>B1912/I1912</f>
        <v>41.64</v>
      </c>
      <c r="M1912" s="267">
        <f>D1912/I1912</f>
        <v>162.35550000000001</v>
      </c>
      <c r="N1912" s="267">
        <f>D1912/B1912</f>
        <v>3.8990273775216138</v>
      </c>
      <c r="O1912" s="239">
        <f>(F1912*3.6+G1912)*100/H1912</f>
        <v>69.457969560160052</v>
      </c>
      <c r="P1912" s="267">
        <f>(E1912*3.6+G1912)*100/H1912</f>
        <v>62.773901852680709</v>
      </c>
      <c r="Q1912" s="267">
        <f>E1912/(B1912*8760)*1000</f>
        <v>0.29796466999153426</v>
      </c>
      <c r="R1912" s="267">
        <f>G1912/(D1912*8761)*1000/3.6</f>
        <v>0.29704367125751407</v>
      </c>
      <c r="S1912" s="268">
        <f>G1912/(E1912*3.6)</f>
        <v>3.8874193342278445</v>
      </c>
      <c r="U1912" s="239" t="s">
        <v>504</v>
      </c>
      <c r="V1912" s="492">
        <f t="shared" ref="V1912:V1928" si="650">B1927/1000</f>
        <v>0</v>
      </c>
      <c r="Z1912" s="214">
        <f t="shared" si="648"/>
        <v>0</v>
      </c>
      <c r="AA1912" s="214">
        <f t="shared" si="649"/>
        <v>113.12299999999999</v>
      </c>
    </row>
    <row r="1913" spans="1:27">
      <c r="A1913" s="266" t="s">
        <v>265</v>
      </c>
      <c r="B1913" s="320">
        <v>2.1</v>
      </c>
      <c r="C1913" s="320">
        <v>2.1</v>
      </c>
      <c r="D1913" s="320">
        <v>2.4</v>
      </c>
      <c r="E1913" s="320">
        <v>6.234</v>
      </c>
      <c r="F1913" s="319">
        <v>6.234</v>
      </c>
      <c r="G1913" s="321">
        <v>26.245000000000001</v>
      </c>
      <c r="H1913" s="319">
        <v>67.266000000000005</v>
      </c>
      <c r="I1913" s="370">
        <v>1</v>
      </c>
      <c r="J1913" s="244"/>
      <c r="K1913" s="245" t="s">
        <v>265</v>
      </c>
      <c r="L1913" s="266">
        <f>B1913/I1913</f>
        <v>2.1</v>
      </c>
      <c r="M1913" s="267">
        <f>D1913/I1913</f>
        <v>2.4</v>
      </c>
      <c r="N1913" s="267">
        <f>D1913/B1913</f>
        <v>1.1428571428571428</v>
      </c>
      <c r="O1913" s="239">
        <f>(F1913*3.6+G1913)*100/H1913</f>
        <v>72.380400202182372</v>
      </c>
      <c r="P1913" s="267">
        <f>(E1913*3.6+G1913)*100/H1913</f>
        <v>72.380400202182372</v>
      </c>
      <c r="Q1913" s="267">
        <f>E1913/(B1913*8760)*1000</f>
        <v>0.33887801696020875</v>
      </c>
      <c r="R1913" s="267">
        <f>G1913/(D1913*8761)*1000/3.6</f>
        <v>0.34672020782339241</v>
      </c>
      <c r="S1913" s="268">
        <f>G1913/(E1913*3.6)</f>
        <v>1.1694382062524509</v>
      </c>
      <c r="U1913" s="239" t="s">
        <v>505</v>
      </c>
      <c r="V1913" s="492">
        <f t="shared" si="650"/>
        <v>0</v>
      </c>
      <c r="Z1913" s="214">
        <f t="shared" si="648"/>
        <v>0</v>
      </c>
      <c r="AA1913" s="214">
        <f t="shared" si="649"/>
        <v>0</v>
      </c>
    </row>
    <row r="1914" spans="1:27">
      <c r="A1914" s="266" t="s">
        <v>266</v>
      </c>
      <c r="B1914" s="428">
        <v>3.6040000000000001</v>
      </c>
      <c r="C1914" s="428">
        <v>3.7879999999999994</v>
      </c>
      <c r="D1914" s="428">
        <v>5.1520000000000001</v>
      </c>
      <c r="E1914" s="428">
        <v>6.5949999999999998</v>
      </c>
      <c r="F1914" s="428">
        <v>18.449000000000002</v>
      </c>
      <c r="G1914" s="428">
        <v>34.253</v>
      </c>
      <c r="H1914" s="428">
        <v>220.34800000000001</v>
      </c>
      <c r="I1914" s="441">
        <v>6</v>
      </c>
      <c r="J1914" s="244"/>
      <c r="K1914" s="245" t="s">
        <v>266</v>
      </c>
      <c r="L1914" s="266">
        <f>B1914/I1914</f>
        <v>0.60066666666666668</v>
      </c>
      <c r="M1914" s="267">
        <f>D1914/I1914</f>
        <v>0.85866666666666669</v>
      </c>
      <c r="N1914" s="267">
        <f>D1914/B1914</f>
        <v>1.4295227524972254</v>
      </c>
      <c r="O1914" s="239">
        <f>(F1914*3.6+G1914)*100/H1914</f>
        <v>45.686550365785031</v>
      </c>
      <c r="P1914" s="267">
        <f>(E1914*3.6+G1914)*100/H1914</f>
        <v>26.319730607947427</v>
      </c>
      <c r="Q1914" s="267">
        <f>E1914/(B1914*8760)*1000</f>
        <v>0.20889397371768556</v>
      </c>
      <c r="R1914" s="267">
        <f>G1914/(D1914*8761)*1000/3.6</f>
        <v>0.21079804515100764</v>
      </c>
      <c r="S1914" s="268">
        <f>G1914/(E1914*3.6)</f>
        <v>1.4427175469631877</v>
      </c>
      <c r="U1914" s="239" t="s">
        <v>506</v>
      </c>
      <c r="V1914" s="492">
        <f t="shared" si="650"/>
        <v>7.0000000000000001E-3</v>
      </c>
      <c r="Z1914" s="214">
        <f t="shared" si="648"/>
        <v>0.18399999999999928</v>
      </c>
      <c r="AA1914" s="214">
        <f t="shared" si="649"/>
        <v>11.854000000000003</v>
      </c>
    </row>
    <row r="1915" spans="1:27">
      <c r="A1915" s="353" t="s">
        <v>267</v>
      </c>
      <c r="B1915" s="428"/>
      <c r="C1915" s="428"/>
      <c r="D1915" s="428"/>
      <c r="E1915" s="428"/>
      <c r="F1915" s="428"/>
      <c r="G1915" s="428"/>
      <c r="H1915" s="428"/>
      <c r="I1915" s="430"/>
      <c r="J1915" s="244"/>
      <c r="K1915" s="245" t="s">
        <v>267</v>
      </c>
      <c r="L1915" s="266"/>
      <c r="M1915" s="267"/>
      <c r="N1915" s="267"/>
      <c r="O1915" s="239"/>
      <c r="P1915" s="267"/>
      <c r="Q1915" s="272"/>
      <c r="R1915" s="274"/>
      <c r="S1915" s="275"/>
      <c r="U1915" s="239" t="s">
        <v>507</v>
      </c>
      <c r="V1915" s="492">
        <f t="shared" si="650"/>
        <v>0</v>
      </c>
      <c r="Z1915" s="214">
        <f t="shared" si="648"/>
        <v>0</v>
      </c>
      <c r="AA1915" s="214">
        <f t="shared" si="649"/>
        <v>0</v>
      </c>
    </row>
    <row r="1916" spans="1:27">
      <c r="A1916" s="276" t="s">
        <v>500</v>
      </c>
      <c r="B1916" s="291">
        <f t="shared" ref="B1916:I1916" si="651">SUM(B1910:B1915)</f>
        <v>224.48400000000001</v>
      </c>
      <c r="C1916" s="291">
        <f t="shared" si="651"/>
        <v>876.16800000000001</v>
      </c>
      <c r="D1916" s="291">
        <f t="shared" si="651"/>
        <v>686.05200000000002</v>
      </c>
      <c r="E1916" s="291">
        <f t="shared" si="651"/>
        <v>482.541</v>
      </c>
      <c r="F1916" s="291">
        <f t="shared" si="651"/>
        <v>4629.6259999999993</v>
      </c>
      <c r="G1916" s="291">
        <f t="shared" si="651"/>
        <v>5619.8629999999994</v>
      </c>
      <c r="H1916" s="291">
        <f t="shared" si="651"/>
        <v>54177.697</v>
      </c>
      <c r="I1916" s="431">
        <f t="shared" si="651"/>
        <v>11</v>
      </c>
      <c r="J1916" s="244"/>
      <c r="K1916" s="279" t="s">
        <v>169</v>
      </c>
      <c r="L1916" s="280">
        <f>B1916/I1916</f>
        <v>20.407636363636364</v>
      </c>
      <c r="M1916" s="281">
        <f>D1916/I1916</f>
        <v>62.36836363636364</v>
      </c>
      <c r="N1916" s="281">
        <f>D1916/B1916</f>
        <v>3.0561287218688191</v>
      </c>
      <c r="O1916" s="294">
        <f>(F1916*3.6+G1916)*100/H1916</f>
        <v>41.135961537826162</v>
      </c>
      <c r="P1916" s="295">
        <f>(E1916*3.6+G1916)*100/H1916</f>
        <v>13.579408146492456</v>
      </c>
      <c r="Q1916" s="283">
        <f>E1916/(B1916*8760)*1000</f>
        <v>0.24538314107506945</v>
      </c>
      <c r="R1916" s="283">
        <f>G1916/(D1916*8761)*1000/3.6</f>
        <v>0.25972425709492108</v>
      </c>
      <c r="S1916" s="284">
        <f>G1916/(E1916*3.6)</f>
        <v>3.2351096705887281</v>
      </c>
      <c r="U1916" s="239" t="s">
        <v>156</v>
      </c>
      <c r="V1916" s="492">
        <f t="shared" si="650"/>
        <v>0</v>
      </c>
      <c r="Z1916" s="214">
        <f t="shared" si="648"/>
        <v>651.68399999999997</v>
      </c>
      <c r="AA1916" s="214">
        <f t="shared" si="649"/>
        <v>4147.0849999999991</v>
      </c>
    </row>
    <row r="1917" spans="1:27" ht="13.5" thickBot="1">
      <c r="A1917" s="296" t="s">
        <v>502</v>
      </c>
      <c r="B1917" s="297">
        <f t="shared" ref="B1917:I1917" si="652">B1905+B1916</f>
        <v>338.60399999999998</v>
      </c>
      <c r="C1917" s="297">
        <f t="shared" si="652"/>
        <v>990.28800000000001</v>
      </c>
      <c r="D1917" s="297">
        <f t="shared" si="652"/>
        <v>1211.2190000000001</v>
      </c>
      <c r="E1917" s="297">
        <f t="shared" si="652"/>
        <v>872.55899999999997</v>
      </c>
      <c r="F1917" s="297">
        <f t="shared" si="652"/>
        <v>5019.6439999999993</v>
      </c>
      <c r="G1917" s="297">
        <f t="shared" si="652"/>
        <v>14806.23</v>
      </c>
      <c r="H1917" s="297">
        <f t="shared" si="652"/>
        <v>65961.051999999996</v>
      </c>
      <c r="I1917" s="432">
        <f t="shared" si="652"/>
        <v>31</v>
      </c>
      <c r="J1917" s="244"/>
      <c r="K1917" s="296" t="s">
        <v>502</v>
      </c>
      <c r="L1917" s="299">
        <f>B1917/I1917</f>
        <v>10.922709677419354</v>
      </c>
      <c r="M1917" s="300">
        <f>D1917/I1917</f>
        <v>39.071580645161291</v>
      </c>
      <c r="N1917" s="300">
        <f>D1917/B1917</f>
        <v>3.5770959587010198</v>
      </c>
      <c r="O1917" s="301">
        <f>(F1917*3.6+G1917)*100/H1917</f>
        <v>49.842971576620691</v>
      </c>
      <c r="P1917" s="301">
        <f>(E1917*3.6+G1917)*100/H1917</f>
        <v>27.209151242766719</v>
      </c>
      <c r="Q1917" s="301">
        <f>E1917/(B1917*8760)*1000</f>
        <v>0.29417015682278386</v>
      </c>
      <c r="R1917" s="301">
        <f>G1917/(D1917*8761)*1000/3.6</f>
        <v>0.38758381705422595</v>
      </c>
      <c r="S1917" s="302">
        <f>G1917/(E1917*3.6)</f>
        <v>4.7135399058019765</v>
      </c>
      <c r="U1917" s="239" t="s">
        <v>508</v>
      </c>
      <c r="V1917" s="492">
        <f t="shared" si="650"/>
        <v>0</v>
      </c>
      <c r="Z1917" s="214">
        <f t="shared" si="648"/>
        <v>651.68399999999997</v>
      </c>
      <c r="AA1917" s="214">
        <f t="shared" si="649"/>
        <v>4147.0849999999991</v>
      </c>
    </row>
    <row r="1918" spans="1:27">
      <c r="U1918" s="239" t="s">
        <v>509</v>
      </c>
      <c r="V1918" s="492">
        <f t="shared" si="650"/>
        <v>7.3600000000000002E-3</v>
      </c>
    </row>
    <row r="1919" spans="1:27">
      <c r="A1919" s="251" t="s">
        <v>139</v>
      </c>
      <c r="B1919" s="227" t="s">
        <v>476</v>
      </c>
      <c r="C1919" s="228"/>
      <c r="D1919" s="286"/>
      <c r="E1919" s="227" t="s">
        <v>477</v>
      </c>
      <c r="F1919" s="228"/>
      <c r="G1919" s="229"/>
      <c r="H1919" s="200" t="s">
        <v>138</v>
      </c>
      <c r="I1919" s="200" t="s">
        <v>478</v>
      </c>
      <c r="J1919" s="230"/>
      <c r="K1919" s="303" t="s">
        <v>503</v>
      </c>
      <c r="L1919" s="227" t="s">
        <v>479</v>
      </c>
      <c r="M1919" s="228"/>
      <c r="N1919" s="286"/>
      <c r="O1919" s="227" t="s">
        <v>480</v>
      </c>
      <c r="P1919" s="228"/>
      <c r="Q1919" s="228"/>
      <c r="R1919" s="229"/>
      <c r="S1919" s="286"/>
      <c r="U1919" s="239" t="s">
        <v>510</v>
      </c>
      <c r="V1919" s="492">
        <f t="shared" si="650"/>
        <v>0</v>
      </c>
    </row>
    <row r="1920" spans="1:27">
      <c r="A1920" s="239"/>
      <c r="B1920" s="240" t="s">
        <v>9</v>
      </c>
      <c r="C1920" s="240"/>
      <c r="D1920" s="241" t="s">
        <v>34</v>
      </c>
      <c r="E1920" s="242" t="s">
        <v>88</v>
      </c>
      <c r="F1920" s="243"/>
      <c r="G1920" s="244" t="s">
        <v>34</v>
      </c>
      <c r="H1920" s="241" t="s">
        <v>170</v>
      </c>
      <c r="I1920" s="241" t="s">
        <v>483</v>
      </c>
      <c r="J1920" s="230"/>
      <c r="K1920" s="305"/>
      <c r="L1920" s="306" t="s">
        <v>484</v>
      </c>
      <c r="M1920" s="247"/>
      <c r="N1920" s="248" t="s">
        <v>485</v>
      </c>
      <c r="O1920" s="248" t="s">
        <v>486</v>
      </c>
      <c r="P1920" s="248" t="s">
        <v>486</v>
      </c>
      <c r="Q1920" s="247" t="s">
        <v>487</v>
      </c>
      <c r="R1920" s="249"/>
      <c r="S1920" s="307" t="s">
        <v>485</v>
      </c>
      <c r="U1920" s="239" t="s">
        <v>511</v>
      </c>
      <c r="V1920" s="492">
        <f t="shared" si="650"/>
        <v>0</v>
      </c>
    </row>
    <row r="1921" spans="1:27">
      <c r="A1921" s="239"/>
      <c r="B1921" s="252" t="s">
        <v>0</v>
      </c>
      <c r="C1921" s="252" t="s">
        <v>489</v>
      </c>
      <c r="D1921" s="252" t="s">
        <v>490</v>
      </c>
      <c r="E1921" s="252" t="s">
        <v>491</v>
      </c>
      <c r="F1921" s="252" t="s">
        <v>489</v>
      </c>
      <c r="G1921" s="230" t="s">
        <v>490</v>
      </c>
      <c r="H1921" s="248"/>
      <c r="I1921" s="241" t="s">
        <v>492</v>
      </c>
      <c r="J1921" s="230"/>
      <c r="K1921" s="305"/>
      <c r="L1921" s="248" t="s">
        <v>88</v>
      </c>
      <c r="M1921" s="252" t="s">
        <v>34</v>
      </c>
      <c r="N1921" s="252" t="s">
        <v>493</v>
      </c>
      <c r="O1921" s="248" t="s">
        <v>494</v>
      </c>
      <c r="P1921" s="248" t="s">
        <v>495</v>
      </c>
      <c r="Q1921" s="230" t="s">
        <v>88</v>
      </c>
      <c r="R1921" s="248" t="s">
        <v>34</v>
      </c>
      <c r="S1921" s="252" t="s">
        <v>88</v>
      </c>
      <c r="U1921" s="239" t="s">
        <v>512</v>
      </c>
      <c r="V1921" s="492">
        <f t="shared" si="650"/>
        <v>1.1122E-2</v>
      </c>
    </row>
    <row r="1922" spans="1:27">
      <c r="A1922" s="239"/>
      <c r="B1922" s="257" t="s">
        <v>496</v>
      </c>
      <c r="C1922" s="256" t="s">
        <v>496</v>
      </c>
      <c r="D1922" s="256" t="s">
        <v>496</v>
      </c>
      <c r="E1922" s="256" t="s">
        <v>473</v>
      </c>
      <c r="F1922" s="257" t="s">
        <v>473</v>
      </c>
      <c r="G1922" s="259" t="s">
        <v>451</v>
      </c>
      <c r="H1922" s="257" t="s">
        <v>497</v>
      </c>
      <c r="I1922" s="257" t="s">
        <v>498</v>
      </c>
      <c r="J1922" s="230"/>
      <c r="K1922" s="305"/>
      <c r="L1922" s="257" t="s">
        <v>496</v>
      </c>
      <c r="M1922" s="256" t="s">
        <v>496</v>
      </c>
      <c r="N1922" s="256"/>
      <c r="O1922" s="257" t="s">
        <v>79</v>
      </c>
      <c r="P1922" s="257" t="s">
        <v>79</v>
      </c>
      <c r="Q1922" s="259"/>
      <c r="R1922" s="257"/>
      <c r="S1922" s="256"/>
      <c r="U1922" s="239" t="s">
        <v>513</v>
      </c>
      <c r="V1922" s="492">
        <f t="shared" si="650"/>
        <v>5.0300000000000006E-3</v>
      </c>
    </row>
    <row r="1923" spans="1:27">
      <c r="A1923" s="251" t="s">
        <v>150</v>
      </c>
      <c r="B1923" s="356">
        <v>235.76400000000001</v>
      </c>
      <c r="C1923" s="357">
        <v>887.26400000000001</v>
      </c>
      <c r="D1923" s="358">
        <v>709.73500000000001</v>
      </c>
      <c r="E1923" s="356">
        <v>564.16499999999996</v>
      </c>
      <c r="F1923" s="217">
        <v>4699.2560000000003</v>
      </c>
      <c r="G1923" s="219">
        <v>6130.91</v>
      </c>
      <c r="H1923" s="359">
        <v>55000.334999999999</v>
      </c>
      <c r="I1923" s="219">
        <v>7</v>
      </c>
      <c r="J1923" s="244"/>
      <c r="K1923" s="303" t="s">
        <v>150</v>
      </c>
      <c r="L1923" s="312">
        <f>B1923/I1923</f>
        <v>33.680571428571433</v>
      </c>
      <c r="M1923" s="313">
        <f>D1923/I1923</f>
        <v>101.39071428571428</v>
      </c>
      <c r="N1923" s="313">
        <f>D1923/B1923</f>
        <v>3.0103620569722263</v>
      </c>
      <c r="O1923" s="312">
        <f>(F1923*3.6+G1923)*100/H1923</f>
        <v>41.905620393039428</v>
      </c>
      <c r="P1923" s="313">
        <f>(E1923*3.6+G1923)*100/H1923</f>
        <v>14.839735067068226</v>
      </c>
      <c r="Q1923" s="313">
        <f>E1923/(B1923*8760)*1000</f>
        <v>0.27316467849321341</v>
      </c>
      <c r="R1923" s="313">
        <f>G1923/(D1923*8761)*1000/3.6</f>
        <v>0.27388770512313215</v>
      </c>
      <c r="S1923" s="313">
        <f>G1923/(E1923*3.6)</f>
        <v>3.0186745997280151</v>
      </c>
      <c r="U1923" s="239" t="s">
        <v>514</v>
      </c>
      <c r="V1923" s="492">
        <f t="shared" si="650"/>
        <v>6.5549999999999997E-2</v>
      </c>
      <c r="Z1923" s="214">
        <f>C1923-B1923</f>
        <v>651.5</v>
      </c>
      <c r="AA1923" s="214">
        <f>F1923-E1923</f>
        <v>4135.0910000000003</v>
      </c>
    </row>
    <row r="1924" spans="1:27">
      <c r="A1924" s="239"/>
      <c r="B1924" s="252"/>
      <c r="C1924" s="252"/>
      <c r="D1924" s="252"/>
      <c r="E1924" s="267"/>
      <c r="F1924" s="267"/>
      <c r="G1924" s="248"/>
      <c r="H1924" s="252"/>
      <c r="I1924" s="248"/>
      <c r="J1924" s="230"/>
      <c r="K1924" s="239"/>
      <c r="L1924" s="312"/>
      <c r="M1924" s="267"/>
      <c r="N1924" s="267"/>
      <c r="O1924" s="239"/>
      <c r="P1924" s="313"/>
      <c r="Q1924" s="267"/>
      <c r="R1924" s="267"/>
      <c r="S1924" s="239"/>
      <c r="U1924" s="239" t="s">
        <v>515</v>
      </c>
      <c r="V1924" s="492">
        <f t="shared" si="650"/>
        <v>0</v>
      </c>
      <c r="Z1924" s="214">
        <f t="shared" ref="Z1924:Z1944" si="653">C1924-B1924</f>
        <v>0</v>
      </c>
      <c r="AA1924" s="214">
        <f t="shared" ref="AA1924:AA1944" si="654">F1924-E1924</f>
        <v>0</v>
      </c>
    </row>
    <row r="1925" spans="1:27">
      <c r="A1925" s="312" t="s">
        <v>7</v>
      </c>
      <c r="B1925" s="205">
        <f>SUM(B1926:B1943)</f>
        <v>102.83999999999999</v>
      </c>
      <c r="C1925" s="205">
        <f t="shared" ref="C1925:I1925" si="655">SUM(C1926:C1943)</f>
        <v>103.024</v>
      </c>
      <c r="D1925" s="205">
        <f t="shared" si="655"/>
        <v>501.48400000000004</v>
      </c>
      <c r="E1925" s="205">
        <f t="shared" si="655"/>
        <v>308.39400000000001</v>
      </c>
      <c r="F1925" s="205">
        <f t="shared" si="655"/>
        <v>320.38799999999998</v>
      </c>
      <c r="G1925" s="205">
        <f t="shared" si="655"/>
        <v>8674.9199999999983</v>
      </c>
      <c r="H1925" s="205">
        <f t="shared" si="655"/>
        <v>10960.746999999999</v>
      </c>
      <c r="I1925" s="205">
        <f t="shared" si="655"/>
        <v>24</v>
      </c>
      <c r="J1925" s="244"/>
      <c r="K1925" s="318" t="s">
        <v>7</v>
      </c>
      <c r="L1925" s="312">
        <f>B1925/I1925</f>
        <v>4.2849999999999993</v>
      </c>
      <c r="M1925" s="313">
        <f>D1925/I1925</f>
        <v>20.895166666666668</v>
      </c>
      <c r="N1925" s="313">
        <f>D1925/B1925</f>
        <v>4.8763516141579162</v>
      </c>
      <c r="O1925" s="312">
        <f t="shared" ref="O1925:O1942" si="656">(F1925*3.6+G1925)*100/H1925</f>
        <v>89.668311840424735</v>
      </c>
      <c r="P1925" s="313">
        <f>(E1925*3.6+G1925)*100/H1925</f>
        <v>89.27437518628976</v>
      </c>
      <c r="Q1925" s="313">
        <f>E1925/(B1925*8760)*1000</f>
        <v>0.34232588993142699</v>
      </c>
      <c r="R1925" s="313">
        <f>G1925/(D1925*8761)*1000/3.6</f>
        <v>0.54846916440806326</v>
      </c>
      <c r="S1925" s="313">
        <f>G1925/(E1925*3.6)</f>
        <v>7.8137058438231595</v>
      </c>
      <c r="U1925" s="239" t="s">
        <v>516</v>
      </c>
      <c r="V1925" s="492">
        <f t="shared" si="650"/>
        <v>3.7699999999999999E-3</v>
      </c>
      <c r="Z1925" s="214">
        <f t="shared" si="653"/>
        <v>0.18400000000001171</v>
      </c>
      <c r="AA1925" s="214">
        <f t="shared" si="654"/>
        <v>11.993999999999971</v>
      </c>
    </row>
    <row r="1926" spans="1:27">
      <c r="A1926" s="239" t="s">
        <v>152</v>
      </c>
      <c r="B1926" s="239"/>
      <c r="C1926" s="239"/>
      <c r="D1926" s="239"/>
      <c r="E1926" s="239"/>
      <c r="F1926" s="239"/>
      <c r="G1926" s="239"/>
      <c r="H1926" s="239"/>
      <c r="I1926" s="239"/>
      <c r="J1926" s="230"/>
      <c r="K1926" s="305" t="s">
        <v>152</v>
      </c>
      <c r="L1926" s="239" t="e">
        <f t="shared" ref="L1926:L1942" si="657">B1926/I1926</f>
        <v>#DIV/0!</v>
      </c>
      <c r="M1926" s="267" t="e">
        <f t="shared" ref="M1926:M1942" si="658">D1926/I1926</f>
        <v>#DIV/0!</v>
      </c>
      <c r="N1926" s="267" t="e">
        <f t="shared" ref="N1926:N1942" si="659">D1926/B1926</f>
        <v>#DIV/0!</v>
      </c>
      <c r="O1926" s="239" t="e">
        <f t="shared" si="656"/>
        <v>#DIV/0!</v>
      </c>
      <c r="P1926" s="267" t="e">
        <f t="shared" ref="P1926:P1942" si="660">(E1926*3.6+G1926)*100/H1926</f>
        <v>#DIV/0!</v>
      </c>
      <c r="Q1926" s="267" t="e">
        <f t="shared" ref="Q1926:Q1942" si="661">E1926/(B1926*8760)*1000</f>
        <v>#DIV/0!</v>
      </c>
      <c r="R1926" s="267" t="e">
        <f t="shared" ref="R1926:R1942" si="662">G1926/(D1926*8761)*1000/3.6</f>
        <v>#DIV/0!</v>
      </c>
      <c r="S1926" s="267" t="e">
        <f t="shared" ref="S1926:S1942" si="663">G1926/(E1926*3.6)</f>
        <v>#DIV/0!</v>
      </c>
      <c r="U1926" s="239" t="s">
        <v>517</v>
      </c>
      <c r="V1926" s="492">
        <f t="shared" si="650"/>
        <v>0</v>
      </c>
      <c r="Z1926" s="214">
        <f t="shared" si="653"/>
        <v>0</v>
      </c>
      <c r="AA1926" s="214">
        <f t="shared" si="654"/>
        <v>0</v>
      </c>
    </row>
    <row r="1927" spans="1:27">
      <c r="A1927" s="239" t="s">
        <v>504</v>
      </c>
      <c r="B1927" s="239"/>
      <c r="C1927" s="239"/>
      <c r="D1927" s="239"/>
      <c r="E1927" s="239"/>
      <c r="F1927" s="239"/>
      <c r="G1927" s="239"/>
      <c r="H1927" s="239"/>
      <c r="I1927" s="239"/>
      <c r="J1927" s="230"/>
      <c r="K1927" s="305" t="s">
        <v>504</v>
      </c>
      <c r="L1927" s="239" t="e">
        <f t="shared" si="657"/>
        <v>#DIV/0!</v>
      </c>
      <c r="M1927" s="267" t="e">
        <f t="shared" si="658"/>
        <v>#DIV/0!</v>
      </c>
      <c r="N1927" s="267" t="e">
        <f t="shared" si="659"/>
        <v>#DIV/0!</v>
      </c>
      <c r="O1927" s="239" t="e">
        <f t="shared" si="656"/>
        <v>#DIV/0!</v>
      </c>
      <c r="P1927" s="267" t="e">
        <f t="shared" si="660"/>
        <v>#DIV/0!</v>
      </c>
      <c r="Q1927" s="267" t="e">
        <f t="shared" si="661"/>
        <v>#DIV/0!</v>
      </c>
      <c r="R1927" s="267" t="e">
        <f t="shared" si="662"/>
        <v>#DIV/0!</v>
      </c>
      <c r="S1927" s="267" t="e">
        <f t="shared" si="663"/>
        <v>#DIV/0!</v>
      </c>
      <c r="U1927" s="239" t="s">
        <v>518</v>
      </c>
      <c r="V1927" s="492">
        <f t="shared" si="650"/>
        <v>3.0079999999999998E-3</v>
      </c>
      <c r="Z1927" s="214">
        <f t="shared" si="653"/>
        <v>0</v>
      </c>
      <c r="AA1927" s="214">
        <f t="shared" si="654"/>
        <v>0</v>
      </c>
    </row>
    <row r="1928" spans="1:27">
      <c r="A1928" s="239" t="s">
        <v>505</v>
      </c>
      <c r="B1928" s="239"/>
      <c r="C1928" s="239"/>
      <c r="D1928" s="239"/>
      <c r="E1928" s="239"/>
      <c r="F1928" s="239"/>
      <c r="G1928" s="239"/>
      <c r="H1928" s="239"/>
      <c r="I1928" s="239"/>
      <c r="J1928" s="230"/>
      <c r="K1928" s="305" t="s">
        <v>505</v>
      </c>
      <c r="L1928" s="239" t="e">
        <f t="shared" si="657"/>
        <v>#DIV/0!</v>
      </c>
      <c r="M1928" s="267" t="e">
        <f t="shared" si="658"/>
        <v>#DIV/0!</v>
      </c>
      <c r="N1928" s="267" t="e">
        <f t="shared" si="659"/>
        <v>#DIV/0!</v>
      </c>
      <c r="O1928" s="239" t="e">
        <f t="shared" si="656"/>
        <v>#DIV/0!</v>
      </c>
      <c r="P1928" s="267" t="e">
        <f t="shared" si="660"/>
        <v>#DIV/0!</v>
      </c>
      <c r="Q1928" s="267" t="e">
        <f t="shared" si="661"/>
        <v>#DIV/0!</v>
      </c>
      <c r="R1928" s="267" t="e">
        <f t="shared" si="662"/>
        <v>#DIV/0!</v>
      </c>
      <c r="S1928" s="267" t="e">
        <f t="shared" si="663"/>
        <v>#DIV/0!</v>
      </c>
      <c r="U1928" s="239" t="s">
        <v>519</v>
      </c>
      <c r="V1928" s="492">
        <f t="shared" si="650"/>
        <v>0</v>
      </c>
      <c r="Z1928" s="214">
        <f t="shared" si="653"/>
        <v>0</v>
      </c>
      <c r="AA1928" s="214">
        <f t="shared" si="654"/>
        <v>0</v>
      </c>
    </row>
    <row r="1929" spans="1:27">
      <c r="A1929" s="239" t="s">
        <v>506</v>
      </c>
      <c r="B1929" s="239">
        <v>7</v>
      </c>
      <c r="C1929" s="239">
        <v>7</v>
      </c>
      <c r="D1929" s="239">
        <v>15.993</v>
      </c>
      <c r="E1929" s="239">
        <v>15.811</v>
      </c>
      <c r="F1929" s="239">
        <v>15.811</v>
      </c>
      <c r="G1929" s="239">
        <v>412</v>
      </c>
      <c r="H1929" s="239">
        <v>521.20699999999999</v>
      </c>
      <c r="I1929" s="239">
        <v>1</v>
      </c>
      <c r="J1929" s="230"/>
      <c r="K1929" s="305" t="s">
        <v>506</v>
      </c>
      <c r="L1929" s="239">
        <f t="shared" si="657"/>
        <v>7</v>
      </c>
      <c r="M1929" s="267">
        <f t="shared" si="658"/>
        <v>15.993</v>
      </c>
      <c r="N1929" s="267">
        <f t="shared" si="659"/>
        <v>2.2847142857142857</v>
      </c>
      <c r="O1929" s="239">
        <f t="shared" si="656"/>
        <v>89.968016546209086</v>
      </c>
      <c r="P1929" s="267">
        <f t="shared" si="660"/>
        <v>89.968016546209086</v>
      </c>
      <c r="Q1929" s="267">
        <f t="shared" si="661"/>
        <v>0.25784409654272666</v>
      </c>
      <c r="R1929" s="267">
        <f t="shared" si="662"/>
        <v>0.81679128954927116</v>
      </c>
      <c r="S1929" s="267">
        <f t="shared" si="663"/>
        <v>7.2382799598029495</v>
      </c>
      <c r="Z1929" s="214">
        <f t="shared" si="653"/>
        <v>0</v>
      </c>
      <c r="AA1929" s="214">
        <f t="shared" si="654"/>
        <v>0</v>
      </c>
    </row>
    <row r="1930" spans="1:27">
      <c r="A1930" s="239" t="s">
        <v>507</v>
      </c>
      <c r="B1930" s="239"/>
      <c r="C1930" s="239"/>
      <c r="D1930" s="239"/>
      <c r="E1930" s="239"/>
      <c r="F1930" s="239"/>
      <c r="G1930" s="239"/>
      <c r="H1930" s="239"/>
      <c r="I1930" s="239"/>
      <c r="J1930" s="230"/>
      <c r="K1930" s="305" t="s">
        <v>507</v>
      </c>
      <c r="L1930" s="239" t="e">
        <f t="shared" si="657"/>
        <v>#DIV/0!</v>
      </c>
      <c r="M1930" s="267" t="e">
        <f t="shared" si="658"/>
        <v>#DIV/0!</v>
      </c>
      <c r="N1930" s="267" t="e">
        <f t="shared" si="659"/>
        <v>#DIV/0!</v>
      </c>
      <c r="O1930" s="239" t="e">
        <f t="shared" si="656"/>
        <v>#DIV/0!</v>
      </c>
      <c r="P1930" s="267" t="e">
        <f t="shared" si="660"/>
        <v>#DIV/0!</v>
      </c>
      <c r="Q1930" s="267" t="e">
        <f t="shared" si="661"/>
        <v>#DIV/0!</v>
      </c>
      <c r="R1930" s="267" t="e">
        <f t="shared" si="662"/>
        <v>#DIV/0!</v>
      </c>
      <c r="S1930" s="267" t="e">
        <f t="shared" si="663"/>
        <v>#DIV/0!</v>
      </c>
      <c r="Z1930" s="214">
        <f t="shared" si="653"/>
        <v>0</v>
      </c>
      <c r="AA1930" s="214">
        <f t="shared" si="654"/>
        <v>0</v>
      </c>
    </row>
    <row r="1931" spans="1:27">
      <c r="A1931" s="239" t="s">
        <v>156</v>
      </c>
      <c r="B1931" s="239"/>
      <c r="C1931" s="239"/>
      <c r="D1931" s="239"/>
      <c r="E1931" s="239"/>
      <c r="F1931" s="239"/>
      <c r="G1931" s="239"/>
      <c r="H1931" s="239"/>
      <c r="I1931" s="239"/>
      <c r="J1931" s="230"/>
      <c r="K1931" s="305" t="s">
        <v>156</v>
      </c>
      <c r="L1931" s="239" t="e">
        <f t="shared" si="657"/>
        <v>#DIV/0!</v>
      </c>
      <c r="M1931" s="267" t="e">
        <f t="shared" si="658"/>
        <v>#DIV/0!</v>
      </c>
      <c r="N1931" s="267" t="e">
        <f t="shared" si="659"/>
        <v>#DIV/0!</v>
      </c>
      <c r="O1931" s="322" t="e">
        <f t="shared" si="656"/>
        <v>#DIV/0!</v>
      </c>
      <c r="P1931" s="323" t="e">
        <f t="shared" si="660"/>
        <v>#DIV/0!</v>
      </c>
      <c r="Q1931" s="267" t="e">
        <f t="shared" si="661"/>
        <v>#DIV/0!</v>
      </c>
      <c r="R1931" s="267" t="e">
        <f t="shared" si="662"/>
        <v>#DIV/0!</v>
      </c>
      <c r="S1931" s="267" t="e">
        <f t="shared" si="663"/>
        <v>#DIV/0!</v>
      </c>
      <c r="Z1931" s="214">
        <f t="shared" si="653"/>
        <v>0</v>
      </c>
      <c r="AA1931" s="214">
        <f t="shared" si="654"/>
        <v>0</v>
      </c>
    </row>
    <row r="1932" spans="1:27">
      <c r="A1932" s="239" t="s">
        <v>508</v>
      </c>
      <c r="B1932" s="239"/>
      <c r="C1932" s="239"/>
      <c r="D1932" s="239"/>
      <c r="E1932" s="239"/>
      <c r="F1932" s="239"/>
      <c r="G1932" s="239"/>
      <c r="H1932" s="239"/>
      <c r="I1932" s="239"/>
      <c r="J1932" s="230"/>
      <c r="K1932" s="305" t="s">
        <v>508</v>
      </c>
      <c r="L1932" s="239" t="e">
        <f t="shared" si="657"/>
        <v>#DIV/0!</v>
      </c>
      <c r="M1932" s="267" t="e">
        <f t="shared" si="658"/>
        <v>#DIV/0!</v>
      </c>
      <c r="N1932" s="267" t="e">
        <f t="shared" si="659"/>
        <v>#DIV/0!</v>
      </c>
      <c r="O1932" s="239" t="e">
        <f t="shared" si="656"/>
        <v>#DIV/0!</v>
      </c>
      <c r="P1932" s="267" t="e">
        <f t="shared" si="660"/>
        <v>#DIV/0!</v>
      </c>
      <c r="Q1932" s="267" t="e">
        <f t="shared" si="661"/>
        <v>#DIV/0!</v>
      </c>
      <c r="R1932" s="267" t="e">
        <f t="shared" si="662"/>
        <v>#DIV/0!</v>
      </c>
      <c r="S1932" s="267" t="e">
        <f t="shared" si="663"/>
        <v>#DIV/0!</v>
      </c>
      <c r="Z1932" s="214">
        <f t="shared" si="653"/>
        <v>0</v>
      </c>
      <c r="AA1932" s="214">
        <f t="shared" si="654"/>
        <v>0</v>
      </c>
    </row>
    <row r="1933" spans="1:27">
      <c r="A1933" s="239" t="s">
        <v>509</v>
      </c>
      <c r="B1933" s="239">
        <v>7.36</v>
      </c>
      <c r="C1933" s="239">
        <v>7.36</v>
      </c>
      <c r="D1933" s="239">
        <v>16.585000000000001</v>
      </c>
      <c r="E1933" s="239">
        <v>16.838999999999999</v>
      </c>
      <c r="F1933" s="239">
        <v>16.890999999999998</v>
      </c>
      <c r="G1933" s="239">
        <v>421.21499999999997</v>
      </c>
      <c r="H1933" s="239">
        <v>553.30100000000004</v>
      </c>
      <c r="I1933" s="239">
        <v>4</v>
      </c>
      <c r="J1933" s="230"/>
      <c r="K1933" s="305" t="s">
        <v>509</v>
      </c>
      <c r="L1933" s="239">
        <f t="shared" si="657"/>
        <v>1.84</v>
      </c>
      <c r="M1933" s="267">
        <f t="shared" si="658"/>
        <v>4.1462500000000002</v>
      </c>
      <c r="N1933" s="267">
        <f t="shared" si="659"/>
        <v>2.2533967391304346</v>
      </c>
      <c r="O1933" s="239">
        <f t="shared" si="656"/>
        <v>87.117608679543309</v>
      </c>
      <c r="P1933" s="267">
        <f t="shared" si="660"/>
        <v>87.083775377235895</v>
      </c>
      <c r="Q1933" s="267">
        <f t="shared" si="661"/>
        <v>0.26117666765932096</v>
      </c>
      <c r="R1933" s="267">
        <f t="shared" si="662"/>
        <v>0.80525266649867067</v>
      </c>
      <c r="S1933" s="267">
        <f t="shared" si="663"/>
        <v>6.9484035077300712</v>
      </c>
      <c r="Z1933" s="214">
        <f t="shared" si="653"/>
        <v>0</v>
      </c>
      <c r="AA1933" s="214">
        <f t="shared" si="654"/>
        <v>5.1999999999999602E-2</v>
      </c>
    </row>
    <row r="1934" spans="1:27">
      <c r="A1934" s="239" t="s">
        <v>510</v>
      </c>
      <c r="B1934" s="239"/>
      <c r="C1934" s="239"/>
      <c r="D1934" s="239"/>
      <c r="E1934" s="239"/>
      <c r="F1934" s="239"/>
      <c r="G1934" s="239"/>
      <c r="H1934" s="239"/>
      <c r="I1934" s="239"/>
      <c r="J1934" s="230"/>
      <c r="K1934" s="305" t="s">
        <v>510</v>
      </c>
      <c r="L1934" s="239" t="e">
        <f t="shared" si="657"/>
        <v>#DIV/0!</v>
      </c>
      <c r="M1934" s="267" t="e">
        <f t="shared" si="658"/>
        <v>#DIV/0!</v>
      </c>
      <c r="N1934" s="267" t="e">
        <f t="shared" si="659"/>
        <v>#DIV/0!</v>
      </c>
      <c r="O1934" s="322" t="e">
        <f t="shared" si="656"/>
        <v>#DIV/0!</v>
      </c>
      <c r="P1934" s="323" t="e">
        <f t="shared" si="660"/>
        <v>#DIV/0!</v>
      </c>
      <c r="Q1934" s="267" t="e">
        <f t="shared" si="661"/>
        <v>#DIV/0!</v>
      </c>
      <c r="R1934" s="267" t="e">
        <f t="shared" si="662"/>
        <v>#DIV/0!</v>
      </c>
      <c r="S1934" s="267" t="e">
        <f t="shared" si="663"/>
        <v>#DIV/0!</v>
      </c>
      <c r="Z1934" s="214">
        <f t="shared" si="653"/>
        <v>0</v>
      </c>
      <c r="AA1934" s="214">
        <f t="shared" si="654"/>
        <v>0</v>
      </c>
    </row>
    <row r="1935" spans="1:27">
      <c r="A1935" s="239" t="s">
        <v>511</v>
      </c>
      <c r="B1935" s="239"/>
      <c r="C1935" s="239"/>
      <c r="D1935" s="239"/>
      <c r="E1935" s="239"/>
      <c r="F1935" s="239"/>
      <c r="G1935" s="239"/>
      <c r="H1935" s="239"/>
      <c r="I1935" s="239"/>
      <c r="J1935" s="230"/>
      <c r="K1935" s="305" t="s">
        <v>511</v>
      </c>
      <c r="L1935" s="239" t="e">
        <f t="shared" si="657"/>
        <v>#DIV/0!</v>
      </c>
      <c r="M1935" s="267" t="e">
        <f t="shared" si="658"/>
        <v>#DIV/0!</v>
      </c>
      <c r="N1935" s="267" t="e">
        <f t="shared" si="659"/>
        <v>#DIV/0!</v>
      </c>
      <c r="O1935" s="239" t="e">
        <f t="shared" si="656"/>
        <v>#DIV/0!</v>
      </c>
      <c r="P1935" s="267" t="e">
        <f t="shared" si="660"/>
        <v>#DIV/0!</v>
      </c>
      <c r="Q1935" s="267" t="e">
        <f t="shared" si="661"/>
        <v>#DIV/0!</v>
      </c>
      <c r="R1935" s="267" t="e">
        <f t="shared" si="662"/>
        <v>#DIV/0!</v>
      </c>
      <c r="S1935" s="267" t="e">
        <f t="shared" si="663"/>
        <v>#DIV/0!</v>
      </c>
      <c r="Z1935" s="214">
        <f t="shared" si="653"/>
        <v>0</v>
      </c>
      <c r="AA1935" s="214">
        <f t="shared" si="654"/>
        <v>0</v>
      </c>
    </row>
    <row r="1936" spans="1:27">
      <c r="A1936" s="239" t="s">
        <v>512</v>
      </c>
      <c r="B1936" s="239">
        <v>11.122</v>
      </c>
      <c r="C1936" s="239">
        <v>11.122</v>
      </c>
      <c r="D1936" s="239">
        <v>12.766</v>
      </c>
      <c r="E1936" s="239">
        <v>17.719000000000001</v>
      </c>
      <c r="F1936" s="239">
        <v>18.027000000000001</v>
      </c>
      <c r="G1936" s="239">
        <v>497.089</v>
      </c>
      <c r="H1936" s="239">
        <v>621.95699999999999</v>
      </c>
      <c r="I1936" s="239">
        <v>3</v>
      </c>
      <c r="J1936" s="230"/>
      <c r="K1936" s="305" t="s">
        <v>512</v>
      </c>
      <c r="L1936" s="239">
        <f t="shared" si="657"/>
        <v>3.7073333333333331</v>
      </c>
      <c r="M1936" s="267">
        <f t="shared" si="658"/>
        <v>4.2553333333333336</v>
      </c>
      <c r="N1936" s="267">
        <f t="shared" si="659"/>
        <v>1.1478151411616615</v>
      </c>
      <c r="O1936" s="239">
        <f t="shared" si="656"/>
        <v>90.357725694863149</v>
      </c>
      <c r="P1936" s="267">
        <f t="shared" si="660"/>
        <v>90.179449704722344</v>
      </c>
      <c r="Q1936" s="267">
        <f t="shared" si="661"/>
        <v>0.18186629158219464</v>
      </c>
      <c r="R1936" s="267">
        <f t="shared" si="662"/>
        <v>1.2345910708539383</v>
      </c>
      <c r="S1936" s="267">
        <f t="shared" si="663"/>
        <v>7.792780505546463</v>
      </c>
      <c r="Z1936" s="214">
        <f t="shared" si="653"/>
        <v>0</v>
      </c>
      <c r="AA1936" s="214">
        <f t="shared" si="654"/>
        <v>0.30799999999999983</v>
      </c>
    </row>
    <row r="1937" spans="1:27">
      <c r="A1937" s="239" t="s">
        <v>513</v>
      </c>
      <c r="B1937" s="239">
        <v>5.03</v>
      </c>
      <c r="C1937" s="239">
        <v>5.03</v>
      </c>
      <c r="D1937" s="239">
        <v>4.5999999999999996</v>
      </c>
      <c r="E1937" s="239">
        <v>0.51200000000000001</v>
      </c>
      <c r="F1937" s="239">
        <v>0.51200000000000001</v>
      </c>
      <c r="G1937" s="239">
        <v>14</v>
      </c>
      <c r="H1937" s="239">
        <v>18</v>
      </c>
      <c r="I1937" s="239">
        <v>1</v>
      </c>
      <c r="J1937" s="230"/>
      <c r="K1937" s="305" t="s">
        <v>513</v>
      </c>
      <c r="L1937" s="239">
        <f t="shared" si="657"/>
        <v>5.03</v>
      </c>
      <c r="M1937" s="267">
        <f t="shared" si="658"/>
        <v>4.5999999999999996</v>
      </c>
      <c r="N1937" s="267">
        <f t="shared" si="659"/>
        <v>0.91451292246520866</v>
      </c>
      <c r="O1937" s="239">
        <f t="shared" si="656"/>
        <v>88.017777777777781</v>
      </c>
      <c r="P1937" s="267">
        <f t="shared" si="660"/>
        <v>88.017777777777781</v>
      </c>
      <c r="Q1937" s="267">
        <f t="shared" si="661"/>
        <v>1.1619779042639141E-2</v>
      </c>
      <c r="R1937" s="267">
        <f t="shared" si="662"/>
        <v>9.649704691465856E-2</v>
      </c>
      <c r="S1937" s="267">
        <f t="shared" si="663"/>
        <v>7.5954861111111107</v>
      </c>
      <c r="Z1937" s="214">
        <f t="shared" si="653"/>
        <v>0</v>
      </c>
      <c r="AA1937" s="214">
        <f t="shared" si="654"/>
        <v>0</v>
      </c>
    </row>
    <row r="1938" spans="1:27">
      <c r="A1938" s="239" t="s">
        <v>514</v>
      </c>
      <c r="B1938" s="239">
        <v>65.55</v>
      </c>
      <c r="C1938" s="239">
        <v>65.55</v>
      </c>
      <c r="D1938" s="239">
        <v>429.42</v>
      </c>
      <c r="E1938" s="239">
        <v>242.74700000000001</v>
      </c>
      <c r="F1938" s="239">
        <v>242.74700000000001</v>
      </c>
      <c r="G1938" s="239">
        <v>6947.424</v>
      </c>
      <c r="H1938" s="239">
        <v>8587.9220000000005</v>
      </c>
      <c r="I1938" s="239">
        <v>7</v>
      </c>
      <c r="J1938" s="230"/>
      <c r="K1938" s="305" t="s">
        <v>514</v>
      </c>
      <c r="L1938" s="239">
        <f t="shared" si="657"/>
        <v>9.3642857142857139</v>
      </c>
      <c r="M1938" s="267">
        <f t="shared" si="658"/>
        <v>61.345714285714287</v>
      </c>
      <c r="N1938" s="267">
        <f t="shared" si="659"/>
        <v>6.551029748283753</v>
      </c>
      <c r="O1938" s="239">
        <f t="shared" si="656"/>
        <v>91.073407513482309</v>
      </c>
      <c r="P1938" s="267">
        <f t="shared" si="660"/>
        <v>91.073407513482309</v>
      </c>
      <c r="Q1938" s="267">
        <f t="shared" si="661"/>
        <v>0.42274362698487339</v>
      </c>
      <c r="R1938" s="267">
        <f t="shared" si="662"/>
        <v>0.51296219127037035</v>
      </c>
      <c r="S1938" s="267">
        <f t="shared" si="663"/>
        <v>7.9500055613457628</v>
      </c>
      <c r="Z1938" s="214">
        <f t="shared" si="653"/>
        <v>0</v>
      </c>
      <c r="AA1938" s="214">
        <f t="shared" si="654"/>
        <v>0</v>
      </c>
    </row>
    <row r="1939" spans="1:27">
      <c r="A1939" s="239" t="s">
        <v>515</v>
      </c>
      <c r="B1939" s="239"/>
      <c r="C1939" s="239"/>
      <c r="D1939" s="239"/>
      <c r="E1939" s="239"/>
      <c r="F1939" s="239"/>
      <c r="G1939" s="239"/>
      <c r="H1939" s="239"/>
      <c r="I1939" s="239"/>
      <c r="J1939" s="230"/>
      <c r="K1939" s="305" t="s">
        <v>515</v>
      </c>
      <c r="L1939" s="239" t="e">
        <f t="shared" si="657"/>
        <v>#DIV/0!</v>
      </c>
      <c r="M1939" s="267" t="e">
        <f t="shared" si="658"/>
        <v>#DIV/0!</v>
      </c>
      <c r="N1939" s="267" t="e">
        <f t="shared" si="659"/>
        <v>#DIV/0!</v>
      </c>
      <c r="O1939" s="239" t="e">
        <f t="shared" si="656"/>
        <v>#DIV/0!</v>
      </c>
      <c r="P1939" s="267" t="e">
        <f t="shared" si="660"/>
        <v>#DIV/0!</v>
      </c>
      <c r="Q1939" s="267" t="e">
        <f t="shared" si="661"/>
        <v>#DIV/0!</v>
      </c>
      <c r="R1939" s="267" t="e">
        <f t="shared" si="662"/>
        <v>#DIV/0!</v>
      </c>
      <c r="S1939" s="267" t="e">
        <f t="shared" si="663"/>
        <v>#DIV/0!</v>
      </c>
      <c r="Z1939" s="214">
        <f t="shared" si="653"/>
        <v>0</v>
      </c>
      <c r="AA1939" s="214">
        <f t="shared" si="654"/>
        <v>0</v>
      </c>
    </row>
    <row r="1940" spans="1:27">
      <c r="A1940" s="239" t="s">
        <v>516</v>
      </c>
      <c r="B1940" s="239">
        <v>3.77</v>
      </c>
      <c r="C1940" s="239">
        <v>3.77</v>
      </c>
      <c r="D1940" s="239">
        <v>12.348000000000001</v>
      </c>
      <c r="E1940" s="239">
        <v>8.0609999999999999</v>
      </c>
      <c r="F1940" s="239">
        <v>11.503</v>
      </c>
      <c r="G1940" s="239">
        <v>316.32100000000003</v>
      </c>
      <c r="H1940" s="239">
        <v>415.05799999999999</v>
      </c>
      <c r="I1940" s="239">
        <v>3</v>
      </c>
      <c r="J1940" s="244"/>
      <c r="K1940" s="239" t="s">
        <v>516</v>
      </c>
      <c r="L1940" s="239">
        <f t="shared" si="657"/>
        <v>1.2566666666666666</v>
      </c>
      <c r="M1940" s="267">
        <f t="shared" si="658"/>
        <v>4.1160000000000005</v>
      </c>
      <c r="N1940" s="267">
        <f t="shared" si="659"/>
        <v>3.2753315649867374</v>
      </c>
      <c r="O1940" s="239">
        <f t="shared" si="656"/>
        <v>86.188388128888008</v>
      </c>
      <c r="P1940" s="267">
        <f t="shared" si="660"/>
        <v>83.202974042182063</v>
      </c>
      <c r="Q1940" s="267">
        <f t="shared" si="661"/>
        <v>0.2440863340721631</v>
      </c>
      <c r="R1940" s="267">
        <f t="shared" si="662"/>
        <v>0.81222288707611334</v>
      </c>
      <c r="S1940" s="267">
        <f t="shared" si="663"/>
        <v>10.900253621690169</v>
      </c>
      <c r="Z1940" s="214">
        <f t="shared" si="653"/>
        <v>0</v>
      </c>
      <c r="AA1940" s="214">
        <f t="shared" si="654"/>
        <v>3.4420000000000002</v>
      </c>
    </row>
    <row r="1941" spans="1:27">
      <c r="A1941" s="239" t="s">
        <v>517</v>
      </c>
      <c r="B1941" s="239"/>
      <c r="C1941" s="239"/>
      <c r="D1941" s="239"/>
      <c r="E1941" s="239"/>
      <c r="F1941" s="239"/>
      <c r="G1941" s="239"/>
      <c r="H1941" s="239"/>
      <c r="I1941" s="239"/>
      <c r="K1941" s="239" t="s">
        <v>517</v>
      </c>
      <c r="L1941" s="239" t="e">
        <f t="shared" si="657"/>
        <v>#DIV/0!</v>
      </c>
      <c r="M1941" s="267" t="e">
        <f t="shared" si="658"/>
        <v>#DIV/0!</v>
      </c>
      <c r="N1941" s="267" t="e">
        <f t="shared" si="659"/>
        <v>#DIV/0!</v>
      </c>
      <c r="O1941" s="239" t="e">
        <f t="shared" si="656"/>
        <v>#DIV/0!</v>
      </c>
      <c r="P1941" s="267" t="e">
        <f t="shared" si="660"/>
        <v>#DIV/0!</v>
      </c>
      <c r="Q1941" s="267" t="e">
        <f t="shared" si="661"/>
        <v>#DIV/0!</v>
      </c>
      <c r="R1941" s="267" t="e">
        <f t="shared" si="662"/>
        <v>#DIV/0!</v>
      </c>
      <c r="S1941" s="267" t="e">
        <f t="shared" si="663"/>
        <v>#DIV/0!</v>
      </c>
      <c r="Z1941" s="214">
        <f t="shared" si="653"/>
        <v>0</v>
      </c>
      <c r="AA1941" s="214">
        <f t="shared" si="654"/>
        <v>0</v>
      </c>
    </row>
    <row r="1942" spans="1:27">
      <c r="A1942" s="239" t="s">
        <v>518</v>
      </c>
      <c r="B1942" s="239">
        <v>3.008</v>
      </c>
      <c r="C1942" s="239">
        <v>3.1920000000000002</v>
      </c>
      <c r="D1942" s="239">
        <v>9.7720000000000002</v>
      </c>
      <c r="E1942" s="239">
        <v>6.7050000000000001</v>
      </c>
      <c r="F1942" s="239">
        <v>14.897</v>
      </c>
      <c r="G1942" s="239">
        <v>66.870999999999995</v>
      </c>
      <c r="H1942" s="239">
        <v>243.30199999999999</v>
      </c>
      <c r="I1942" s="239">
        <v>5</v>
      </c>
      <c r="K1942" s="239" t="s">
        <v>518</v>
      </c>
      <c r="L1942" s="239">
        <f t="shared" si="657"/>
        <v>0.60160000000000002</v>
      </c>
      <c r="M1942" s="267">
        <f t="shared" si="658"/>
        <v>1.9544000000000001</v>
      </c>
      <c r="N1942" s="267">
        <f t="shared" si="659"/>
        <v>3.2486702127659575</v>
      </c>
      <c r="O1942" s="239">
        <f t="shared" si="656"/>
        <v>49.527007587278362</v>
      </c>
      <c r="P1942" s="267">
        <f t="shared" si="660"/>
        <v>37.405775538219991</v>
      </c>
      <c r="Q1942" s="267">
        <f t="shared" si="661"/>
        <v>0.25445843048673855</v>
      </c>
      <c r="R1942" s="267">
        <f t="shared" si="662"/>
        <v>0.21696924530333464</v>
      </c>
      <c r="S1942" s="267">
        <f t="shared" si="663"/>
        <v>2.7703620846797579</v>
      </c>
      <c r="Z1942" s="214">
        <f t="shared" si="653"/>
        <v>0.18400000000000016</v>
      </c>
      <c r="AA1942" s="214">
        <f t="shared" si="654"/>
        <v>8.1920000000000002</v>
      </c>
    </row>
    <row r="1943" spans="1:27">
      <c r="A1943" s="272" t="s">
        <v>519</v>
      </c>
      <c r="B1943" s="272"/>
      <c r="C1943" s="272"/>
      <c r="D1943" s="272"/>
      <c r="E1943" s="272"/>
      <c r="F1943" s="272"/>
      <c r="G1943" s="272"/>
      <c r="H1943" s="272"/>
      <c r="I1943" s="272"/>
      <c r="K1943" s="239" t="s">
        <v>519</v>
      </c>
      <c r="L1943" s="239"/>
      <c r="M1943" s="267"/>
      <c r="N1943" s="267"/>
      <c r="O1943" s="239"/>
      <c r="P1943" s="267"/>
      <c r="Q1943" s="267"/>
      <c r="R1943" s="267"/>
      <c r="S1943" s="267"/>
      <c r="Z1943" s="214">
        <f t="shared" si="653"/>
        <v>0</v>
      </c>
      <c r="AA1943" s="214">
        <f t="shared" si="654"/>
        <v>0</v>
      </c>
    </row>
    <row r="1944" spans="1:27">
      <c r="A1944" s="433" t="s">
        <v>169</v>
      </c>
      <c r="B1944" s="434">
        <f>B1923+B1925</f>
        <v>338.60399999999998</v>
      </c>
      <c r="C1944" s="434">
        <f t="shared" ref="C1944:I1944" si="664">C1923+C1925</f>
        <v>990.28800000000001</v>
      </c>
      <c r="D1944" s="434">
        <f t="shared" si="664"/>
        <v>1211.2190000000001</v>
      </c>
      <c r="E1944" s="434">
        <f t="shared" si="664"/>
        <v>872.55899999999997</v>
      </c>
      <c r="F1944" s="434">
        <f t="shared" si="664"/>
        <v>5019.6440000000002</v>
      </c>
      <c r="G1944" s="434">
        <f t="shared" si="664"/>
        <v>14805.829999999998</v>
      </c>
      <c r="H1944" s="434">
        <f t="shared" si="664"/>
        <v>65961.081999999995</v>
      </c>
      <c r="I1944" s="434">
        <f t="shared" si="664"/>
        <v>31</v>
      </c>
      <c r="K1944" s="328" t="s">
        <v>169</v>
      </c>
      <c r="L1944" s="282">
        <f>B1944/I1944</f>
        <v>10.922709677419354</v>
      </c>
      <c r="M1944" s="281">
        <f>D1944/I1944</f>
        <v>39.071580645161291</v>
      </c>
      <c r="N1944" s="281">
        <f>D1944/B1944</f>
        <v>3.5770959587010198</v>
      </c>
      <c r="O1944" s="282">
        <f>(F1944*3.6+G1944)*100/H1944</f>
        <v>49.842342489166569</v>
      </c>
      <c r="P1944" s="282">
        <f>(E1944*3.6+G1944)*100/H1944</f>
        <v>27.208532449482863</v>
      </c>
      <c r="Q1944" s="281">
        <f>E1944/(B1944*8760)*1000</f>
        <v>0.29417015682278386</v>
      </c>
      <c r="R1944" s="281">
        <f>G1944/(D1944*8761)*1000/3.6</f>
        <v>0.38757334622358086</v>
      </c>
      <c r="S1944" s="281">
        <f>G1944/(E1944*3.6)</f>
        <v>4.7134125664345392</v>
      </c>
      <c r="Z1944" s="214">
        <f t="shared" si="653"/>
        <v>651.68399999999997</v>
      </c>
      <c r="AA1944" s="214">
        <f t="shared" si="654"/>
        <v>4147.085</v>
      </c>
    </row>
    <row r="1946" spans="1:27">
      <c r="A1946" s="251" t="s">
        <v>520</v>
      </c>
      <c r="B1946" s="227" t="s">
        <v>476</v>
      </c>
      <c r="C1946" s="228"/>
      <c r="D1946" s="286"/>
      <c r="E1946" s="227" t="s">
        <v>521</v>
      </c>
      <c r="F1946" s="228"/>
      <c r="G1946" s="286"/>
      <c r="H1946" s="200" t="s">
        <v>138</v>
      </c>
      <c r="I1946" s="200" t="s">
        <v>478</v>
      </c>
    </row>
    <row r="1947" spans="1:27">
      <c r="A1947" s="239"/>
      <c r="B1947" s="243" t="s">
        <v>88</v>
      </c>
      <c r="C1947" s="243"/>
      <c r="D1947" s="241" t="s">
        <v>34</v>
      </c>
      <c r="E1947" s="243" t="s">
        <v>88</v>
      </c>
      <c r="F1947" s="243"/>
      <c r="G1947" s="241" t="s">
        <v>34</v>
      </c>
      <c r="H1947" s="241" t="s">
        <v>170</v>
      </c>
      <c r="I1947" s="241" t="s">
        <v>483</v>
      </c>
    </row>
    <row r="1948" spans="1:27">
      <c r="A1948" s="239"/>
      <c r="B1948" s="252" t="s">
        <v>0</v>
      </c>
      <c r="C1948" s="252" t="s">
        <v>489</v>
      </c>
      <c r="D1948" s="252" t="s">
        <v>490</v>
      </c>
      <c r="E1948" s="252" t="s">
        <v>491</v>
      </c>
      <c r="F1948" s="252" t="s">
        <v>489</v>
      </c>
      <c r="G1948" s="252" t="s">
        <v>490</v>
      </c>
      <c r="H1948" s="248"/>
      <c r="I1948" s="241" t="s">
        <v>492</v>
      </c>
    </row>
    <row r="1949" spans="1:27">
      <c r="A1949" s="239"/>
      <c r="B1949" s="257" t="s">
        <v>496</v>
      </c>
      <c r="C1949" s="256" t="s">
        <v>496</v>
      </c>
      <c r="D1949" s="252" t="s">
        <v>496</v>
      </c>
      <c r="E1949" s="329" t="s">
        <v>473</v>
      </c>
      <c r="F1949" s="329" t="s">
        <v>473</v>
      </c>
      <c r="G1949" s="252" t="s">
        <v>496</v>
      </c>
      <c r="H1949" s="257" t="s">
        <v>497</v>
      </c>
      <c r="I1949" s="257" t="s">
        <v>498</v>
      </c>
    </row>
    <row r="1950" spans="1:27">
      <c r="A1950" s="251" t="s">
        <v>522</v>
      </c>
      <c r="B1950" s="389"/>
      <c r="C1950" s="389"/>
      <c r="D1950" s="200"/>
      <c r="E1950" s="389"/>
      <c r="F1950" s="389"/>
      <c r="G1950" s="200"/>
      <c r="H1950" s="200"/>
      <c r="I1950" s="389"/>
    </row>
    <row r="1951" spans="1:27">
      <c r="A1951" s="239" t="s">
        <v>523</v>
      </c>
      <c r="B1951" s="216"/>
      <c r="C1951" s="204">
        <v>869</v>
      </c>
      <c r="D1951" s="204">
        <v>671</v>
      </c>
      <c r="E1951" s="216"/>
      <c r="F1951" s="204"/>
      <c r="G1951" s="204"/>
      <c r="H1951" s="202"/>
      <c r="I1951" s="216">
        <v>3</v>
      </c>
    </row>
    <row r="1952" spans="1:27">
      <c r="A1952" s="239" t="s">
        <v>524</v>
      </c>
      <c r="B1952" s="216"/>
      <c r="C1952" s="204">
        <v>8.5</v>
      </c>
      <c r="D1952" s="204">
        <v>9.4</v>
      </c>
      <c r="E1952" s="216"/>
      <c r="F1952" s="204"/>
      <c r="G1952" s="204"/>
      <c r="H1952" s="202"/>
      <c r="I1952" s="216">
        <v>1</v>
      </c>
    </row>
    <row r="1953" spans="1:22">
      <c r="A1953" s="239" t="s">
        <v>525</v>
      </c>
      <c r="B1953" s="216"/>
      <c r="C1953" s="204">
        <v>62.475999999999999</v>
      </c>
      <c r="D1953" s="204">
        <v>280.1989999999999</v>
      </c>
      <c r="E1953" s="216"/>
      <c r="F1953" s="204"/>
      <c r="G1953" s="204"/>
      <c r="H1953" s="202"/>
      <c r="I1953" s="216">
        <v>15</v>
      </c>
    </row>
    <row r="1954" spans="1:22">
      <c r="A1954" s="239" t="s">
        <v>267</v>
      </c>
      <c r="B1954" s="216"/>
      <c r="C1954" s="204">
        <v>7.5120000000000013</v>
      </c>
      <c r="D1954" s="204">
        <v>31.114999999999998</v>
      </c>
      <c r="E1954" s="216"/>
      <c r="F1954" s="204"/>
      <c r="G1954" s="204"/>
      <c r="H1954" s="202"/>
      <c r="I1954" s="216">
        <v>8</v>
      </c>
    </row>
    <row r="1955" spans="1:22">
      <c r="A1955" s="312" t="s">
        <v>526</v>
      </c>
      <c r="B1955" s="391"/>
      <c r="C1955" s="391"/>
      <c r="D1955" s="205"/>
      <c r="E1955" s="391"/>
      <c r="F1955" s="391"/>
      <c r="G1955" s="205"/>
      <c r="H1955" s="205"/>
      <c r="I1955" s="391"/>
    </row>
    <row r="1956" spans="1:22">
      <c r="A1956" s="239" t="s">
        <v>527</v>
      </c>
      <c r="B1956" s="216"/>
      <c r="C1956" s="204"/>
      <c r="D1956" s="204"/>
      <c r="E1956" s="216"/>
      <c r="F1956" s="204"/>
      <c r="G1956" s="204"/>
      <c r="H1956" s="202"/>
      <c r="I1956" s="216"/>
    </row>
    <row r="1957" spans="1:22">
      <c r="A1957" s="239" t="s">
        <v>528</v>
      </c>
      <c r="B1957" s="204"/>
      <c r="C1957" s="204">
        <v>13.4</v>
      </c>
      <c r="D1957" s="204">
        <v>93.492000000000004</v>
      </c>
      <c r="E1957" s="204"/>
      <c r="F1957" s="204"/>
      <c r="G1957" s="204"/>
      <c r="H1957" s="202"/>
      <c r="I1957" s="204">
        <v>2</v>
      </c>
    </row>
    <row r="1958" spans="1:22">
      <c r="A1958" s="239" t="s">
        <v>529</v>
      </c>
      <c r="B1958" s="204"/>
      <c r="C1958" s="204"/>
      <c r="D1958" s="204"/>
      <c r="E1958" s="204"/>
      <c r="F1958" s="204"/>
      <c r="G1958" s="204"/>
      <c r="H1958" s="202"/>
      <c r="I1958" s="204"/>
    </row>
    <row r="1959" spans="1:22">
      <c r="A1959" s="239" t="s">
        <v>530</v>
      </c>
      <c r="B1959" s="204"/>
      <c r="C1959" s="204">
        <v>29.4</v>
      </c>
      <c r="D1959" s="204">
        <v>126.01300000000001</v>
      </c>
      <c r="E1959" s="204"/>
      <c r="F1959" s="204"/>
      <c r="G1959" s="204"/>
      <c r="H1959" s="202"/>
      <c r="I1959" s="204">
        <v>2</v>
      </c>
    </row>
    <row r="1960" spans="1:22">
      <c r="A1960" s="282" t="s">
        <v>169</v>
      </c>
      <c r="B1960" s="468">
        <v>338.60399999999998</v>
      </c>
      <c r="C1960" s="360">
        <v>990.28800000000001</v>
      </c>
      <c r="D1960" s="360">
        <v>1211.2190000000001</v>
      </c>
      <c r="E1960" s="468">
        <v>872.55899999999997</v>
      </c>
      <c r="F1960" s="468">
        <v>5019.6440000000002</v>
      </c>
      <c r="G1960" s="468">
        <v>14805.83</v>
      </c>
      <c r="H1960" s="468">
        <v>65961.081999999995</v>
      </c>
      <c r="I1960" s="360">
        <v>31</v>
      </c>
    </row>
    <row r="1963" spans="1:22">
      <c r="A1963" s="221" t="s">
        <v>37</v>
      </c>
      <c r="D1963" s="220"/>
      <c r="I1963" s="221">
        <v>2002</v>
      </c>
      <c r="K1963" s="221" t="str">
        <f>+A1963</f>
        <v>EU-25</v>
      </c>
      <c r="N1963" s="220"/>
      <c r="S1963" s="221">
        <v>2002</v>
      </c>
    </row>
    <row r="1964" spans="1:22" ht="13.5" thickBot="1">
      <c r="B1964" s="223"/>
      <c r="C1964" s="223"/>
      <c r="D1964" s="223"/>
    </row>
    <row r="1965" spans="1:22">
      <c r="A1965" s="224" t="s">
        <v>475</v>
      </c>
      <c r="B1965" s="225" t="s">
        <v>476</v>
      </c>
      <c r="C1965" s="225"/>
      <c r="D1965" s="226"/>
      <c r="E1965" s="227" t="s">
        <v>477</v>
      </c>
      <c r="F1965" s="228"/>
      <c r="G1965" s="229"/>
      <c r="H1965" s="200" t="s">
        <v>138</v>
      </c>
      <c r="I1965" s="200" t="s">
        <v>478</v>
      </c>
      <c r="J1965" s="230"/>
      <c r="K1965" s="231" t="s">
        <v>475</v>
      </c>
      <c r="L1965" s="232" t="s">
        <v>479</v>
      </c>
      <c r="M1965" s="233"/>
      <c r="N1965" s="234"/>
      <c r="O1965" s="235" t="s">
        <v>480</v>
      </c>
      <c r="P1965" s="233"/>
      <c r="Q1965" s="233"/>
      <c r="R1965" s="236"/>
      <c r="S1965" s="237"/>
    </row>
    <row r="1966" spans="1:22">
      <c r="A1966" s="239"/>
      <c r="B1966" s="240" t="s">
        <v>481</v>
      </c>
      <c r="C1966" s="240"/>
      <c r="D1966" s="241" t="s">
        <v>34</v>
      </c>
      <c r="E1966" s="242" t="s">
        <v>482</v>
      </c>
      <c r="F1966" s="243"/>
      <c r="G1966" s="244" t="s">
        <v>34</v>
      </c>
      <c r="H1966" s="241" t="s">
        <v>170</v>
      </c>
      <c r="I1966" s="241" t="s">
        <v>483</v>
      </c>
      <c r="J1966" s="230"/>
      <c r="K1966" s="245"/>
      <c r="L1966" s="246" t="s">
        <v>484</v>
      </c>
      <c r="M1966" s="247"/>
      <c r="N1966" s="248" t="s">
        <v>485</v>
      </c>
      <c r="O1966" s="248" t="s">
        <v>486</v>
      </c>
      <c r="P1966" s="248" t="s">
        <v>486</v>
      </c>
      <c r="Q1966" s="247" t="s">
        <v>487</v>
      </c>
      <c r="R1966" s="249"/>
      <c r="S1966" s="250" t="s">
        <v>485</v>
      </c>
      <c r="U1966" s="214" t="str">
        <f>A1963</f>
        <v>EU-25</v>
      </c>
    </row>
    <row r="1967" spans="1:22">
      <c r="A1967" s="251" t="s">
        <v>488</v>
      </c>
      <c r="B1967" s="252" t="s">
        <v>0</v>
      </c>
      <c r="C1967" s="252" t="s">
        <v>489</v>
      </c>
      <c r="D1967" s="252" t="s">
        <v>490</v>
      </c>
      <c r="E1967" s="252" t="s">
        <v>491</v>
      </c>
      <c r="F1967" s="252" t="s">
        <v>489</v>
      </c>
      <c r="G1967" s="230" t="s">
        <v>490</v>
      </c>
      <c r="H1967" s="248"/>
      <c r="I1967" s="241" t="s">
        <v>492</v>
      </c>
      <c r="J1967" s="230"/>
      <c r="K1967" s="253" t="s">
        <v>488</v>
      </c>
      <c r="L1967" s="254" t="s">
        <v>88</v>
      </c>
      <c r="M1967" s="252" t="s">
        <v>34</v>
      </c>
      <c r="N1967" s="252" t="s">
        <v>493</v>
      </c>
      <c r="O1967" s="248" t="s">
        <v>494</v>
      </c>
      <c r="P1967" s="248" t="s">
        <v>495</v>
      </c>
      <c r="Q1967" s="230" t="s">
        <v>88</v>
      </c>
      <c r="R1967" s="248" t="s">
        <v>34</v>
      </c>
      <c r="S1967" s="255" t="s">
        <v>88</v>
      </c>
      <c r="U1967" s="214" t="s">
        <v>547</v>
      </c>
      <c r="V1967" s="214">
        <f>G1995/1000</f>
        <v>1652.5359398286059</v>
      </c>
    </row>
    <row r="1968" spans="1:22">
      <c r="A1968" s="239"/>
      <c r="B1968" s="252" t="s">
        <v>496</v>
      </c>
      <c r="C1968" s="252" t="s">
        <v>496</v>
      </c>
      <c r="D1968" s="252" t="s">
        <v>496</v>
      </c>
      <c r="E1968" s="256" t="s">
        <v>473</v>
      </c>
      <c r="F1968" s="256" t="s">
        <v>473</v>
      </c>
      <c r="G1968" s="230" t="s">
        <v>451</v>
      </c>
      <c r="H1968" s="257" t="s">
        <v>497</v>
      </c>
      <c r="I1968" s="257" t="s">
        <v>498</v>
      </c>
      <c r="J1968" s="230"/>
      <c r="K1968" s="245"/>
      <c r="L1968" s="258" t="s">
        <v>496</v>
      </c>
      <c r="M1968" s="256" t="s">
        <v>496</v>
      </c>
      <c r="N1968" s="256"/>
      <c r="O1968" s="257" t="s">
        <v>79</v>
      </c>
      <c r="P1968" s="257" t="s">
        <v>79</v>
      </c>
      <c r="Q1968" s="259"/>
      <c r="R1968" s="257"/>
      <c r="S1968" s="260"/>
      <c r="U1968" s="214" t="s">
        <v>548</v>
      </c>
      <c r="V1968" s="214">
        <f>G2001/1000</f>
        <v>32.761704191199996</v>
      </c>
    </row>
    <row r="1969" spans="1:27">
      <c r="A1969" s="261" t="s">
        <v>262</v>
      </c>
      <c r="B1969" s="369">
        <f>B1058+B1339+B1409+B1479+B1549+B1619+B1689+B1829+B1899</f>
        <v>6000.48</v>
      </c>
      <c r="C1969" s="365">
        <f t="shared" ref="C1969:I1972" si="665">C1058+C1339+C1409+C1479+C1549+C1619+C1689+C1829+C1899</f>
        <v>6000.1799999999994</v>
      </c>
      <c r="D1969" s="365">
        <f t="shared" si="665"/>
        <v>9278.7303961588841</v>
      </c>
      <c r="E1969" s="365">
        <f t="shared" si="665"/>
        <v>28589.394187134505</v>
      </c>
      <c r="F1969" s="365">
        <f t="shared" si="665"/>
        <v>28588.994187134511</v>
      </c>
      <c r="G1969" s="365">
        <f t="shared" si="665"/>
        <v>138774.6034435996</v>
      </c>
      <c r="H1969" s="365">
        <f t="shared" si="665"/>
        <v>274454.9304424618</v>
      </c>
      <c r="I1969" s="365">
        <f t="shared" si="665"/>
        <v>119</v>
      </c>
      <c r="J1969" s="230"/>
      <c r="K1969" s="265" t="s">
        <v>262</v>
      </c>
      <c r="L1969" s="266">
        <f>C1969/I1969</f>
        <v>50.421680672268906</v>
      </c>
      <c r="M1969" s="267">
        <f>D1969/I1969</f>
        <v>77.972524337469608</v>
      </c>
      <c r="N1969" s="267">
        <f>D1969/C1969</f>
        <v>1.5464086737662679</v>
      </c>
      <c r="O1969" s="239">
        <f>(F1969*3.6+G1969)*100/H1969</f>
        <v>88.063632935154743</v>
      </c>
      <c r="P1969" s="239">
        <f>(F1969*3.6+G1969)*100/H1969</f>
        <v>88.063632935154743</v>
      </c>
      <c r="Q1969" s="267">
        <f>F1969/(C1969*8760)*1000</f>
        <v>0.5439143177899205</v>
      </c>
      <c r="R1969" s="267">
        <f>G1969/(D1969*8761)*1000/3.6</f>
        <v>0.47420404899650459</v>
      </c>
      <c r="S1969" s="268">
        <f>G1969/(F1969*3.6)</f>
        <v>1.3483685611403169</v>
      </c>
      <c r="U1969" s="214" t="s">
        <v>549</v>
      </c>
      <c r="V1969" s="214">
        <f>G2003/1000</f>
        <v>399.02411568639963</v>
      </c>
      <c r="Z1969" s="214">
        <f t="shared" ref="Z1969:Z1974" si="666">C1969-B1969</f>
        <v>-0.3000000000001819</v>
      </c>
      <c r="AA1969" s="214">
        <f t="shared" ref="AA1969:AA1974" si="667">F1969-E1969</f>
        <v>-0.39999999999417923</v>
      </c>
    </row>
    <row r="1970" spans="1:27">
      <c r="A1970" s="239" t="s">
        <v>263</v>
      </c>
      <c r="B1970" s="319">
        <f>B1059+B1340+B1410+B1480+B1550+B1620+B1690+B1830+B1900</f>
        <v>32728.328348499996</v>
      </c>
      <c r="C1970" s="320">
        <f t="shared" si="665"/>
        <v>32728.328348499996</v>
      </c>
      <c r="D1970" s="320">
        <f t="shared" si="665"/>
        <v>103684.18691675441</v>
      </c>
      <c r="E1970" s="320">
        <f t="shared" si="665"/>
        <v>83092.081798166037</v>
      </c>
      <c r="F1970" s="320">
        <f t="shared" si="665"/>
        <v>83092.081798166037</v>
      </c>
      <c r="G1970" s="320">
        <f t="shared" si="665"/>
        <v>1258504.0920263126</v>
      </c>
      <c r="H1970" s="320">
        <f t="shared" si="665"/>
        <v>1902182.2838480973</v>
      </c>
      <c r="I1970" s="320">
        <f t="shared" si="665"/>
        <v>1576</v>
      </c>
      <c r="J1970" s="230"/>
      <c r="K1970" s="245" t="s">
        <v>263</v>
      </c>
      <c r="L1970" s="266">
        <f>C1970/I1970</f>
        <v>20.766705804885785</v>
      </c>
      <c r="M1970" s="267">
        <f>D1970/I1970</f>
        <v>65.789458703524375</v>
      </c>
      <c r="N1970" s="267">
        <f>D1970/C1970</f>
        <v>3.1680257486021728</v>
      </c>
      <c r="O1970" s="239">
        <f>(F1970*3.6+G1970)*100/H1970</f>
        <v>81.886767620852183</v>
      </c>
      <c r="P1970" s="239">
        <f>(F1970*3.6+G1970)*100/H1970</f>
        <v>81.886767620852183</v>
      </c>
      <c r="Q1970" s="267">
        <f>F1970/(C1970*8760)*1000</f>
        <v>0.28982224098160531</v>
      </c>
      <c r="R1970" s="267">
        <f>G1970/(D1970*8761)*1000/3.6</f>
        <v>0.38484506743888697</v>
      </c>
      <c r="S1970" s="268">
        <f>G1970/(F1970*3.6)</f>
        <v>4.2071935428993532</v>
      </c>
      <c r="U1970" s="214" t="s">
        <v>550</v>
      </c>
      <c r="V1970" s="214">
        <f>G2008/1000</f>
        <v>532.95123998680049</v>
      </c>
      <c r="Z1970" s="214">
        <f t="shared" si="666"/>
        <v>0</v>
      </c>
      <c r="AA1970" s="214">
        <f t="shared" si="667"/>
        <v>0</v>
      </c>
    </row>
    <row r="1971" spans="1:27">
      <c r="A1971" s="239" t="s">
        <v>499</v>
      </c>
      <c r="B1971" s="319">
        <f t="shared" ref="B1971:I1971" si="668">B1060+B1341+B1413+B1481+B1551+B1621+B1691+B1831+B1901</f>
        <v>3063.6691514999998</v>
      </c>
      <c r="C1971" s="320">
        <f t="shared" si="668"/>
        <v>3063.6691514999998</v>
      </c>
      <c r="D1971" s="320">
        <f t="shared" si="668"/>
        <v>9778.4294993333333</v>
      </c>
      <c r="E1971" s="320">
        <f t="shared" si="668"/>
        <v>10765.966062395433</v>
      </c>
      <c r="F1971" s="320">
        <f t="shared" si="668"/>
        <v>10765.966062395433</v>
      </c>
      <c r="G1971" s="320">
        <f t="shared" si="668"/>
        <v>123566.7151295087</v>
      </c>
      <c r="H1971" s="320">
        <f t="shared" si="668"/>
        <v>185781.94593540084</v>
      </c>
      <c r="I1971" s="320">
        <f t="shared" si="668"/>
        <v>105</v>
      </c>
      <c r="J1971" s="230"/>
      <c r="K1971" s="245" t="s">
        <v>499</v>
      </c>
      <c r="L1971" s="266">
        <f>C1971/I1971</f>
        <v>29.177801442857142</v>
      </c>
      <c r="M1971" s="267">
        <f>D1971/I1971</f>
        <v>93.1278999936508</v>
      </c>
      <c r="N1971" s="267">
        <f>D1971/C1971</f>
        <v>3.1917380812956671</v>
      </c>
      <c r="O1971" s="239">
        <f>(F1971*3.6+G1971)*100/H1971</f>
        <v>87.373502380352278</v>
      </c>
      <c r="P1971" s="239">
        <f>(F1971*3.6+G1971)*100/H1971</f>
        <v>87.373502380352278</v>
      </c>
      <c r="Q1971" s="267">
        <f>F1971/(C1971*8760)*1000</f>
        <v>0.40115022179612858</v>
      </c>
      <c r="R1971" s="267">
        <f>G1971/(D1971*8761)*1000/3.6</f>
        <v>0.40066020750553016</v>
      </c>
      <c r="S1971" s="268">
        <f>G1971/(F1971*3.6)</f>
        <v>3.1882032078724118</v>
      </c>
      <c r="U1971" s="214" t="s">
        <v>551</v>
      </c>
      <c r="V1971" s="214">
        <f>G1999/1000</f>
        <v>262.00417288142393</v>
      </c>
      <c r="Z1971" s="214">
        <f t="shared" si="666"/>
        <v>0</v>
      </c>
      <c r="AA1971" s="214">
        <f t="shared" si="667"/>
        <v>0</v>
      </c>
    </row>
    <row r="1972" spans="1:27">
      <c r="A1972" s="239" t="s">
        <v>265</v>
      </c>
      <c r="B1972" s="319">
        <f>B1061+B1342+B1412+B1482+B1552+B1622+B1692+B1832+B1902</f>
        <v>7892.39</v>
      </c>
      <c r="C1972" s="320">
        <f t="shared" si="665"/>
        <v>7892.39</v>
      </c>
      <c r="D1972" s="320">
        <f t="shared" si="665"/>
        <v>15868.015883201248</v>
      </c>
      <c r="E1972" s="320">
        <f t="shared" si="665"/>
        <v>37998.941468111108</v>
      </c>
      <c r="F1972" s="320">
        <f t="shared" si="665"/>
        <v>37998.941468111108</v>
      </c>
      <c r="G1972" s="320">
        <f t="shared" si="665"/>
        <v>262738.34037119919</v>
      </c>
      <c r="H1972" s="320">
        <f t="shared" si="665"/>
        <v>481320.90577786614</v>
      </c>
      <c r="I1972" s="320">
        <f t="shared" si="665"/>
        <v>628</v>
      </c>
      <c r="J1972" s="230"/>
      <c r="K1972" s="245" t="s">
        <v>265</v>
      </c>
      <c r="L1972" s="266">
        <f>C1972/I1972</f>
        <v>12.567500000000001</v>
      </c>
      <c r="M1972" s="267">
        <f>D1972/I1972</f>
        <v>25.26754121528861</v>
      </c>
      <c r="N1972" s="267">
        <f>D1972/C1972</f>
        <v>2.0105463469495612</v>
      </c>
      <c r="O1972" s="239">
        <f>(F1972*3.6+G1972)*100/H1972</f>
        <v>83.007931893319409</v>
      </c>
      <c r="P1972" s="239">
        <f>(F1972*3.6+G1972)*100/H1972</f>
        <v>83.007931893319409</v>
      </c>
      <c r="Q1972" s="267">
        <f>F1972/(C1972*8760)*1000</f>
        <v>0.54961535180159338</v>
      </c>
      <c r="R1972" s="267">
        <f>G1972/(D1972*8761)*1000/3.6</f>
        <v>0.52498227999286595</v>
      </c>
      <c r="S1972" s="268">
        <f>G1972/(F1972*3.6)</f>
        <v>1.9206554052717673</v>
      </c>
      <c r="U1972" s="214" t="s">
        <v>552</v>
      </c>
      <c r="V1972" s="214">
        <f>(G1996+G1997+G1998+G2000+G2002+G2004+G2005+G2006+G2007+G2009+G2010+G2011+G2012+G2013)/1000</f>
        <v>425.79470708278183</v>
      </c>
      <c r="Z1972" s="214">
        <f t="shared" si="666"/>
        <v>0</v>
      </c>
      <c r="AA1972" s="214">
        <f t="shared" si="667"/>
        <v>0</v>
      </c>
    </row>
    <row r="1973" spans="1:27">
      <c r="A1973" s="239" t="s">
        <v>266</v>
      </c>
      <c r="B1973" s="319">
        <f>B1062+B1343+B1413+B1483+B1553+B1623+B1693+B1833+B1903</f>
        <v>5191.1832389999818</v>
      </c>
      <c r="C1973" s="320">
        <f t="shared" ref="C1973:I1973" si="669">C1062+C1343+1413+C1483+C1553+C1623+C1693+C1833+C1903</f>
        <v>6601.1232389999823</v>
      </c>
      <c r="D1973" s="320">
        <f t="shared" si="669"/>
        <v>9548.8165624283538</v>
      </c>
      <c r="E1973" s="320">
        <f t="shared" si="669"/>
        <v>19892.310135733605</v>
      </c>
      <c r="F1973" s="320">
        <f t="shared" si="669"/>
        <v>19891.910135733608</v>
      </c>
      <c r="G1973" s="320">
        <f t="shared" si="669"/>
        <v>97151.401949619729</v>
      </c>
      <c r="H1973" s="320">
        <f t="shared" si="669"/>
        <v>197877.19700115855</v>
      </c>
      <c r="I1973" s="320">
        <f t="shared" si="669"/>
        <v>7825</v>
      </c>
      <c r="J1973" s="230"/>
      <c r="K1973" s="245" t="s">
        <v>266</v>
      </c>
      <c r="L1973" s="266">
        <f>C1973/I1973</f>
        <v>0.84359402415335238</v>
      </c>
      <c r="M1973" s="267">
        <f>D1973/I1973</f>
        <v>1.2202960463167225</v>
      </c>
      <c r="N1973" s="267">
        <f>D1973/C1973</f>
        <v>1.4465442041762158</v>
      </c>
      <c r="O1973" s="239">
        <f>(F1973*3.6+G1973)*100/H1973</f>
        <v>85.286370029424162</v>
      </c>
      <c r="P1973" s="239">
        <f>(F1973*3.6+G1973)*100/H1973</f>
        <v>85.286370029424162</v>
      </c>
      <c r="Q1973" s="267">
        <f>F1973/(C1973*8760)*1000</f>
        <v>0.34399691007342365</v>
      </c>
      <c r="R1973" s="267">
        <f>G1973/(D1973*8761)*1000/3.6</f>
        <v>0.32258438459846112</v>
      </c>
      <c r="S1973" s="268">
        <f>G1973/(F1973*3.6)</f>
        <v>1.3566570710111334</v>
      </c>
      <c r="Z1973" s="214">
        <f t="shared" si="666"/>
        <v>1409.9400000000005</v>
      </c>
      <c r="AA1973" s="214">
        <f t="shared" si="667"/>
        <v>-0.39999999999781721</v>
      </c>
    </row>
    <row r="1974" spans="1:27">
      <c r="A1974" s="272" t="s">
        <v>267</v>
      </c>
      <c r="B1974" s="397">
        <f t="shared" ref="B1974:I1974" si="670">B1063+B1344+B1414+B1484+B1554+B1624+B1694+B1834+B1904</f>
        <v>1890.05</v>
      </c>
      <c r="C1974" s="395">
        <f t="shared" si="670"/>
        <v>1890.05</v>
      </c>
      <c r="D1974" s="395">
        <f t="shared" si="670"/>
        <v>4156.4398181818178</v>
      </c>
      <c r="E1974" s="395">
        <f t="shared" si="670"/>
        <v>4677.527</v>
      </c>
      <c r="F1974" s="395">
        <f t="shared" si="670"/>
        <v>4677.527</v>
      </c>
      <c r="G1974" s="395">
        <f t="shared" si="670"/>
        <v>36914</v>
      </c>
      <c r="H1974" s="395">
        <f t="shared" si="670"/>
        <v>64646.276668385581</v>
      </c>
      <c r="I1974" s="395">
        <f t="shared" si="670"/>
        <v>15</v>
      </c>
      <c r="J1974" s="230"/>
      <c r="K1974" s="245" t="s">
        <v>267</v>
      </c>
      <c r="L1974" s="266"/>
      <c r="M1974" s="267"/>
      <c r="N1974" s="267"/>
      <c r="O1974" s="239"/>
      <c r="P1974" s="272"/>
      <c r="Q1974" s="272"/>
      <c r="R1974" s="274"/>
      <c r="S1974" s="275"/>
      <c r="U1974" s="214" t="s">
        <v>553</v>
      </c>
      <c r="V1974" s="214">
        <f>H1995/1000</f>
        <v>3001.3548128384055</v>
      </c>
      <c r="Z1974" s="214">
        <f t="shared" si="666"/>
        <v>0</v>
      </c>
      <c r="AA1974" s="214">
        <f t="shared" si="667"/>
        <v>0</v>
      </c>
    </row>
    <row r="1975" spans="1:27">
      <c r="A1975" s="276" t="s">
        <v>500</v>
      </c>
      <c r="B1975" s="277">
        <f t="shared" ref="B1975:I1975" si="671">SUM(B1969:B1974)</f>
        <v>56766.10073899998</v>
      </c>
      <c r="C1975" s="277">
        <f t="shared" si="671"/>
        <v>58175.740738999972</v>
      </c>
      <c r="D1975" s="277">
        <f t="shared" si="671"/>
        <v>152314.61907605804</v>
      </c>
      <c r="E1975" s="277">
        <f t="shared" si="671"/>
        <v>185016.2206515407</v>
      </c>
      <c r="F1975" s="277">
        <f t="shared" si="671"/>
        <v>185015.42065154068</v>
      </c>
      <c r="G1975" s="277">
        <f t="shared" si="671"/>
        <v>1917649.1529202396</v>
      </c>
      <c r="H1975" s="277">
        <f t="shared" si="671"/>
        <v>3106263.5396733703</v>
      </c>
      <c r="I1975" s="278">
        <f t="shared" si="671"/>
        <v>10268</v>
      </c>
      <c r="J1975" s="244"/>
      <c r="K1975" s="279" t="s">
        <v>169</v>
      </c>
      <c r="L1975" s="280">
        <f>C1975/I1975</f>
        <v>5.6657324443903363</v>
      </c>
      <c r="M1975" s="281">
        <f>D1975/I1975</f>
        <v>14.833913038182512</v>
      </c>
      <c r="N1975" s="281">
        <f>D1975/C1975</f>
        <v>2.6181810002111248</v>
      </c>
      <c r="O1975" s="282">
        <f>(F1975*3.6+G1975)*100/H1975</f>
        <v>83.17725248571368</v>
      </c>
      <c r="P1975" s="282">
        <f>(F1975*3.6+G1975)*100/H1975</f>
        <v>83.17725248571368</v>
      </c>
      <c r="Q1975" s="283">
        <f>F1975/(C1975*8760)*1000</f>
        <v>0.36304620347322569</v>
      </c>
      <c r="R1975" s="283">
        <f>G1975/(D1975*8761)*1000/3.6</f>
        <v>0.39918239835668407</v>
      </c>
      <c r="S1975" s="284">
        <f>G1975/(F1975*3.6)</f>
        <v>2.879113094355934</v>
      </c>
      <c r="U1975" s="214" t="s">
        <v>554</v>
      </c>
      <c r="V1975" s="214">
        <f>H2001/1000</f>
        <v>100.82827049395121</v>
      </c>
    </row>
    <row r="1976" spans="1:27">
      <c r="A1976" s="285" t="s">
        <v>501</v>
      </c>
      <c r="B1976" s="228" t="s">
        <v>476</v>
      </c>
      <c r="C1976" s="228"/>
      <c r="D1976" s="286"/>
      <c r="E1976" s="227" t="s">
        <v>477</v>
      </c>
      <c r="F1976" s="228"/>
      <c r="G1976" s="229"/>
      <c r="H1976" s="200" t="s">
        <v>138</v>
      </c>
      <c r="I1976" s="200" t="s">
        <v>478</v>
      </c>
      <c r="J1976" s="244"/>
      <c r="K1976" s="287" t="s">
        <v>501</v>
      </c>
      <c r="L1976" s="288" t="s">
        <v>479</v>
      </c>
      <c r="M1976" s="228"/>
      <c r="N1976" s="286"/>
      <c r="O1976" s="227" t="s">
        <v>480</v>
      </c>
      <c r="P1976" s="228"/>
      <c r="Q1976" s="228"/>
      <c r="R1976" s="229"/>
      <c r="S1976" s="289"/>
      <c r="U1976" s="214" t="s">
        <v>555</v>
      </c>
      <c r="V1976" s="214">
        <f>H2003/1000</f>
        <v>730.43090741363744</v>
      </c>
    </row>
    <row r="1977" spans="1:27">
      <c r="A1977" s="239"/>
      <c r="B1977" s="240" t="s">
        <v>481</v>
      </c>
      <c r="C1977" s="240"/>
      <c r="D1977" s="241" t="s">
        <v>34</v>
      </c>
      <c r="E1977" s="242" t="s">
        <v>482</v>
      </c>
      <c r="F1977" s="243"/>
      <c r="G1977" s="244" t="s">
        <v>34</v>
      </c>
      <c r="H1977" s="241" t="s">
        <v>170</v>
      </c>
      <c r="I1977" s="241" t="s">
        <v>483</v>
      </c>
      <c r="J1977" s="244"/>
      <c r="K1977" s="245"/>
      <c r="L1977" s="246" t="s">
        <v>484</v>
      </c>
      <c r="M1977" s="247"/>
      <c r="N1977" s="248" t="s">
        <v>485</v>
      </c>
      <c r="O1977" s="248" t="s">
        <v>486</v>
      </c>
      <c r="P1977" s="248" t="s">
        <v>486</v>
      </c>
      <c r="Q1977" s="247" t="s">
        <v>487</v>
      </c>
      <c r="R1977" s="249"/>
      <c r="S1977" s="250" t="s">
        <v>485</v>
      </c>
      <c r="U1977" s="214" t="s">
        <v>556</v>
      </c>
      <c r="V1977" s="214">
        <f>H2008/1000</f>
        <v>888.06476828345478</v>
      </c>
    </row>
    <row r="1978" spans="1:27">
      <c r="A1978" s="251" t="s">
        <v>488</v>
      </c>
      <c r="B1978" s="252" t="s">
        <v>0</v>
      </c>
      <c r="C1978" s="252" t="s">
        <v>489</v>
      </c>
      <c r="D1978" s="252" t="s">
        <v>490</v>
      </c>
      <c r="E1978" s="252" t="s">
        <v>491</v>
      </c>
      <c r="F1978" s="252" t="s">
        <v>489</v>
      </c>
      <c r="G1978" s="230" t="s">
        <v>490</v>
      </c>
      <c r="H1978" s="248"/>
      <c r="I1978" s="241" t="s">
        <v>492</v>
      </c>
      <c r="J1978" s="244"/>
      <c r="K1978" s="253" t="s">
        <v>488</v>
      </c>
      <c r="L1978" s="254" t="s">
        <v>88</v>
      </c>
      <c r="M1978" s="252" t="s">
        <v>34</v>
      </c>
      <c r="N1978" s="252" t="s">
        <v>493</v>
      </c>
      <c r="O1978" s="248" t="s">
        <v>494</v>
      </c>
      <c r="P1978" s="248" t="s">
        <v>495</v>
      </c>
      <c r="Q1978" s="230" t="s">
        <v>88</v>
      </c>
      <c r="R1978" s="248" t="s">
        <v>34</v>
      </c>
      <c r="S1978" s="255" t="s">
        <v>88</v>
      </c>
      <c r="U1978" s="214" t="s">
        <v>557</v>
      </c>
      <c r="V1978" s="214">
        <f>H1999/1000</f>
        <v>469.7494964905228</v>
      </c>
    </row>
    <row r="1979" spans="1:27">
      <c r="A1979" s="239"/>
      <c r="B1979" s="252" t="s">
        <v>496</v>
      </c>
      <c r="C1979" s="252" t="s">
        <v>496</v>
      </c>
      <c r="D1979" s="252" t="s">
        <v>496</v>
      </c>
      <c r="E1979" s="256" t="s">
        <v>473</v>
      </c>
      <c r="F1979" s="256" t="s">
        <v>473</v>
      </c>
      <c r="G1979" s="230" t="s">
        <v>451</v>
      </c>
      <c r="H1979" s="257" t="s">
        <v>497</v>
      </c>
      <c r="I1979" s="257" t="s">
        <v>498</v>
      </c>
      <c r="J1979" s="244"/>
      <c r="K1979" s="245"/>
      <c r="L1979" s="258" t="s">
        <v>496</v>
      </c>
      <c r="M1979" s="256" t="s">
        <v>496</v>
      </c>
      <c r="N1979" s="256"/>
      <c r="O1979" s="257" t="s">
        <v>79</v>
      </c>
      <c r="P1979" s="257" t="s">
        <v>79</v>
      </c>
      <c r="Q1979" s="259"/>
      <c r="R1979" s="257"/>
      <c r="S1979" s="260"/>
      <c r="U1979" s="214" t="s">
        <v>558</v>
      </c>
      <c r="V1979" s="214">
        <f>(H1996+H1997+H1998+H2000+H2002+H2004+H2005+H2006+H2007+H2009+H2010+H2011+H2012+H2013)/1000</f>
        <v>812.28137015683922</v>
      </c>
    </row>
    <row r="1980" spans="1:27">
      <c r="A1980" s="261" t="s">
        <v>262</v>
      </c>
      <c r="B1980" s="369">
        <f>B1069+B1350+B1420+B1490+B1560+B1630+B1700+B1840+B1910</f>
        <v>9109.9927927846802</v>
      </c>
      <c r="C1980" s="365">
        <f t="shared" ref="C1980:I1980" si="672">C1069+C1350+C1420+C1490+C1560+C1630+C1700+C1840+C1910</f>
        <v>19997.032999999999</v>
      </c>
      <c r="D1980" s="365">
        <f t="shared" si="672"/>
        <v>15221.910252183126</v>
      </c>
      <c r="E1980" s="365">
        <f t="shared" si="672"/>
        <v>41558.397645307959</v>
      </c>
      <c r="F1980" s="365">
        <f t="shared" si="672"/>
        <v>121586.55283333332</v>
      </c>
      <c r="G1980" s="365">
        <f t="shared" si="672"/>
        <v>207625.00892399967</v>
      </c>
      <c r="H1980" s="365">
        <f t="shared" si="672"/>
        <v>1044363.0835013824</v>
      </c>
      <c r="I1980" s="365">
        <f t="shared" si="672"/>
        <v>227</v>
      </c>
      <c r="J1980" s="244"/>
      <c r="K1980" s="265" t="s">
        <v>262</v>
      </c>
      <c r="L1980" s="266">
        <f>B1980/I1980</f>
        <v>40.132126840461147</v>
      </c>
      <c r="M1980" s="267">
        <f>D1980/I1980</f>
        <v>67.056873357634913</v>
      </c>
      <c r="N1980" s="267">
        <f>D1980/B1980</f>
        <v>1.6709025570513318</v>
      </c>
      <c r="O1980" s="239">
        <f>(F1980*3.6+G1980)*100/H1980</f>
        <v>61.792360273824777</v>
      </c>
      <c r="P1980" s="267">
        <f>(E1980*3.6+G1980)*100/H1980</f>
        <v>34.206038693882604</v>
      </c>
      <c r="Q1980" s="267">
        <f>E1980/(B1980*8760)*1000</f>
        <v>0.5207588445073279</v>
      </c>
      <c r="R1980" s="267">
        <f>G1980/(D1980*8761)*1000/3.6</f>
        <v>0.43246834669050205</v>
      </c>
      <c r="S1980" s="268">
        <f>G1980/(E1980*3.6)</f>
        <v>1.3877727934130635</v>
      </c>
      <c r="Z1980" s="214">
        <f t="shared" ref="Z1980:Z1987" si="673">C1980-B1980</f>
        <v>10887.040207215319</v>
      </c>
      <c r="AA1980" s="214">
        <f t="shared" ref="AA1980:AA1987" si="674">F1980-E1980</f>
        <v>80028.155188025354</v>
      </c>
    </row>
    <row r="1981" spans="1:27">
      <c r="A1981" s="239" t="s">
        <v>263</v>
      </c>
      <c r="B1981" s="319">
        <f t="shared" ref="B1981:I1987" si="675">B1070+B1351+B1421+B1491+B1561+B1631+B1701+B1841+B1911</f>
        <v>3047.8892933610859</v>
      </c>
      <c r="C1981" s="320">
        <f t="shared" si="675"/>
        <v>4773.6640200000002</v>
      </c>
      <c r="D1981" s="320">
        <f t="shared" si="675"/>
        <v>17527.469429321172</v>
      </c>
      <c r="E1981" s="320">
        <f t="shared" si="675"/>
        <v>11679.947623663811</v>
      </c>
      <c r="F1981" s="320">
        <f t="shared" si="675"/>
        <v>20248.85477973524</v>
      </c>
      <c r="G1981" s="320">
        <f t="shared" si="675"/>
        <v>162138.04135734867</v>
      </c>
      <c r="H1981" s="320">
        <f t="shared" si="675"/>
        <v>419671.17818919546</v>
      </c>
      <c r="I1981" s="320">
        <f t="shared" si="675"/>
        <v>345</v>
      </c>
      <c r="J1981" s="244"/>
      <c r="K1981" s="245" t="s">
        <v>263</v>
      </c>
      <c r="L1981" s="266">
        <f>B1981/I1981</f>
        <v>8.8344617198872051</v>
      </c>
      <c r="M1981" s="267">
        <f>D1981/I1981</f>
        <v>50.804259215423691</v>
      </c>
      <c r="N1981" s="267">
        <f>D1981/B1981</f>
        <v>5.7506909675162792</v>
      </c>
      <c r="O1981" s="239">
        <f>(F1981*3.6+G1981)*100/H1981</f>
        <v>56.004303078072695</v>
      </c>
      <c r="P1981" s="267">
        <f>(E1981*3.6+G1981)*100/H1981</f>
        <v>48.653770717246552</v>
      </c>
      <c r="Q1981" s="267">
        <f>E1981/(B1981*8760)*1000</f>
        <v>0.43745924670025782</v>
      </c>
      <c r="R1981" s="267">
        <f>G1981/(D1981*8761)*1000/3.6</f>
        <v>0.29329828462512986</v>
      </c>
      <c r="S1981" s="268">
        <f>G1981/(E1981*3.6)</f>
        <v>3.8560399646174046</v>
      </c>
      <c r="U1981" s="239" t="s">
        <v>152</v>
      </c>
      <c r="V1981" s="492">
        <f>B1996/1000</f>
        <v>1.8573313868613139</v>
      </c>
      <c r="Z1981" s="214">
        <f t="shared" si="673"/>
        <v>1725.7747266389142</v>
      </c>
      <c r="AA1981" s="214">
        <f t="shared" si="674"/>
        <v>8568.9071560714292</v>
      </c>
    </row>
    <row r="1982" spans="1:27">
      <c r="A1982" s="239" t="s">
        <v>499</v>
      </c>
      <c r="B1982" s="319">
        <f t="shared" si="675"/>
        <v>18478.225678804141</v>
      </c>
      <c r="C1982" s="320">
        <f t="shared" si="675"/>
        <v>31790.960529999997</v>
      </c>
      <c r="D1982" s="320">
        <f t="shared" si="675"/>
        <v>43510.928286680472</v>
      </c>
      <c r="E1982" s="320">
        <f t="shared" si="675"/>
        <v>44266.929771436851</v>
      </c>
      <c r="F1982" s="320">
        <f t="shared" si="675"/>
        <v>122781.6376201081</v>
      </c>
      <c r="G1982" s="320">
        <f t="shared" si="675"/>
        <v>443863.30010982975</v>
      </c>
      <c r="H1982" s="320">
        <f t="shared" si="675"/>
        <v>1568266.5297948176</v>
      </c>
      <c r="I1982" s="320">
        <f t="shared" si="675"/>
        <v>548</v>
      </c>
      <c r="J1982" s="244"/>
      <c r="K1982" s="245" t="s">
        <v>499</v>
      </c>
      <c r="L1982" s="266">
        <f>B1982/I1982</f>
        <v>33.719389924825073</v>
      </c>
      <c r="M1982" s="267">
        <f>D1982/I1982</f>
        <v>79.399504172774584</v>
      </c>
      <c r="N1982" s="267">
        <f>D1982/B1982</f>
        <v>2.3547135446338143</v>
      </c>
      <c r="O1982" s="239">
        <f>(F1982*3.6+G1982)*100/H1982</f>
        <v>56.487668308404288</v>
      </c>
      <c r="P1982" s="267">
        <f>(E1982*3.6+G1982)*100/H1982</f>
        <v>38.464395931852508</v>
      </c>
      <c r="Q1982" s="267">
        <f>E1982/(B1982*8760)*1000</f>
        <v>0.27347336119616417</v>
      </c>
      <c r="R1982" s="267">
        <f>G1982/(D1982*8761)*1000/3.6</f>
        <v>0.32344072947781194</v>
      </c>
      <c r="S1982" s="268">
        <f>G1982/(E1982*3.6)</f>
        <v>2.7852702181567484</v>
      </c>
      <c r="U1982" s="239" t="s">
        <v>504</v>
      </c>
      <c r="V1982" s="492">
        <f t="shared" ref="V1982:V1998" si="676">B1997/1000</f>
        <v>8.8450000000000001E-2</v>
      </c>
      <c r="Z1982" s="214">
        <f t="shared" si="673"/>
        <v>13312.734851195855</v>
      </c>
      <c r="AA1982" s="214">
        <f t="shared" si="674"/>
        <v>78514.707848671242</v>
      </c>
    </row>
    <row r="1983" spans="1:27">
      <c r="A1983" s="239" t="s">
        <v>265</v>
      </c>
      <c r="B1983" s="319">
        <f t="shared" si="675"/>
        <v>1786.0553227239084</v>
      </c>
      <c r="C1983" s="320">
        <f t="shared" si="675"/>
        <v>2899.2759999999998</v>
      </c>
      <c r="D1983" s="320">
        <f t="shared" si="675"/>
        <v>3996.4449519726631</v>
      </c>
      <c r="E1983" s="320">
        <f t="shared" si="675"/>
        <v>8363.1982452785342</v>
      </c>
      <c r="F1983" s="320">
        <f t="shared" si="675"/>
        <v>14014.699166333334</v>
      </c>
      <c r="G1983" s="320">
        <f t="shared" si="675"/>
        <v>62240.028641599907</v>
      </c>
      <c r="H1983" s="320">
        <f t="shared" si="675"/>
        <v>164407.52901328439</v>
      </c>
      <c r="I1983" s="320">
        <f t="shared" si="675"/>
        <v>270</v>
      </c>
      <c r="J1983" s="244"/>
      <c r="K1983" s="245" t="s">
        <v>265</v>
      </c>
      <c r="L1983" s="266">
        <f>B1983/I1983</f>
        <v>6.6150197137922531</v>
      </c>
      <c r="M1983" s="267">
        <f>D1983/I1983</f>
        <v>14.801647970269123</v>
      </c>
      <c r="N1983" s="267">
        <f>D1983/B1983</f>
        <v>2.237581838102134</v>
      </c>
      <c r="O1983" s="239">
        <f>(F1983*3.6+G1983)*100/H1983</f>
        <v>68.544881318235809</v>
      </c>
      <c r="P1983" s="267">
        <f>(E1983*3.6+G1983)*100/H1983</f>
        <v>56.169898592138573</v>
      </c>
      <c r="Q1983" s="267">
        <f>E1983/(B1983*8760)*1000</f>
        <v>0.53453159254907467</v>
      </c>
      <c r="R1983" s="267">
        <f>G1983/(D1983*8761)*1000/3.6</f>
        <v>0.49378713126801199</v>
      </c>
      <c r="S1983" s="268">
        <f>G1983/(E1983*3.6)</f>
        <v>2.0672590004247904</v>
      </c>
      <c r="U1983" s="239" t="s">
        <v>505</v>
      </c>
      <c r="V1983" s="492">
        <f t="shared" si="676"/>
        <v>9.4476454941519197E-2</v>
      </c>
      <c r="Z1983" s="214">
        <f t="shared" si="673"/>
        <v>1113.2206772760915</v>
      </c>
      <c r="AA1983" s="214">
        <f t="shared" si="674"/>
        <v>5651.5009210547996</v>
      </c>
    </row>
    <row r="1984" spans="1:27">
      <c r="A1984" s="239" t="s">
        <v>266</v>
      </c>
      <c r="B1984" s="319">
        <f t="shared" si="675"/>
        <v>2390.1915120485583</v>
      </c>
      <c r="C1984" s="320">
        <f t="shared" si="675"/>
        <v>3997.7901401000013</v>
      </c>
      <c r="D1984" s="320">
        <f t="shared" si="675"/>
        <v>3329.3905004970206</v>
      </c>
      <c r="E1984" s="320">
        <f t="shared" si="675"/>
        <v>9502.8266945516098</v>
      </c>
      <c r="F1984" s="320">
        <f t="shared" si="675"/>
        <v>14928.628520315093</v>
      </c>
      <c r="G1984" s="320">
        <f t="shared" si="675"/>
        <v>46057.469518731952</v>
      </c>
      <c r="H1984" s="320">
        <f t="shared" si="675"/>
        <v>152817.25874930318</v>
      </c>
      <c r="I1984" s="320">
        <f t="shared" si="675"/>
        <v>1851</v>
      </c>
      <c r="J1984" s="244"/>
      <c r="K1984" s="245" t="s">
        <v>266</v>
      </c>
      <c r="L1984" s="266">
        <f>B1984/I1984</f>
        <v>1.2912974133163471</v>
      </c>
      <c r="M1984" s="267">
        <f>D1984/I1984</f>
        <v>1.7986982714732689</v>
      </c>
      <c r="N1984" s="267">
        <f>D1984/B1984</f>
        <v>1.3929388016458581</v>
      </c>
      <c r="O1984" s="239">
        <f>(F1984*3.6+G1984)*100/H1984</f>
        <v>65.307107985485544</v>
      </c>
      <c r="P1984" s="267">
        <f>(E1984*3.6+G1984)*100/H1984</f>
        <v>52.525248964710769</v>
      </c>
      <c r="Q1984" s="267">
        <f>E1984/(B1984*8760)*1000</f>
        <v>0.45385382819866277</v>
      </c>
      <c r="R1984" s="267">
        <f>G1984/(D1984*8761)*1000/3.6</f>
        <v>0.43861063336148326</v>
      </c>
      <c r="S1984" s="268">
        <f>G1984/(E1984*3.6)</f>
        <v>1.3463090451093163</v>
      </c>
      <c r="U1984" s="239" t="s">
        <v>506</v>
      </c>
      <c r="V1984" s="492">
        <f t="shared" si="676"/>
        <v>4.4868076011859559</v>
      </c>
      <c r="Z1984" s="214">
        <f t="shared" si="673"/>
        <v>1607.598628051443</v>
      </c>
      <c r="AA1984" s="214">
        <f t="shared" si="674"/>
        <v>5425.8018257634831</v>
      </c>
    </row>
    <row r="1985" spans="1:27">
      <c r="A1985" s="272" t="s">
        <v>267</v>
      </c>
      <c r="B1985" s="397">
        <f t="shared" si="675"/>
        <v>58.686800000000005</v>
      </c>
      <c r="C1985" s="395">
        <f t="shared" si="675"/>
        <v>58.686800000000005</v>
      </c>
      <c r="D1985" s="395">
        <f t="shared" si="675"/>
        <v>1648.3662239999999</v>
      </c>
      <c r="E1985" s="395">
        <f t="shared" si="675"/>
        <v>188.4855518</v>
      </c>
      <c r="F1985" s="395">
        <f t="shared" si="675"/>
        <v>188.4855518</v>
      </c>
      <c r="G1985" s="395">
        <f t="shared" si="675"/>
        <v>6008.4170692835996</v>
      </c>
      <c r="H1985" s="395">
        <f t="shared" si="675"/>
        <v>33180.822068939997</v>
      </c>
      <c r="I1985" s="395">
        <f t="shared" si="675"/>
        <v>3</v>
      </c>
      <c r="J1985" s="244"/>
      <c r="K1985" s="245" t="s">
        <v>267</v>
      </c>
      <c r="L1985" s="266"/>
      <c r="M1985" s="267"/>
      <c r="N1985" s="267"/>
      <c r="O1985" s="239"/>
      <c r="P1985" s="267"/>
      <c r="Q1985" s="272"/>
      <c r="R1985" s="274"/>
      <c r="S1985" s="275"/>
      <c r="U1985" s="239" t="s">
        <v>507</v>
      </c>
      <c r="V1985" s="492">
        <f t="shared" si="676"/>
        <v>0</v>
      </c>
      <c r="Z1985" s="214">
        <f t="shared" si="673"/>
        <v>0</v>
      </c>
      <c r="AA1985" s="214">
        <f t="shared" si="674"/>
        <v>0</v>
      </c>
    </row>
    <row r="1986" spans="1:27">
      <c r="A1986" s="276" t="s">
        <v>500</v>
      </c>
      <c r="B1986" s="291">
        <f t="shared" ref="B1986:I1986" si="677">SUM(B1980:B1985)</f>
        <v>34871.041399722373</v>
      </c>
      <c r="C1986" s="291">
        <f t="shared" si="677"/>
        <v>63517.410490099996</v>
      </c>
      <c r="D1986" s="291">
        <f t="shared" si="677"/>
        <v>85234.509644654448</v>
      </c>
      <c r="E1986" s="291">
        <f t="shared" si="677"/>
        <v>115559.78553203876</v>
      </c>
      <c r="F1986" s="291">
        <f t="shared" si="677"/>
        <v>293748.85847162514</v>
      </c>
      <c r="G1986" s="292">
        <f t="shared" si="677"/>
        <v>927932.26562079357</v>
      </c>
      <c r="H1986" s="291">
        <f t="shared" si="677"/>
        <v>3382706.4013169231</v>
      </c>
      <c r="I1986" s="293">
        <f t="shared" si="677"/>
        <v>3244</v>
      </c>
      <c r="J1986" s="244"/>
      <c r="K1986" s="279" t="s">
        <v>169</v>
      </c>
      <c r="L1986" s="280">
        <f>B1986/I1986</f>
        <v>10.74939623912527</v>
      </c>
      <c r="M1986" s="281">
        <f>D1986/I1986</f>
        <v>26.274509754825662</v>
      </c>
      <c r="N1986" s="281">
        <f>D1986/B1986</f>
        <v>2.4442777222401233</v>
      </c>
      <c r="O1986" s="294">
        <f>(F1986*3.6+G1986)*100/H1986</f>
        <v>58.693481507756509</v>
      </c>
      <c r="P1986" s="295">
        <f>(E1986*3.6+G1986)*100/H1986</f>
        <v>39.729947979313849</v>
      </c>
      <c r="Q1986" s="283">
        <f>E1986/(B1986*8760)*1000</f>
        <v>0.37830118659372353</v>
      </c>
      <c r="R1986" s="283">
        <f>G1986/(D1986*8761)*1000/3.6</f>
        <v>0.34517920802576002</v>
      </c>
      <c r="S1986" s="284">
        <f>G1986/(E1986*3.6)</f>
        <v>2.2305247581216685</v>
      </c>
      <c r="U1986" s="239" t="s">
        <v>156</v>
      </c>
      <c r="V1986" s="492">
        <f t="shared" si="676"/>
        <v>1.4252055099720804</v>
      </c>
      <c r="Z1986" s="214">
        <f t="shared" si="673"/>
        <v>28646.369090377622</v>
      </c>
      <c r="AA1986" s="214">
        <f t="shared" si="674"/>
        <v>178189.07293958636</v>
      </c>
    </row>
    <row r="1987" spans="1:27" ht="13.5" thickBot="1">
      <c r="A1987" s="296" t="s">
        <v>502</v>
      </c>
      <c r="B1987" s="297">
        <f t="shared" si="675"/>
        <v>91633.782138722381</v>
      </c>
      <c r="C1987" s="297">
        <f t="shared" si="675"/>
        <v>120280.15122910001</v>
      </c>
      <c r="D1987" s="297">
        <f t="shared" si="675"/>
        <v>236136.12872071253</v>
      </c>
      <c r="E1987" s="297">
        <f t="shared" si="675"/>
        <v>299163.00618357951</v>
      </c>
      <c r="F1987" s="297">
        <f t="shared" si="675"/>
        <v>477352.07912316575</v>
      </c>
      <c r="G1987" s="297">
        <f t="shared" si="675"/>
        <v>2844168.4185410333</v>
      </c>
      <c r="H1987" s="297">
        <f t="shared" si="675"/>
        <v>6487556.9409902943</v>
      </c>
      <c r="I1987" s="298">
        <f t="shared" si="675"/>
        <v>12099</v>
      </c>
      <c r="J1987" s="244"/>
      <c r="K1987" s="296" t="s">
        <v>502</v>
      </c>
      <c r="L1987" s="299">
        <f>B1987/I1987</f>
        <v>7.5736657689662268</v>
      </c>
      <c r="M1987" s="300">
        <f>D1987/I1987</f>
        <v>19.516995513737708</v>
      </c>
      <c r="N1987" s="300">
        <f>D1987/B1987</f>
        <v>2.5769549527403681</v>
      </c>
      <c r="O1987" s="301">
        <f>(F1987*3.6+G1987)*100/H1987</f>
        <v>70.329030556269245</v>
      </c>
      <c r="P1987" s="301">
        <f>(E1987*3.6+G1987)*100/H1987</f>
        <v>60.441168786155941</v>
      </c>
      <c r="Q1987" s="301">
        <f>E1987/(B1987*8760)*1000</f>
        <v>0.37269036927285015</v>
      </c>
      <c r="R1987" s="301">
        <f>G1987/(D1987*8761)*1000/3.6</f>
        <v>0.38188859599711711</v>
      </c>
      <c r="S1987" s="302">
        <f>G1987/(E1987*3.6)</f>
        <v>2.640857213619713</v>
      </c>
      <c r="U1987" s="239" t="s">
        <v>508</v>
      </c>
      <c r="V1987" s="492">
        <f t="shared" si="676"/>
        <v>0.19080971515207293</v>
      </c>
      <c r="Z1987" s="214">
        <f t="shared" si="673"/>
        <v>28646.36909037763</v>
      </c>
      <c r="AA1987" s="214">
        <f t="shared" si="674"/>
        <v>178189.07293958624</v>
      </c>
    </row>
    <row r="1988" spans="1:27">
      <c r="U1988" s="239" t="s">
        <v>509</v>
      </c>
      <c r="V1988" s="492">
        <f t="shared" si="676"/>
        <v>13.300350162685302</v>
      </c>
    </row>
    <row r="1989" spans="1:27">
      <c r="A1989" s="251" t="s">
        <v>139</v>
      </c>
      <c r="B1989" s="227" t="s">
        <v>476</v>
      </c>
      <c r="C1989" s="228"/>
      <c r="D1989" s="286"/>
      <c r="E1989" s="227" t="s">
        <v>477</v>
      </c>
      <c r="F1989" s="228"/>
      <c r="G1989" s="229"/>
      <c r="H1989" s="200" t="s">
        <v>138</v>
      </c>
      <c r="I1989" s="200" t="s">
        <v>478</v>
      </c>
      <c r="J1989" s="230"/>
      <c r="K1989" s="303" t="s">
        <v>503</v>
      </c>
      <c r="L1989" s="227" t="s">
        <v>479</v>
      </c>
      <c r="M1989" s="228"/>
      <c r="N1989" s="286"/>
      <c r="O1989" s="227" t="s">
        <v>480</v>
      </c>
      <c r="P1989" s="228"/>
      <c r="Q1989" s="228"/>
      <c r="R1989" s="229"/>
      <c r="S1989" s="286"/>
      <c r="U1989" s="239" t="s">
        <v>510</v>
      </c>
      <c r="V1989" s="492">
        <f t="shared" si="676"/>
        <v>0.48336306662463957</v>
      </c>
    </row>
    <row r="1990" spans="1:27">
      <c r="A1990" s="239"/>
      <c r="B1990" s="240" t="s">
        <v>9</v>
      </c>
      <c r="C1990" s="240"/>
      <c r="D1990" s="241" t="s">
        <v>34</v>
      </c>
      <c r="E1990" s="242" t="s">
        <v>88</v>
      </c>
      <c r="F1990" s="243"/>
      <c r="G1990" s="244" t="s">
        <v>34</v>
      </c>
      <c r="H1990" s="241" t="s">
        <v>170</v>
      </c>
      <c r="I1990" s="241" t="s">
        <v>483</v>
      </c>
      <c r="J1990" s="230"/>
      <c r="K1990" s="305"/>
      <c r="L1990" s="306" t="s">
        <v>484</v>
      </c>
      <c r="M1990" s="247"/>
      <c r="N1990" s="248" t="s">
        <v>485</v>
      </c>
      <c r="O1990" s="248" t="s">
        <v>486</v>
      </c>
      <c r="P1990" s="248" t="s">
        <v>486</v>
      </c>
      <c r="Q1990" s="247" t="s">
        <v>487</v>
      </c>
      <c r="R1990" s="249"/>
      <c r="S1990" s="307" t="s">
        <v>485</v>
      </c>
      <c r="U1990" s="239" t="s">
        <v>511</v>
      </c>
      <c r="V1990" s="492">
        <f t="shared" si="676"/>
        <v>0.16680442123647304</v>
      </c>
    </row>
    <row r="1991" spans="1:27">
      <c r="A1991" s="239"/>
      <c r="B1991" s="252" t="s">
        <v>0</v>
      </c>
      <c r="C1991" s="252" t="s">
        <v>489</v>
      </c>
      <c r="D1991" s="252" t="s">
        <v>490</v>
      </c>
      <c r="E1991" s="252" t="s">
        <v>491</v>
      </c>
      <c r="F1991" s="252" t="s">
        <v>489</v>
      </c>
      <c r="G1991" s="230" t="s">
        <v>490</v>
      </c>
      <c r="H1991" s="248"/>
      <c r="I1991" s="241" t="s">
        <v>492</v>
      </c>
      <c r="J1991" s="230"/>
      <c r="K1991" s="305"/>
      <c r="L1991" s="248" t="s">
        <v>88</v>
      </c>
      <c r="M1991" s="252" t="s">
        <v>34</v>
      </c>
      <c r="N1991" s="252" t="s">
        <v>493</v>
      </c>
      <c r="O1991" s="248" t="s">
        <v>494</v>
      </c>
      <c r="P1991" s="248" t="s">
        <v>495</v>
      </c>
      <c r="Q1991" s="230" t="s">
        <v>88</v>
      </c>
      <c r="R1991" s="248" t="s">
        <v>34</v>
      </c>
      <c r="S1991" s="252" t="s">
        <v>88</v>
      </c>
      <c r="U1991" s="239" t="s">
        <v>512</v>
      </c>
      <c r="V1991" s="492">
        <f t="shared" si="676"/>
        <v>3.9184250932686009</v>
      </c>
    </row>
    <row r="1992" spans="1:27">
      <c r="A1992" s="239"/>
      <c r="B1992" s="257" t="s">
        <v>496</v>
      </c>
      <c r="C1992" s="256" t="s">
        <v>496</v>
      </c>
      <c r="D1992" s="256" t="s">
        <v>496</v>
      </c>
      <c r="E1992" s="256" t="s">
        <v>473</v>
      </c>
      <c r="F1992" s="256" t="s">
        <v>473</v>
      </c>
      <c r="G1992" s="257" t="s">
        <v>451</v>
      </c>
      <c r="H1992" s="257" t="s">
        <v>497</v>
      </c>
      <c r="I1992" s="257" t="s">
        <v>498</v>
      </c>
      <c r="J1992" s="230"/>
      <c r="K1992" s="305"/>
      <c r="L1992" s="257" t="s">
        <v>496</v>
      </c>
      <c r="M1992" s="256" t="s">
        <v>496</v>
      </c>
      <c r="N1992" s="256"/>
      <c r="O1992" s="257" t="s">
        <v>79</v>
      </c>
      <c r="P1992" s="257" t="s">
        <v>79</v>
      </c>
      <c r="Q1992" s="259"/>
      <c r="R1992" s="257"/>
      <c r="S1992" s="256"/>
      <c r="U1992" s="239" t="s">
        <v>513</v>
      </c>
      <c r="V1992" s="492">
        <f t="shared" si="676"/>
        <v>0.60096049587304867</v>
      </c>
    </row>
    <row r="1993" spans="1:27">
      <c r="A1993" s="251" t="s">
        <v>150</v>
      </c>
      <c r="B1993" s="308">
        <f>B1082+B1363+B1433+B1503+B1573+B1643+B1713+B1853+B1923</f>
        <v>53043.424873039839</v>
      </c>
      <c r="C1993" s="308">
        <f t="shared" ref="C1993:I1993" si="678">C1082+C1363+C1433+C1503+C1573+C1643+C1713+C1853+C1923</f>
        <v>75331.817881899973</v>
      </c>
      <c r="D1993" s="308">
        <f t="shared" si="678"/>
        <v>115108.06376106791</v>
      </c>
      <c r="E1993" s="308">
        <f t="shared" si="678"/>
        <v>163096.76814056301</v>
      </c>
      <c r="F1993" s="308">
        <f t="shared" si="678"/>
        <v>308803.49248184665</v>
      </c>
      <c r="G1993" s="308">
        <f t="shared" si="678"/>
        <v>1191630.3507384271</v>
      </c>
      <c r="H1993" s="308">
        <f t="shared" si="678"/>
        <v>3486202.546525212</v>
      </c>
      <c r="I1993" s="308">
        <f t="shared" si="678"/>
        <v>5730</v>
      </c>
      <c r="J1993" s="244"/>
      <c r="K1993" s="303" t="s">
        <v>150</v>
      </c>
      <c r="L1993" s="312">
        <f>B1993/I1993</f>
        <v>9.2571422116997972</v>
      </c>
      <c r="M1993" s="313">
        <f>D1993/I1993</f>
        <v>20.088667323048501</v>
      </c>
      <c r="N1993" s="313">
        <f>D1993/B1993</f>
        <v>2.1700722386720055</v>
      </c>
      <c r="O1993" s="312">
        <f>(F1993*3.6+G1993)*100/H1993</f>
        <v>66.069681635935254</v>
      </c>
      <c r="P1993" s="313">
        <f>(E1993*3.6+G1993)*100/H1993</f>
        <v>51.023389843410236</v>
      </c>
      <c r="Q1993" s="313">
        <f>E1993/(B1993*8760)*1000</f>
        <v>0.35100208125747556</v>
      </c>
      <c r="R1993" s="313">
        <f>G1993/(D1993*8761)*1000/3.6</f>
        <v>0.32823102301415236</v>
      </c>
      <c r="S1993" s="313">
        <f>G1993/(E1993*3.6)</f>
        <v>2.0295217037985602</v>
      </c>
      <c r="U1993" s="239" t="s">
        <v>514</v>
      </c>
      <c r="V1993" s="492">
        <f t="shared" si="676"/>
        <v>7.4688099346110564</v>
      </c>
      <c r="Z1993" s="214">
        <f>C1993-B1993</f>
        <v>22288.393008860134</v>
      </c>
      <c r="AA1993" s="214">
        <f>F1993-E1993</f>
        <v>145706.72434128364</v>
      </c>
    </row>
    <row r="1994" spans="1:27">
      <c r="A1994" s="239"/>
      <c r="B1994" s="314"/>
      <c r="C1994" s="315"/>
      <c r="D1994" s="315"/>
      <c r="E1994" s="316"/>
      <c r="F1994" s="316"/>
      <c r="G1994" s="317"/>
      <c r="H1994" s="314"/>
      <c r="I1994" s="314"/>
      <c r="J1994" s="230"/>
      <c r="K1994" s="239"/>
      <c r="L1994" s="312"/>
      <c r="M1994" s="267"/>
      <c r="N1994" s="267"/>
      <c r="O1994" s="239"/>
      <c r="P1994" s="313"/>
      <c r="Q1994" s="267"/>
      <c r="R1994" s="267"/>
      <c r="S1994" s="239"/>
      <c r="U1994" s="239" t="s">
        <v>515</v>
      </c>
      <c r="V1994" s="492">
        <f t="shared" si="676"/>
        <v>0.65231964598730618</v>
      </c>
      <c r="Z1994" s="214">
        <f t="shared" ref="Z1994:Z2014" si="679">C1994-B1994</f>
        <v>0</v>
      </c>
      <c r="AA1994" s="214">
        <f t="shared" ref="AA1994:AA2014" si="680">F1994-E1994</f>
        <v>0</v>
      </c>
    </row>
    <row r="1995" spans="1:27">
      <c r="A1995" s="312" t="s">
        <v>7</v>
      </c>
      <c r="B1995" s="310">
        <f>SUM(B1996:B2013)</f>
        <v>38590.720465618426</v>
      </c>
      <c r="C1995" s="310">
        <f t="shared" ref="C1995:I1995" si="681">SUM(C1996:C2013)</f>
        <v>44949.654347199998</v>
      </c>
      <c r="D1995" s="310">
        <f t="shared" si="681"/>
        <v>121027.58232682965</v>
      </c>
      <c r="E1995" s="310">
        <f t="shared" si="681"/>
        <v>136067.02627378175</v>
      </c>
      <c r="F1995" s="310">
        <f t="shared" si="681"/>
        <v>168550.30630731917</v>
      </c>
      <c r="G1995" s="310">
        <f t="shared" si="681"/>
        <v>1652535.9398286059</v>
      </c>
      <c r="H1995" s="310">
        <f t="shared" si="681"/>
        <v>3001354.8128384054</v>
      </c>
      <c r="I1995" s="310">
        <f t="shared" si="681"/>
        <v>6369</v>
      </c>
      <c r="J1995" s="244"/>
      <c r="K1995" s="318" t="s">
        <v>7</v>
      </c>
      <c r="L1995" s="312">
        <f>B1995/I1995</f>
        <v>6.0591490760901907</v>
      </c>
      <c r="M1995" s="313">
        <f>D1995/I1995</f>
        <v>19.002603599753439</v>
      </c>
      <c r="N1995" s="313">
        <f>D1995/B1995</f>
        <v>3.1361835401507099</v>
      </c>
      <c r="O1995" s="312">
        <f>(F1995*3.6+G1995)*100/H1995</f>
        <v>75.276572862050273</v>
      </c>
      <c r="P1995" s="313">
        <f>(E1995*3.6+G1995)*100/H1995</f>
        <v>71.380338813995706</v>
      </c>
      <c r="Q1995" s="313">
        <f>E1995/(B1995*8760)*1000</f>
        <v>0.40250001474334651</v>
      </c>
      <c r="R1995" s="313">
        <f>G1995/(D1995*8761)*1000/3.6</f>
        <v>0.43292271611665339</v>
      </c>
      <c r="S1995" s="313">
        <f>G1995/(E1995*3.6)</f>
        <v>3.3736150016232984</v>
      </c>
      <c r="U1995" s="239" t="s">
        <v>516</v>
      </c>
      <c r="V1995" s="492">
        <f t="shared" si="676"/>
        <v>1.0402984217035076</v>
      </c>
      <c r="Z1995" s="214">
        <f t="shared" si="679"/>
        <v>6358.9338815815718</v>
      </c>
      <c r="AA1995" s="214">
        <f t="shared" si="680"/>
        <v>32483.28003353742</v>
      </c>
    </row>
    <row r="1996" spans="1:27">
      <c r="A1996" s="239" t="s">
        <v>152</v>
      </c>
      <c r="B1996" s="319">
        <f t="shared" ref="B1996:I2011" si="682">B1085+B1366+B1436+B1506+B1576+B1646+B1716+B1856+B1926</f>
        <v>1857.3313868613138</v>
      </c>
      <c r="C1996" s="319">
        <f t="shared" si="682"/>
        <v>1858.2</v>
      </c>
      <c r="D1996" s="319">
        <f t="shared" si="682"/>
        <v>2085.3752281021898</v>
      </c>
      <c r="E1996" s="319">
        <f t="shared" si="682"/>
        <v>2582.811768</v>
      </c>
      <c r="F1996" s="319">
        <f t="shared" si="682"/>
        <v>4320.473</v>
      </c>
      <c r="G1996" s="319">
        <f t="shared" si="682"/>
        <v>29473.8960692</v>
      </c>
      <c r="H1996" s="319">
        <f t="shared" si="682"/>
        <v>70220.724432000003</v>
      </c>
      <c r="I1996" s="319">
        <f t="shared" si="682"/>
        <v>30</v>
      </c>
      <c r="J1996" s="230"/>
      <c r="K1996" s="305" t="s">
        <v>152</v>
      </c>
      <c r="L1996" s="239">
        <f t="shared" ref="L1996:L2012" si="683">B1996/I1996</f>
        <v>61.911046228710461</v>
      </c>
      <c r="M1996" s="267">
        <f t="shared" ref="M1996:M2012" si="684">D1996/I1996</f>
        <v>69.51250760340632</v>
      </c>
      <c r="N1996" s="267">
        <f t="shared" ref="N1996:N2012" si="685">D1996/B1996</f>
        <v>1.1227803734185773</v>
      </c>
      <c r="O1996" s="239">
        <f>(F1996*3.6+G1996)*100/H1996</f>
        <v>64.122948365198951</v>
      </c>
      <c r="P1996" s="267">
        <f t="shared" ref="P1996:P2012" si="686">(E1996*3.6+G1996)*100/H1996</f>
        <v>55.214495076230456</v>
      </c>
      <c r="Q1996" s="267">
        <f t="shared" ref="Q1996:Q2012" si="687">E1996/(B1996*8760)*1000</f>
        <v>0.15874470657907047</v>
      </c>
      <c r="R1996" s="267">
        <f t="shared" ref="R1996:R2012" si="688">G1996/(D1996*8761)*1000/3.6</f>
        <v>0.44812291913884628</v>
      </c>
      <c r="S1996" s="267">
        <f t="shared" ref="S1996:S2012" si="689">G1996/(E1996*3.6)</f>
        <v>3.1698761226007997</v>
      </c>
      <c r="U1996" s="239" t="s">
        <v>517</v>
      </c>
      <c r="V1996" s="492">
        <f t="shared" si="676"/>
        <v>7.1028624931506856E-2</v>
      </c>
      <c r="Z1996" s="214">
        <f t="shared" si="679"/>
        <v>0.86861313868621437</v>
      </c>
      <c r="AA1996" s="214">
        <f t="shared" si="680"/>
        <v>1737.6612319999999</v>
      </c>
    </row>
    <row r="1997" spans="1:27">
      <c r="A1997" s="239" t="s">
        <v>504</v>
      </c>
      <c r="B1997" s="319">
        <f t="shared" si="682"/>
        <v>88.45</v>
      </c>
      <c r="C1997" s="319">
        <f t="shared" si="682"/>
        <v>140.44999999999999</v>
      </c>
      <c r="D1997" s="319">
        <f t="shared" si="682"/>
        <v>178.33316666666667</v>
      </c>
      <c r="E1997" s="319">
        <f t="shared" si="682"/>
        <v>493.81680000000006</v>
      </c>
      <c r="F1997" s="319">
        <f t="shared" si="682"/>
        <v>836.13200000000006</v>
      </c>
      <c r="G1997" s="319">
        <f t="shared" si="682"/>
        <v>3837.4898000000003</v>
      </c>
      <c r="H1997" s="319">
        <f t="shared" si="682"/>
        <v>9864.0123359999998</v>
      </c>
      <c r="I1997" s="319">
        <f t="shared" si="682"/>
        <v>13</v>
      </c>
      <c r="J1997" s="230"/>
      <c r="K1997" s="305" t="s">
        <v>504</v>
      </c>
      <c r="L1997" s="239">
        <f t="shared" si="683"/>
        <v>6.8038461538461537</v>
      </c>
      <c r="M1997" s="267">
        <f t="shared" si="684"/>
        <v>13.717935897435897</v>
      </c>
      <c r="N1997" s="267">
        <f t="shared" si="685"/>
        <v>2.0162031279442245</v>
      </c>
      <c r="O1997" s="239">
        <f>(F1997*3.6+G1997)*100/H1997</f>
        <v>69.419671901756629</v>
      </c>
      <c r="P1997" s="267">
        <f t="shared" si="686"/>
        <v>56.92643205145319</v>
      </c>
      <c r="Q1997" s="267">
        <f t="shared" si="687"/>
        <v>0.6373293479018407</v>
      </c>
      <c r="R1997" s="267">
        <f t="shared" si="688"/>
        <v>0.68227417289424808</v>
      </c>
      <c r="S1997" s="267">
        <f t="shared" si="689"/>
        <v>2.1586333006266472</v>
      </c>
      <c r="U1997" s="239" t="s">
        <v>518</v>
      </c>
      <c r="V1997" s="492">
        <f t="shared" si="676"/>
        <v>1.5223191273054426</v>
      </c>
      <c r="Z1997" s="214">
        <f t="shared" si="679"/>
        <v>51.999999999999986</v>
      </c>
      <c r="AA1997" s="214">
        <f t="shared" si="680"/>
        <v>342.3152</v>
      </c>
    </row>
    <row r="1998" spans="1:27">
      <c r="A1998" s="239" t="s">
        <v>505</v>
      </c>
      <c r="B1998" s="319">
        <f t="shared" si="682"/>
        <v>94.476454941519194</v>
      </c>
      <c r="C1998" s="319">
        <f t="shared" si="682"/>
        <v>94.527999999999992</v>
      </c>
      <c r="D1998" s="319">
        <f t="shared" si="682"/>
        <v>704.7940915691986</v>
      </c>
      <c r="E1998" s="319">
        <f t="shared" si="682"/>
        <v>618.18632000000002</v>
      </c>
      <c r="F1998" s="319">
        <f t="shared" si="682"/>
        <v>624.774</v>
      </c>
      <c r="G1998" s="319">
        <f t="shared" si="682"/>
        <v>13007.153200000001</v>
      </c>
      <c r="H1998" s="319">
        <f t="shared" si="682"/>
        <v>17577.033451200001</v>
      </c>
      <c r="I1998" s="319">
        <f t="shared" si="682"/>
        <v>6</v>
      </c>
      <c r="J1998" s="230"/>
      <c r="K1998" s="305" t="s">
        <v>505</v>
      </c>
      <c r="L1998" s="239">
        <f t="shared" si="683"/>
        <v>15.746075823586532</v>
      </c>
      <c r="M1998" s="267">
        <f t="shared" si="684"/>
        <v>117.46568192819977</v>
      </c>
      <c r="N1998" s="267">
        <f t="shared" si="685"/>
        <v>7.4599972237047343</v>
      </c>
      <c r="O1998" s="239">
        <f>(F1998*3.6+G1998)*100/H1998</f>
        <v>86.797010669388229</v>
      </c>
      <c r="P1998" s="267">
        <f t="shared" si="686"/>
        <v>86.662086604608788</v>
      </c>
      <c r="Q1998" s="267">
        <f t="shared" si="687"/>
        <v>0.74695028148076048</v>
      </c>
      <c r="R1998" s="267">
        <f t="shared" si="688"/>
        <v>0.58514543293784715</v>
      </c>
      <c r="S1998" s="267">
        <f t="shared" si="689"/>
        <v>5.8446749696937825</v>
      </c>
      <c r="U1998" s="239" t="s">
        <v>519</v>
      </c>
      <c r="V1998" s="492">
        <f t="shared" si="676"/>
        <v>1.2229608032786079</v>
      </c>
      <c r="Z1998" s="214">
        <f t="shared" si="679"/>
        <v>5.1545058480797934E-2</v>
      </c>
      <c r="AA1998" s="214">
        <f t="shared" si="680"/>
        <v>6.5876799999999776</v>
      </c>
    </row>
    <row r="1999" spans="1:27">
      <c r="A1999" s="239" t="s">
        <v>506</v>
      </c>
      <c r="B1999" s="319">
        <f t="shared" si="682"/>
        <v>4486.8076011859557</v>
      </c>
      <c r="C1999" s="319">
        <f t="shared" si="682"/>
        <v>4864.1414999999997</v>
      </c>
      <c r="D1999" s="319">
        <f t="shared" si="682"/>
        <v>16562.735058119</v>
      </c>
      <c r="E1999" s="319">
        <f t="shared" si="682"/>
        <v>24043.01737760445</v>
      </c>
      <c r="F1999" s="319">
        <f t="shared" si="682"/>
        <v>27997.055750320003</v>
      </c>
      <c r="G1999" s="319">
        <f t="shared" si="682"/>
        <v>262004.1728814239</v>
      </c>
      <c r="H1999" s="319">
        <f t="shared" si="682"/>
        <v>469749.49649052281</v>
      </c>
      <c r="I1999" s="319">
        <f t="shared" si="682"/>
        <v>184</v>
      </c>
      <c r="J1999" s="230"/>
      <c r="K1999" s="305" t="s">
        <v>506</v>
      </c>
      <c r="L1999" s="239">
        <f t="shared" si="683"/>
        <v>24.384823919488891</v>
      </c>
      <c r="M1999" s="267">
        <f t="shared" si="684"/>
        <v>90.014864446298915</v>
      </c>
      <c r="N1999" s="267">
        <f t="shared" si="685"/>
        <v>3.6914297492366575</v>
      </c>
      <c r="O1999" s="239">
        <f>(F1999*3.6+G1999)*100/H1999</f>
        <v>77.231285247347842</v>
      </c>
      <c r="P1999" s="267">
        <f t="shared" si="686"/>
        <v>74.201045034612847</v>
      </c>
      <c r="Q1999" s="267">
        <f t="shared" si="687"/>
        <v>0.61171258741196821</v>
      </c>
      <c r="R1999" s="267">
        <f t="shared" si="688"/>
        <v>0.50155662618878971</v>
      </c>
      <c r="S1999" s="267">
        <f t="shared" si="689"/>
        <v>3.0270300839735134</v>
      </c>
      <c r="Z1999" s="214">
        <f t="shared" si="679"/>
        <v>377.33389881404401</v>
      </c>
      <c r="AA1999" s="214">
        <f t="shared" si="680"/>
        <v>3954.0383727155531</v>
      </c>
    </row>
    <row r="2000" spans="1:27">
      <c r="A2000" s="239" t="s">
        <v>507</v>
      </c>
      <c r="B2000" s="319">
        <f t="shared" si="682"/>
        <v>0</v>
      </c>
      <c r="C2000" s="319">
        <f t="shared" si="682"/>
        <v>0</v>
      </c>
      <c r="D2000" s="319">
        <f t="shared" si="682"/>
        <v>0</v>
      </c>
      <c r="E2000" s="319">
        <f t="shared" si="682"/>
        <v>0</v>
      </c>
      <c r="F2000" s="319">
        <f t="shared" si="682"/>
        <v>0</v>
      </c>
      <c r="G2000" s="319">
        <f t="shared" si="682"/>
        <v>0</v>
      </c>
      <c r="H2000" s="319">
        <f t="shared" si="682"/>
        <v>0</v>
      </c>
      <c r="I2000" s="319">
        <f t="shared" si="682"/>
        <v>0</v>
      </c>
      <c r="J2000" s="230"/>
      <c r="K2000" s="305" t="s">
        <v>507</v>
      </c>
      <c r="L2000" s="239">
        <v>0</v>
      </c>
      <c r="M2000" s="239">
        <v>0</v>
      </c>
      <c r="N2000" s="239">
        <v>0</v>
      </c>
      <c r="O2000" s="239">
        <v>0</v>
      </c>
      <c r="P2000" s="239">
        <v>0</v>
      </c>
      <c r="Q2000" s="239">
        <v>0</v>
      </c>
      <c r="R2000" s="239">
        <v>0</v>
      </c>
      <c r="S2000" s="239">
        <v>0</v>
      </c>
      <c r="Z2000" s="214">
        <f t="shared" si="679"/>
        <v>0</v>
      </c>
      <c r="AA2000" s="214">
        <f t="shared" si="680"/>
        <v>0</v>
      </c>
    </row>
    <row r="2001" spans="1:27">
      <c r="A2001" s="239" t="s">
        <v>156</v>
      </c>
      <c r="B2001" s="319">
        <f t="shared" si="682"/>
        <v>1425.2055099720803</v>
      </c>
      <c r="C2001" s="319">
        <f t="shared" si="682"/>
        <v>1612.6100000000001</v>
      </c>
      <c r="D2001" s="319">
        <f t="shared" si="682"/>
        <v>6432.4076691866703</v>
      </c>
      <c r="E2001" s="319">
        <f t="shared" si="682"/>
        <v>3455.6032725599998</v>
      </c>
      <c r="F2001" s="319">
        <f t="shared" si="682"/>
        <v>5383.759</v>
      </c>
      <c r="G2001" s="319">
        <f t="shared" si="682"/>
        <v>32761.704191199999</v>
      </c>
      <c r="H2001" s="319">
        <f t="shared" si="682"/>
        <v>100828.2704939512</v>
      </c>
      <c r="I2001" s="319">
        <f t="shared" si="682"/>
        <v>89</v>
      </c>
      <c r="J2001" s="230"/>
      <c r="K2001" s="305" t="s">
        <v>156</v>
      </c>
      <c r="L2001" s="239">
        <f t="shared" si="683"/>
        <v>16.013545055866071</v>
      </c>
      <c r="M2001" s="267">
        <f t="shared" si="684"/>
        <v>72.274243474007534</v>
      </c>
      <c r="N2001" s="267">
        <f t="shared" si="685"/>
        <v>4.5133193944167962</v>
      </c>
      <c r="O2001" s="322">
        <f t="shared" ref="O2001:O2012" si="690">(F2001*3.6+G2001)*100/H2001</f>
        <v>51.71489735542783</v>
      </c>
      <c r="P2001" s="323">
        <f t="shared" si="686"/>
        <v>44.830557690789419</v>
      </c>
      <c r="Q2001" s="267">
        <f t="shared" si="687"/>
        <v>0.27678482623350598</v>
      </c>
      <c r="R2001" s="267">
        <f t="shared" si="688"/>
        <v>0.16148669359773105</v>
      </c>
      <c r="S2001" s="267">
        <f t="shared" si="689"/>
        <v>2.6335411413424721</v>
      </c>
      <c r="Z2001" s="214">
        <f t="shared" si="679"/>
        <v>187.40449002791979</v>
      </c>
      <c r="AA2001" s="214">
        <f t="shared" si="680"/>
        <v>1928.1557274400002</v>
      </c>
    </row>
    <row r="2002" spans="1:27">
      <c r="A2002" s="239" t="s">
        <v>508</v>
      </c>
      <c r="B2002" s="319">
        <f t="shared" si="682"/>
        <v>190.80971515207293</v>
      </c>
      <c r="C2002" s="319">
        <f t="shared" si="682"/>
        <v>241.39600000000002</v>
      </c>
      <c r="D2002" s="319">
        <f t="shared" si="682"/>
        <v>913.65605315629386</v>
      </c>
      <c r="E2002" s="319">
        <f t="shared" si="682"/>
        <v>596.19792959999995</v>
      </c>
      <c r="F2002" s="319">
        <f t="shared" si="682"/>
        <v>745.56434999999999</v>
      </c>
      <c r="G2002" s="319">
        <f t="shared" si="682"/>
        <v>9164.0946960000001</v>
      </c>
      <c r="H2002" s="319">
        <f t="shared" si="682"/>
        <v>19501.367141640003</v>
      </c>
      <c r="I2002" s="319">
        <f t="shared" si="682"/>
        <v>36</v>
      </c>
      <c r="J2002" s="230"/>
      <c r="K2002" s="305" t="s">
        <v>508</v>
      </c>
      <c r="L2002" s="239">
        <f t="shared" si="683"/>
        <v>5.300269865335359</v>
      </c>
      <c r="M2002" s="267">
        <f t="shared" si="684"/>
        <v>25.379334809897053</v>
      </c>
      <c r="N2002" s="267">
        <f t="shared" si="685"/>
        <v>4.7883099266099816</v>
      </c>
      <c r="O2002" s="239">
        <f t="shared" si="690"/>
        <v>60.755362790444913</v>
      </c>
      <c r="P2002" s="267">
        <f t="shared" si="686"/>
        <v>57.998022192042228</v>
      </c>
      <c r="Q2002" s="267">
        <f t="shared" si="687"/>
        <v>0.35668584447767437</v>
      </c>
      <c r="R2002" s="267">
        <f t="shared" si="688"/>
        <v>0.31801723062248738</v>
      </c>
      <c r="S2002" s="267">
        <f t="shared" si="689"/>
        <v>4.2696925527867515</v>
      </c>
      <c r="Z2002" s="214">
        <f t="shared" si="679"/>
        <v>50.586284847927089</v>
      </c>
      <c r="AA2002" s="214">
        <f t="shared" si="680"/>
        <v>149.36642040000004</v>
      </c>
    </row>
    <row r="2003" spans="1:27">
      <c r="A2003" s="239" t="s">
        <v>509</v>
      </c>
      <c r="B2003" s="319">
        <f t="shared" si="682"/>
        <v>13300.350162685301</v>
      </c>
      <c r="C2003" s="319">
        <f t="shared" si="682"/>
        <v>15593.098000000002</v>
      </c>
      <c r="D2003" s="319">
        <f t="shared" si="682"/>
        <v>26074.126066611105</v>
      </c>
      <c r="E2003" s="319">
        <f t="shared" si="682"/>
        <v>31996.661926383182</v>
      </c>
      <c r="F2003" s="319">
        <f t="shared" si="682"/>
        <v>44121.61713522223</v>
      </c>
      <c r="G2003" s="319">
        <f t="shared" si="682"/>
        <v>399024.11568639963</v>
      </c>
      <c r="H2003" s="319">
        <f t="shared" si="682"/>
        <v>730430.9074136375</v>
      </c>
      <c r="I2003" s="319">
        <f t="shared" si="682"/>
        <v>608</v>
      </c>
      <c r="J2003" s="230"/>
      <c r="K2003" s="305" t="s">
        <v>509</v>
      </c>
      <c r="L2003" s="239">
        <f t="shared" si="683"/>
        <v>21.875575925469246</v>
      </c>
      <c r="M2003" s="267">
        <f t="shared" si="684"/>
        <v>42.885075767452477</v>
      </c>
      <c r="N2003" s="267">
        <f t="shared" si="685"/>
        <v>1.9604089928220969</v>
      </c>
      <c r="O2003" s="239">
        <f t="shared" si="690"/>
        <v>76.374360902733102</v>
      </c>
      <c r="P2003" s="267">
        <f t="shared" si="686"/>
        <v>70.398458417119627</v>
      </c>
      <c r="Q2003" s="267">
        <f t="shared" si="687"/>
        <v>0.27462336955196198</v>
      </c>
      <c r="R2003" s="267">
        <f t="shared" si="688"/>
        <v>0.48521386428467211</v>
      </c>
      <c r="S2003" s="267">
        <f t="shared" si="689"/>
        <v>3.464112362412302</v>
      </c>
      <c r="Z2003" s="214">
        <f t="shared" si="679"/>
        <v>2292.7478373147005</v>
      </c>
      <c r="AA2003" s="214">
        <f t="shared" si="680"/>
        <v>12124.955208839048</v>
      </c>
    </row>
    <row r="2004" spans="1:27">
      <c r="A2004" s="239" t="s">
        <v>510</v>
      </c>
      <c r="B2004" s="319">
        <f t="shared" si="682"/>
        <v>483.36306662463954</v>
      </c>
      <c r="C2004" s="319">
        <f t="shared" si="682"/>
        <v>736.41000000000008</v>
      </c>
      <c r="D2004" s="319">
        <f t="shared" si="682"/>
        <v>1045.4430718914498</v>
      </c>
      <c r="E2004" s="319">
        <f t="shared" si="682"/>
        <v>2599.4436594707768</v>
      </c>
      <c r="F2004" s="319">
        <f t="shared" si="682"/>
        <v>3417.9873161111109</v>
      </c>
      <c r="G2004" s="319">
        <f t="shared" si="682"/>
        <v>20452.911859999993</v>
      </c>
      <c r="H2004" s="319">
        <f t="shared" si="682"/>
        <v>43428.837375412913</v>
      </c>
      <c r="I2004" s="319">
        <f t="shared" si="682"/>
        <v>244</v>
      </c>
      <c r="J2004" s="230"/>
      <c r="K2004" s="305" t="s">
        <v>510</v>
      </c>
      <c r="L2004" s="239">
        <f t="shared" si="683"/>
        <v>1.9809961746911458</v>
      </c>
      <c r="M2004" s="267">
        <f t="shared" si="684"/>
        <v>4.2846027536534823</v>
      </c>
      <c r="N2004" s="267">
        <f t="shared" si="685"/>
        <v>2.1628526134440866</v>
      </c>
      <c r="O2004" s="322">
        <f t="shared" si="690"/>
        <v>75.428374733664015</v>
      </c>
      <c r="P2004" s="323">
        <f t="shared" si="686"/>
        <v>68.643120183945172</v>
      </c>
      <c r="Q2004" s="267">
        <f t="shared" si="687"/>
        <v>0.61390735921832307</v>
      </c>
      <c r="R2004" s="267">
        <f t="shared" si="688"/>
        <v>0.6202954232283443</v>
      </c>
      <c r="S2004" s="267">
        <f t="shared" si="689"/>
        <v>2.1856078260654543</v>
      </c>
      <c r="Z2004" s="214">
        <f t="shared" si="679"/>
        <v>253.04693337536054</v>
      </c>
      <c r="AA2004" s="214">
        <f t="shared" si="680"/>
        <v>818.54365664033412</v>
      </c>
    </row>
    <row r="2005" spans="1:27">
      <c r="A2005" s="239" t="s">
        <v>511</v>
      </c>
      <c r="B2005" s="319">
        <f t="shared" si="682"/>
        <v>166.80442123647305</v>
      </c>
      <c r="C2005" s="319">
        <f t="shared" si="682"/>
        <v>192.3</v>
      </c>
      <c r="D2005" s="319">
        <f t="shared" si="682"/>
        <v>311.9539362902151</v>
      </c>
      <c r="E2005" s="319">
        <f t="shared" si="682"/>
        <v>982.34036311111095</v>
      </c>
      <c r="F2005" s="319">
        <f t="shared" si="682"/>
        <v>1044.4215111111109</v>
      </c>
      <c r="G2005" s="319">
        <f t="shared" si="682"/>
        <v>7072.7623935996553</v>
      </c>
      <c r="H2005" s="319">
        <f t="shared" si="682"/>
        <v>13723.213574001602</v>
      </c>
      <c r="I2005" s="319">
        <f t="shared" si="682"/>
        <v>56</v>
      </c>
      <c r="J2005" s="230"/>
      <c r="K2005" s="305" t="s">
        <v>511</v>
      </c>
      <c r="L2005" s="239">
        <f t="shared" si="683"/>
        <v>2.9786503792227328</v>
      </c>
      <c r="M2005" s="267">
        <f t="shared" si="684"/>
        <v>5.5706060051824124</v>
      </c>
      <c r="N2005" s="267">
        <f t="shared" si="685"/>
        <v>1.8701778644582114</v>
      </c>
      <c r="O2005" s="239">
        <f t="shared" si="690"/>
        <v>78.936903336708127</v>
      </c>
      <c r="P2005" s="267">
        <f t="shared" si="686"/>
        <v>77.30833338408857</v>
      </c>
      <c r="Q2005" s="267">
        <f t="shared" si="687"/>
        <v>0.67228020712026948</v>
      </c>
      <c r="R2005" s="267">
        <f t="shared" si="688"/>
        <v>0.71885685296264901</v>
      </c>
      <c r="S2005" s="267">
        <f t="shared" si="689"/>
        <v>1.999975053679159</v>
      </c>
      <c r="Z2005" s="214">
        <f t="shared" si="679"/>
        <v>25.495578763526964</v>
      </c>
      <c r="AA2005" s="214">
        <f t="shared" si="680"/>
        <v>62.081147999999985</v>
      </c>
    </row>
    <row r="2006" spans="1:27">
      <c r="A2006" s="239" t="s">
        <v>512</v>
      </c>
      <c r="B2006" s="319">
        <f t="shared" si="682"/>
        <v>3918.4250932686009</v>
      </c>
      <c r="C2006" s="319">
        <f t="shared" si="682"/>
        <v>4568.4640000000009</v>
      </c>
      <c r="D2006" s="319">
        <f t="shared" si="682"/>
        <v>19099.114584159088</v>
      </c>
      <c r="E2006" s="319">
        <f t="shared" si="682"/>
        <v>12456.364273761035</v>
      </c>
      <c r="F2006" s="319">
        <f t="shared" si="682"/>
        <v>14510.099110368421</v>
      </c>
      <c r="G2006" s="319">
        <f t="shared" si="682"/>
        <v>163958.15897919962</v>
      </c>
      <c r="H2006" s="319">
        <f t="shared" si="682"/>
        <v>271952.21106909198</v>
      </c>
      <c r="I2006" s="319">
        <f t="shared" si="682"/>
        <v>864</v>
      </c>
      <c r="J2006" s="230"/>
      <c r="K2006" s="305" t="s">
        <v>512</v>
      </c>
      <c r="L2006" s="239">
        <f t="shared" si="683"/>
        <v>4.5352142283201395</v>
      </c>
      <c r="M2006" s="267">
        <f t="shared" si="684"/>
        <v>22.105456694628575</v>
      </c>
      <c r="N2006" s="267">
        <f t="shared" si="685"/>
        <v>4.8741813686751723</v>
      </c>
      <c r="O2006" s="239">
        <f t="shared" si="690"/>
        <v>79.497245095609742</v>
      </c>
      <c r="P2006" s="267">
        <f t="shared" si="686"/>
        <v>76.778588982198599</v>
      </c>
      <c r="Q2006" s="267">
        <f t="shared" si="687"/>
        <v>0.36289053845245495</v>
      </c>
      <c r="R2006" s="267">
        <f t="shared" si="688"/>
        <v>0.27218464279724391</v>
      </c>
      <c r="S2006" s="267">
        <f t="shared" si="689"/>
        <v>3.6562781923225081</v>
      </c>
      <c r="Z2006" s="214">
        <f t="shared" si="679"/>
        <v>650.03890673139995</v>
      </c>
      <c r="AA2006" s="214">
        <f t="shared" si="680"/>
        <v>2053.7348366073857</v>
      </c>
    </row>
    <row r="2007" spans="1:27">
      <c r="A2007" s="239" t="s">
        <v>513</v>
      </c>
      <c r="B2007" s="319">
        <f t="shared" si="682"/>
        <v>600.96049587304867</v>
      </c>
      <c r="C2007" s="319">
        <f t="shared" si="682"/>
        <v>800.03584499999988</v>
      </c>
      <c r="D2007" s="319">
        <f t="shared" si="682"/>
        <v>2636.3594513691919</v>
      </c>
      <c r="E2007" s="319">
        <f t="shared" si="682"/>
        <v>2249.1392070504871</v>
      </c>
      <c r="F2007" s="319">
        <f t="shared" si="682"/>
        <v>2823.8756256663664</v>
      </c>
      <c r="G2007" s="319">
        <f t="shared" si="682"/>
        <v>22706.571057999958</v>
      </c>
      <c r="H2007" s="319">
        <f t="shared" si="682"/>
        <v>44595.315682020795</v>
      </c>
      <c r="I2007" s="319">
        <f t="shared" si="682"/>
        <v>212</v>
      </c>
      <c r="J2007" s="230"/>
      <c r="K2007" s="305" t="s">
        <v>513</v>
      </c>
      <c r="L2007" s="239">
        <f t="shared" si="683"/>
        <v>2.83471932015589</v>
      </c>
      <c r="M2007" s="267">
        <f t="shared" si="684"/>
        <v>12.43565778947732</v>
      </c>
      <c r="N2007" s="267">
        <f t="shared" si="685"/>
        <v>4.3869097377843547</v>
      </c>
      <c r="O2007" s="239">
        <f t="shared" si="690"/>
        <v>73.712951254321723</v>
      </c>
      <c r="P2007" s="267">
        <f t="shared" si="686"/>
        <v>69.073335914965952</v>
      </c>
      <c r="Q2007" s="267">
        <f t="shared" si="687"/>
        <v>0.42723449011430298</v>
      </c>
      <c r="R2007" s="267">
        <f t="shared" si="688"/>
        <v>0.27308053906841973</v>
      </c>
      <c r="S2007" s="267">
        <f t="shared" si="689"/>
        <v>2.8043532519785241</v>
      </c>
      <c r="Z2007" s="214">
        <f t="shared" si="679"/>
        <v>199.07534912695121</v>
      </c>
      <c r="AA2007" s="214">
        <f t="shared" si="680"/>
        <v>574.7364186158793</v>
      </c>
    </row>
    <row r="2008" spans="1:27">
      <c r="A2008" s="239" t="s">
        <v>514</v>
      </c>
      <c r="B2008" s="319">
        <f t="shared" si="682"/>
        <v>7468.8099346110566</v>
      </c>
      <c r="C2008" s="319">
        <f t="shared" si="682"/>
        <v>8356.9187499999989</v>
      </c>
      <c r="D2008" s="319">
        <f t="shared" si="682"/>
        <v>32185.323843865219</v>
      </c>
      <c r="E2008" s="319">
        <f t="shared" si="682"/>
        <v>37676.862794276152</v>
      </c>
      <c r="F2008" s="319">
        <f t="shared" si="682"/>
        <v>40744.429712628153</v>
      </c>
      <c r="G2008" s="319">
        <f t="shared" si="682"/>
        <v>532951.23998680047</v>
      </c>
      <c r="H2008" s="319">
        <f t="shared" si="682"/>
        <v>888064.76828345482</v>
      </c>
      <c r="I2008" s="319">
        <f t="shared" si="682"/>
        <v>665</v>
      </c>
      <c r="J2008" s="230"/>
      <c r="K2008" s="305" t="s">
        <v>514</v>
      </c>
      <c r="L2008" s="239">
        <f t="shared" si="683"/>
        <v>11.231293134753468</v>
      </c>
      <c r="M2008" s="267">
        <f t="shared" si="684"/>
        <v>48.398983223857471</v>
      </c>
      <c r="N2008" s="267">
        <f t="shared" si="685"/>
        <v>4.3092974818807317</v>
      </c>
      <c r="O2008" s="239">
        <f t="shared" si="690"/>
        <v>76.529461726752714</v>
      </c>
      <c r="P2008" s="267">
        <f t="shared" si="686"/>
        <v>75.285944215365276</v>
      </c>
      <c r="Q2008" s="267">
        <f t="shared" si="687"/>
        <v>0.57586305879537525</v>
      </c>
      <c r="R2008" s="267">
        <f t="shared" si="688"/>
        <v>0.52501705627760631</v>
      </c>
      <c r="S2008" s="267">
        <f t="shared" si="689"/>
        <v>3.9292552544989241</v>
      </c>
      <c r="Z2008" s="214">
        <f t="shared" si="679"/>
        <v>888.10881538894228</v>
      </c>
      <c r="AA2008" s="214">
        <f t="shared" si="680"/>
        <v>3067.5669183520004</v>
      </c>
    </row>
    <row r="2009" spans="1:27">
      <c r="A2009" s="239" t="s">
        <v>515</v>
      </c>
      <c r="B2009" s="319">
        <f t="shared" si="682"/>
        <v>652.31964598730622</v>
      </c>
      <c r="C2009" s="319">
        <f t="shared" si="682"/>
        <v>801.14800000000002</v>
      </c>
      <c r="D2009" s="319">
        <f t="shared" si="682"/>
        <v>2005.3898570100114</v>
      </c>
      <c r="E2009" s="319">
        <f t="shared" si="682"/>
        <v>2094.3658784781651</v>
      </c>
      <c r="F2009" s="319">
        <f t="shared" si="682"/>
        <v>2590.592664555556</v>
      </c>
      <c r="G2009" s="319">
        <f t="shared" si="682"/>
        <v>17236.479507599895</v>
      </c>
      <c r="H2009" s="319">
        <f t="shared" si="682"/>
        <v>35859.133515032656</v>
      </c>
      <c r="I2009" s="319">
        <f t="shared" si="682"/>
        <v>255</v>
      </c>
      <c r="J2009" s="230"/>
      <c r="K2009" s="305" t="s">
        <v>515</v>
      </c>
      <c r="L2009" s="239">
        <f t="shared" si="683"/>
        <v>2.55811625877375</v>
      </c>
      <c r="M2009" s="267">
        <f t="shared" si="684"/>
        <v>7.8642739490588678</v>
      </c>
      <c r="N2009" s="267">
        <f t="shared" si="685"/>
        <v>3.0742441521514978</v>
      </c>
      <c r="O2009" s="239">
        <f t="shared" si="690"/>
        <v>74.074888309458103</v>
      </c>
      <c r="P2009" s="267">
        <f t="shared" si="686"/>
        <v>69.093127026437372</v>
      </c>
      <c r="Q2009" s="267">
        <f t="shared" si="687"/>
        <v>0.36651182332261939</v>
      </c>
      <c r="R2009" s="267">
        <f t="shared" si="688"/>
        <v>0.2725169829918202</v>
      </c>
      <c r="S2009" s="267">
        <f t="shared" si="689"/>
        <v>2.2860909946701184</v>
      </c>
      <c r="Z2009" s="214">
        <f t="shared" si="679"/>
        <v>148.82835401269381</v>
      </c>
      <c r="AA2009" s="214">
        <f t="shared" si="680"/>
        <v>496.2267860773909</v>
      </c>
    </row>
    <row r="2010" spans="1:27">
      <c r="A2010" s="239" t="s">
        <v>516</v>
      </c>
      <c r="B2010" s="319">
        <f t="shared" si="682"/>
        <v>1040.2984217035075</v>
      </c>
      <c r="C2010" s="319">
        <f t="shared" si="682"/>
        <v>1441.2416991999999</v>
      </c>
      <c r="D2010" s="319">
        <f t="shared" si="682"/>
        <v>2962.4466605936123</v>
      </c>
      <c r="E2010" s="319">
        <f t="shared" si="682"/>
        <v>3841.3771925135493</v>
      </c>
      <c r="F2010" s="319">
        <f t="shared" si="682"/>
        <v>5549.3983898885881</v>
      </c>
      <c r="G2010" s="319">
        <f t="shared" si="682"/>
        <v>38922.912457199949</v>
      </c>
      <c r="H2010" s="319">
        <f t="shared" si="682"/>
        <v>80201.410503640931</v>
      </c>
      <c r="I2010" s="319">
        <f t="shared" si="682"/>
        <v>323</v>
      </c>
      <c r="J2010" s="244"/>
      <c r="K2010" s="239" t="s">
        <v>516</v>
      </c>
      <c r="L2010" s="239">
        <f t="shared" si="683"/>
        <v>3.2207381476888779</v>
      </c>
      <c r="M2010" s="267">
        <f t="shared" si="684"/>
        <v>9.1716614879059204</v>
      </c>
      <c r="N2010" s="267">
        <f t="shared" si="685"/>
        <v>2.8476892772196578</v>
      </c>
      <c r="O2010" s="239">
        <f t="shared" si="690"/>
        <v>73.441035875703122</v>
      </c>
      <c r="P2010" s="267">
        <f t="shared" si="686"/>
        <v>65.774242646086549</v>
      </c>
      <c r="Q2010" s="267">
        <f t="shared" si="687"/>
        <v>0.4215265244974058</v>
      </c>
      <c r="R2010" s="267">
        <f t="shared" si="688"/>
        <v>0.4165801853012655</v>
      </c>
      <c r="S2010" s="267">
        <f t="shared" si="689"/>
        <v>2.8145947625427961</v>
      </c>
      <c r="Z2010" s="214">
        <f t="shared" si="679"/>
        <v>400.94327749649233</v>
      </c>
      <c r="AA2010" s="214">
        <f t="shared" si="680"/>
        <v>1708.0211973750388</v>
      </c>
    </row>
    <row r="2011" spans="1:27">
      <c r="A2011" s="239" t="s">
        <v>517</v>
      </c>
      <c r="B2011" s="319">
        <f t="shared" si="682"/>
        <v>71.028624931506855</v>
      </c>
      <c r="C2011" s="319">
        <f t="shared" si="682"/>
        <v>93.544000000000011</v>
      </c>
      <c r="D2011" s="319">
        <f t="shared" si="682"/>
        <v>78.153586996955852</v>
      </c>
      <c r="E2011" s="319">
        <f t="shared" si="682"/>
        <v>251.59635760888887</v>
      </c>
      <c r="F2011" s="319">
        <f t="shared" si="682"/>
        <v>373.1026668888889</v>
      </c>
      <c r="G2011" s="319">
        <f t="shared" si="682"/>
        <v>1019.4633015999964</v>
      </c>
      <c r="H2011" s="319">
        <f t="shared" si="682"/>
        <v>3686.5092372064</v>
      </c>
      <c r="I2011" s="319">
        <f t="shared" si="682"/>
        <v>23</v>
      </c>
      <c r="K2011" s="239" t="s">
        <v>517</v>
      </c>
      <c r="L2011" s="239">
        <f t="shared" si="683"/>
        <v>3.088201083978559</v>
      </c>
      <c r="M2011" s="267">
        <f t="shared" si="684"/>
        <v>3.3979820433459067</v>
      </c>
      <c r="N2011" s="267">
        <f t="shared" si="685"/>
        <v>1.100311136141515</v>
      </c>
      <c r="O2011" s="239">
        <f t="shared" si="690"/>
        <v>64.088620165519401</v>
      </c>
      <c r="P2011" s="267">
        <f t="shared" si="686"/>
        <v>52.223121254156993</v>
      </c>
      <c r="Q2011" s="267">
        <f t="shared" si="687"/>
        <v>0.40435874151918838</v>
      </c>
      <c r="R2011" s="267">
        <f>G2011/(1*8761)*1000/3.6</f>
        <v>32.323279356745054</v>
      </c>
      <c r="S2011" s="267">
        <f t="shared" si="689"/>
        <v>1.1255498813089277</v>
      </c>
      <c r="Z2011" s="214">
        <f t="shared" si="679"/>
        <v>22.515375068493157</v>
      </c>
      <c r="AA2011" s="214">
        <f t="shared" si="680"/>
        <v>121.50630928000004</v>
      </c>
    </row>
    <row r="2012" spans="1:27">
      <c r="A2012" s="239" t="s">
        <v>518</v>
      </c>
      <c r="B2012" s="319">
        <f t="shared" ref="B2012:I2014" si="691">B1101+B1382+B1452+B1522+B1592+B1662+B1732+B1872+B1942</f>
        <v>1522.3191273054426</v>
      </c>
      <c r="C2012" s="319">
        <f t="shared" si="691"/>
        <v>1895.0425529999998</v>
      </c>
      <c r="D2012" s="319">
        <f t="shared" si="691"/>
        <v>3310.2833484630737</v>
      </c>
      <c r="E2012" s="319">
        <f t="shared" si="691"/>
        <v>6008.5137769906223</v>
      </c>
      <c r="F2012" s="319">
        <f t="shared" si="691"/>
        <v>7576.1870745587385</v>
      </c>
      <c r="G2012" s="319">
        <f t="shared" si="691"/>
        <v>46698.781617982742</v>
      </c>
      <c r="H2012" s="319">
        <f t="shared" si="691"/>
        <v>103547.495181512</v>
      </c>
      <c r="I2012" s="319">
        <f t="shared" si="691"/>
        <v>1532</v>
      </c>
      <c r="K2012" s="239" t="s">
        <v>518</v>
      </c>
      <c r="L2012" s="239">
        <f t="shared" si="683"/>
        <v>0.99368089249702518</v>
      </c>
      <c r="M2012" s="267">
        <f t="shared" si="684"/>
        <v>2.1607593658375155</v>
      </c>
      <c r="N2012" s="267">
        <f t="shared" si="685"/>
        <v>2.1745002667886002</v>
      </c>
      <c r="O2012" s="239">
        <f t="shared" si="690"/>
        <v>71.438768225850623</v>
      </c>
      <c r="P2012" s="267">
        <f t="shared" si="686"/>
        <v>65.988492619132842</v>
      </c>
      <c r="Q2012" s="267">
        <f t="shared" si="687"/>
        <v>0.45056479084902218</v>
      </c>
      <c r="R2012" s="267">
        <f t="shared" si="688"/>
        <v>0.44728486124920913</v>
      </c>
      <c r="S2012" s="267">
        <f t="shared" si="689"/>
        <v>2.1589172071882943</v>
      </c>
      <c r="Z2012" s="214">
        <f t="shared" si="679"/>
        <v>372.72342569455714</v>
      </c>
      <c r="AA2012" s="214">
        <f t="shared" si="680"/>
        <v>1567.6732975681161</v>
      </c>
    </row>
    <row r="2013" spans="1:27">
      <c r="A2013" s="239" t="s">
        <v>519</v>
      </c>
      <c r="B2013" s="397">
        <f t="shared" si="691"/>
        <v>1222.960803278608</v>
      </c>
      <c r="C2013" s="397">
        <f t="shared" si="691"/>
        <v>1660.126</v>
      </c>
      <c r="D2013" s="397">
        <f t="shared" si="691"/>
        <v>4441.6866527797083</v>
      </c>
      <c r="E2013" s="397">
        <f t="shared" si="691"/>
        <v>4120.7273763733319</v>
      </c>
      <c r="F2013" s="397">
        <f t="shared" si="691"/>
        <v>5890.8370000000004</v>
      </c>
      <c r="G2013" s="397">
        <f t="shared" si="691"/>
        <v>52244.032142399999</v>
      </c>
      <c r="H2013" s="397">
        <f t="shared" si="691"/>
        <v>98124.106658080011</v>
      </c>
      <c r="I2013" s="397">
        <f t="shared" si="691"/>
        <v>1229</v>
      </c>
      <c r="K2013" s="239" t="s">
        <v>519</v>
      </c>
      <c r="L2013" s="239"/>
      <c r="M2013" s="267"/>
      <c r="N2013" s="267"/>
      <c r="O2013" s="239"/>
      <c r="P2013" s="267"/>
      <c r="Q2013" s="267"/>
      <c r="R2013" s="267"/>
      <c r="S2013" s="267"/>
      <c r="Z2013" s="214">
        <f t="shared" si="679"/>
        <v>437.16519672139202</v>
      </c>
      <c r="AA2013" s="214">
        <f t="shared" si="680"/>
        <v>1770.1096236266685</v>
      </c>
    </row>
    <row r="2014" spans="1:27">
      <c r="A2014" s="282" t="s">
        <v>169</v>
      </c>
      <c r="B2014" s="326">
        <f t="shared" si="691"/>
        <v>91634.145338658287</v>
      </c>
      <c r="C2014" s="326">
        <f t="shared" si="691"/>
        <v>120281.47222909999</v>
      </c>
      <c r="D2014" s="326">
        <f t="shared" si="691"/>
        <v>236135.64608789756</v>
      </c>
      <c r="E2014" s="326">
        <f t="shared" si="691"/>
        <v>299163.79441434483</v>
      </c>
      <c r="F2014" s="326">
        <f t="shared" si="691"/>
        <v>477353.79878916591</v>
      </c>
      <c r="G2014" s="327">
        <f t="shared" si="691"/>
        <v>2844166.2905670335</v>
      </c>
      <c r="H2014" s="326">
        <f t="shared" si="691"/>
        <v>6487557.3593636183</v>
      </c>
      <c r="I2014" s="326">
        <f t="shared" si="691"/>
        <v>12099</v>
      </c>
      <c r="K2014" s="328" t="s">
        <v>169</v>
      </c>
      <c r="L2014" s="282">
        <f>B2014/I2014</f>
        <v>7.5736957879707649</v>
      </c>
      <c r="M2014" s="281">
        <f>D2014/I2014</f>
        <v>19.516955623431489</v>
      </c>
      <c r="N2014" s="281">
        <f>D2014/B2014</f>
        <v>2.5769394718005572</v>
      </c>
      <c r="O2014" s="282">
        <f>(F2014*3.6+G2014)*100/H2014</f>
        <v>70.329088645708595</v>
      </c>
      <c r="P2014" s="282">
        <f>(E2014*3.6+G2014)*100/H2014</f>
        <v>60.441175827126884</v>
      </c>
      <c r="Q2014" s="281">
        <f>E2014/(B2014*8760)*1000</f>
        <v>0.37268987403783604</v>
      </c>
      <c r="R2014" s="281">
        <f>G2014/(D2014*8761)*1000/3.6</f>
        <v>0.38188909080617783</v>
      </c>
      <c r="S2014" s="281">
        <f>G2014/(E2014*3.6)</f>
        <v>2.6408482796883974</v>
      </c>
      <c r="Z2014" s="214">
        <f t="shared" si="679"/>
        <v>28647.326890441705</v>
      </c>
      <c r="AA2014" s="214">
        <f t="shared" si="680"/>
        <v>178190.00437482109</v>
      </c>
    </row>
    <row r="2016" spans="1:27">
      <c r="A2016" s="251" t="s">
        <v>520</v>
      </c>
      <c r="B2016" s="227" t="s">
        <v>476</v>
      </c>
      <c r="C2016" s="228"/>
      <c r="D2016" s="286"/>
      <c r="E2016" s="227" t="s">
        <v>521</v>
      </c>
      <c r="F2016" s="228"/>
      <c r="G2016" s="286"/>
      <c r="H2016" s="200" t="s">
        <v>138</v>
      </c>
      <c r="I2016" s="200" t="s">
        <v>478</v>
      </c>
    </row>
    <row r="2017" spans="1:19">
      <c r="A2017" s="239"/>
      <c r="B2017" s="243" t="s">
        <v>88</v>
      </c>
      <c r="C2017" s="243"/>
      <c r="D2017" s="241" t="s">
        <v>34</v>
      </c>
      <c r="E2017" s="243" t="s">
        <v>88</v>
      </c>
      <c r="F2017" s="243"/>
      <c r="G2017" s="241" t="s">
        <v>34</v>
      </c>
      <c r="H2017" s="241" t="s">
        <v>170</v>
      </c>
      <c r="I2017" s="241" t="s">
        <v>483</v>
      </c>
    </row>
    <row r="2018" spans="1:19">
      <c r="A2018" s="239"/>
      <c r="B2018" s="252" t="s">
        <v>0</v>
      </c>
      <c r="C2018" s="252" t="s">
        <v>489</v>
      </c>
      <c r="D2018" s="252" t="s">
        <v>490</v>
      </c>
      <c r="E2018" s="252" t="s">
        <v>491</v>
      </c>
      <c r="F2018" s="252" t="s">
        <v>489</v>
      </c>
      <c r="G2018" s="252" t="s">
        <v>490</v>
      </c>
      <c r="H2018" s="248"/>
      <c r="I2018" s="241" t="s">
        <v>492</v>
      </c>
      <c r="K2018" s="214" t="s">
        <v>562</v>
      </c>
    </row>
    <row r="2019" spans="1:19">
      <c r="A2019" s="239"/>
      <c r="B2019" s="257" t="s">
        <v>496</v>
      </c>
      <c r="C2019" s="256" t="s">
        <v>496</v>
      </c>
      <c r="D2019" s="252" t="s">
        <v>496</v>
      </c>
      <c r="E2019" s="329" t="s">
        <v>473</v>
      </c>
      <c r="F2019" s="329" t="s">
        <v>473</v>
      </c>
      <c r="G2019" s="252" t="s">
        <v>496</v>
      </c>
      <c r="H2019" s="257" t="s">
        <v>497</v>
      </c>
      <c r="I2019" s="257" t="s">
        <v>498</v>
      </c>
      <c r="K2019" s="214" t="s">
        <v>560</v>
      </c>
    </row>
    <row r="2020" spans="1:19">
      <c r="A2020" s="251" t="s">
        <v>522</v>
      </c>
      <c r="B2020" s="389"/>
      <c r="C2020" s="389"/>
      <c r="D2020" s="200"/>
      <c r="E2020" s="389"/>
      <c r="F2020" s="389"/>
      <c r="G2020" s="200"/>
      <c r="H2020" s="200"/>
      <c r="I2020" s="200"/>
      <c r="K2020" s="511" t="s">
        <v>561</v>
      </c>
    </row>
    <row r="2021" spans="1:19">
      <c r="A2021" s="239" t="s">
        <v>523</v>
      </c>
      <c r="B2021" s="319">
        <f t="shared" ref="B2021:C2024" si="692">B1110+B1391+B1461+B1531+B1601+B1671+C1741+B1881+B1951</f>
        <v>15942.47711224645</v>
      </c>
      <c r="C2021" s="319">
        <f t="shared" si="692"/>
        <v>37101.392999999996</v>
      </c>
      <c r="D2021" s="319">
        <f>D1110+D1391+D1461+D1531+D1601+D1671+I1741+D1881+D1951</f>
        <v>30531.490084495617</v>
      </c>
      <c r="E2021" s="319">
        <f t="shared" ref="B2021:I2030" si="693">E1110+E1391+E1461+E1531+E1601+E1671+E1741+E1881+E1951</f>
        <v>7065.577036308332</v>
      </c>
      <c r="F2021" s="319">
        <f t="shared" si="693"/>
        <v>10236.476706666668</v>
      </c>
      <c r="G2021" s="319">
        <f t="shared" si="693"/>
        <v>80500.762058248612</v>
      </c>
      <c r="H2021" s="319">
        <f t="shared" si="693"/>
        <v>164916.73944963468</v>
      </c>
      <c r="I2021" s="319">
        <f>I1110+I1391+I1461+I1531+I1601+I1671+I1741+I1881+I1951</f>
        <v>599</v>
      </c>
      <c r="K2021" s="511">
        <f t="shared" ref="K2021:K2030" si="694">H2021/$H$2030</f>
        <v>2.5650882976316309E-2</v>
      </c>
      <c r="L2021" s="511">
        <f>H2021/$L$2030</f>
        <v>4.1456891479470924E-2</v>
      </c>
      <c r="N2021" s="511">
        <v>0.11162294571865579</v>
      </c>
    </row>
    <row r="2022" spans="1:19">
      <c r="A2022" s="239" t="s">
        <v>524</v>
      </c>
      <c r="B2022" s="319">
        <f t="shared" si="692"/>
        <v>3527.8640129924152</v>
      </c>
      <c r="C2022" s="319">
        <f t="shared" si="692"/>
        <v>9142.9591257999982</v>
      </c>
      <c r="D2022" s="319">
        <f>D1111+D1392+D1462+D1532+D1602+D1672+I1742+D1882+D1952</f>
        <v>11407.435725849331</v>
      </c>
      <c r="E2022" s="319">
        <f t="shared" si="693"/>
        <v>10979.721412590912</v>
      </c>
      <c r="F2022" s="319">
        <f t="shared" si="693"/>
        <v>29691.853119484287</v>
      </c>
      <c r="G2022" s="319">
        <f t="shared" si="693"/>
        <v>107448.97916736529</v>
      </c>
      <c r="H2022" s="319">
        <f t="shared" si="693"/>
        <v>331279.03484393883</v>
      </c>
      <c r="I2022" s="319">
        <f>I1111+I1392+I1462+I1532+I1602+I1672+I1742+I1882+I1952</f>
        <v>705</v>
      </c>
      <c r="K2022" s="511">
        <f t="shared" si="694"/>
        <v>5.152660538673845E-2</v>
      </c>
      <c r="L2022" s="511">
        <f t="shared" ref="L2022:L2029" si="695">H2022/$L$2030</f>
        <v>8.3277167877450792E-2</v>
      </c>
      <c r="N2022" s="511">
        <v>0.16436579989237743</v>
      </c>
    </row>
    <row r="2023" spans="1:19">
      <c r="A2023" s="239" t="s">
        <v>525</v>
      </c>
      <c r="B2023" s="319">
        <f t="shared" si="692"/>
        <v>22908.060750138637</v>
      </c>
      <c r="C2023" s="319">
        <f t="shared" si="692"/>
        <v>35573.950145300041</v>
      </c>
      <c r="D2023" s="319">
        <f>D1112+D1393+D1463+D1533+D1603+D1673+I1743+D1883+D1953</f>
        <v>50707.804125627888</v>
      </c>
      <c r="E2023" s="319">
        <f t="shared" si="693"/>
        <v>87114.202335212409</v>
      </c>
      <c r="F2023" s="319">
        <f t="shared" si="693"/>
        <v>147243.47255739855</v>
      </c>
      <c r="G2023" s="319">
        <f t="shared" si="693"/>
        <v>564555.61222700134</v>
      </c>
      <c r="H2023" s="319">
        <f t="shared" si="693"/>
        <v>1533499.6362050558</v>
      </c>
      <c r="I2023" s="319">
        <f>I1112+I1393+I1463+I1533+I1603+I1673+I1743+I1883+I1953</f>
        <v>8910</v>
      </c>
      <c r="K2023" s="511">
        <f t="shared" si="694"/>
        <v>0.23851805367842938</v>
      </c>
      <c r="L2023" s="511">
        <f t="shared" si="695"/>
        <v>0.38549226848725432</v>
      </c>
      <c r="N2023" s="511">
        <v>0.57244609760453047</v>
      </c>
    </row>
    <row r="2024" spans="1:19">
      <c r="A2024" s="239" t="s">
        <v>267</v>
      </c>
      <c r="B2024" s="319">
        <f t="shared" si="692"/>
        <v>1052.3719704666667</v>
      </c>
      <c r="C2024" s="319">
        <f t="shared" si="692"/>
        <v>3973.7921080000001</v>
      </c>
      <c r="D2024" s="319">
        <f>D1113+D1394+D1464+D1534+D1604+D1674+I1744+D1884+D1954</f>
        <v>4767.492833152739</v>
      </c>
      <c r="E2024" s="319">
        <f t="shared" si="693"/>
        <v>4981.2949477832826</v>
      </c>
      <c r="F2024" s="319">
        <f t="shared" si="693"/>
        <v>5162.9286443068013</v>
      </c>
      <c r="G2024" s="319">
        <f t="shared" si="693"/>
        <v>79106.153592877905</v>
      </c>
      <c r="H2024" s="319">
        <f t="shared" si="693"/>
        <v>123098.66830145402</v>
      </c>
      <c r="I2024" s="319">
        <f>I1113+I1394+I1464+I1534+I1604+I1674+I1744+I1884+I1954</f>
        <v>278</v>
      </c>
      <c r="K2024" s="511">
        <f t="shared" si="694"/>
        <v>1.9146567811603489E-2</v>
      </c>
      <c r="L2024" s="511">
        <f t="shared" si="695"/>
        <v>3.0944633941173104E-2</v>
      </c>
      <c r="N2024" s="511">
        <v>6.6030845052673561E-3</v>
      </c>
    </row>
    <row r="2025" spans="1:19">
      <c r="A2025" s="312" t="s">
        <v>526</v>
      </c>
      <c r="B2025" s="391"/>
      <c r="C2025" s="391"/>
      <c r="D2025" s="391"/>
      <c r="E2025" s="391"/>
      <c r="F2025" s="391"/>
      <c r="G2025" s="391"/>
      <c r="H2025" s="391"/>
      <c r="I2025" s="391"/>
      <c r="K2025" s="511">
        <f t="shared" si="694"/>
        <v>0</v>
      </c>
      <c r="L2025" s="511">
        <f t="shared" si="695"/>
        <v>0</v>
      </c>
      <c r="N2025" s="511">
        <v>0.13329200433118385</v>
      </c>
    </row>
    <row r="2026" spans="1:19">
      <c r="A2026" s="239" t="s">
        <v>527</v>
      </c>
      <c r="B2026" s="319">
        <f t="shared" si="693"/>
        <v>8359.1197929048722</v>
      </c>
      <c r="C2026" s="319">
        <f t="shared" si="693"/>
        <v>11999.959000000001</v>
      </c>
      <c r="D2026" s="319">
        <f t="shared" si="693"/>
        <v>17080.615207770737</v>
      </c>
      <c r="E2026" s="319">
        <f t="shared" si="693"/>
        <v>7510.6601287866715</v>
      </c>
      <c r="F2026" s="319">
        <f t="shared" si="693"/>
        <v>19228.996777777797</v>
      </c>
      <c r="G2026" s="319">
        <f t="shared" si="693"/>
        <v>54718.962424942947</v>
      </c>
      <c r="H2026" s="319">
        <f t="shared" si="693"/>
        <v>191773.4860915356</v>
      </c>
      <c r="I2026" s="319">
        <f t="shared" si="693"/>
        <v>112</v>
      </c>
      <c r="K2026" s="511">
        <f t="shared" si="694"/>
        <v>2.9828137920447466E-2</v>
      </c>
      <c r="L2026" s="511">
        <f t="shared" si="695"/>
        <v>4.8208160239334816E-2</v>
      </c>
      <c r="N2026" s="511">
        <v>9.5975259933742188E-2</v>
      </c>
    </row>
    <row r="2027" spans="1:19">
      <c r="A2027" s="239" t="s">
        <v>528</v>
      </c>
      <c r="B2027" s="319">
        <f t="shared" si="693"/>
        <v>11735.475465031797</v>
      </c>
      <c r="C2027" s="319">
        <f t="shared" si="693"/>
        <v>18681.224000000002</v>
      </c>
      <c r="D2027" s="319">
        <f t="shared" si="693"/>
        <v>38649.408834543356</v>
      </c>
      <c r="E2027" s="319">
        <f t="shared" si="693"/>
        <v>40775.053002654808</v>
      </c>
      <c r="F2027" s="319">
        <f t="shared" si="693"/>
        <v>61012.635746111104</v>
      </c>
      <c r="G2027" s="319">
        <f t="shared" si="693"/>
        <v>362304.84933086822</v>
      </c>
      <c r="H2027" s="319">
        <f t="shared" si="693"/>
        <v>768120.65255473182</v>
      </c>
      <c r="I2027" s="319">
        <f t="shared" si="693"/>
        <v>642</v>
      </c>
      <c r="K2027" s="511">
        <f t="shared" si="694"/>
        <v>0.1194722442132104</v>
      </c>
      <c r="L2027" s="511">
        <f t="shared" si="695"/>
        <v>0.19309073561830262</v>
      </c>
    </row>
    <row r="2028" spans="1:19">
      <c r="A2028" s="239" t="s">
        <v>529</v>
      </c>
      <c r="B2028" s="319">
        <f t="shared" si="693"/>
        <v>3977.4110000000005</v>
      </c>
      <c r="C2028" s="319">
        <f t="shared" si="693"/>
        <v>5061.5109999999995</v>
      </c>
      <c r="D2028" s="319">
        <f t="shared" si="693"/>
        <v>14388.775715221993</v>
      </c>
      <c r="E2028" s="319">
        <f t="shared" si="693"/>
        <v>3354.099802222222</v>
      </c>
      <c r="F2028" s="319">
        <f t="shared" si="693"/>
        <v>4218.7097955555564</v>
      </c>
      <c r="G2028" s="319">
        <f t="shared" si="693"/>
        <v>30238.768868832263</v>
      </c>
      <c r="H2028" s="319">
        <f t="shared" si="693"/>
        <v>66815.338022980286</v>
      </c>
      <c r="I2028" s="319">
        <f t="shared" si="693"/>
        <v>159</v>
      </c>
      <c r="K2028" s="511">
        <f t="shared" si="694"/>
        <v>1.0392349632730271E-2</v>
      </c>
      <c r="L2028" s="511">
        <f t="shared" si="695"/>
        <v>1.6796088904175804E-2</v>
      </c>
    </row>
    <row r="2029" spans="1:19">
      <c r="A2029" s="239" t="s">
        <v>530</v>
      </c>
      <c r="B2029" s="319">
        <f t="shared" si="693"/>
        <v>13049.60963494152</v>
      </c>
      <c r="C2029" s="319">
        <f t="shared" si="693"/>
        <v>15518.067850000001</v>
      </c>
      <c r="D2029" s="319">
        <f t="shared" si="693"/>
        <v>44127.98856123587</v>
      </c>
      <c r="E2029" s="319">
        <f t="shared" si="693"/>
        <v>29657.717783114666</v>
      </c>
      <c r="F2029" s="319">
        <f t="shared" si="693"/>
        <v>44275.396083822998</v>
      </c>
      <c r="G2029" s="319">
        <f t="shared" si="693"/>
        <v>426666.79392498021</v>
      </c>
      <c r="H2029" s="319">
        <f t="shared" si="693"/>
        <v>798525.99677772925</v>
      </c>
      <c r="I2029" s="319">
        <f t="shared" si="693"/>
        <v>694</v>
      </c>
      <c r="K2029" s="511">
        <f t="shared" si="694"/>
        <v>0.12420144228686568</v>
      </c>
      <c r="L2029" s="511">
        <f t="shared" si="695"/>
        <v>0.20073405345283768</v>
      </c>
    </row>
    <row r="2030" spans="1:19">
      <c r="A2030" s="282" t="s">
        <v>169</v>
      </c>
      <c r="B2030" s="360">
        <f t="shared" si="693"/>
        <v>91633.652738722376</v>
      </c>
      <c r="C2030" s="360">
        <f t="shared" si="693"/>
        <v>118915.85622910006</v>
      </c>
      <c r="D2030" s="360">
        <f t="shared" si="693"/>
        <v>236135.91108789755</v>
      </c>
      <c r="E2030" s="360">
        <f t="shared" si="693"/>
        <v>299162.45146065665</v>
      </c>
      <c r="F2030" s="360">
        <f t="shared" si="693"/>
        <v>471100.63663602376</v>
      </c>
      <c r="G2030" s="360">
        <f t="shared" si="693"/>
        <v>2844165.5847151172</v>
      </c>
      <c r="H2030" s="360">
        <f>H1119+H1400+H1470+H1540+H1610+H1680+H1750+H1890+H1960</f>
        <v>6429281.1909010615</v>
      </c>
      <c r="I2030" s="360">
        <f t="shared" si="693"/>
        <v>12099</v>
      </c>
      <c r="K2030" s="511">
        <f t="shared" si="694"/>
        <v>1</v>
      </c>
      <c r="L2030" s="512">
        <f>SUM(H2021:H2029)</f>
        <v>3978029.55224706</v>
      </c>
    </row>
    <row r="2031" spans="1:19">
      <c r="K2031" s="362"/>
      <c r="L2031" s="362"/>
      <c r="M2031" s="362"/>
      <c r="N2031" s="362"/>
      <c r="O2031" s="362"/>
      <c r="P2031" s="362"/>
      <c r="Q2031" s="362"/>
      <c r="R2031" s="362"/>
      <c r="S2031" s="362"/>
    </row>
    <row r="2032" spans="1:19">
      <c r="K2032" s="362"/>
      <c r="L2032" s="362"/>
      <c r="M2032" s="362"/>
      <c r="N2032" s="362"/>
      <c r="O2032" s="362"/>
      <c r="P2032" s="362"/>
      <c r="Q2032" s="362"/>
      <c r="R2032" s="362"/>
      <c r="S2032" s="362"/>
    </row>
  </sheetData>
  <conditionalFormatting sqref="C19:C24 F19:F24 C59:C62 F59:F62 C64:C69 F64:F69 C89:C93 F89:F93 C129:C139 F129:F139 C299:C303 F299:F303 C369:C374 F369:F374 C382:C401 F382:F401 C409:C419 F409:F419 C480:C483 F480:F483 C595:C607 F595:F607 C612 F612 C622 F622 C626 F626 C649:C653 F649:F653 C662 F662 C665:C681 F665:F681 C690:C693 F690:F693 C695:C698 F695:F698 C719:C723 F719:F723 C732 F732 C735:C751 F735:F751 C760:C763 F760:F763 C765:C768 F765:F768 C802 F802 C872 F872 C942 F942 C1012 F1012 C1032 F1032">
    <cfRule type="cellIs" dxfId="16" priority="1" stopIfTrue="1" operator="lessThan">
      <formula>B19</formula>
    </cfRule>
  </conditionalFormatting>
  <pageMargins left="0.48" right="0.19" top="0.5" bottom="0.25" header="0.5" footer="0.5"/>
  <pageSetup paperSize="9" scale="75" orientation="portrait" r:id="rId1"/>
  <headerFooter alignWithMargins="0"/>
  <rowBreaks count="28" manualBreakCount="28">
    <brk id="70" max="18" man="1"/>
    <brk id="140" max="18" man="1"/>
    <brk id="210" max="18" man="1"/>
    <brk id="280" max="18" man="1"/>
    <brk id="350" max="18" man="1"/>
    <brk id="420" max="18" man="1"/>
    <brk id="490" max="18" man="1"/>
    <brk id="560" max="18" man="1"/>
    <brk id="630" max="18" man="1"/>
    <brk id="700" max="18" man="1"/>
    <brk id="770" max="18" man="1"/>
    <brk id="840" max="18" man="1"/>
    <brk id="910" max="18" man="1"/>
    <brk id="980" max="18" man="1"/>
    <brk id="1050" max="18" man="1"/>
    <brk id="1120" max="18" man="1"/>
    <brk id="1190" max="18" man="1"/>
    <brk id="1261" max="18" man="1"/>
    <brk id="1331" max="18" man="1"/>
    <brk id="1401" max="18" man="1"/>
    <brk id="1471" max="18" man="1"/>
    <brk id="1541" max="18" man="1"/>
    <brk id="1611" max="18" man="1"/>
    <brk id="1681" max="18" man="1"/>
    <brk id="1751" max="18" man="1"/>
    <brk id="1821" max="18" man="1"/>
    <brk id="1891" max="18" man="1"/>
    <brk id="1961" max="18" man="1"/>
  </rowBreaks>
  <colBreaks count="2" manualBreakCount="2">
    <brk id="10" max="2029" man="1"/>
    <brk id="19" max="1139" man="1"/>
  </col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sheetPr>
  <dimension ref="A1:R51"/>
  <sheetViews>
    <sheetView zoomScaleNormal="100" workbookViewId="0">
      <selection activeCell="G62" sqref="G62"/>
    </sheetView>
  </sheetViews>
  <sheetFormatPr defaultRowHeight="12.75"/>
  <cols>
    <col min="1" max="1" width="42.7109375" bestFit="1" customWidth="1"/>
    <col min="2" max="2" width="11.42578125" bestFit="1" customWidth="1"/>
    <col min="3" max="3" width="11.85546875" bestFit="1" customWidth="1"/>
    <col min="4" max="4" width="12.42578125" bestFit="1" customWidth="1"/>
    <col min="5" max="6" width="10.5703125" bestFit="1" customWidth="1"/>
    <col min="7" max="8" width="10.42578125" bestFit="1" customWidth="1"/>
    <col min="9" max="9" width="11.140625" customWidth="1"/>
    <col min="10" max="13" width="10.42578125" bestFit="1" customWidth="1"/>
    <col min="14" max="25" width="10.28515625" customWidth="1"/>
  </cols>
  <sheetData>
    <row r="1" spans="1:14" ht="15">
      <c r="A1" s="155" t="s">
        <v>173</v>
      </c>
    </row>
    <row r="2" spans="1:14" ht="14.25">
      <c r="A2" s="118" t="s">
        <v>471</v>
      </c>
    </row>
    <row r="3" spans="1:14" ht="14.25">
      <c r="A3" s="118" t="s">
        <v>422</v>
      </c>
    </row>
    <row r="4" spans="1:14" ht="13.5" thickBot="1"/>
    <row r="5" spans="1:14" ht="16.5" thickBot="1">
      <c r="A5" s="65"/>
      <c r="B5" s="746" t="s">
        <v>136</v>
      </c>
      <c r="C5" s="747"/>
      <c r="D5" s="746" t="s">
        <v>137</v>
      </c>
      <c r="E5" s="747"/>
      <c r="F5" s="66" t="s">
        <v>138</v>
      </c>
    </row>
    <row r="6" spans="1:14" ht="32.25" thickBot="1">
      <c r="A6" s="67" t="s">
        <v>139</v>
      </c>
      <c r="B6" s="68" t="s">
        <v>140</v>
      </c>
      <c r="C6" s="68" t="s">
        <v>141</v>
      </c>
      <c r="D6" s="68" t="s">
        <v>142</v>
      </c>
      <c r="E6" s="68" t="s">
        <v>175</v>
      </c>
      <c r="F6" s="68" t="s">
        <v>144</v>
      </c>
      <c r="G6" s="86" t="s">
        <v>145</v>
      </c>
      <c r="H6" s="86" t="s">
        <v>146</v>
      </c>
      <c r="I6" s="86" t="s">
        <v>147</v>
      </c>
      <c r="J6" s="86" t="s">
        <v>148</v>
      </c>
      <c r="K6" s="86" t="s">
        <v>427</v>
      </c>
      <c r="L6" s="87" t="s">
        <v>149</v>
      </c>
    </row>
    <row r="7" spans="1:14" ht="16.5" thickBot="1">
      <c r="A7" s="67" t="s">
        <v>150</v>
      </c>
      <c r="B7" s="68">
        <v>53043</v>
      </c>
      <c r="C7" s="68">
        <v>115108</v>
      </c>
      <c r="D7" s="68">
        <v>163097</v>
      </c>
      <c r="E7" s="68">
        <v>1191630</v>
      </c>
      <c r="F7" s="68">
        <v>3486203</v>
      </c>
      <c r="G7" s="69">
        <f>D7*3.6/1000</f>
        <v>587.14920000000006</v>
      </c>
      <c r="H7" s="70">
        <f>E7/1000</f>
        <v>1191.6300000000001</v>
      </c>
      <c r="I7" s="71">
        <f>H7/G7</f>
        <v>2.029518221263011</v>
      </c>
      <c r="J7" s="72">
        <f>SUM(G7:H7)/F7*1000</f>
        <v>0.51023397088465594</v>
      </c>
      <c r="K7" s="160">
        <f>G7/F7*1000</f>
        <v>0.16842082919439863</v>
      </c>
      <c r="L7" s="73">
        <f>G7/B7*1000/31.536</f>
        <v>0.35100539176580875</v>
      </c>
    </row>
    <row r="8" spans="1:14" ht="16.5" thickBot="1">
      <c r="A8" s="67" t="s">
        <v>7</v>
      </c>
      <c r="B8" s="68">
        <v>38591</v>
      </c>
      <c r="C8" s="68">
        <v>121028</v>
      </c>
      <c r="D8" s="68">
        <v>136067</v>
      </c>
      <c r="E8" s="68">
        <v>1652536</v>
      </c>
      <c r="F8" s="68">
        <v>3001355</v>
      </c>
      <c r="G8" s="69">
        <f t="shared" ref="G8:G27" si="0">D8*3.6/1000</f>
        <v>489.84120000000001</v>
      </c>
      <c r="H8" s="70">
        <f t="shared" ref="H8:H27" si="1">E8/1000</f>
        <v>1652.5360000000001</v>
      </c>
      <c r="I8" s="71">
        <f t="shared" ref="I8:I27" si="2">H8/G8</f>
        <v>3.3736157758881857</v>
      </c>
      <c r="J8" s="72">
        <f t="shared" ref="J8:J27" si="3">SUM(G8:H8)/F8*1000</f>
        <v>0.71380333216164027</v>
      </c>
      <c r="K8" s="160">
        <f t="shared" ref="K8:K27" si="4">G8/F8*1000</f>
        <v>0.16320668498061708</v>
      </c>
      <c r="L8" s="73">
        <f t="shared" ref="L8:L27" si="5">G8/B8*1000/31.536</f>
        <v>0.40249702150961691</v>
      </c>
    </row>
    <row r="9" spans="1:14" ht="16.5" thickBot="1">
      <c r="A9" s="74" t="s">
        <v>151</v>
      </c>
      <c r="B9" s="75"/>
      <c r="C9" s="75"/>
      <c r="D9" s="75"/>
      <c r="E9" s="75"/>
      <c r="F9" s="75"/>
      <c r="G9" s="69">
        <f t="shared" si="0"/>
        <v>0</v>
      </c>
      <c r="H9" s="69">
        <f t="shared" si="1"/>
        <v>0</v>
      </c>
      <c r="I9" s="64"/>
      <c r="J9" s="73"/>
      <c r="K9" s="160"/>
      <c r="L9" s="73"/>
    </row>
    <row r="10" spans="1:14" ht="16.5" thickBot="1">
      <c r="A10" s="74" t="s">
        <v>152</v>
      </c>
      <c r="B10" s="75">
        <v>1857</v>
      </c>
      <c r="C10" s="75">
        <v>2085</v>
      </c>
      <c r="D10" s="75">
        <v>2583</v>
      </c>
      <c r="E10" s="75">
        <v>29474</v>
      </c>
      <c r="F10" s="75">
        <v>70221</v>
      </c>
      <c r="G10" s="69">
        <f t="shared" si="0"/>
        <v>9.2988000000000017</v>
      </c>
      <c r="H10" s="69">
        <f t="shared" si="1"/>
        <v>29.474</v>
      </c>
      <c r="I10" s="64">
        <f t="shared" si="2"/>
        <v>3.1696562997375999</v>
      </c>
      <c r="J10" s="73">
        <f t="shared" si="3"/>
        <v>0.55215391407128922</v>
      </c>
      <c r="K10" s="160">
        <f t="shared" si="4"/>
        <v>0.13242192506515149</v>
      </c>
      <c r="L10" s="73">
        <f t="shared" si="5"/>
        <v>0.15878460619204643</v>
      </c>
      <c r="N10" s="95">
        <f>B10/B$8</f>
        <v>4.8120027985799799E-2</v>
      </c>
    </row>
    <row r="11" spans="1:14" ht="16.5" thickBot="1">
      <c r="A11" s="76" t="s">
        <v>153</v>
      </c>
      <c r="B11" s="77">
        <v>88</v>
      </c>
      <c r="C11" s="77">
        <v>178</v>
      </c>
      <c r="D11" s="77">
        <v>494</v>
      </c>
      <c r="E11" s="77">
        <v>3837</v>
      </c>
      <c r="F11" s="77">
        <v>9864</v>
      </c>
      <c r="G11" s="69">
        <f t="shared" si="0"/>
        <v>1.7784</v>
      </c>
      <c r="H11" s="69">
        <f t="shared" si="1"/>
        <v>3.8370000000000002</v>
      </c>
      <c r="I11" s="64">
        <f t="shared" si="2"/>
        <v>2.157557354925776</v>
      </c>
      <c r="J11" s="73">
        <f t="shared" si="3"/>
        <v>0.56928223844282244</v>
      </c>
      <c r="K11" s="160">
        <f t="shared" si="4"/>
        <v>0.1802919708029197</v>
      </c>
      <c r="L11" s="73">
        <f t="shared" si="5"/>
        <v>0.64082606890826066</v>
      </c>
      <c r="N11" s="95">
        <f t="shared" ref="N11:N26" si="6">B11/B$8</f>
        <v>2.2803244279754348E-3</v>
      </c>
    </row>
    <row r="12" spans="1:14" ht="16.5" thickBot="1">
      <c r="A12" s="76" t="s">
        <v>154</v>
      </c>
      <c r="B12" s="77">
        <v>705</v>
      </c>
      <c r="C12" s="77">
        <v>618</v>
      </c>
      <c r="D12" s="77">
        <v>13007</v>
      </c>
      <c r="E12" s="77">
        <v>17577</v>
      </c>
      <c r="F12" s="77"/>
      <c r="G12" s="69">
        <f t="shared" si="0"/>
        <v>46.825200000000002</v>
      </c>
      <c r="H12" s="69">
        <f t="shared" si="1"/>
        <v>17.577000000000002</v>
      </c>
      <c r="I12" s="64">
        <f t="shared" si="2"/>
        <v>0.37537479818559238</v>
      </c>
      <c r="J12" s="73"/>
      <c r="K12" s="160"/>
      <c r="L12" s="73">
        <f t="shared" si="5"/>
        <v>2.1061239029761323</v>
      </c>
      <c r="N12" s="95">
        <f t="shared" si="6"/>
        <v>1.8268508201394109E-2</v>
      </c>
    </row>
    <row r="13" spans="1:14" ht="16.5" thickBot="1">
      <c r="A13" s="78" t="s">
        <v>155</v>
      </c>
      <c r="B13" s="79">
        <v>4487</v>
      </c>
      <c r="C13" s="79">
        <v>16563</v>
      </c>
      <c r="D13" s="79">
        <v>24043</v>
      </c>
      <c r="E13" s="79">
        <v>262004</v>
      </c>
      <c r="F13" s="79">
        <v>469749</v>
      </c>
      <c r="G13" s="69">
        <f t="shared" si="0"/>
        <v>86.5548</v>
      </c>
      <c r="H13" s="69">
        <f t="shared" si="1"/>
        <v>262.00400000000002</v>
      </c>
      <c r="I13" s="64">
        <f t="shared" si="2"/>
        <v>3.0270302744619597</v>
      </c>
      <c r="J13" s="73">
        <f t="shared" si="3"/>
        <v>0.74201073339166235</v>
      </c>
      <c r="K13" s="160">
        <f t="shared" si="4"/>
        <v>0.18425755030878194</v>
      </c>
      <c r="L13" s="73">
        <f t="shared" si="5"/>
        <v>0.61168591557752328</v>
      </c>
      <c r="N13" s="95">
        <f t="shared" si="6"/>
        <v>0.11627063304915654</v>
      </c>
    </row>
    <row r="14" spans="1:14" ht="16.5" thickBot="1">
      <c r="A14" s="78" t="s">
        <v>156</v>
      </c>
      <c r="B14" s="79">
        <v>1425</v>
      </c>
      <c r="C14" s="79">
        <v>6432</v>
      </c>
      <c r="D14" s="79">
        <v>3456</v>
      </c>
      <c r="E14" s="79">
        <v>32762</v>
      </c>
      <c r="F14" s="79">
        <v>100828</v>
      </c>
      <c r="G14" s="69">
        <f t="shared" si="0"/>
        <v>12.441600000000001</v>
      </c>
      <c r="H14" s="69">
        <f t="shared" si="1"/>
        <v>32.762</v>
      </c>
      <c r="I14" s="64">
        <f t="shared" si="2"/>
        <v>2.6332626028806581</v>
      </c>
      <c r="J14" s="73">
        <f t="shared" si="3"/>
        <v>0.44832387828777726</v>
      </c>
      <c r="K14" s="160">
        <f t="shared" si="4"/>
        <v>0.12339429523545048</v>
      </c>
      <c r="L14" s="73">
        <f t="shared" si="5"/>
        <v>0.27685652487382845</v>
      </c>
      <c r="N14" s="95">
        <f t="shared" si="6"/>
        <v>3.6925708066647661E-2</v>
      </c>
    </row>
    <row r="15" spans="1:14" ht="16.5" thickBot="1">
      <c r="A15" s="78" t="s">
        <v>157</v>
      </c>
      <c r="B15" s="79">
        <v>191</v>
      </c>
      <c r="C15" s="79">
        <v>914</v>
      </c>
      <c r="D15" s="79">
        <v>596</v>
      </c>
      <c r="E15" s="79">
        <v>9164</v>
      </c>
      <c r="F15" s="79">
        <v>19501</v>
      </c>
      <c r="G15" s="69">
        <f t="shared" si="0"/>
        <v>2.1456</v>
      </c>
      <c r="H15" s="69">
        <f t="shared" si="1"/>
        <v>9.1639999999999997</v>
      </c>
      <c r="I15" s="64">
        <f t="shared" si="2"/>
        <v>4.2710663683818044</v>
      </c>
      <c r="J15" s="73">
        <f t="shared" si="3"/>
        <v>0.57994974616686312</v>
      </c>
      <c r="K15" s="160">
        <f t="shared" si="4"/>
        <v>0.11002512691656838</v>
      </c>
      <c r="L15" s="73">
        <f t="shared" si="5"/>
        <v>0.35621219727939946</v>
      </c>
      <c r="N15" s="95">
        <f t="shared" si="6"/>
        <v>4.949340519810318E-3</v>
      </c>
    </row>
    <row r="16" spans="1:14" ht="16.5" thickBot="1">
      <c r="A16" s="78" t="s">
        <v>158</v>
      </c>
      <c r="B16" s="79">
        <v>13300</v>
      </c>
      <c r="C16" s="79">
        <v>26074</v>
      </c>
      <c r="D16" s="79">
        <v>31997</v>
      </c>
      <c r="E16" s="79">
        <v>399024</v>
      </c>
      <c r="F16" s="79">
        <v>730431</v>
      </c>
      <c r="G16" s="69">
        <f t="shared" si="0"/>
        <v>115.1892</v>
      </c>
      <c r="H16" s="69">
        <f t="shared" si="1"/>
        <v>399.024</v>
      </c>
      <c r="I16" s="64">
        <f t="shared" si="2"/>
        <v>3.4640747570084698</v>
      </c>
      <c r="J16" s="73">
        <f t="shared" si="3"/>
        <v>0.70398600278465739</v>
      </c>
      <c r="K16" s="160">
        <f t="shared" si="4"/>
        <v>0.15770031666235415</v>
      </c>
      <c r="L16" s="73">
        <f t="shared" si="5"/>
        <v>0.27463350156212446</v>
      </c>
      <c r="N16" s="95">
        <f t="shared" si="6"/>
        <v>0.34463994195537817</v>
      </c>
    </row>
    <row r="17" spans="1:14" ht="16.5" thickBot="1">
      <c r="A17" s="78" t="s">
        <v>159</v>
      </c>
      <c r="B17" s="79">
        <v>483</v>
      </c>
      <c r="C17" s="79">
        <v>1045</v>
      </c>
      <c r="D17" s="79">
        <v>2599</v>
      </c>
      <c r="E17" s="79">
        <v>20453</v>
      </c>
      <c r="F17" s="79">
        <v>43429</v>
      </c>
      <c r="G17" s="69">
        <f t="shared" si="0"/>
        <v>9.3563999999999989</v>
      </c>
      <c r="H17" s="69">
        <f t="shared" si="1"/>
        <v>20.452999999999999</v>
      </c>
      <c r="I17" s="64">
        <f t="shared" si="2"/>
        <v>2.1859903381642516</v>
      </c>
      <c r="J17" s="73">
        <f t="shared" si="3"/>
        <v>0.68639388427087888</v>
      </c>
      <c r="K17" s="160">
        <f t="shared" si="4"/>
        <v>0.21544129498722051</v>
      </c>
      <c r="L17" s="73">
        <f t="shared" si="5"/>
        <v>0.6142639704283539</v>
      </c>
      <c r="N17" s="95">
        <f t="shared" si="6"/>
        <v>1.2515871576274261E-2</v>
      </c>
    </row>
    <row r="18" spans="1:14" ht="16.5" thickBot="1">
      <c r="A18" s="76" t="s">
        <v>160</v>
      </c>
      <c r="B18" s="77">
        <v>167</v>
      </c>
      <c r="C18" s="77">
        <v>312</v>
      </c>
      <c r="D18" s="77">
        <v>982</v>
      </c>
      <c r="E18" s="77">
        <v>7073</v>
      </c>
      <c r="F18" s="77">
        <v>13723</v>
      </c>
      <c r="G18" s="69">
        <f t="shared" si="0"/>
        <v>3.5352000000000001</v>
      </c>
      <c r="H18" s="69">
        <f t="shared" si="1"/>
        <v>7.0730000000000004</v>
      </c>
      <c r="I18" s="64">
        <f t="shared" si="2"/>
        <v>2.0007354605114278</v>
      </c>
      <c r="J18" s="73">
        <f t="shared" si="3"/>
        <v>0.77302339138672305</v>
      </c>
      <c r="K18" s="160">
        <f t="shared" si="4"/>
        <v>0.25761130948043431</v>
      </c>
      <c r="L18" s="73">
        <f t="shared" si="5"/>
        <v>0.67126021928745239</v>
      </c>
      <c r="N18" s="95">
        <f t="shared" si="6"/>
        <v>4.3274338576352002E-3</v>
      </c>
    </row>
    <row r="19" spans="1:14" ht="16.5" thickBot="1">
      <c r="A19" s="78" t="s">
        <v>161</v>
      </c>
      <c r="B19" s="79">
        <v>3918</v>
      </c>
      <c r="C19" s="79">
        <v>19099</v>
      </c>
      <c r="D19" s="79">
        <v>12456</v>
      </c>
      <c r="E19" s="79">
        <v>163958</v>
      </c>
      <c r="F19" s="79">
        <v>271952</v>
      </c>
      <c r="G19" s="69">
        <f t="shared" si="0"/>
        <v>44.8416</v>
      </c>
      <c r="H19" s="69">
        <f t="shared" si="1"/>
        <v>163.958</v>
      </c>
      <c r="I19" s="64">
        <f t="shared" si="2"/>
        <v>3.6563815742524799</v>
      </c>
      <c r="J19" s="73">
        <f t="shared" si="3"/>
        <v>0.76778107901394366</v>
      </c>
      <c r="K19" s="160">
        <f t="shared" si="4"/>
        <v>0.16488792139789377</v>
      </c>
      <c r="L19" s="73">
        <f t="shared" si="5"/>
        <v>0.36291929765675801</v>
      </c>
      <c r="N19" s="95">
        <f t="shared" si="6"/>
        <v>0.10152626260008811</v>
      </c>
    </row>
    <row r="20" spans="1:14" ht="16.5" thickBot="1">
      <c r="A20" s="78" t="s">
        <v>162</v>
      </c>
      <c r="B20" s="79">
        <v>601</v>
      </c>
      <c r="C20" s="79">
        <v>2636</v>
      </c>
      <c r="D20" s="79">
        <v>2249</v>
      </c>
      <c r="E20" s="79">
        <v>22707</v>
      </c>
      <c r="F20" s="79">
        <v>44595</v>
      </c>
      <c r="G20" s="69">
        <f t="shared" si="0"/>
        <v>8.0964000000000009</v>
      </c>
      <c r="H20" s="69">
        <f t="shared" si="1"/>
        <v>22.707000000000001</v>
      </c>
      <c r="I20" s="64">
        <f t="shared" si="2"/>
        <v>2.8045798132503332</v>
      </c>
      <c r="J20" s="73">
        <f t="shared" si="3"/>
        <v>0.69073662966700311</v>
      </c>
      <c r="K20" s="160">
        <f t="shared" si="4"/>
        <v>0.18155398587285573</v>
      </c>
      <c r="L20" s="73">
        <f t="shared" si="5"/>
        <v>0.42717996641822231</v>
      </c>
      <c r="N20" s="95">
        <f t="shared" si="6"/>
        <v>1.5573579331968594E-2</v>
      </c>
    </row>
    <row r="21" spans="1:14" ht="16.5" thickBot="1">
      <c r="A21" s="78" t="s">
        <v>163</v>
      </c>
      <c r="B21" s="79">
        <v>7469</v>
      </c>
      <c r="C21" s="79">
        <v>32185</v>
      </c>
      <c r="D21" s="79">
        <v>37677</v>
      </c>
      <c r="E21" s="79">
        <v>532951</v>
      </c>
      <c r="F21" s="79">
        <v>888065</v>
      </c>
      <c r="G21" s="69">
        <f t="shared" si="0"/>
        <v>135.63720000000001</v>
      </c>
      <c r="H21" s="69">
        <f t="shared" si="1"/>
        <v>532.95100000000002</v>
      </c>
      <c r="I21" s="64">
        <f t="shared" si="2"/>
        <v>3.9292391762731755</v>
      </c>
      <c r="J21" s="73">
        <f t="shared" si="3"/>
        <v>0.75285953167842457</v>
      </c>
      <c r="K21" s="160">
        <f t="shared" si="4"/>
        <v>0.15273341478382776</v>
      </c>
      <c r="L21" s="73">
        <f t="shared" si="5"/>
        <v>0.57585050170843144</v>
      </c>
      <c r="N21" s="95">
        <f t="shared" si="6"/>
        <v>0.19354253582441502</v>
      </c>
    </row>
    <row r="22" spans="1:14" ht="16.5" thickBot="1">
      <c r="A22" s="78" t="s">
        <v>164</v>
      </c>
      <c r="B22" s="79">
        <v>652</v>
      </c>
      <c r="C22" s="79">
        <v>2005</v>
      </c>
      <c r="D22" s="79">
        <v>2094</v>
      </c>
      <c r="E22" s="79">
        <v>17236</v>
      </c>
      <c r="F22" s="79">
        <v>35859</v>
      </c>
      <c r="G22" s="69">
        <f t="shared" si="0"/>
        <v>7.5384000000000002</v>
      </c>
      <c r="H22" s="69">
        <f t="shared" si="1"/>
        <v>17.236000000000001</v>
      </c>
      <c r="I22" s="64">
        <f t="shared" si="2"/>
        <v>2.2864268279741058</v>
      </c>
      <c r="J22" s="73">
        <f t="shared" si="3"/>
        <v>0.69088373908921052</v>
      </c>
      <c r="K22" s="160">
        <f t="shared" si="4"/>
        <v>0.21022337488496612</v>
      </c>
      <c r="L22" s="73">
        <f t="shared" si="5"/>
        <v>0.36662744768467936</v>
      </c>
      <c r="N22" s="95">
        <f t="shared" si="6"/>
        <v>1.689513098909072E-2</v>
      </c>
    </row>
    <row r="23" spans="1:14" ht="16.5" thickBot="1">
      <c r="A23" s="84" t="s">
        <v>165</v>
      </c>
      <c r="B23" s="85">
        <v>1040</v>
      </c>
      <c r="C23" s="85">
        <v>2962</v>
      </c>
      <c r="D23" s="85">
        <v>3841</v>
      </c>
      <c r="E23" s="85">
        <v>38923</v>
      </c>
      <c r="F23" s="85">
        <v>80201</v>
      </c>
      <c r="G23" s="69">
        <f t="shared" si="0"/>
        <v>13.8276</v>
      </c>
      <c r="H23" s="69">
        <f t="shared" si="1"/>
        <v>38.923000000000002</v>
      </c>
      <c r="I23" s="64">
        <f t="shared" si="2"/>
        <v>2.8148774913940238</v>
      </c>
      <c r="J23" s="73">
        <f t="shared" si="3"/>
        <v>0.65772995349185182</v>
      </c>
      <c r="K23" s="160">
        <f t="shared" si="4"/>
        <v>0.17241181531402353</v>
      </c>
      <c r="L23" s="73">
        <f t="shared" si="5"/>
        <v>0.42160607657182997</v>
      </c>
      <c r="N23" s="95">
        <f t="shared" si="6"/>
        <v>2.6949288694255138E-2</v>
      </c>
    </row>
    <row r="24" spans="1:14" ht="16.5" thickBot="1">
      <c r="A24" s="76" t="s">
        <v>166</v>
      </c>
      <c r="B24" s="77">
        <v>71</v>
      </c>
      <c r="C24" s="77">
        <v>78</v>
      </c>
      <c r="D24" s="77">
        <v>252</v>
      </c>
      <c r="E24" s="77">
        <v>1019</v>
      </c>
      <c r="F24" s="77">
        <v>3687</v>
      </c>
      <c r="G24" s="69">
        <f t="shared" si="0"/>
        <v>0.90720000000000001</v>
      </c>
      <c r="H24" s="69">
        <f t="shared" si="1"/>
        <v>1.0189999999999999</v>
      </c>
      <c r="I24" s="64">
        <f t="shared" si="2"/>
        <v>1.1232363315696647</v>
      </c>
      <c r="J24" s="73">
        <f t="shared" si="3"/>
        <v>0.52243016002169784</v>
      </c>
      <c r="K24" s="160">
        <f t="shared" si="4"/>
        <v>0.24605370219690809</v>
      </c>
      <c r="L24" s="73">
        <f t="shared" si="5"/>
        <v>0.40517075053058071</v>
      </c>
      <c r="N24" s="95">
        <f t="shared" si="6"/>
        <v>1.8398072089347258E-3</v>
      </c>
    </row>
    <row r="25" spans="1:14" ht="16.5" thickBot="1">
      <c r="A25" s="76" t="s">
        <v>167</v>
      </c>
      <c r="B25" s="77">
        <v>1522</v>
      </c>
      <c r="C25" s="77">
        <v>3310</v>
      </c>
      <c r="D25" s="77">
        <v>6009</v>
      </c>
      <c r="E25" s="77">
        <v>46699</v>
      </c>
      <c r="F25" s="77">
        <v>103547</v>
      </c>
      <c r="G25" s="69">
        <f t="shared" si="0"/>
        <v>21.632400000000001</v>
      </c>
      <c r="H25" s="69">
        <f t="shared" si="1"/>
        <v>46.698999999999998</v>
      </c>
      <c r="I25" s="64">
        <f t="shared" si="2"/>
        <v>2.1587526118230063</v>
      </c>
      <c r="J25" s="73">
        <f t="shared" si="3"/>
        <v>0.65990709532869141</v>
      </c>
      <c r="K25" s="160">
        <f t="shared" si="4"/>
        <v>0.20891382657150859</v>
      </c>
      <c r="L25" s="73">
        <f t="shared" si="5"/>
        <v>0.45069573200367219</v>
      </c>
      <c r="N25" s="95">
        <f t="shared" si="6"/>
        <v>3.943924749293877E-2</v>
      </c>
    </row>
    <row r="26" spans="1:14" ht="16.5" thickBot="1">
      <c r="A26" s="76" t="s">
        <v>168</v>
      </c>
      <c r="B26" s="77">
        <v>4442</v>
      </c>
      <c r="C26" s="77">
        <v>4121</v>
      </c>
      <c r="D26" s="77">
        <v>52244</v>
      </c>
      <c r="E26" s="77">
        <v>98125</v>
      </c>
      <c r="F26" s="77"/>
      <c r="G26" s="69">
        <f t="shared" si="0"/>
        <v>188.07839999999999</v>
      </c>
      <c r="H26" s="69">
        <f t="shared" si="1"/>
        <v>98.125</v>
      </c>
      <c r="I26" s="64">
        <f t="shared" si="2"/>
        <v>0.52172391938680895</v>
      </c>
      <c r="J26" s="73"/>
      <c r="K26" s="160"/>
      <c r="L26" s="73">
        <f t="shared" si="5"/>
        <v>1.3426220037458958</v>
      </c>
      <c r="N26" s="95">
        <f t="shared" si="6"/>
        <v>0.11510455805757819</v>
      </c>
    </row>
    <row r="27" spans="1:14" ht="16.5" thickBot="1">
      <c r="A27" s="67" t="s">
        <v>169</v>
      </c>
      <c r="B27" s="68">
        <v>91634</v>
      </c>
      <c r="C27" s="68">
        <v>236136</v>
      </c>
      <c r="D27" s="68">
        <v>299164</v>
      </c>
      <c r="E27" s="68">
        <v>2844166</v>
      </c>
      <c r="F27" s="68">
        <v>6487558</v>
      </c>
      <c r="G27" s="69">
        <f t="shared" si="0"/>
        <v>1076.9904000000001</v>
      </c>
      <c r="H27" s="69">
        <f t="shared" si="1"/>
        <v>2844.1660000000002</v>
      </c>
      <c r="I27" s="64">
        <f t="shared" si="2"/>
        <v>2.6408461951007176</v>
      </c>
      <c r="J27" s="73">
        <f t="shared" si="3"/>
        <v>0.60441176787937778</v>
      </c>
      <c r="K27" s="160">
        <f t="shared" si="4"/>
        <v>0.16600859676321972</v>
      </c>
      <c r="L27" s="73">
        <f t="shared" si="5"/>
        <v>0.37269072126624858</v>
      </c>
    </row>
    <row r="29" spans="1:14">
      <c r="B29">
        <f>SUM(B10:B26)</f>
        <v>42418</v>
      </c>
      <c r="C29">
        <f>SUM(C10:C26)</f>
        <v>120617</v>
      </c>
      <c r="D29">
        <f>SUM(D10:D26)</f>
        <v>196579</v>
      </c>
      <c r="E29">
        <f>SUM(E10:E26)</f>
        <v>1702986</v>
      </c>
      <c r="F29">
        <f>SUM(F10:F26)</f>
        <v>2885652</v>
      </c>
    </row>
    <row r="30" spans="1:14" ht="13.5" thickBot="1">
      <c r="A30" t="s">
        <v>174</v>
      </c>
    </row>
    <row r="31" spans="1:14" ht="16.5" thickBot="1">
      <c r="A31" s="65"/>
      <c r="B31" s="746" t="s">
        <v>136</v>
      </c>
      <c r="C31" s="747"/>
      <c r="D31" s="746" t="s">
        <v>137</v>
      </c>
      <c r="E31" s="747"/>
      <c r="F31" s="66" t="s">
        <v>138</v>
      </c>
      <c r="I31" s="746" t="s">
        <v>136</v>
      </c>
      <c r="J31" s="747"/>
      <c r="K31" s="746" t="s">
        <v>137</v>
      </c>
      <c r="L31" s="747"/>
      <c r="M31" s="66" t="s">
        <v>138</v>
      </c>
    </row>
    <row r="32" spans="1:14" ht="32.25" thickBot="1">
      <c r="A32" s="67" t="s">
        <v>139</v>
      </c>
      <c r="B32" s="68" t="s">
        <v>140</v>
      </c>
      <c r="C32" s="68" t="s">
        <v>141</v>
      </c>
      <c r="D32" s="68" t="s">
        <v>142</v>
      </c>
      <c r="E32" s="68" t="s">
        <v>143</v>
      </c>
      <c r="F32" s="68" t="s">
        <v>144</v>
      </c>
      <c r="I32" s="68" t="s">
        <v>9</v>
      </c>
      <c r="J32" s="68" t="s">
        <v>34</v>
      </c>
      <c r="K32" s="68" t="s">
        <v>88</v>
      </c>
      <c r="L32" s="68" t="s">
        <v>34</v>
      </c>
      <c r="M32" s="68" t="s">
        <v>170</v>
      </c>
    </row>
    <row r="33" spans="1:18" ht="16.5" thickBot="1">
      <c r="A33" s="67" t="s">
        <v>7</v>
      </c>
      <c r="B33" s="68">
        <f>SUM(B35:B46)</f>
        <v>35590</v>
      </c>
      <c r="C33" s="68">
        <f>SUM(C35:C46)</f>
        <v>112312</v>
      </c>
      <c r="D33" s="68">
        <f>SUM(D35:D46)</f>
        <v>124573</v>
      </c>
      <c r="E33" s="68">
        <f>SUM(E35:E46)</f>
        <v>1535729</v>
      </c>
      <c r="F33" s="68">
        <f>SUM(F35:F46)</f>
        <v>2768554</v>
      </c>
    </row>
    <row r="34" spans="1:18" ht="16.5" thickBot="1">
      <c r="A34" s="74" t="s">
        <v>151</v>
      </c>
      <c r="B34" s="75"/>
      <c r="C34" s="75"/>
      <c r="D34" s="75"/>
      <c r="E34" s="75"/>
      <c r="F34" s="75"/>
    </row>
    <row r="35" spans="1:18" ht="16.5" thickBot="1">
      <c r="A35" s="74" t="s">
        <v>171</v>
      </c>
      <c r="B35" s="75">
        <v>1857</v>
      </c>
      <c r="C35" s="75">
        <v>2085</v>
      </c>
      <c r="D35" s="75">
        <v>2583</v>
      </c>
      <c r="E35" s="75">
        <v>29474</v>
      </c>
      <c r="F35" s="75">
        <v>70221</v>
      </c>
      <c r="I35" s="80">
        <f>B35/$B$33</f>
        <v>5.2177577971340261E-2</v>
      </c>
      <c r="J35" s="80">
        <f>C35/$C$33</f>
        <v>1.8564356435643563E-2</v>
      </c>
      <c r="K35" s="80">
        <f>D35/$D$33</f>
        <v>2.0734830179894519E-2</v>
      </c>
      <c r="L35" s="80">
        <f>E35/$E$33</f>
        <v>1.9192188205080455E-2</v>
      </c>
      <c r="M35" s="80">
        <f>F35/$F$33</f>
        <v>2.5363781959824513E-2</v>
      </c>
      <c r="O35" s="81">
        <f>D35/(B35*8.76)</f>
        <v>0.1587846061920464</v>
      </c>
    </row>
    <row r="36" spans="1:18" ht="16.5" thickBot="1">
      <c r="A36" s="78" t="s">
        <v>155</v>
      </c>
      <c r="B36" s="82">
        <v>4487</v>
      </c>
      <c r="C36" s="82">
        <v>16563</v>
      </c>
      <c r="D36" s="82">
        <v>24043</v>
      </c>
      <c r="E36" s="82">
        <v>262004</v>
      </c>
      <c r="F36" s="82">
        <v>469749</v>
      </c>
      <c r="I36" s="80">
        <f>B36/$B$33</f>
        <v>0.12607474009553246</v>
      </c>
      <c r="J36" s="80">
        <f t="shared" ref="J36:J46" si="7">C36/$C$33</f>
        <v>0.14747311062041457</v>
      </c>
      <c r="K36" s="80">
        <f t="shared" ref="K36:K46" si="8">D36/$D$33</f>
        <v>0.19300329927030738</v>
      </c>
      <c r="L36" s="80">
        <f t="shared" ref="L36:L46" si="9">E36/$E$33</f>
        <v>0.17060562117404829</v>
      </c>
      <c r="M36" s="80">
        <f t="shared" ref="M36:M46" si="10">F36/$F$33</f>
        <v>0.16967304954138515</v>
      </c>
      <c r="O36" s="81">
        <f t="shared" ref="O36:O46" si="11">D36/(B36*8.76)</f>
        <v>0.61168591557752328</v>
      </c>
      <c r="R36">
        <f>B36+B39+B44</f>
        <v>25256</v>
      </c>
    </row>
    <row r="37" spans="1:18" ht="16.5" thickBot="1">
      <c r="A37" s="78" t="s">
        <v>172</v>
      </c>
      <c r="B37" s="82">
        <v>1425</v>
      </c>
      <c r="C37" s="82">
        <v>6432</v>
      </c>
      <c r="D37" s="82">
        <v>3456</v>
      </c>
      <c r="E37" s="82">
        <v>32762</v>
      </c>
      <c r="F37" s="82">
        <v>100828</v>
      </c>
      <c r="I37" s="80">
        <f t="shared" ref="I37:I46" si="12">B37/$B$33</f>
        <v>4.0039336892385501E-2</v>
      </c>
      <c r="J37" s="80">
        <f t="shared" si="7"/>
        <v>5.7269036256143602E-2</v>
      </c>
      <c r="K37" s="80">
        <f t="shared" si="8"/>
        <v>2.7742769299928555E-2</v>
      </c>
      <c r="L37" s="80">
        <f t="shared" si="9"/>
        <v>2.1333190947100691E-2</v>
      </c>
      <c r="M37" s="80">
        <f t="shared" si="10"/>
        <v>3.6419011512869172E-2</v>
      </c>
      <c r="O37" s="81">
        <f t="shared" si="11"/>
        <v>0.27685652487382839</v>
      </c>
    </row>
    <row r="38" spans="1:18" ht="16.5" thickBot="1">
      <c r="A38" s="83" t="s">
        <v>157</v>
      </c>
      <c r="B38" s="82">
        <v>191</v>
      </c>
      <c r="C38" s="82">
        <v>914</v>
      </c>
      <c r="D38" s="82">
        <v>596</v>
      </c>
      <c r="E38" s="82">
        <v>9164</v>
      </c>
      <c r="F38" s="82">
        <v>19501</v>
      </c>
      <c r="I38" s="80">
        <f t="shared" si="12"/>
        <v>5.3666760325934253E-3</v>
      </c>
      <c r="J38" s="80">
        <f t="shared" si="7"/>
        <v>8.1380440202293604E-3</v>
      </c>
      <c r="K38" s="80">
        <f t="shared" si="8"/>
        <v>4.7843433167700867E-3</v>
      </c>
      <c r="L38" s="80">
        <f t="shared" si="9"/>
        <v>5.9671986398641946E-3</v>
      </c>
      <c r="M38" s="80">
        <f t="shared" si="10"/>
        <v>7.0437491918163781E-3</v>
      </c>
      <c r="O38" s="81">
        <f t="shared" si="11"/>
        <v>0.35621219727939951</v>
      </c>
    </row>
    <row r="39" spans="1:18" ht="16.5" thickBot="1">
      <c r="A39" s="78" t="s">
        <v>158</v>
      </c>
      <c r="B39" s="82">
        <v>13300</v>
      </c>
      <c r="C39" s="82">
        <v>26074</v>
      </c>
      <c r="D39" s="82">
        <v>31997</v>
      </c>
      <c r="E39" s="82">
        <v>399024</v>
      </c>
      <c r="F39" s="82">
        <v>730431</v>
      </c>
      <c r="I39" s="80">
        <f t="shared" si="12"/>
        <v>0.37370047766226466</v>
      </c>
      <c r="J39" s="80">
        <f t="shared" si="7"/>
        <v>0.23215684877840301</v>
      </c>
      <c r="K39" s="80">
        <f t="shared" si="8"/>
        <v>0.25685341125283973</v>
      </c>
      <c r="L39" s="80">
        <f t="shared" si="9"/>
        <v>0.25982709188925912</v>
      </c>
      <c r="M39" s="80">
        <f t="shared" si="10"/>
        <v>0.26383122742052351</v>
      </c>
      <c r="O39" s="81">
        <f t="shared" si="11"/>
        <v>0.27463350156212452</v>
      </c>
    </row>
    <row r="40" spans="1:18" ht="16.5" thickBot="1">
      <c r="A40" s="83" t="s">
        <v>159</v>
      </c>
      <c r="B40" s="82">
        <v>483</v>
      </c>
      <c r="C40" s="82">
        <v>1045</v>
      </c>
      <c r="D40" s="82">
        <v>2599</v>
      </c>
      <c r="E40" s="82">
        <v>20453</v>
      </c>
      <c r="F40" s="82">
        <v>43429</v>
      </c>
      <c r="I40" s="80">
        <f t="shared" si="12"/>
        <v>1.3571227872998033E-2</v>
      </c>
      <c r="J40" s="80">
        <f t="shared" si="7"/>
        <v>9.3044376380084053E-3</v>
      </c>
      <c r="K40" s="80">
        <f t="shared" si="8"/>
        <v>2.0863268926653449E-2</v>
      </c>
      <c r="L40" s="80">
        <f t="shared" si="9"/>
        <v>1.3318104952110691E-2</v>
      </c>
      <c r="M40" s="80">
        <f t="shared" si="10"/>
        <v>1.5686528057606966E-2</v>
      </c>
      <c r="O40" s="81">
        <f t="shared" si="11"/>
        <v>0.61426397042835401</v>
      </c>
    </row>
    <row r="41" spans="1:18" ht="16.5" thickBot="1">
      <c r="A41" s="83" t="s">
        <v>160</v>
      </c>
      <c r="B41" s="82">
        <v>167</v>
      </c>
      <c r="C41" s="82">
        <v>312</v>
      </c>
      <c r="D41" s="82">
        <v>982</v>
      </c>
      <c r="E41" s="82">
        <v>7073</v>
      </c>
      <c r="F41" s="82">
        <v>13723</v>
      </c>
      <c r="I41" s="80">
        <f t="shared" si="12"/>
        <v>4.6923293059848272E-3</v>
      </c>
      <c r="J41" s="80">
        <f t="shared" si="7"/>
        <v>2.7779756392905478E-3</v>
      </c>
      <c r="K41" s="80">
        <f t="shared" si="8"/>
        <v>7.8829280823292363E-3</v>
      </c>
      <c r="L41" s="80">
        <f t="shared" si="9"/>
        <v>4.6056302902400094E-3</v>
      </c>
      <c r="M41" s="80">
        <f t="shared" si="10"/>
        <v>4.9567391497510977E-3</v>
      </c>
      <c r="O41" s="81">
        <f t="shared" si="11"/>
        <v>0.6712602192874525</v>
      </c>
    </row>
    <row r="42" spans="1:18" ht="16.5" thickBot="1">
      <c r="A42" s="83" t="s">
        <v>161</v>
      </c>
      <c r="B42" s="82">
        <v>3918</v>
      </c>
      <c r="C42" s="82">
        <v>19099</v>
      </c>
      <c r="D42" s="82">
        <v>12456</v>
      </c>
      <c r="E42" s="82">
        <v>163958</v>
      </c>
      <c r="F42" s="82">
        <v>271952</v>
      </c>
      <c r="I42" s="80">
        <f t="shared" si="12"/>
        <v>0.11008710311885361</v>
      </c>
      <c r="J42" s="80">
        <f t="shared" si="7"/>
        <v>0.17005306645772492</v>
      </c>
      <c r="K42" s="80">
        <f t="shared" si="8"/>
        <v>9.9989564351825835E-2</v>
      </c>
      <c r="L42" s="80">
        <f t="shared" si="9"/>
        <v>0.10676232590515644</v>
      </c>
      <c r="M42" s="80">
        <f t="shared" si="10"/>
        <v>9.8228894939379904E-2</v>
      </c>
      <c r="O42" s="81">
        <f t="shared" si="11"/>
        <v>0.36291929765675807</v>
      </c>
    </row>
    <row r="43" spans="1:18" ht="16.5" thickBot="1">
      <c r="A43" s="83" t="s">
        <v>162</v>
      </c>
      <c r="B43" s="82">
        <v>601</v>
      </c>
      <c r="C43" s="82">
        <v>2636</v>
      </c>
      <c r="D43" s="82">
        <v>2249</v>
      </c>
      <c r="E43" s="82">
        <v>22707</v>
      </c>
      <c r="F43" s="82">
        <v>44595</v>
      </c>
      <c r="I43" s="80">
        <f t="shared" si="12"/>
        <v>1.6886765945490306E-2</v>
      </c>
      <c r="J43" s="80">
        <f t="shared" si="7"/>
        <v>2.3470332644775268E-2</v>
      </c>
      <c r="K43" s="80">
        <f t="shared" si="8"/>
        <v>1.8053671341301886E-2</v>
      </c>
      <c r="L43" s="80">
        <f t="shared" si="9"/>
        <v>1.4785811819663494E-2</v>
      </c>
      <c r="M43" s="80">
        <f t="shared" si="10"/>
        <v>1.6107686539615987E-2</v>
      </c>
      <c r="O43" s="81">
        <f t="shared" si="11"/>
        <v>0.42717996641822226</v>
      </c>
    </row>
    <row r="44" spans="1:18" ht="16.5" thickBot="1">
      <c r="A44" s="78" t="s">
        <v>163</v>
      </c>
      <c r="B44" s="82">
        <v>7469</v>
      </c>
      <c r="C44" s="82">
        <v>32185</v>
      </c>
      <c r="D44" s="82">
        <v>37677</v>
      </c>
      <c r="E44" s="82">
        <v>532951</v>
      </c>
      <c r="F44" s="82">
        <v>888065</v>
      </c>
      <c r="I44" s="80">
        <f t="shared" si="12"/>
        <v>0.20986232087665074</v>
      </c>
      <c r="J44" s="80">
        <f t="shared" si="7"/>
        <v>0.28656777548258422</v>
      </c>
      <c r="K44" s="80">
        <f t="shared" si="8"/>
        <v>0.30244916635225932</v>
      </c>
      <c r="L44" s="80">
        <f t="shared" si="9"/>
        <v>0.34703453539003298</v>
      </c>
      <c r="M44" s="80">
        <f t="shared" si="10"/>
        <v>0.3207685311538081</v>
      </c>
      <c r="O44" s="81">
        <f t="shared" si="11"/>
        <v>0.57585050170843144</v>
      </c>
    </row>
    <row r="45" spans="1:18" ht="16.5" thickBot="1">
      <c r="A45" s="83" t="s">
        <v>164</v>
      </c>
      <c r="B45" s="82">
        <v>652</v>
      </c>
      <c r="C45" s="82">
        <v>2005</v>
      </c>
      <c r="D45" s="82">
        <v>2094</v>
      </c>
      <c r="E45" s="82">
        <v>17236</v>
      </c>
      <c r="F45" s="82">
        <v>35859</v>
      </c>
      <c r="I45" s="80">
        <f t="shared" si="12"/>
        <v>1.8319752739533578E-2</v>
      </c>
      <c r="J45" s="80">
        <f t="shared" si="7"/>
        <v>1.7852054989671629E-2</v>
      </c>
      <c r="K45" s="80">
        <f t="shared" si="8"/>
        <v>1.6809420982074767E-2</v>
      </c>
      <c r="L45" s="80">
        <f t="shared" si="9"/>
        <v>1.1223334325261814E-2</v>
      </c>
      <c r="M45" s="80">
        <f t="shared" si="10"/>
        <v>1.2952248719006383E-2</v>
      </c>
      <c r="O45" s="81">
        <f t="shared" si="11"/>
        <v>0.36662744768467942</v>
      </c>
    </row>
    <row r="46" spans="1:18" ht="16.5" thickBot="1">
      <c r="A46" s="83" t="s">
        <v>165</v>
      </c>
      <c r="B46" s="82">
        <v>1040</v>
      </c>
      <c r="C46" s="82">
        <v>2962</v>
      </c>
      <c r="D46" s="82">
        <v>3841</v>
      </c>
      <c r="E46" s="82">
        <v>38923</v>
      </c>
      <c r="F46" s="82">
        <v>80201</v>
      </c>
      <c r="I46" s="80">
        <f t="shared" si="12"/>
        <v>2.9221691486372575E-2</v>
      </c>
      <c r="J46" s="80">
        <f t="shared" si="7"/>
        <v>2.6372961037110905E-2</v>
      </c>
      <c r="K46" s="80">
        <f t="shared" si="8"/>
        <v>3.0833326643815273E-2</v>
      </c>
      <c r="L46" s="80">
        <f t="shared" si="9"/>
        <v>2.5344966462181803E-2</v>
      </c>
      <c r="M46" s="80">
        <f t="shared" si="10"/>
        <v>2.8968551814412866E-2</v>
      </c>
      <c r="O46" s="81">
        <f t="shared" si="11"/>
        <v>0.42160607657183002</v>
      </c>
    </row>
    <row r="48" spans="1:18">
      <c r="I48" s="2">
        <f>SUM(I35:I47)</f>
        <v>1</v>
      </c>
      <c r="J48" s="2">
        <f>SUM(J35:J47)</f>
        <v>1</v>
      </c>
      <c r="K48" s="2">
        <f>SUM(K35:K47)</f>
        <v>1</v>
      </c>
      <c r="L48" s="2">
        <f>SUM(L35:L47)</f>
        <v>1</v>
      </c>
      <c r="M48" s="2">
        <f>SUM(M35:M47)</f>
        <v>1</v>
      </c>
    </row>
    <row r="51" spans="9:9">
      <c r="I51" s="2">
        <f>I36+I39+I44+I37+I38</f>
        <v>0.75504355155942671</v>
      </c>
    </row>
  </sheetData>
  <mergeCells count="6">
    <mergeCell ref="I31:J31"/>
    <mergeCell ref="K31:L31"/>
    <mergeCell ref="B5:C5"/>
    <mergeCell ref="D5:E5"/>
    <mergeCell ref="B31:C31"/>
    <mergeCell ref="D31:E31"/>
  </mergeCells>
  <phoneticPr fontId="5"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Explanation</vt:lpstr>
      <vt:lpstr>CHP Fuel_IN Heat_OUT</vt:lpstr>
      <vt:lpstr>CHP BY IND</vt:lpstr>
      <vt:lpstr>ELC Autoprod</vt:lpstr>
      <vt:lpstr>ToBeSubtracted REKK data</vt:lpstr>
      <vt:lpstr>CHP_DATA2005</vt:lpstr>
      <vt:lpstr>CAP_Autoproducers</vt:lpstr>
      <vt:lpstr>CHP2002By cycle</vt:lpstr>
      <vt:lpstr>CHP2002bySector</vt:lpstr>
      <vt:lpstr>BY_Templates_DataAUTO</vt:lpstr>
      <vt:lpstr>Eurostat Resume</vt:lpstr>
      <vt:lpstr>Autoproducers Calculations</vt:lpstr>
      <vt:lpstr>INDCONSby Product</vt:lpstr>
      <vt:lpstr>IND_CONS Sector all</vt:lpstr>
      <vt:lpstr>Transformation Input</vt:lpstr>
      <vt:lpstr>Electricity Generation</vt:lpstr>
      <vt:lpstr>EL Cap ALL Autoprod</vt:lpstr>
      <vt:lpstr>Solid Fuels Input</vt:lpstr>
      <vt:lpstr>Oil Input</vt:lpstr>
      <vt:lpstr>Gas Input</vt:lpstr>
      <vt:lpstr>Ren &amp; Waste</vt:lpstr>
      <vt:lpstr>Biofuels Input</vt:lpstr>
      <vt:lpstr>Derived Heat Gen</vt:lpstr>
      <vt:lpstr>Derived Heat Tot</vt:lpstr>
      <vt:lpstr>'CHP2002By cycle'!Print_Area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vanrede</dc:creator>
  <cp:lastModifiedBy>NIJS Wouter (JRC-PETTEN)</cp:lastModifiedBy>
  <dcterms:created xsi:type="dcterms:W3CDTF">2010-04-09T15:23:10Z</dcterms:created>
  <dcterms:modified xsi:type="dcterms:W3CDTF">2019-11-02T15:15:02Z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48012852668762</vt:r8>
  </property>
</Properties>
</file>